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 state="visible" name="Durval de Góes Monteiro" sheetId="2" r:id="rId5"/>
  </sheets>
  <definedNames>
    <definedName hidden="1" localSheetId="0" name="_xlnm._FilterDatabase">'Página1'!$C$1:$C$3096</definedName>
  </definedNames>
  <calcPr/>
</workbook>
</file>

<file path=xl/sharedStrings.xml><?xml version="1.0" encoding="utf-8"?>
<sst xmlns="http://schemas.openxmlformats.org/spreadsheetml/2006/main" count="393" uniqueCount="133">
  <si>
    <t>RA</t>
  </si>
  <si>
    <t>COD</t>
  </si>
  <si>
    <t>ABRIGO</t>
  </si>
  <si>
    <t>PLACA</t>
  </si>
  <si>
    <t>BAIA</t>
  </si>
  <si>
    <t>AC. RAMPA</t>
  </si>
  <si>
    <t>AC. PISO TÁTIL</t>
  </si>
  <si>
    <t>CALÇADA</t>
  </si>
  <si>
    <t>LATITUDE</t>
  </si>
  <si>
    <t>LONGITUDE</t>
  </si>
  <si>
    <t>ENDEREÇO</t>
  </si>
  <si>
    <t>TIPO DE VIA</t>
  </si>
  <si>
    <t>BAIRRO</t>
  </si>
  <si>
    <t>SENTIDO</t>
  </si>
  <si>
    <t>PONTO DE REFERÊNCIA</t>
  </si>
  <si>
    <t>MANUTENÇÃO</t>
  </si>
  <si>
    <t>REPAROS</t>
  </si>
  <si>
    <t>PENDÊNCIAS</t>
  </si>
  <si>
    <t>SOLICITAÇÃO</t>
  </si>
  <si>
    <t>VAZIO</t>
  </si>
  <si>
    <t>DATA</t>
  </si>
  <si>
    <t>FOTOS</t>
  </si>
  <si>
    <t>PONTO ARSAL</t>
  </si>
  <si>
    <t>PUBLICIDADE</t>
  </si>
  <si>
    <t>TM098</t>
  </si>
  <si>
    <t>ABRIGO METÁLICO PEQUENO PORTE</t>
  </si>
  <si>
    <t>SEM PLACA</t>
  </si>
  <si>
    <t>SEM BAIA</t>
  </si>
  <si>
    <t>NÃO</t>
  </si>
  <si>
    <t>PAVIMENTADA</t>
  </si>
  <si>
    <t>-9.588497</t>
  </si>
  <si>
    <t>-35.761652</t>
  </si>
  <si>
    <t>AV. DURVAL DE GÓES MONTEIRO</t>
  </si>
  <si>
    <t xml:space="preserve">ARTERIAL </t>
  </si>
  <si>
    <t>TABULEIRO DOS MARTINS</t>
  </si>
  <si>
    <t>BAIRRO - CENTRO</t>
  </si>
  <si>
    <t>APÓS A USIFERTIL</t>
  </si>
  <si>
    <t>PRIORIDADE BAIXA</t>
  </si>
  <si>
    <t>READEQUAÇÃO DE CALÇADA COM ACESSIBILIDADE E PINTURA DE BAÍA NO ASFALTO.</t>
  </si>
  <si>
    <t>NENHUMA DAS OPÇÕES</t>
  </si>
  <si>
    <t>https://drive.google.com/uc?id=1iSPc1EUeUezitEZJJAfklN2DOUmuPOpM</t>
  </si>
  <si>
    <t>NÃO SE APLICA</t>
  </si>
  <si>
    <t>TM099</t>
  </si>
  <si>
    <t>COM SUPORTE</t>
  </si>
  <si>
    <t>-9.582484</t>
  </si>
  <si>
    <t xml:space="preserve"> -35.766088</t>
  </si>
  <si>
    <t>EM FRENTE À IGREJA MINISTÉRIO NOVA VIDA</t>
  </si>
  <si>
    <t>SUBSTITUIR ABRIGO</t>
  </si>
  <si>
    <t>https://drive.google.com/uc?id=12_JEv_6VP1HbKzcrpi4xMLVdBXLxwC7h</t>
  </si>
  <si>
    <t>TM100</t>
  </si>
  <si>
    <t>-9.582557</t>
  </si>
  <si>
    <t>-35.765786</t>
  </si>
  <si>
    <t>CENTRO - BAIRRO</t>
  </si>
  <si>
    <t>EM FRENTE À DMTT</t>
  </si>
  <si>
    <t>https://drive.google.com/uc?id=1Ry1Ou6OZBz1ah53aLVWnfge_fLFS-99h</t>
  </si>
  <si>
    <t>SIM</t>
  </si>
  <si>
    <t>TM101</t>
  </si>
  <si>
    <t xml:space="preserve">-9.580161
</t>
  </si>
  <si>
    <t>-35.767816</t>
  </si>
  <si>
    <t>AO LADO DO BANCO DO BRASIL</t>
  </si>
  <si>
    <t>https://drive.google.com/uc?id=1HuAC4wn4oQ5YxPd1aOcCxYmCPvvT7KpO</t>
  </si>
  <si>
    <t>TM102</t>
  </si>
  <si>
    <t xml:space="preserve">-9.579895
</t>
  </si>
  <si>
    <t>-35.767765</t>
  </si>
  <si>
    <t>https://drive.google.com/uc?id=1i2LuQr65t6Ulq08B8ArcTbfieGqFKXo0</t>
  </si>
  <si>
    <t>TM103</t>
  </si>
  <si>
    <t>ABRIGO METÁLICO MÉDIO PORTE</t>
  </si>
  <si>
    <t>-9.577772</t>
  </si>
  <si>
    <t>-35.769621</t>
  </si>
  <si>
    <t>AO LADO DO DINÂMICO JÚNIOR</t>
  </si>
  <si>
    <t>https://drive.google.com/uc?id=1m0tVigt2yKhWBRDxa_JyyWAGVX_01NyI</t>
  </si>
  <si>
    <t>TM104</t>
  </si>
  <si>
    <t xml:space="preserve">-9.577629
</t>
  </si>
  <si>
    <t>-35.769471</t>
  </si>
  <si>
    <t>EM FRENTE AO EJÚNIOR</t>
  </si>
  <si>
    <t>https://drive.google.com/uc?id=1zxOoDF21Wxu3KnKbUGxWvt76ih_oa5Tn</t>
  </si>
  <si>
    <t>TM105</t>
  </si>
  <si>
    <t xml:space="preserve">-9.574483
</t>
  </si>
  <si>
    <t>-35.771807</t>
  </si>
  <si>
    <t>EM FRENTE AO GILENO AUTO PEÇAS</t>
  </si>
  <si>
    <t>https://drive.google.com/uc?id=1ZbmL7k7EjJXver0x-_5QK_kI3PeH6W-S</t>
  </si>
  <si>
    <t>TM106</t>
  </si>
  <si>
    <t xml:space="preserve">ABRIGO PERSONALIZADO </t>
  </si>
  <si>
    <t>-9.573117</t>
  </si>
  <si>
    <t>-35.773114</t>
  </si>
  <si>
    <t>EM FRENTE A UPA TABULEIRO</t>
  </si>
  <si>
    <t>https://drive.google.com/uc?id=1W76-7UP7V7Be_FnYVOHAV4gl9ufdKxgv</t>
  </si>
  <si>
    <t>TM107</t>
  </si>
  <si>
    <t>ABRIGO METÁLICO NOVO PEQUENO PORTE</t>
  </si>
  <si>
    <t xml:space="preserve">-9.571148
</t>
  </si>
  <si>
    <t>-35.774708</t>
  </si>
  <si>
    <t>https://drive.google.com/uc?id=12zO9S_U74-1tBaPc1C-EzQRX1VB7blpP</t>
  </si>
  <si>
    <t>TM108</t>
  </si>
  <si>
    <t xml:space="preserve">-9.570643
</t>
  </si>
  <si>
    <t>-35.774489</t>
  </si>
  <si>
    <t>EM FRENTE AO ASSAÍ</t>
  </si>
  <si>
    <t>https://drive.google.com/uc?id=1TRSDH-46HV51eWSRgQLN63_MOp4iQvrn</t>
  </si>
  <si>
    <t>TM109</t>
  </si>
  <si>
    <t>-9.567273</t>
  </si>
  <si>
    <t>-35.776447</t>
  </si>
  <si>
    <t>EM FRENTE AO ATACADÃO</t>
  </si>
  <si>
    <t>https://drive.google.com/uc?id=1wctQ2x2NZgRBr_Mn1bdfmXGpS0hPR7Da</t>
  </si>
  <si>
    <t>TM110</t>
  </si>
  <si>
    <t>-9.567289</t>
  </si>
  <si>
    <t>-35.776897</t>
  </si>
  <si>
    <t>EM FRENTE AO VIADUTO DA POLÍCIA RODOVIÁRIA</t>
  </si>
  <si>
    <t>https://drive.google.com/uc?id=1dAPSetz6JmnIFT5wEHknR950t0jKAT8p</t>
  </si>
  <si>
    <t>TM111</t>
  </si>
  <si>
    <t>NÃO POSSUI</t>
  </si>
  <si>
    <t>-9.576544</t>
  </si>
  <si>
    <t>-35.771411</t>
  </si>
  <si>
    <t>RUA DR. EURICO AYRES</t>
  </si>
  <si>
    <t>COLETORA</t>
  </si>
  <si>
    <t>EM FRENTE A IGREJA BATISTA DO TABULEIRO</t>
  </si>
  <si>
    <t>https://drive.google.com/uc?id=1RpSSF0wHF-xjUKIqV_3Gw33UK-LfTrmj</t>
  </si>
  <si>
    <t>TM112</t>
  </si>
  <si>
    <t>ABRIGO METÁLICO GRANDE PORTE</t>
  </si>
  <si>
    <t>-9.585922</t>
  </si>
  <si>
    <t>-35.763630</t>
  </si>
  <si>
    <t>AO LADO DO CENTRO DE ENSINO SANTA JULIANA</t>
  </si>
  <si>
    <t>https://drive.google.com/uc?id=1EkxLoUaBCtf_ScA6oIT1lo3kjP8OCAnm</t>
  </si>
  <si>
    <t>TM113</t>
  </si>
  <si>
    <t>-9.588442</t>
  </si>
  <si>
    <t>-35.761683</t>
  </si>
  <si>
    <t>https://drive.google.com/uc?id=1j6UO3QCHJkFXmdeeW786_87kPXCigP00</t>
  </si>
  <si>
    <t>TM114</t>
  </si>
  <si>
    <t>-9.590693</t>
  </si>
  <si>
    <t>-35.759628</t>
  </si>
  <si>
    <t>https://drive.google.com/uc?id=1lG6G8iaVqCadjw7zPcQg4uNKmjma3q-A</t>
  </si>
  <si>
    <t>TM115</t>
  </si>
  <si>
    <t>-9.584920</t>
  </si>
  <si>
    <t>-35.764125</t>
  </si>
  <si>
    <t>https://drive.google.com/uc?id=1M2hrqL8J9SYGJBLgurnPCB6gOkgJcevL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</si>
</sst>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
    <numFmt numFmtId="166" formatCode="d/m/yyyy"/>
  </numFmts>
  <fonts count="10">
    <font>
      <sz val="10.0"/>
      <color rgb="FF000000"/>
      <name val="Arial"/>
      <scheme val="minor"/>
    </font>
    <font>
      <b/>
      <color rgb="FFFFFFFF"/>
      <name val="Arial"/>
    </font>
    <font>
      <color theme="1"/>
      <name val="Arial"/>
      <scheme val="minor"/>
    </font>
    <font>
      <u/>
      <color rgb="FF0000FF"/>
    </font>
    <font>
      <u/>
      <color rgb="FF0000FF"/>
    </font>
    <font>
      <u/>
      <color rgb="FF0000FF"/>
    </font>
    <font>
      <sz val="9.0"/>
      <color rgb="FF000000"/>
      <name val="&quot;Google Sans Mono&quot;"/>
    </font>
    <font>
      <u/>
      <color rgb="FF0000FF"/>
    </font>
    <font>
      <color theme="1"/>
      <name val="Arial"/>
    </font>
    <font>
      <u/>
      <color rgb="FF1155CC"/>
      <name val="Arial"/>
    </font>
  </fonts>
  <fills count="4">
    <fill>
      <patternFill patternType="none"/>
    </fill>
    <fill>
      <patternFill patternType="lightGray"/>
    </fill>
    <fill>
      <patternFill patternType="solid">
        <fgColor rgb="FFE69138"/>
        <bgColor rgb="FFE69138"/>
      </patternFill>
    </fill>
    <fill>
      <patternFill patternType="solid">
        <fgColor rgb="FFFFFFFF"/>
        <bgColor rgb="FFFFFFFF"/>
      </patternFill>
    </fill>
  </fills>
  <borders count="4">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thin">
        <color rgb="FFD9D9D9"/>
      </left>
      <right style="thin">
        <color rgb="FFD9D9D9"/>
      </right>
      <top style="thin">
        <color rgb="FFD9D9D9"/>
      </top>
      <bottom style="thin">
        <color rgb="FFD9D9D9"/>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2" fillId="2" fontId="1" numFmtId="0" xfId="0" applyAlignment="1" applyBorder="1" applyFont="1">
      <alignment horizontal="center" readingOrder="0" vertical="bottom"/>
    </xf>
    <xf borderId="1" fillId="2" fontId="1" numFmtId="0" xfId="0" applyAlignment="1" applyBorder="1" applyFont="1">
      <alignment horizontal="center" vertical="bottom"/>
    </xf>
    <xf borderId="1" fillId="2" fontId="1" numFmtId="49" xfId="0" applyAlignment="1" applyBorder="1" applyFont="1" applyNumberFormat="1">
      <alignment horizontal="center" vertical="bottom"/>
    </xf>
    <xf borderId="0" fillId="0" fontId="2" numFmtId="0" xfId="0" applyFont="1"/>
    <xf borderId="0" fillId="0" fontId="2" numFmtId="49" xfId="0" applyFont="1" applyNumberFormat="1"/>
    <xf borderId="0" fillId="0" fontId="2" numFmtId="164" xfId="0" applyFont="1" applyNumberFormat="1"/>
    <xf borderId="0" fillId="0" fontId="3" numFmtId="0" xfId="0" applyFont="1"/>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0" xfId="0" applyAlignment="1" applyFont="1">
      <alignment vertical="bottom"/>
    </xf>
    <xf borderId="0" fillId="3" fontId="6" numFmtId="0" xfId="0" applyFill="1" applyFont="1"/>
    <xf borderId="0" fillId="0" fontId="2" numFmtId="0" xfId="0" applyAlignment="1" applyFont="1">
      <alignment shrinkToFit="0" wrapText="0"/>
    </xf>
    <xf borderId="0" fillId="0" fontId="2" numFmtId="49" xfId="0" applyAlignment="1" applyFont="1" applyNumberFormat="1">
      <alignment shrinkToFit="0" wrapText="0"/>
    </xf>
    <xf borderId="0" fillId="0" fontId="7" numFmtId="0" xfId="0" applyAlignment="1" applyFont="1">
      <alignment shrinkToFit="0" wrapText="0"/>
    </xf>
    <xf borderId="0" fillId="0" fontId="2" numFmtId="165" xfId="0" applyFont="1" applyNumberFormat="1"/>
    <xf borderId="0" fillId="0" fontId="2" numFmtId="166" xfId="0" applyFont="1" applyNumberFormat="1"/>
    <xf borderId="3" fillId="2" fontId="1" numFmtId="0" xfId="0" applyAlignment="1" applyBorder="1" applyFont="1">
      <alignment horizontal="center" shrinkToFit="0" vertical="center" wrapText="0"/>
    </xf>
    <xf borderId="3" fillId="2" fontId="1" numFmtId="49" xfId="0" applyAlignment="1" applyBorder="1" applyFont="1" applyNumberFormat="1">
      <alignment horizontal="center" shrinkToFit="0" vertical="center" wrapText="0"/>
    </xf>
    <xf borderId="3" fillId="0" fontId="8" numFmtId="0" xfId="0" applyAlignment="1" applyBorder="1" applyFont="1">
      <alignment shrinkToFit="0" vertical="center" wrapText="0"/>
    </xf>
    <xf borderId="3" fillId="0" fontId="8" numFmtId="49" xfId="0" applyAlignment="1" applyBorder="1" applyFont="1" applyNumberFormat="1">
      <alignment shrinkToFit="0" vertical="center" wrapText="0"/>
    </xf>
    <xf borderId="3" fillId="0" fontId="9" numFmtId="0" xfId="0" applyAlignment="1" applyBorder="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rive.google.com/uc?id=1EkTciAfyb-QIc54j5ijnOFVAYZ981Vjz" TargetMode="External"/><Relationship Id="rId194" Type="http://schemas.openxmlformats.org/officeDocument/2006/relationships/hyperlink" Target="https://drive.google.com/uc?id=1WHQkrZY1uiBDlgArazzB75aiVJHCz1A9" TargetMode="External"/><Relationship Id="rId193" Type="http://schemas.openxmlformats.org/officeDocument/2006/relationships/hyperlink" Target="https://drive.google.com/uc?id=1EaIKJkLURrw5NTMawMhV4ApJYHCfnu1Y" TargetMode="External"/><Relationship Id="rId192" Type="http://schemas.openxmlformats.org/officeDocument/2006/relationships/hyperlink" Target="https://drive.google.com/uc?id=1PMsZESfbGn8rqGibEtvzq_OUjl1K7Y1a" TargetMode="External"/><Relationship Id="rId191" Type="http://schemas.openxmlformats.org/officeDocument/2006/relationships/hyperlink" Target="https://drive.google.com/uc?id=1krR5KRjw4J2BepAPG6W4E0i8GBAayx78" TargetMode="External"/><Relationship Id="rId187" Type="http://schemas.openxmlformats.org/officeDocument/2006/relationships/hyperlink" Target="https://drive.google.com/uc?id=-1ODiIrwGVcDZlVFWG3cfu4SVxGA22sbAc" TargetMode="External"/><Relationship Id="rId186" Type="http://schemas.openxmlformats.org/officeDocument/2006/relationships/hyperlink" Target="https://drive.google.com/uc?id=10oPKtylFNuuzTUd47gHXj3yokDF9Ac2U" TargetMode="External"/><Relationship Id="rId185" Type="http://schemas.openxmlformats.org/officeDocument/2006/relationships/hyperlink" Target="https://drive.google.com/uc?id=1U8Xw8xAYvQ-tdRpAGak-p2_jKlqyals8" TargetMode="External"/><Relationship Id="rId184" Type="http://schemas.openxmlformats.org/officeDocument/2006/relationships/hyperlink" Target="https://drive.google.com/uc?id=147RIqIpUGnqpVV4vYhQm8iSay1yG_Sx6" TargetMode="External"/><Relationship Id="rId189" Type="http://schemas.openxmlformats.org/officeDocument/2006/relationships/hyperlink" Target="https://drive.google.com/uc?id=1qSxO435Hsi9HclQ-Cdk7hO0Z2XgOE-r-" TargetMode="External"/><Relationship Id="rId188" Type="http://schemas.openxmlformats.org/officeDocument/2006/relationships/hyperlink" Target="https://drive.google.com/uc?id=1EKt1P6i7x2f6JqKwg84LdmINYtJYxmaJ" TargetMode="External"/><Relationship Id="rId183" Type="http://schemas.openxmlformats.org/officeDocument/2006/relationships/hyperlink" Target="https://drive.google.com/uc?id=1FPikVpSs7XtffqyACzKAAGHWaI7MpesM" TargetMode="External"/><Relationship Id="rId182" Type="http://schemas.openxmlformats.org/officeDocument/2006/relationships/hyperlink" Target="https://drive.google.com/uc?id=1IsibZAc8_iU5VD8CutVJimWw07U-nvkf" TargetMode="External"/><Relationship Id="rId181" Type="http://schemas.openxmlformats.org/officeDocument/2006/relationships/hyperlink" Target="https://drive.google.com/uc?id=1UPjZb7rsM1u-l541dnc9CJJ2RgjWXMqe" TargetMode="External"/><Relationship Id="rId180" Type="http://schemas.openxmlformats.org/officeDocument/2006/relationships/hyperlink" Target="https://drive.google.com/uc?id=1dMIrVYqLoONoHBb3ObLS8qAvA8CinecM" TargetMode="External"/><Relationship Id="rId176" Type="http://schemas.openxmlformats.org/officeDocument/2006/relationships/hyperlink" Target="https://drive.google.com/uc?id=1CQupO_Hj7yMFE5Z4b4L2KbKFuh85Ib1z" TargetMode="External"/><Relationship Id="rId175" Type="http://schemas.openxmlformats.org/officeDocument/2006/relationships/hyperlink" Target="https://drive.google.com/uc?id=1LqPYq3LuVPZiaA8y35b4fZJjJKvB_lEr" TargetMode="External"/><Relationship Id="rId174" Type="http://schemas.openxmlformats.org/officeDocument/2006/relationships/hyperlink" Target="https://drive.google.com/uc?id=15y-rS1N8otzgztH0p_OXWZlrgqmKvR6j" TargetMode="External"/><Relationship Id="rId173" Type="http://schemas.openxmlformats.org/officeDocument/2006/relationships/hyperlink" Target="https://drive.google.com/uc?id=1AIuz2lzqdhIkOdQbnplcM81GVT5GN-Lv" TargetMode="External"/><Relationship Id="rId179" Type="http://schemas.openxmlformats.org/officeDocument/2006/relationships/hyperlink" Target="https://drive.google.com/uc?id=1Pnmbgi5qN743aDAjuuopuysxqENQfmPh" TargetMode="External"/><Relationship Id="rId178" Type="http://schemas.openxmlformats.org/officeDocument/2006/relationships/hyperlink" Target="https://drive.google.com/uc?id=1lUO63tLdVtZHv7bnkTqqL2z17-A9DO1y" TargetMode="External"/><Relationship Id="rId177" Type="http://schemas.openxmlformats.org/officeDocument/2006/relationships/hyperlink" Target="https://drive.google.com/uc?id=1lUO63tLdVtZHv7bnkTqqL2z17-A9DO1y" TargetMode="External"/><Relationship Id="rId198" Type="http://schemas.openxmlformats.org/officeDocument/2006/relationships/hyperlink" Target="https://drive.google.com/uc?id=1IzHBxfiWKeJXGabIa4chGUMh7bdFbH2Z" TargetMode="External"/><Relationship Id="rId197" Type="http://schemas.openxmlformats.org/officeDocument/2006/relationships/hyperlink" Target="https://drive.google.com/uc?id=1pjlqVeW5PU7O__h0oJEigaEjd12pacFX" TargetMode="External"/><Relationship Id="rId196" Type="http://schemas.openxmlformats.org/officeDocument/2006/relationships/hyperlink" Target="https://drive.google.com/uc?id=1GV5wAMmXgvxYbBsr3Xr3aHMXkHIvGu6c" TargetMode="External"/><Relationship Id="rId195" Type="http://schemas.openxmlformats.org/officeDocument/2006/relationships/hyperlink" Target="https://drive.google.com/uc?id=1VW4JIOY8DVSTtMWoloZFsbANR2MdBRe-" TargetMode="External"/><Relationship Id="rId199" Type="http://schemas.openxmlformats.org/officeDocument/2006/relationships/hyperlink" Target="https://drive.google.com/uc?id=125YS7X9RY0jr-bxlY2WMJ8tJENHEPxdy" TargetMode="External"/><Relationship Id="rId150" Type="http://schemas.openxmlformats.org/officeDocument/2006/relationships/hyperlink" Target="https://drive.google.com/uc?id=1CD8fNqLfNw4FDTfeBQPApLT27l6S-iV6" TargetMode="External"/><Relationship Id="rId392" Type="http://schemas.openxmlformats.org/officeDocument/2006/relationships/hyperlink" Target="https://drive.google.com/uc?id=1u43iDPkmh7TCB_fl1E7KZU7DTEH9SXdh" TargetMode="External"/><Relationship Id="rId391" Type="http://schemas.openxmlformats.org/officeDocument/2006/relationships/hyperlink" Target="https://drive.google.com/uc?id=1mGCstKRblp8SBVdbjMQhftB4PKgVc3F-" TargetMode="External"/><Relationship Id="rId390" Type="http://schemas.openxmlformats.org/officeDocument/2006/relationships/hyperlink" Target="https://drive.google.com/file/d/1qHzY-VQI9wKd6Bjr9DbI2td304gghW8g/view?usp=sharing" TargetMode="External"/><Relationship Id="rId1" Type="http://schemas.openxmlformats.org/officeDocument/2006/relationships/hyperlink" Target="https://drive.google.com/uc?id=1Wr-eQ9MjgDadrVkJronlADYj7k8cSqon" TargetMode="External"/><Relationship Id="rId2" Type="http://schemas.openxmlformats.org/officeDocument/2006/relationships/hyperlink" Target="http://drive.google.com/uc?id=16hBW3_BIlRY8nBs9b0TydZKF9_UoxFpP" TargetMode="External"/><Relationship Id="rId3" Type="http://schemas.openxmlformats.org/officeDocument/2006/relationships/hyperlink" Target="https://drive.google.com/uc?id=12rvVr7_K1gtOkAwjc1c-_a-e8Nkwqg6q" TargetMode="External"/><Relationship Id="rId149" Type="http://schemas.openxmlformats.org/officeDocument/2006/relationships/hyperlink" Target="https://drive.google.com/uc?id=1bszI49kWvUGrgw9UfHM0AvGAkPwpWpxu" TargetMode="External"/><Relationship Id="rId4" Type="http://schemas.openxmlformats.org/officeDocument/2006/relationships/hyperlink" Target="https://drive.google.com/uc?id=11USD8-LC-RrgcoXksuzu0P46f_XSkLzN" TargetMode="External"/><Relationship Id="rId148" Type="http://schemas.openxmlformats.org/officeDocument/2006/relationships/hyperlink" Target="https://drive.google.com/uc?id=1ogQwmq23lWqi5eYB2ZgdlR7HEXxikfSI" TargetMode="External"/><Relationship Id="rId1090" Type="http://schemas.openxmlformats.org/officeDocument/2006/relationships/hyperlink" Target="https://drive.google.com/uc?id=1zuwxlDqPNwO-JKMCF_n9Npxrd400NvIz" TargetMode="External"/><Relationship Id="rId1091" Type="http://schemas.openxmlformats.org/officeDocument/2006/relationships/hyperlink" Target="https://drive.google.com/uc?id=1qWBIJoDreWDp3N7GyhwWjNoXSLZdENq0" TargetMode="External"/><Relationship Id="rId1092" Type="http://schemas.openxmlformats.org/officeDocument/2006/relationships/hyperlink" Target="https://drive.google.com/uc?id=18GMVRViHafQbPU-ka6Ks2teRpqZj5Pwl" TargetMode="External"/><Relationship Id="rId1093" Type="http://schemas.openxmlformats.org/officeDocument/2006/relationships/hyperlink" Target="https://drive.google.com/uc?id=19uin7RkFQe45aw1WDXSPGQw89Gcoki-f" TargetMode="External"/><Relationship Id="rId1094" Type="http://schemas.openxmlformats.org/officeDocument/2006/relationships/hyperlink" Target="https://drive.google.com/uc?id=1SjvrByleuNHBuWNfGn8WRYrPQiCw5f5n" TargetMode="External"/><Relationship Id="rId9" Type="http://schemas.openxmlformats.org/officeDocument/2006/relationships/hyperlink" Target="https://drive.google.com/uc?id=1xM7XRp6AcsUkxe8w-dv7Tp4Tm6-FvPS1" TargetMode="External"/><Relationship Id="rId143" Type="http://schemas.openxmlformats.org/officeDocument/2006/relationships/hyperlink" Target="https://drive.google.com/uc?id=1TrA1IkjkRnZGk6eS_avjrQmE4yRW2kWw" TargetMode="External"/><Relationship Id="rId385" Type="http://schemas.openxmlformats.org/officeDocument/2006/relationships/hyperlink" Target="https://drive.google.com/uc?id=1MF4gtg1SMr-mu0IRmBfDFVekokbXSngM" TargetMode="External"/><Relationship Id="rId1095" Type="http://schemas.openxmlformats.org/officeDocument/2006/relationships/hyperlink" Target="https://drive.google.com/uc?id=1DHDhA9XMv1lxyGI75b6cNZ-5hoXBp8B7" TargetMode="External"/><Relationship Id="rId142" Type="http://schemas.openxmlformats.org/officeDocument/2006/relationships/hyperlink" Target="https://drive.google.com/uc?id=1Qj7gRepCB6sgseVqZw7iRIs0mtQ3CTBH" TargetMode="External"/><Relationship Id="rId384" Type="http://schemas.openxmlformats.org/officeDocument/2006/relationships/hyperlink" Target="https://drive.google.com/uc?id=1BqGixb5ay1TlhsMRS8qL9HtICoxIUV8x" TargetMode="External"/><Relationship Id="rId1096" Type="http://schemas.openxmlformats.org/officeDocument/2006/relationships/hyperlink" Target="https://drive.google.com/uc?id=1sTx65HJ06RD6_UWVVQU06oOzmii2SjPb" TargetMode="External"/><Relationship Id="rId141" Type="http://schemas.openxmlformats.org/officeDocument/2006/relationships/hyperlink" Target="https://drive.google.com/uc?id=1mi_wge2gz8CZccdfAt97tJboCCYH4UBo" TargetMode="External"/><Relationship Id="rId383" Type="http://schemas.openxmlformats.org/officeDocument/2006/relationships/hyperlink" Target="https://drive.google.com/uc?id=1QKrSDQeO27aX8A6B-rbnDZ2hltJ8Kuip" TargetMode="External"/><Relationship Id="rId1097" Type="http://schemas.openxmlformats.org/officeDocument/2006/relationships/hyperlink" Target="https://drive.google.com/fuc?id=1-SCvJMOrb2hyrHDKOG8BE5Fu0x-7OJEc/view" TargetMode="External"/><Relationship Id="rId140" Type="http://schemas.openxmlformats.org/officeDocument/2006/relationships/hyperlink" Target="https://drive.google.com/uc?id=1ONyTc5G77OJOGhuWfuHV9aYcYkNz_vcn" TargetMode="External"/><Relationship Id="rId382" Type="http://schemas.openxmlformats.org/officeDocument/2006/relationships/hyperlink" Target="https://drive.google.com/uc?id=1BEsdJJGbzffqTK-GUO7pbPRvjr8AEkJy" TargetMode="External"/><Relationship Id="rId1098" Type="http://schemas.openxmlformats.org/officeDocument/2006/relationships/hyperlink" Target="https://drive.google.com/uc?id=1JTzC81Ec2hgPfFfiz-UB-HuBGMdA6PoG" TargetMode="External"/><Relationship Id="rId5" Type="http://schemas.openxmlformats.org/officeDocument/2006/relationships/hyperlink" Target="https://drive.google.com/uc?id=1WIrg_W8peQJ7Yev2Fn4O6X6gQb2d6Wp7" TargetMode="External"/><Relationship Id="rId147" Type="http://schemas.openxmlformats.org/officeDocument/2006/relationships/hyperlink" Target="https://drive.google.com/uc?id=1Bp2NRvqoASyGzVq4QvYPMG6ACfYXoClY" TargetMode="External"/><Relationship Id="rId389" Type="http://schemas.openxmlformats.org/officeDocument/2006/relationships/hyperlink" Target="https://drive.google.com/uc?id=1iE5WE8LqlW8XMmKGSUQzf_yzM2pNhz8T" TargetMode="External"/><Relationship Id="rId1099" Type="http://schemas.openxmlformats.org/officeDocument/2006/relationships/hyperlink" Target="https://drive.google.com/uc?id=1SWp8Ho9dgDQxc82Bnd-7bHnNd-bqa709" TargetMode="External"/><Relationship Id="rId6" Type="http://schemas.openxmlformats.org/officeDocument/2006/relationships/hyperlink" Target="https://drive.google.com/uc?id=1lUr8-K1sgUiob29_yJgzSl-lSysDai5u" TargetMode="External"/><Relationship Id="rId146" Type="http://schemas.openxmlformats.org/officeDocument/2006/relationships/hyperlink" Target="https://drive.google.com/uc?id=1Jh5ymMRWqzUJUiY2HA68-WnRDFyHPHxH" TargetMode="External"/><Relationship Id="rId388" Type="http://schemas.openxmlformats.org/officeDocument/2006/relationships/hyperlink" Target="https://drive.google.com/uc?id=1GIxzCpPZbjnhAZqFq2630XdYgmzQxgRG" TargetMode="External"/><Relationship Id="rId7" Type="http://schemas.openxmlformats.org/officeDocument/2006/relationships/hyperlink" Target="https://drive.google.com/uc?id=1cwgdFT2Iay8-9M8gCG_vgCf-h3asZAQD" TargetMode="External"/><Relationship Id="rId145" Type="http://schemas.openxmlformats.org/officeDocument/2006/relationships/hyperlink" Target="https://drive.google.com/uc?id=1Jh5ymMRWqzUJUiY2HA68-WnRDFyHPHxH" TargetMode="External"/><Relationship Id="rId387" Type="http://schemas.openxmlformats.org/officeDocument/2006/relationships/hyperlink" Target="https://drive.google.com/uc?id=1QbKWsve2bpila9IF2YH7SlSMDe1wool2" TargetMode="External"/><Relationship Id="rId8" Type="http://schemas.openxmlformats.org/officeDocument/2006/relationships/hyperlink" Target="https://drive.google.com/uc?id=15M1bi7Y6p0bhhhy1Rl2E-a_WrjaCjJxB" TargetMode="External"/><Relationship Id="rId144" Type="http://schemas.openxmlformats.org/officeDocument/2006/relationships/hyperlink" Target="https://drive.google.com/file/d/1Be3P6scFrAjlHkTpYiES2yLz8PjFyYJZ" TargetMode="External"/><Relationship Id="rId386" Type="http://schemas.openxmlformats.org/officeDocument/2006/relationships/hyperlink" Target="https://drive.google.com/uc?id=1fDR0mmNBCLfjFdWsGM5uV67KFtcnAapg" TargetMode="External"/><Relationship Id="rId381" Type="http://schemas.openxmlformats.org/officeDocument/2006/relationships/hyperlink" Target="https://drive.google.com/uc?id=1vLlXJPm7KOzkhFwlgQao-PRdMx1MVsH1" TargetMode="External"/><Relationship Id="rId380" Type="http://schemas.openxmlformats.org/officeDocument/2006/relationships/hyperlink" Target="https://drive.google.com/uc?id=1Pt3AOgl8yi2V734ydQB6SaWP3OlAaW1H" TargetMode="External"/><Relationship Id="rId139" Type="http://schemas.openxmlformats.org/officeDocument/2006/relationships/hyperlink" Target="https://drive.google.com/uc?id=1uImYfmDta7wTHNJzhLb6s81PRAqZNfZN" TargetMode="External"/><Relationship Id="rId138" Type="http://schemas.openxmlformats.org/officeDocument/2006/relationships/hyperlink" Target="https://drive.google.com/uc?id=1WxFoH1Ufqvf8F4yduFzwTEswqI-yn-rw" TargetMode="External"/><Relationship Id="rId137" Type="http://schemas.openxmlformats.org/officeDocument/2006/relationships/hyperlink" Target="https://drive.google.com/uc?id=1PABLkGpSrOu5ThPMdhsQWlGQ2W5yeTIZ" TargetMode="External"/><Relationship Id="rId379" Type="http://schemas.openxmlformats.org/officeDocument/2006/relationships/hyperlink" Target="https://drive.google.com/uc?id=1NPcEk7YIl0lXudo35rxegJixchcBc0rG" TargetMode="External"/><Relationship Id="rId1080" Type="http://schemas.openxmlformats.org/officeDocument/2006/relationships/hyperlink" Target="https://drive.google.com/uc?id=1VKng9wuCqpL4KsKt2qe0GyLYH3-URCxB" TargetMode="External"/><Relationship Id="rId1081" Type="http://schemas.openxmlformats.org/officeDocument/2006/relationships/hyperlink" Target="https://drive.google.com/uc?id=1MVWVjU_gG_p5SgXCdVez0JNNeOu-69qb" TargetMode="External"/><Relationship Id="rId1082" Type="http://schemas.openxmlformats.org/officeDocument/2006/relationships/hyperlink" Target="https://drive.google.com/uc?id=1xgUvLtbyvydW9jhUzFNgyuLd-CaKd9_0" TargetMode="External"/><Relationship Id="rId1083" Type="http://schemas.openxmlformats.org/officeDocument/2006/relationships/hyperlink" Target="https://drive.google.com/uc?id=1F5cqKGrKxY1EklXQwk5RmYlH1xEMpyS2" TargetMode="External"/><Relationship Id="rId132" Type="http://schemas.openxmlformats.org/officeDocument/2006/relationships/hyperlink" Target="http://drive.google.com/uc?id=12xpSmU-ObM05P1zB9Rn8D4DlMfFVprRb" TargetMode="External"/><Relationship Id="rId374" Type="http://schemas.openxmlformats.org/officeDocument/2006/relationships/hyperlink" Target="https://drive.google.com/uc?id=1n59tXOIt9TjhoEsHS8Gla0VVCM76UO3i" TargetMode="External"/><Relationship Id="rId1084" Type="http://schemas.openxmlformats.org/officeDocument/2006/relationships/hyperlink" Target="https://drive.google.com/uc?id=1jz_294jHGBGM5TURNfCl66apFoBT_uB5" TargetMode="External"/><Relationship Id="rId131" Type="http://schemas.openxmlformats.org/officeDocument/2006/relationships/hyperlink" Target="http://drive.google.com/uc?id=1vSy-8dbRqYXcOm11GIm2LeVbfUgPMAHi" TargetMode="External"/><Relationship Id="rId373" Type="http://schemas.openxmlformats.org/officeDocument/2006/relationships/hyperlink" Target="https://drive.google.com/uc?id=1tURJVQugrpNXyWJSPYRkqc4EXHTLuXSK" TargetMode="External"/><Relationship Id="rId1085" Type="http://schemas.openxmlformats.org/officeDocument/2006/relationships/hyperlink" Target="https://drive.google.com/uc?id=1QQIuqMJdAwoL0umNeBR1S8OMXccLd4x_" TargetMode="External"/><Relationship Id="rId130" Type="http://schemas.openxmlformats.org/officeDocument/2006/relationships/hyperlink" Target="http://drive.google.com/uc?id=1uB9EUKVtrzEEXyW_rqIsQxzCWTR9DN2Q" TargetMode="External"/><Relationship Id="rId372" Type="http://schemas.openxmlformats.org/officeDocument/2006/relationships/hyperlink" Target="https://drive.google.com/uc?id=1-N5BKiPw4-n_wn2MLUA5ld3N2_jKi3E8" TargetMode="External"/><Relationship Id="rId1086" Type="http://schemas.openxmlformats.org/officeDocument/2006/relationships/hyperlink" Target="https://drive.google.com/uc?id=1Up929_ljGYlxeh8Lbqtr6VtCKdlmEW4q" TargetMode="External"/><Relationship Id="rId371" Type="http://schemas.openxmlformats.org/officeDocument/2006/relationships/hyperlink" Target="https://drive.google.com/uc?id=100vt1ySQiNJwRKjfyVrnZw2Zrx8I_BUR" TargetMode="External"/><Relationship Id="rId1087" Type="http://schemas.openxmlformats.org/officeDocument/2006/relationships/hyperlink" Target="https://drive.google.com/uc?id=1u6CyO7dV_poAY-glLimHB-xyFaYiV81S" TargetMode="External"/><Relationship Id="rId136" Type="http://schemas.openxmlformats.org/officeDocument/2006/relationships/hyperlink" Target="https://drive.google.com/uc?id=1V5puDs0NSrFXfb3jPur5-YjafHHtaetu" TargetMode="External"/><Relationship Id="rId378" Type="http://schemas.openxmlformats.org/officeDocument/2006/relationships/hyperlink" Target="https://drive.google.com/uc?id=18cTBNy1i8D_LfxHWzzOnaRszpTS8Ei31" TargetMode="External"/><Relationship Id="rId1088" Type="http://schemas.openxmlformats.org/officeDocument/2006/relationships/hyperlink" Target="https://drive.google.com/uc?id=1nj3cxJFDYuedUhw6Ny7q0MlX3sjEk8rB" TargetMode="External"/><Relationship Id="rId135" Type="http://schemas.openxmlformats.org/officeDocument/2006/relationships/hyperlink" Target="https://drive.google.com/uc?id=1-beo2ii8iEjHaseZUIYdl6Nf-H02S9Nr" TargetMode="External"/><Relationship Id="rId377" Type="http://schemas.openxmlformats.org/officeDocument/2006/relationships/hyperlink" Target="https://drive.google.com/uc?id=1_lGOb-CZeHBwzNxtnxVHpRnlZL0ktw3u" TargetMode="External"/><Relationship Id="rId1089" Type="http://schemas.openxmlformats.org/officeDocument/2006/relationships/hyperlink" Target="https://drive.google.com/uc?id=1hCG3LpgSd-yO0qO1aY6iit_s4kSQaqXu" TargetMode="External"/><Relationship Id="rId134" Type="http://schemas.openxmlformats.org/officeDocument/2006/relationships/hyperlink" Target="https://drive.google.com/uc?id=1ZEoXy5MNfJcsE91hI4kBbx6t-OBC70dV" TargetMode="External"/><Relationship Id="rId376" Type="http://schemas.openxmlformats.org/officeDocument/2006/relationships/hyperlink" Target="https://drive.google.com/uc?id=1NbyxgRCqLrZI0pUJqoolDNy-gb5pPXfU" TargetMode="External"/><Relationship Id="rId133" Type="http://schemas.openxmlformats.org/officeDocument/2006/relationships/hyperlink" Target="http://drive.google.com/uc?id=1rTWWq0eb4MUXr5KS9cmt7S6k0gDk3eWA" TargetMode="External"/><Relationship Id="rId375" Type="http://schemas.openxmlformats.org/officeDocument/2006/relationships/hyperlink" Target="https://drive.google.com/uc?id=17FXtYNPWbj8wUwZSVmWSXUg-1V__oXWy" TargetMode="External"/><Relationship Id="rId172" Type="http://schemas.openxmlformats.org/officeDocument/2006/relationships/hyperlink" Target="https://drive.google.com/uc?id=1ika0gsTjBaJGrWgEDcLEWJLz2hI3MHNO" TargetMode="External"/><Relationship Id="rId171" Type="http://schemas.openxmlformats.org/officeDocument/2006/relationships/hyperlink" Target="https://drive.google.com/uc?id=1YjbAjbkljlyX0Ta6UdJIX0WbJgwzL0L2" TargetMode="External"/><Relationship Id="rId170" Type="http://schemas.openxmlformats.org/officeDocument/2006/relationships/hyperlink" Target="https://drive.google.com/uc?id=1BGXd7Y4qyH5J1L0Vzpev8NcO3IjVN7EG" TargetMode="External"/><Relationship Id="rId165" Type="http://schemas.openxmlformats.org/officeDocument/2006/relationships/hyperlink" Target="https://drive.google.com/uc?id=1hdG7-dQ_yauLbrowDEB67eB7nt7R1qkf" TargetMode="External"/><Relationship Id="rId164" Type="http://schemas.openxmlformats.org/officeDocument/2006/relationships/hyperlink" Target="https://drive.google.com/uc?id=1UNmi9H2rTyWc512dgK3LnloavivkvhIy" TargetMode="External"/><Relationship Id="rId163" Type="http://schemas.openxmlformats.org/officeDocument/2006/relationships/hyperlink" Target="https://drive.google.com/uc?id=1Eod_4LWr24B_8QR5DhZFlnxgrD47nJK_" TargetMode="External"/><Relationship Id="rId162" Type="http://schemas.openxmlformats.org/officeDocument/2006/relationships/hyperlink" Target="https://drive.google.com/uc?id=1XnzFTq0q4ZyVWv8IJ-KuXTfCRE7M79KE" TargetMode="External"/><Relationship Id="rId169" Type="http://schemas.openxmlformats.org/officeDocument/2006/relationships/hyperlink" Target="https://drive.google.com/uc?id=1NBPsN9IaInMyrgiappqnkmPtdrSUmuG-" TargetMode="External"/><Relationship Id="rId168" Type="http://schemas.openxmlformats.org/officeDocument/2006/relationships/hyperlink" Target="https://drive.google.com/file/d/17yVFnZrrsc5DAM5zTPxmUriu62HjA83I/view?usp=sharing" TargetMode="External"/><Relationship Id="rId167" Type="http://schemas.openxmlformats.org/officeDocument/2006/relationships/hyperlink" Target="https://drive.google.com/uc?id=1hp_Jbz5ZA73pOZZRulhO1c0rTnX80PSF" TargetMode="External"/><Relationship Id="rId166" Type="http://schemas.openxmlformats.org/officeDocument/2006/relationships/hyperlink" Target="https://drive.google.com/uc?id=183uPZ0tJaPusU12VPAgMknd2t0l9AGoI" TargetMode="External"/><Relationship Id="rId161" Type="http://schemas.openxmlformats.org/officeDocument/2006/relationships/hyperlink" Target="https://drive.google.com/uc?id=1SWcpVUnOFPOuBx8zcC2itUEps_r_an3o" TargetMode="External"/><Relationship Id="rId160" Type="http://schemas.openxmlformats.org/officeDocument/2006/relationships/hyperlink" Target="https://drive.google.com/uc?id=1ruCYmjHPA9z_63W-nVFMF2wQWz7S905M" TargetMode="External"/><Relationship Id="rId159" Type="http://schemas.openxmlformats.org/officeDocument/2006/relationships/hyperlink" Target="https://drive.google.com/uc?id=1Upyf2zlcyahnSQbP6DQhAVhl7qQisb_m" TargetMode="External"/><Relationship Id="rId154" Type="http://schemas.openxmlformats.org/officeDocument/2006/relationships/hyperlink" Target="https://drive.google.com/uc?id=1iCZGSuEh5BmP_TwqPcfAeK_gftwWHydl" TargetMode="External"/><Relationship Id="rId396" Type="http://schemas.openxmlformats.org/officeDocument/2006/relationships/hyperlink" Target="https://drive.google.com/uc?id=1RzRN1zaDaTWmsTO8OcTtnRdod96iqx_P" TargetMode="External"/><Relationship Id="rId153" Type="http://schemas.openxmlformats.org/officeDocument/2006/relationships/hyperlink" Target="https://drive.google.com/uc?id=1hK4EtX-P0fSwXk6pG_W2UCWDC2HVKbT_" TargetMode="External"/><Relationship Id="rId395" Type="http://schemas.openxmlformats.org/officeDocument/2006/relationships/hyperlink" Target="https://drive.google.com/uc?id=1QJe9nRc2jaCzoZyMfwIBedlghD0zdvFX" TargetMode="External"/><Relationship Id="rId152" Type="http://schemas.openxmlformats.org/officeDocument/2006/relationships/hyperlink" Target="https://drive.google.com/uc?id=13qS87G6B_GVjOq-zKLXFM0OPxsyw2lGo" TargetMode="External"/><Relationship Id="rId394" Type="http://schemas.openxmlformats.org/officeDocument/2006/relationships/hyperlink" Target="https://drive.google.com/uc?id=1MZacQI8NdgDutZbo-AL6noo0sjqYt1OL" TargetMode="External"/><Relationship Id="rId151" Type="http://schemas.openxmlformats.org/officeDocument/2006/relationships/hyperlink" Target="https://drive.google.com/uc?id=1JzquAYXae1Qq4xfydLyGr3q1x6Gum2QR/view?usp=sharing" TargetMode="External"/><Relationship Id="rId393" Type="http://schemas.openxmlformats.org/officeDocument/2006/relationships/hyperlink" Target="https://drive.google.com/uc?id=19rH2r9iWPeULYD5wYG22weQuIUN5iUMc" TargetMode="External"/><Relationship Id="rId158" Type="http://schemas.openxmlformats.org/officeDocument/2006/relationships/hyperlink" Target="https://drive.google.com/uc?id=1Kq9Gzx2BQJliIj1RiDTYkmiyokxr0LgU" TargetMode="External"/><Relationship Id="rId157" Type="http://schemas.openxmlformats.org/officeDocument/2006/relationships/hyperlink" Target="https://drive.google.com/uc?id=1iwwHkgdpx5w0agZztp9LDHBpH_1ISeNC" TargetMode="External"/><Relationship Id="rId399" Type="http://schemas.openxmlformats.org/officeDocument/2006/relationships/hyperlink" Target="https://drive.google.com/uc?id=1SZv5bEYVZnW6Ucey-c7YWuipTC3W2Ifj" TargetMode="External"/><Relationship Id="rId156" Type="http://schemas.openxmlformats.org/officeDocument/2006/relationships/hyperlink" Target="https://drive.google.com/uc?id=1HUAYK4X2WNSC3w-xfvbMDrtRfK9n5jB1" TargetMode="External"/><Relationship Id="rId398" Type="http://schemas.openxmlformats.org/officeDocument/2006/relationships/hyperlink" Target="https://drive.google.com/uc?id=1ETU23pp-IvcGiEjGX0lk3e7syw_Boi--" TargetMode="External"/><Relationship Id="rId155" Type="http://schemas.openxmlformats.org/officeDocument/2006/relationships/hyperlink" Target="https://drive.google.com/uc?id=1aZgzJL-3yvwgdMIkVstunMy4hoQuBe1J" TargetMode="External"/><Relationship Id="rId397" Type="http://schemas.openxmlformats.org/officeDocument/2006/relationships/hyperlink" Target="https://drive.google.com/uc?id=1rea56TWaX3qt2TSFjFAsNkbs3fKtbBEA" TargetMode="External"/><Relationship Id="rId808" Type="http://schemas.openxmlformats.org/officeDocument/2006/relationships/hyperlink" Target="https://drive.google.com/uc?id=1TyQHTi5kIYhkI9inMoh0i_1eTmogmYtv" TargetMode="External"/><Relationship Id="rId807" Type="http://schemas.openxmlformats.org/officeDocument/2006/relationships/hyperlink" Target="https://drive.google.com/uc?id=1Tqzx_Li7qi6kVRDbzW35CmvLEhsHUueG" TargetMode="External"/><Relationship Id="rId806" Type="http://schemas.openxmlformats.org/officeDocument/2006/relationships/hyperlink" Target="https://drive.google.com/uc?id=1TmMtdj4DN-OY25gVYAXjiuVQRbZDzTM6" TargetMode="External"/><Relationship Id="rId805" Type="http://schemas.openxmlformats.org/officeDocument/2006/relationships/hyperlink" Target="https://drive.google.com/uc?id=1TkWTuyeUx55E7NOKYJqjxWd9q23n-Zq8" TargetMode="External"/><Relationship Id="rId809" Type="http://schemas.openxmlformats.org/officeDocument/2006/relationships/hyperlink" Target="https://drive.google.com/uc?id=1U-IWlJT36WnKLb-5t6D2GrT76QFWgUhp" TargetMode="External"/><Relationship Id="rId800" Type="http://schemas.openxmlformats.org/officeDocument/2006/relationships/hyperlink" Target="https://drive.google.com/uc?id=1TM5tJtXUECxh3r4Qwm6CvfmFFEReUIeE" TargetMode="External"/><Relationship Id="rId804" Type="http://schemas.openxmlformats.org/officeDocument/2006/relationships/hyperlink" Target="https://drive.google.com/uc?id=1Tc9a0sHBdi0LLdk6bv3XobAGEKwdIA2n" TargetMode="External"/><Relationship Id="rId803" Type="http://schemas.openxmlformats.org/officeDocument/2006/relationships/hyperlink" Target="https://drive.google.com/uc?id=1awfXyPHyUVHCO5RuOcNnclwX1kxFKZe4" TargetMode="External"/><Relationship Id="rId802" Type="http://schemas.openxmlformats.org/officeDocument/2006/relationships/hyperlink" Target="https://drive.google.com/uc?id=1TaJFnQQauODxxSsa0O8sHt8XvgkrI10E" TargetMode="External"/><Relationship Id="rId801" Type="http://schemas.openxmlformats.org/officeDocument/2006/relationships/hyperlink" Target="https://drive.google.com/uc?id=1TTQbbzmT5D_NfHkkaMgO9tL10M-ii5w0" TargetMode="External"/><Relationship Id="rId40" Type="http://schemas.openxmlformats.org/officeDocument/2006/relationships/hyperlink" Target="https://drive.google.com/uc?id=1saAiKGD5viE-RLhtGsktijPDz4AvawLW" TargetMode="External"/><Relationship Id="rId1334" Type="http://schemas.openxmlformats.org/officeDocument/2006/relationships/hyperlink" Target="https://drive.google.com/uc?id=1XmKnUYVt4tA4e0xo76SnR7iev3qghhVa" TargetMode="External"/><Relationship Id="rId1335" Type="http://schemas.openxmlformats.org/officeDocument/2006/relationships/hyperlink" Target="https://drive.google.com/uc?id=1rO4D20axH-4j5J_PKKde1__ZYUo93-Mr/" TargetMode="External"/><Relationship Id="rId42" Type="http://schemas.openxmlformats.org/officeDocument/2006/relationships/hyperlink" Target="https://drive.google.com/uc?id=19saXrk6ck3nE2X-0t9IG1K3sO9s_ZitR" TargetMode="External"/><Relationship Id="rId1336" Type="http://schemas.openxmlformats.org/officeDocument/2006/relationships/hyperlink" Target="https://drive.google.com/uc?id=1gOBDix7Y8fIZfynNCv8mclbnu_AEc8Yd" TargetMode="External"/><Relationship Id="rId41" Type="http://schemas.openxmlformats.org/officeDocument/2006/relationships/hyperlink" Target="https://drive.google.com/uc?id=1RiLle_lzJCqjteLaB4SROpW6M6OsJ_V5" TargetMode="External"/><Relationship Id="rId1337" Type="http://schemas.openxmlformats.org/officeDocument/2006/relationships/hyperlink" Target="https://drive.google.com/uc?id=1wRHYLPiJh6tArf9C_FEp2I3qLt66AmP1" TargetMode="External"/><Relationship Id="rId44" Type="http://schemas.openxmlformats.org/officeDocument/2006/relationships/hyperlink" Target="https://drive.google.com/uc?id=1wVhOfYxZAKkrV6h9PZN5XSz5ae98HhEp" TargetMode="External"/><Relationship Id="rId1338" Type="http://schemas.openxmlformats.org/officeDocument/2006/relationships/hyperlink" Target="https://drive.google.com/uc?id=14YtCXFM_GoDzorNfSupO9QqTdUgWqku-" TargetMode="External"/><Relationship Id="rId43" Type="http://schemas.openxmlformats.org/officeDocument/2006/relationships/hyperlink" Target="https://drive.google.com/uc?id=1SULgl-jnxYFKJxHuyRKduV_1b9H7cQvn" TargetMode="External"/><Relationship Id="rId1339" Type="http://schemas.openxmlformats.org/officeDocument/2006/relationships/hyperlink" Target="https://drive.google.com/uc?id=1zA3UR287KPRhcwI8f_GM46xPXPZB5jKY" TargetMode="External"/><Relationship Id="rId46" Type="http://schemas.openxmlformats.org/officeDocument/2006/relationships/hyperlink" Target="https://drive.google.com/uc?id=1Z5sNF1iol1vKnz_W8aaq1n-ngbVWu4MF" TargetMode="External"/><Relationship Id="rId45" Type="http://schemas.openxmlformats.org/officeDocument/2006/relationships/hyperlink" Target="https://drive.google.com/uc?id=1-kojnkUDtkVPFUi2XSES64Is7V8uWomk" TargetMode="External"/><Relationship Id="rId509" Type="http://schemas.openxmlformats.org/officeDocument/2006/relationships/hyperlink" Target="https://drive.google.com/uc?id=1MifrvC3d24GtW_cHluVqEEKE7-Wt720D" TargetMode="External"/><Relationship Id="rId508" Type="http://schemas.openxmlformats.org/officeDocument/2006/relationships/hyperlink" Target="https://drive.google.com/uc?id=1QzWTe_FfneLSaqa5TpZVtVRrUV6cJtJO" TargetMode="External"/><Relationship Id="rId503" Type="http://schemas.openxmlformats.org/officeDocument/2006/relationships/hyperlink" Target="https://drive.google.com/uc?id=17JBpAvI5ohF7GRZOSI1fLxSfHeijwvZp" TargetMode="External"/><Relationship Id="rId745" Type="http://schemas.openxmlformats.org/officeDocument/2006/relationships/hyperlink" Target="https://drive.google.com/uc?id=1LnN1ZkGFGxFc-4qMU5dbZJ-ntWP1KciP" TargetMode="External"/><Relationship Id="rId987" Type="http://schemas.openxmlformats.org/officeDocument/2006/relationships/hyperlink" Target="https://drive.google.com/uc?id=1enT71Wo8iXlDHVWl2jpZMgEUd7LL6Mkf" TargetMode="External"/><Relationship Id="rId502" Type="http://schemas.openxmlformats.org/officeDocument/2006/relationships/hyperlink" Target="https://drive.google.com/uc?id=1HBgMafLkOJONydJSXMxex6GI9ow8525n" TargetMode="External"/><Relationship Id="rId744" Type="http://schemas.openxmlformats.org/officeDocument/2006/relationships/hyperlink" Target="https://drive.google.com/uc?id=1jf4loSq4Pdy7nWRInqT_SOpXUb3U80PR" TargetMode="External"/><Relationship Id="rId986" Type="http://schemas.openxmlformats.org/officeDocument/2006/relationships/hyperlink" Target="https://drive.google.com/uc?id=10-xQjE_F0AU7JI7budoVod7r5tkKjzit" TargetMode="External"/><Relationship Id="rId501" Type="http://schemas.openxmlformats.org/officeDocument/2006/relationships/hyperlink" Target="https://drive.google.com/uc?id=1ToJAxldXKYH023DT2ssDIzgYtNmihFdH" TargetMode="External"/><Relationship Id="rId743" Type="http://schemas.openxmlformats.org/officeDocument/2006/relationships/hyperlink" Target="https://drive.google.com/uc?id=1bmNTHHhU_9eRASklRo628_JncLOivAVh" TargetMode="External"/><Relationship Id="rId985" Type="http://schemas.openxmlformats.org/officeDocument/2006/relationships/hyperlink" Target="https://drive.google.com/uc?id=1-8gMSHOwWeNx-KBuh4AflCwYzfbL26_n/" TargetMode="External"/><Relationship Id="rId500" Type="http://schemas.openxmlformats.org/officeDocument/2006/relationships/hyperlink" Target="https://drive.google.com/uc?id=1rGZX1FIHo0zHTa8Y5APaDfA6MP4vOXtY" TargetMode="External"/><Relationship Id="rId742" Type="http://schemas.openxmlformats.org/officeDocument/2006/relationships/hyperlink" Target="https://drive.google.com/uc?id=1aXoNcDvDbsMIEiC5zrHGIo7jVuRoYEfq" TargetMode="External"/><Relationship Id="rId984" Type="http://schemas.openxmlformats.org/officeDocument/2006/relationships/hyperlink" Target="https://drive.google.com/uc?id=1lEg2GoYaZPycmnaLjz7EGDwgWyKBZVWV" TargetMode="External"/><Relationship Id="rId507" Type="http://schemas.openxmlformats.org/officeDocument/2006/relationships/hyperlink" Target="https://drive.google.com/uc?id=1ek2wVwiMrOmbzPI1Qu-ihCzFpNcPrGCd" TargetMode="External"/><Relationship Id="rId749" Type="http://schemas.openxmlformats.org/officeDocument/2006/relationships/hyperlink" Target="https://drive.google.com/uc?id=1B0w8VIHpBJSPTFdXkvxJFd3s29E9Fm5J" TargetMode="External"/><Relationship Id="rId506" Type="http://schemas.openxmlformats.org/officeDocument/2006/relationships/hyperlink" Target="https://drive.google.com/uc?id=1A2eVIu-eeJxVXizyxFhyhTehewahs0Uu" TargetMode="External"/><Relationship Id="rId748" Type="http://schemas.openxmlformats.org/officeDocument/2006/relationships/hyperlink" Target="https://drive.google.com/uc?id=1S3-cXf_PLTZg21eo3MfjY_WSJDdj0x45" TargetMode="External"/><Relationship Id="rId505" Type="http://schemas.openxmlformats.org/officeDocument/2006/relationships/hyperlink" Target="https://drive.google.com/uc?id=1JQ5eBa4NV5HY5qOTsx_XhfN2xVRFTknO" TargetMode="External"/><Relationship Id="rId747" Type="http://schemas.openxmlformats.org/officeDocument/2006/relationships/hyperlink" Target="https://drive.google.com/uc?id=1__2AN9a0e4Eiem_1hizzJY8-UYVhA-tU" TargetMode="External"/><Relationship Id="rId989" Type="http://schemas.openxmlformats.org/officeDocument/2006/relationships/hyperlink" Target="https://drive.google.com/uc?id=1wgyzkgt1z-16SUTZAY_ULxxf8rBalKdH/" TargetMode="External"/><Relationship Id="rId504" Type="http://schemas.openxmlformats.org/officeDocument/2006/relationships/hyperlink" Target="https://drive.google.com/uc?id=1dC3p9jfvxhf4MpJiW7GYnEwBs3A1y0Ak" TargetMode="External"/><Relationship Id="rId746" Type="http://schemas.openxmlformats.org/officeDocument/2006/relationships/hyperlink" Target="https://drive.google.com/uc?id=1hAOezTQxk3IpydzSCa28eVBifVchZEAp" TargetMode="External"/><Relationship Id="rId988" Type="http://schemas.openxmlformats.org/officeDocument/2006/relationships/hyperlink" Target="https://drive.google.com/uc?id=19kJAF7oMYT_SkR192z-9nEdAy4nwVRLa" TargetMode="External"/><Relationship Id="rId48" Type="http://schemas.openxmlformats.org/officeDocument/2006/relationships/hyperlink" Target="https://drive.google.com/uc?id=170N3pI5cl-XH0RDqrknxGgqh-00zrGDN" TargetMode="External"/><Relationship Id="rId47" Type="http://schemas.openxmlformats.org/officeDocument/2006/relationships/hyperlink" Target="https://drive.google.com/uc?id=1hfAHAbUqUw8vN6oW0HqIMwwrOnickmc4" TargetMode="External"/><Relationship Id="rId49" Type="http://schemas.openxmlformats.org/officeDocument/2006/relationships/hyperlink" Target="https://drive.google.com/uc?id=11ioOm8VQgPuEFY4tKKcXQl1_KcC-URq2" TargetMode="External"/><Relationship Id="rId741" Type="http://schemas.openxmlformats.org/officeDocument/2006/relationships/hyperlink" Target="http://drive.google.com/uc?id=1C4pWVxL1itiX3oYkjVWS7FNBysh2LtEk" TargetMode="External"/><Relationship Id="rId983" Type="http://schemas.openxmlformats.org/officeDocument/2006/relationships/hyperlink" Target="https://drive.google.com/uc?id=1pjS74bDaaVoEAQuE6M8aB2UQWJHNw0-J" TargetMode="External"/><Relationship Id="rId1330" Type="http://schemas.openxmlformats.org/officeDocument/2006/relationships/hyperlink" Target="https://drive.google.com/uc?id=1g7js7Ya3p-EzUR-8djpT-Wr-7firdK9L" TargetMode="External"/><Relationship Id="rId740" Type="http://schemas.openxmlformats.org/officeDocument/2006/relationships/hyperlink" Target="https://drive.google.com/uc?id=1rX4M-DMg9qv94pCLTc29VHsRjDmdeU_W" TargetMode="External"/><Relationship Id="rId982" Type="http://schemas.openxmlformats.org/officeDocument/2006/relationships/hyperlink" Target="https://drive.google.com/uc?id=13flkb1as7DrdCANxysr6nRG8EdD-O4Nn" TargetMode="External"/><Relationship Id="rId1331" Type="http://schemas.openxmlformats.org/officeDocument/2006/relationships/hyperlink" Target="https://drive.google.com/uc?id=16uVitUdOaytih71VcDQ5MJTJN4DTyTUb" TargetMode="External"/><Relationship Id="rId981" Type="http://schemas.openxmlformats.org/officeDocument/2006/relationships/hyperlink" Target="https://drive.google.com/uc?id=1ubx-8YJfSga9UpIuB5ks36TZFoLz0D6q" TargetMode="External"/><Relationship Id="rId1332" Type="http://schemas.openxmlformats.org/officeDocument/2006/relationships/hyperlink" Target="https://drive.google.com/uc?id=1GfNZv0Mx59l480w5fOhuWvzJZ4WzJctz" TargetMode="External"/><Relationship Id="rId980" Type="http://schemas.openxmlformats.org/officeDocument/2006/relationships/hyperlink" Target="https://drive.google.com/uc?id=1ZbNySAgq1jaBxEa8Nkauuro1DEIXej0W/" TargetMode="External"/><Relationship Id="rId1333" Type="http://schemas.openxmlformats.org/officeDocument/2006/relationships/hyperlink" Target="https://drive.google.com/uc?id=1L2bz4NDCkRp4a6KnEGOStMtx33E3tiPF" TargetMode="External"/><Relationship Id="rId1323" Type="http://schemas.openxmlformats.org/officeDocument/2006/relationships/hyperlink" Target="https://drive.google.com/uc?id=1X1Y5tnrTJRBAgWqhqXaCkCcDbYo6Nb7U" TargetMode="External"/><Relationship Id="rId1324" Type="http://schemas.openxmlformats.org/officeDocument/2006/relationships/hyperlink" Target="https://drive.google.com/uc?id=1XEtcx9whHukFw5KjIahG4TDkJhiuSmUn" TargetMode="External"/><Relationship Id="rId31" Type="http://schemas.openxmlformats.org/officeDocument/2006/relationships/hyperlink" Target="https://drive.google.com/uc?id=1JuWPuWn8nX_rxU_9YqH0KBn8-fHg0H3u" TargetMode="External"/><Relationship Id="rId1325" Type="http://schemas.openxmlformats.org/officeDocument/2006/relationships/hyperlink" Target="https://drive.google.com/uc?id=1Pbo4TXE9jxn4ZsBt2MBEbmkv0mdSyR0B" TargetMode="External"/><Relationship Id="rId30" Type="http://schemas.openxmlformats.org/officeDocument/2006/relationships/hyperlink" Target="https://drive.google.com/uc?id=160rEQUK4R3ClTYybkReiqwqjpBuawjMA" TargetMode="External"/><Relationship Id="rId1326" Type="http://schemas.openxmlformats.org/officeDocument/2006/relationships/hyperlink" Target="https://drive.google.com/uc?id=1WK9LMGMq4OwlGu1EJjrjoq5wDzOeM5vs" TargetMode="External"/><Relationship Id="rId33" Type="http://schemas.openxmlformats.org/officeDocument/2006/relationships/hyperlink" Target="https://drive.google.com/uc?id=1FRYiJevVzqA1hcF6tehx5yHHSHv4WeLg" TargetMode="External"/><Relationship Id="rId1327" Type="http://schemas.openxmlformats.org/officeDocument/2006/relationships/hyperlink" Target="https://drive.google.com/uc?id=17e2ZyodHlt6s7k_g9eplc79P7dksFp4I" TargetMode="External"/><Relationship Id="rId32" Type="http://schemas.openxmlformats.org/officeDocument/2006/relationships/hyperlink" Target="https://drive.google.com/uc?id=1zIrtIDwl18MnkgkRX0SDIoGjn8DfvQeG" TargetMode="External"/><Relationship Id="rId1328" Type="http://schemas.openxmlformats.org/officeDocument/2006/relationships/hyperlink" Target="https://drive.google.com/uc?id=1CjkpUY0nGOTfiRs41BtB4fdqiQd7fdOY" TargetMode="External"/><Relationship Id="rId35" Type="http://schemas.openxmlformats.org/officeDocument/2006/relationships/hyperlink" Target="https://drive.google.com/uc?id=1UZfYuFvcPIBxWR-_feyu0amyJrTBpWAt" TargetMode="External"/><Relationship Id="rId1329" Type="http://schemas.openxmlformats.org/officeDocument/2006/relationships/hyperlink" Target="https://drive.google.com/uc?id=144UjICt7XZaVc5lX_jjtpj0Ai5VoGqAu" TargetMode="External"/><Relationship Id="rId34" Type="http://schemas.openxmlformats.org/officeDocument/2006/relationships/hyperlink" Target="https://drive.google.com/uc?id=1zO7XA_AQIFwrQUj5Oerc0fDWio4uoVzp" TargetMode="External"/><Relationship Id="rId739" Type="http://schemas.openxmlformats.org/officeDocument/2006/relationships/hyperlink" Target="https://drive.google.com/file/d/1hFH4ccCxw5m9z8pThGhsQ5Lc-4vauyov/view?usp=sharing" TargetMode="External"/><Relationship Id="rId734" Type="http://schemas.openxmlformats.org/officeDocument/2006/relationships/hyperlink" Target="https://drive.google.com/uc?id=1lv6JvJJbW1q-bzHLQUNZah7meJqdDGip" TargetMode="External"/><Relationship Id="rId976" Type="http://schemas.openxmlformats.org/officeDocument/2006/relationships/hyperlink" Target="https://drive.google.com/uc?id=1jgxcE4mEBGq6aCAiW9BsnjFPttkKzRnv" TargetMode="External"/><Relationship Id="rId733" Type="http://schemas.openxmlformats.org/officeDocument/2006/relationships/hyperlink" Target="https://drive.google.com/uc?id=1yQprpDvyVEGs5JRX_aKLpJS8G4iWv2QM" TargetMode="External"/><Relationship Id="rId975" Type="http://schemas.openxmlformats.org/officeDocument/2006/relationships/hyperlink" Target="https://drive.google.com/uc?id=1oL65yqQHT5RiBcgAjOv92B1wX8ec42Tz" TargetMode="External"/><Relationship Id="rId732" Type="http://schemas.openxmlformats.org/officeDocument/2006/relationships/hyperlink" Target="https://drive.google.com/uc?id=1dtJelrenzsp5eJrOLuRKKLy9qBLr3ksq" TargetMode="External"/><Relationship Id="rId974" Type="http://schemas.openxmlformats.org/officeDocument/2006/relationships/hyperlink" Target="https://drive.google.com/uc?id=1jvwTwm3OK1bt1tfopUqpgVJcNMgRNkP5/" TargetMode="External"/><Relationship Id="rId731" Type="http://schemas.openxmlformats.org/officeDocument/2006/relationships/hyperlink" Target="https://drive.google.com/uc?id=1DoIsBE36fyZOnNf6fDW_g0JrUFvm8g-r" TargetMode="External"/><Relationship Id="rId973" Type="http://schemas.openxmlformats.org/officeDocument/2006/relationships/hyperlink" Target="https://drive.google.com/uc?id=1129AfoVXHW_UXDVoCjc1Nh2xkR0e4QKF/" TargetMode="External"/><Relationship Id="rId738" Type="http://schemas.openxmlformats.org/officeDocument/2006/relationships/hyperlink" Target="https://drive.google.com/uc?id=1uKOQLm2m4uhYNDMldpK0tvGAX95wpyEm" TargetMode="External"/><Relationship Id="rId737" Type="http://schemas.openxmlformats.org/officeDocument/2006/relationships/hyperlink" Target="https://drive.google.com/uc?id=1YLamPbU_LMtUSP0JsiBbRfqEGUlfk8tr" TargetMode="External"/><Relationship Id="rId979" Type="http://schemas.openxmlformats.org/officeDocument/2006/relationships/hyperlink" Target="https://drive.google.com/uc?id=1WJjSoCGG8NVezr0GgVKXMju44LSqhBss" TargetMode="External"/><Relationship Id="rId736" Type="http://schemas.openxmlformats.org/officeDocument/2006/relationships/hyperlink" Target="https://drive.google.com/uc?id=1L8XHYoPs6bp7_iDm3sumAFm4-4oMsqW6" TargetMode="External"/><Relationship Id="rId978" Type="http://schemas.openxmlformats.org/officeDocument/2006/relationships/hyperlink" Target="https://drive.google.com/uc?id=13LcQRr0f12KgLEJnlHWag3IhW29A7r-3" TargetMode="External"/><Relationship Id="rId735" Type="http://schemas.openxmlformats.org/officeDocument/2006/relationships/hyperlink" Target="https://drive.google.com/uc?id=1JDT54yVlIwNH4bql2w8xc90nkV3mRxty" TargetMode="External"/><Relationship Id="rId977" Type="http://schemas.openxmlformats.org/officeDocument/2006/relationships/hyperlink" Target="https://drive.google.com/uc?id=1WqPRLDUfv9VohfXzJ618tggpKr6Khp1B" TargetMode="External"/><Relationship Id="rId37" Type="http://schemas.openxmlformats.org/officeDocument/2006/relationships/hyperlink" Target="https://drive.google.com/uc?id=1VakfVPMD3_girJTvyPl5O1sAdHP0K3ij" TargetMode="External"/><Relationship Id="rId36" Type="http://schemas.openxmlformats.org/officeDocument/2006/relationships/hyperlink" Target="https://drive.google.com/uc?id=1ZoJBT-FkRI3sgOzwSJP4tn2yAYvfpkUb" TargetMode="External"/><Relationship Id="rId39" Type="http://schemas.openxmlformats.org/officeDocument/2006/relationships/hyperlink" Target="https://drive.google.com/uc?id=1xDj9YP-hActe-JYZ_cXw1RxD2bWTIaWx" TargetMode="External"/><Relationship Id="rId38" Type="http://schemas.openxmlformats.org/officeDocument/2006/relationships/hyperlink" Target="https://drive.google.com/uc?id=1FTDP1oum-VguPK8yDiQ_uRm3PaXy-MYB" TargetMode="External"/><Relationship Id="rId730" Type="http://schemas.openxmlformats.org/officeDocument/2006/relationships/hyperlink" Target="https://drive.google.com/uc?id=12jVftRBf5_Kf3wMcjkLCeKUsCxO3vnnF" TargetMode="External"/><Relationship Id="rId972" Type="http://schemas.openxmlformats.org/officeDocument/2006/relationships/hyperlink" Target="https://drive.google.com/uc?id=19kJAF7oMYT_SkR192z-9nEdAy4nwVRLa" TargetMode="External"/><Relationship Id="rId971" Type="http://schemas.openxmlformats.org/officeDocument/2006/relationships/hyperlink" Target="https://drive.google.com/uc?id=1tPjJbSElXcV2Y-AHN4pREtS_LNsNrCGc" TargetMode="External"/><Relationship Id="rId1320" Type="http://schemas.openxmlformats.org/officeDocument/2006/relationships/hyperlink" Target="https://drive.google.com/uc?id=1H6dEaS1nVCLEy_YD-Z-0A5Gw1g1PCqw1" TargetMode="External"/><Relationship Id="rId970" Type="http://schemas.openxmlformats.org/officeDocument/2006/relationships/hyperlink" Target="https://drive.google.com/uc?id=1Y6-qCmJWMRJBaoRKNLxrt28qvSgycx7i" TargetMode="External"/><Relationship Id="rId1321" Type="http://schemas.openxmlformats.org/officeDocument/2006/relationships/hyperlink" Target="https://drive.google.com/uc?id=1BT46P2cEAGsUieuJXnvc5oGkl9sEH_n_" TargetMode="External"/><Relationship Id="rId1322" Type="http://schemas.openxmlformats.org/officeDocument/2006/relationships/hyperlink" Target="https://drive.google.com/uc?id=1FlLZaxxge1Yb3VFuiwnBGAkPtym4UYon" TargetMode="External"/><Relationship Id="rId1114" Type="http://schemas.openxmlformats.org/officeDocument/2006/relationships/hyperlink" Target="https://drive.google.com/uc?id=1X6x48Vxlr8ojYwFzZu21f1kop7JtF25w" TargetMode="External"/><Relationship Id="rId1356" Type="http://schemas.openxmlformats.org/officeDocument/2006/relationships/hyperlink" Target="https://drive.google.com/uc?id=1dzwmPWbxIg9WCLydWQz14SoBtjEUO-nQ" TargetMode="External"/><Relationship Id="rId1115" Type="http://schemas.openxmlformats.org/officeDocument/2006/relationships/hyperlink" Target="https://drive.google.com/uc?id=1ioQOmNpAW1wg7qAlns186bc5NAp3lOw8" TargetMode="External"/><Relationship Id="rId1357" Type="http://schemas.openxmlformats.org/officeDocument/2006/relationships/hyperlink" Target="https://drive.google.com/uc?id=1d7woD_Lfa3ho_XQ0S7cPqhHb8RGhEPQw" TargetMode="External"/><Relationship Id="rId20" Type="http://schemas.openxmlformats.org/officeDocument/2006/relationships/hyperlink" Target="https://drive.google.com/uc?id=14oyyN4xIr0bG0xv-6R3o1x-2njjgWxYQ" TargetMode="External"/><Relationship Id="rId1116" Type="http://schemas.openxmlformats.org/officeDocument/2006/relationships/hyperlink" Target="https://drive.google.com/uc?id=1sPLCuic_D0Ib9MCtsouItomS7J9sGkMw" TargetMode="External"/><Relationship Id="rId1358" Type="http://schemas.openxmlformats.org/officeDocument/2006/relationships/hyperlink" Target="https://drive.google.com/uc?id=1_eE_m6ASybvU9EocoqF7K9NopEga4KLa" TargetMode="External"/><Relationship Id="rId1117" Type="http://schemas.openxmlformats.org/officeDocument/2006/relationships/hyperlink" Target="https://drive.google.com/uc?id=1stkZFMNC14FPM_3XVRTt02JkWhvu-uj4" TargetMode="External"/><Relationship Id="rId1359" Type="http://schemas.openxmlformats.org/officeDocument/2006/relationships/hyperlink" Target="https://drive.google.com/uc?id=1cTdWcQgIPn5Q5P9L0R-I4OJ05xXGxBxR" TargetMode="External"/><Relationship Id="rId22" Type="http://schemas.openxmlformats.org/officeDocument/2006/relationships/hyperlink" Target="https://drive.google.com/uc?id=1A0ApYrI-WZ1HTqfAy-BYbtUdA4KKwXTh" TargetMode="External"/><Relationship Id="rId1118" Type="http://schemas.openxmlformats.org/officeDocument/2006/relationships/hyperlink" Target="https://drive.google.com/uc?id=1bQZnmFPGh6FKS-S3tK2t2diKTInbgnRi" TargetMode="External"/><Relationship Id="rId21" Type="http://schemas.openxmlformats.org/officeDocument/2006/relationships/hyperlink" Target="https://drive.google.com/uc?id=1BtOSN4OPQdY0uoDtvOSE4GT0mPGZdioE" TargetMode="External"/><Relationship Id="rId1119" Type="http://schemas.openxmlformats.org/officeDocument/2006/relationships/hyperlink" Target="https://drive.google.com/uc?id=1-Y257gfkXJarNMyZQw5nuG6gRUCyFWDh" TargetMode="External"/><Relationship Id="rId24" Type="http://schemas.openxmlformats.org/officeDocument/2006/relationships/hyperlink" Target="https://drive.google.com/uc?id=14oyyN4xIr0bG0xv-6R3o1x-2njjgWxYQ" TargetMode="External"/><Relationship Id="rId23" Type="http://schemas.openxmlformats.org/officeDocument/2006/relationships/hyperlink" Target="https://drive.google.com/uc?id=1JP6ZfQj9CPDvJEkmwVpnTVLeOvwtMNM2" TargetMode="External"/><Relationship Id="rId525" Type="http://schemas.openxmlformats.org/officeDocument/2006/relationships/hyperlink" Target="https://drive.google.com/uc?id=1mDf6zWLc6xQFcVcFti_S4Y-GmZfVJhHo" TargetMode="External"/><Relationship Id="rId767" Type="http://schemas.openxmlformats.org/officeDocument/2006/relationships/hyperlink" Target="https://drive.google.com/uc?id=10As5Gr6JSoDLDlBgEgvcgwiGzleAjcnb" TargetMode="External"/><Relationship Id="rId524" Type="http://schemas.openxmlformats.org/officeDocument/2006/relationships/hyperlink" Target="https://drive.google.com/uc?id=139ghNhNKkZ2c1GSrIgGXNc_pHez2dUvJ" TargetMode="External"/><Relationship Id="rId766" Type="http://schemas.openxmlformats.org/officeDocument/2006/relationships/hyperlink" Target="https://drive.google.com/uc?id=1nT0fwvkMOQD5RnX-GtH-HxZ_l6o5u4bM" TargetMode="External"/><Relationship Id="rId523" Type="http://schemas.openxmlformats.org/officeDocument/2006/relationships/hyperlink" Target="https://drive.google.com/uc?id=1ghta5i0k_Jr1aCkYyRE4lU899Mu-3L0N" TargetMode="External"/><Relationship Id="rId765" Type="http://schemas.openxmlformats.org/officeDocument/2006/relationships/hyperlink" Target="https://drive.google.com/uc?id=1W5V798VShX4Ej56Dx_DDWVFKPxSIszbc" TargetMode="External"/><Relationship Id="rId522" Type="http://schemas.openxmlformats.org/officeDocument/2006/relationships/hyperlink" Target="https://drive.google.com/uc?id=1evcxCQFRDIwwW2KqDjDyUjG15sQm1wIS" TargetMode="External"/><Relationship Id="rId764" Type="http://schemas.openxmlformats.org/officeDocument/2006/relationships/hyperlink" Target="https://drive.google.com/uc?id=13eYDbhF16ZIL9UMBdjSTAt-4qBNut9an" TargetMode="External"/><Relationship Id="rId529" Type="http://schemas.openxmlformats.org/officeDocument/2006/relationships/hyperlink" Target="https://drive.google.com/uc?id=1Ry1Ou6OZBz1ah53aLVWnfge_fLFS-99h" TargetMode="External"/><Relationship Id="rId528" Type="http://schemas.openxmlformats.org/officeDocument/2006/relationships/hyperlink" Target="https://drive.google.com/uc?id=12_JEv_6VP1HbKzcrpi4xMLVdBXLxwC7h" TargetMode="External"/><Relationship Id="rId527" Type="http://schemas.openxmlformats.org/officeDocument/2006/relationships/hyperlink" Target="https://drive.google.com/uc?id=1iSPc1EUeUezitEZJJAfklN2DOUmuPOpM" TargetMode="External"/><Relationship Id="rId769" Type="http://schemas.openxmlformats.org/officeDocument/2006/relationships/hyperlink" Target="https://drive.google.com/uc?id=1FgroRzHu8Bn4InJMWhBLXr5hp1NRQak7" TargetMode="External"/><Relationship Id="rId526" Type="http://schemas.openxmlformats.org/officeDocument/2006/relationships/hyperlink" Target="https://drive.google.com/uc?id=1H3WfA5gvHNreuzfv_m-3WTM_epAT7dI3" TargetMode="External"/><Relationship Id="rId768" Type="http://schemas.openxmlformats.org/officeDocument/2006/relationships/hyperlink" Target="https://drive.google.com/uc?id=1MAfe6f2FXimXYjhYxala_Mo_eO3D2ybM" TargetMode="External"/><Relationship Id="rId26" Type="http://schemas.openxmlformats.org/officeDocument/2006/relationships/hyperlink" Target="https://drive.google.com/uc?id=1VeTXonc3YoboqhfA_hCCBuWoDp63CklR" TargetMode="External"/><Relationship Id="rId25" Type="http://schemas.openxmlformats.org/officeDocument/2006/relationships/hyperlink" Target="https://drive.google.com/uc?id=1UIjIkAet-1XGk-gGx_zK8uIzePhn7sDU" TargetMode="External"/><Relationship Id="rId28" Type="http://schemas.openxmlformats.org/officeDocument/2006/relationships/hyperlink" Target="https://drive.google.com/uc?id=13rDX0iVx4C7xXWcktIv_gzuiMePDia3b" TargetMode="External"/><Relationship Id="rId1350" Type="http://schemas.openxmlformats.org/officeDocument/2006/relationships/hyperlink" Target="https://drive.google.com/uc?id=1ZMcmsb-Pdl4fofRF5PGnpDdXDJCAF2c-" TargetMode="External"/><Relationship Id="rId27" Type="http://schemas.openxmlformats.org/officeDocument/2006/relationships/hyperlink" Target="https://drive.google.com/uc?id=1l8tQ3ycVv0YTcyANXNYFkgUfrUzxqKuI" TargetMode="External"/><Relationship Id="rId1351" Type="http://schemas.openxmlformats.org/officeDocument/2006/relationships/hyperlink" Target="https://drive.google.com/uc?id=1Ym__K0W_iqj7LED1_xjuE6Y2XGwhtffW" TargetMode="External"/><Relationship Id="rId521" Type="http://schemas.openxmlformats.org/officeDocument/2006/relationships/hyperlink" Target="https://drive.google.com/uc?id=1erJw9SwMjQY1OJOxPznu2inbMdil80Xl" TargetMode="External"/><Relationship Id="rId763" Type="http://schemas.openxmlformats.org/officeDocument/2006/relationships/hyperlink" Target="https://drive.google.com/uc?id=18PqZWzWmHCLoaPW2P3BmXYtBWrAm8KWr" TargetMode="External"/><Relationship Id="rId1110" Type="http://schemas.openxmlformats.org/officeDocument/2006/relationships/hyperlink" Target="https://drive.google.com/uc?id=16l4kw7H7J-rnqrmLhNJQPN12mX80pUfB" TargetMode="External"/><Relationship Id="rId1352" Type="http://schemas.openxmlformats.org/officeDocument/2006/relationships/hyperlink" Target="https://drive.google.com/uc?id=1tjCiJQhGkKk5MmgmaBhpjNOIGZlbmf_J" TargetMode="External"/><Relationship Id="rId29" Type="http://schemas.openxmlformats.org/officeDocument/2006/relationships/hyperlink" Target="https://drive.google.com/uc?id=1fTQhgjJKxHK9orhayU74btFHvd1P_IHp" TargetMode="External"/><Relationship Id="rId520" Type="http://schemas.openxmlformats.org/officeDocument/2006/relationships/hyperlink" Target="https://drive.google.com/uc?id=1lIeVlOw3vqQG0LFpZywlzYgmqG3DfbRj" TargetMode="External"/><Relationship Id="rId762" Type="http://schemas.openxmlformats.org/officeDocument/2006/relationships/hyperlink" Target="https://drive.google.com/uc?id=1t041zpzz6URQk9jmdx7icjLAWxohMhpH" TargetMode="External"/><Relationship Id="rId1111" Type="http://schemas.openxmlformats.org/officeDocument/2006/relationships/hyperlink" Target="https://drive.google.com/uc?id=1iRFcLTFVbbuBe4FVX_LuBa0MNKhtVWgH" TargetMode="External"/><Relationship Id="rId1353" Type="http://schemas.openxmlformats.org/officeDocument/2006/relationships/hyperlink" Target="https://drive.google.com/uc?id=1X01-0t1OhzIVnP9ICWSbGdkMF7rVf09v" TargetMode="External"/><Relationship Id="rId761" Type="http://schemas.openxmlformats.org/officeDocument/2006/relationships/hyperlink" Target="https://drive.google.com/uc?id=1kQKXk6GoG1VNunW78YpCjjETGpHHWmX0" TargetMode="External"/><Relationship Id="rId1112" Type="http://schemas.openxmlformats.org/officeDocument/2006/relationships/hyperlink" Target="https://drive.google.com/uc?id=1y7qt8l__rO7NHpPsorlk3XIJsLgkwkhD" TargetMode="External"/><Relationship Id="rId1354" Type="http://schemas.openxmlformats.org/officeDocument/2006/relationships/hyperlink" Target="https://drive.google.com/uc?id=1bLU83Hxmcsi3VpFkiFaRObTWod-zm7Tv" TargetMode="External"/><Relationship Id="rId760" Type="http://schemas.openxmlformats.org/officeDocument/2006/relationships/hyperlink" Target="https://drive.google.com/uc?id=1hWi8Cm4NHTjZ_8IOY0EUrKzcTacusP1c" TargetMode="External"/><Relationship Id="rId1113" Type="http://schemas.openxmlformats.org/officeDocument/2006/relationships/hyperlink" Target="https://drive.google.com/uc?id=1ftXB9r1HTAf5XPTfCBCl9sqgOrRLYgaH" TargetMode="External"/><Relationship Id="rId1355" Type="http://schemas.openxmlformats.org/officeDocument/2006/relationships/hyperlink" Target="https://drive.google.com/uc?id=1BDrnnn0POlXAxU4HHo1AcwzOvNaZr8Td" TargetMode="External"/><Relationship Id="rId1103" Type="http://schemas.openxmlformats.org/officeDocument/2006/relationships/hyperlink" Target="https://drive.google.com/uc?id=1eQm9ClGK9D1NBiVztp0cW2NsOmjwF_6o" TargetMode="External"/><Relationship Id="rId1345" Type="http://schemas.openxmlformats.org/officeDocument/2006/relationships/hyperlink" Target="https://drive.google.com/uc?id=16kKFheMpXfRlSUEA8MFO14DbyLxDAy7j" TargetMode="External"/><Relationship Id="rId1104" Type="http://schemas.openxmlformats.org/officeDocument/2006/relationships/hyperlink" Target="https://drive.google.com/uc?id=1KlQJdKRvcHMJw59RWU1dDqpFuVaYVrUG" TargetMode="External"/><Relationship Id="rId1346" Type="http://schemas.openxmlformats.org/officeDocument/2006/relationships/hyperlink" Target="https://drive.google.com/uc?id=17oOpAiZYRPqq3H_5bQisC9-J3JWHO0rp" TargetMode="External"/><Relationship Id="rId1105" Type="http://schemas.openxmlformats.org/officeDocument/2006/relationships/hyperlink" Target="https://drive.google.com/uc?id=1IfXxTE9b5u4oPXxZjHZ_m8BvT0IGKJAt" TargetMode="External"/><Relationship Id="rId1347" Type="http://schemas.openxmlformats.org/officeDocument/2006/relationships/hyperlink" Target="https://drive.google.comuc/?id=1O0ierhshlBE-O7s0LrOqQRtnsG3e-tDC" TargetMode="External"/><Relationship Id="rId1106" Type="http://schemas.openxmlformats.org/officeDocument/2006/relationships/hyperlink" Target="https://drive.google.com/uc?id=1r1spR9E4Z9BPaCGPjH9eFhtMY2s4eBa3" TargetMode="External"/><Relationship Id="rId1348" Type="http://schemas.openxmlformats.org/officeDocument/2006/relationships/hyperlink" Target="https://drive.google.com/uc?id=1pd5r0RFW7qudDlueHa1soJddExJ6VH7H" TargetMode="External"/><Relationship Id="rId11" Type="http://schemas.openxmlformats.org/officeDocument/2006/relationships/hyperlink" Target="https://drive.google.com/uc?id=1k66LIzPQLKFb2yOjPfv4_9ykXlYLgqQw" TargetMode="External"/><Relationship Id="rId1107" Type="http://schemas.openxmlformats.org/officeDocument/2006/relationships/hyperlink" Target="https://drive.google.com/uc?id=1kwf3r9D8pp0fYiJTDjPGYdwmve-tfgnY" TargetMode="External"/><Relationship Id="rId1349" Type="http://schemas.openxmlformats.org/officeDocument/2006/relationships/hyperlink" Target="https://drive.google.com/uc?id=1gGaG_wqUud7uLTwveaWGxV2XyO869fSJ" TargetMode="External"/><Relationship Id="rId10" Type="http://schemas.openxmlformats.org/officeDocument/2006/relationships/hyperlink" Target="https://drive.google.com/uc?id=122tDpLVR8pvkitImNvHnbikyQApe8ncj" TargetMode="External"/><Relationship Id="rId1108" Type="http://schemas.openxmlformats.org/officeDocument/2006/relationships/hyperlink" Target="https://drive.google.com/uc?id=1ePqco1cpyrr-1yU7faXECy2GRT7j7HLG" TargetMode="External"/><Relationship Id="rId13" Type="http://schemas.openxmlformats.org/officeDocument/2006/relationships/hyperlink" Target="https://drive.google.com/uc?id=1zNITJpzBo8KGEt8833QGeHGtnv1_SkUF" TargetMode="External"/><Relationship Id="rId1109" Type="http://schemas.openxmlformats.org/officeDocument/2006/relationships/hyperlink" Target="https://drive.google.com/uc?id=1Oignirv6-6Lp_ycFqB4Pv_zsgst3gE_I" TargetMode="External"/><Relationship Id="rId12" Type="http://schemas.openxmlformats.org/officeDocument/2006/relationships/hyperlink" Target="https://drive.google.com/uc?id=1hKKJVKCWmyOV_S4jnlz8CVsxqDLDrutI" TargetMode="External"/><Relationship Id="rId519" Type="http://schemas.openxmlformats.org/officeDocument/2006/relationships/hyperlink" Target="https://drive.google.com/uc?id=1l4MAQUzr1bpITRs5pdxOlJPqym_PZ8uS" TargetMode="External"/><Relationship Id="rId514" Type="http://schemas.openxmlformats.org/officeDocument/2006/relationships/hyperlink" Target="https://drive.google.com/uc?id=1m5iZmNOvduxMZtByQC6FrU72k_6IE5qE" TargetMode="External"/><Relationship Id="rId756" Type="http://schemas.openxmlformats.org/officeDocument/2006/relationships/hyperlink" Target="https://drive.google.com/uc?id=1NQMfVREUH_AA3c7BrIVuMDLRqX7w5FVd" TargetMode="External"/><Relationship Id="rId998" Type="http://schemas.openxmlformats.org/officeDocument/2006/relationships/hyperlink" Target="https://drive.google.com/uc?id=1xmefOvzLnG8F9qRIfaEeclllIHeY6Wex/" TargetMode="External"/><Relationship Id="rId513" Type="http://schemas.openxmlformats.org/officeDocument/2006/relationships/hyperlink" Target="https://drive.google.com/uc?id=1UYEZYtUuHBthVjFK4vUNZUw49DTe3lgO" TargetMode="External"/><Relationship Id="rId755" Type="http://schemas.openxmlformats.org/officeDocument/2006/relationships/hyperlink" Target="https://drive.google.com/uc?id=16XBStFi0GDYR6a4Vt6m6sZIp9bRa6MZf" TargetMode="External"/><Relationship Id="rId997" Type="http://schemas.openxmlformats.org/officeDocument/2006/relationships/hyperlink" Target="https://drive.google.com/uc?id=1aZIY5iXyRVVvvQL1HB9TDNQrIzL7ZFSw" TargetMode="External"/><Relationship Id="rId512" Type="http://schemas.openxmlformats.org/officeDocument/2006/relationships/hyperlink" Target="https://drive.google.com/uc?id=18KlqHjKbZgvdKWyQZIjtHavmA8BX-TtQ" TargetMode="External"/><Relationship Id="rId754" Type="http://schemas.openxmlformats.org/officeDocument/2006/relationships/hyperlink" Target="https://drive.google.com/uc?id=1oFvaPBaMFHGi6E9flOHVx8tQZdg93SW7" TargetMode="External"/><Relationship Id="rId996" Type="http://schemas.openxmlformats.org/officeDocument/2006/relationships/hyperlink" Target="https://drive.google.com/uc?id=1y7Lnvp3EwWZR9unnzKFepASrg4GAHXdo/" TargetMode="External"/><Relationship Id="rId511" Type="http://schemas.openxmlformats.org/officeDocument/2006/relationships/hyperlink" Target="https://drive.google.com/uc?id=1NxiiKmPzFAO7ZZul-0FqOgwREfWektH_" TargetMode="External"/><Relationship Id="rId753" Type="http://schemas.openxmlformats.org/officeDocument/2006/relationships/hyperlink" Target="https://drive.google.com/uc?id=1L3nxWhIGkFDpMpCkoUTzrmX6afoqieuA" TargetMode="External"/><Relationship Id="rId995" Type="http://schemas.openxmlformats.org/officeDocument/2006/relationships/hyperlink" Target="https://drive.google.com/uc?id=1PIG-zB2ljT8k8wxWCu53qvx4FSNgfQgU/" TargetMode="External"/><Relationship Id="rId518" Type="http://schemas.openxmlformats.org/officeDocument/2006/relationships/hyperlink" Target="https://drive.google.com/uc?id=1MbHn2A0WX9vyRShdtIY7pC1EXzEWR6Ov" TargetMode="External"/><Relationship Id="rId517" Type="http://schemas.openxmlformats.org/officeDocument/2006/relationships/hyperlink" Target="https://drive.google.com/uc?id=1V7sxJApfcwurZkZXVYx8PgWNMuZxX3_C" TargetMode="External"/><Relationship Id="rId759" Type="http://schemas.openxmlformats.org/officeDocument/2006/relationships/hyperlink" Target="https://drive.google.com/uc?id=1_LQT_6lJhhLdaxtDQx5ux_tKhiQzsqCp" TargetMode="External"/><Relationship Id="rId516" Type="http://schemas.openxmlformats.org/officeDocument/2006/relationships/hyperlink" Target="https://drive.google.com/uc?id=1k6oZyX657n9tnuc_g9NgGG1yVS3760Mc" TargetMode="External"/><Relationship Id="rId758" Type="http://schemas.openxmlformats.org/officeDocument/2006/relationships/hyperlink" Target="https://drive.google.com/uc?id=1xMq3frmxzx6-4np8lXHLuqbIBG4ZipLm" TargetMode="External"/><Relationship Id="rId515" Type="http://schemas.openxmlformats.org/officeDocument/2006/relationships/hyperlink" Target="https://drive.google.com/uc?id=1EIsHGcy8Zwkzl8yP9iH4a1PR9d1BqJ6q" TargetMode="External"/><Relationship Id="rId757" Type="http://schemas.openxmlformats.org/officeDocument/2006/relationships/hyperlink" Target="https://drive.google.com/uc?id=1PG4qAGaiz9WBPCwsiGNQ7PcKQIvzEGr2" TargetMode="External"/><Relationship Id="rId999" Type="http://schemas.openxmlformats.org/officeDocument/2006/relationships/hyperlink" Target="https://drive.google.com/uc?id=1059ixBhwzxe27nH2Yren-XL0sAGvbS8m/" TargetMode="External"/><Relationship Id="rId15" Type="http://schemas.openxmlformats.org/officeDocument/2006/relationships/hyperlink" Target="https://drive.google.com/uc?id=1neyBjvsc5X_atcGqBj1Ipa-y0huVSXZr" TargetMode="External"/><Relationship Id="rId990" Type="http://schemas.openxmlformats.org/officeDocument/2006/relationships/hyperlink" Target="https://drive.google.com/uc?id=1I873HBLo9QMjl1b-43n7seWDwNJwBvGB/" TargetMode="External"/><Relationship Id="rId14" Type="http://schemas.openxmlformats.org/officeDocument/2006/relationships/hyperlink" Target="https://drive.google.com/uc?id=1MwPb81P51QxXGXCuQrn71cGh1iUnb34h" TargetMode="External"/><Relationship Id="rId17" Type="http://schemas.openxmlformats.org/officeDocument/2006/relationships/hyperlink" Target="https://drive.google.com/uc?id=1HaCLH2YGmqd4QYy3NM1fEFt-3okWOLuT" TargetMode="External"/><Relationship Id="rId16" Type="http://schemas.openxmlformats.org/officeDocument/2006/relationships/hyperlink" Target="https://drive.google.com/uc?id=1_eclUzDxkhCE4j1bmfuKALMRKML4M92k" TargetMode="External"/><Relationship Id="rId1340" Type="http://schemas.openxmlformats.org/officeDocument/2006/relationships/hyperlink" Target="https://drive.google.com/uc?id=11Dexku3ew6-slezPHXBy1LV7HXwMzzFw" TargetMode="External"/><Relationship Id="rId19" Type="http://schemas.openxmlformats.org/officeDocument/2006/relationships/hyperlink" Target="https://drive.google.com/uc?id=1qR72ip0TnYihJBJihNYE0fgVWixMlLk0" TargetMode="External"/><Relationship Id="rId510" Type="http://schemas.openxmlformats.org/officeDocument/2006/relationships/hyperlink" Target="https://drive.google.com/uc?id=1ePht0w5HlgLh9V1d7Qc-78PUiyxVvJ35" TargetMode="External"/><Relationship Id="rId752" Type="http://schemas.openxmlformats.org/officeDocument/2006/relationships/hyperlink" Target="https://drive.google.com/uc?id=17RtI1PnhWuNHbIhe2eDAS_KcB3kIbrRW" TargetMode="External"/><Relationship Id="rId994" Type="http://schemas.openxmlformats.org/officeDocument/2006/relationships/hyperlink" Target="https://drive.google.com/uc?id=1ZANha_RNvV-T9xoHCk5YCb_2F__D-hOh/" TargetMode="External"/><Relationship Id="rId1341" Type="http://schemas.openxmlformats.org/officeDocument/2006/relationships/hyperlink" Target="https://drive.google.com/uc?id=1znJthYa3S4Tl7jqqJFIeUhR_n2i2VbGE" TargetMode="External"/><Relationship Id="rId18" Type="http://schemas.openxmlformats.org/officeDocument/2006/relationships/hyperlink" Target="https://drive.google.com/uc?id=1GgLJi1l68ylsJStYLuftQYE2fM_nLVeM" TargetMode="External"/><Relationship Id="rId751" Type="http://schemas.openxmlformats.org/officeDocument/2006/relationships/hyperlink" Target="https://drive.google.com/uc?id=1YBN_7OuzlNi5blfEa-xpyrcqh46FfVSj" TargetMode="External"/><Relationship Id="rId993" Type="http://schemas.openxmlformats.org/officeDocument/2006/relationships/hyperlink" Target="https://drive.google.com/uc?id=1Fe0_bf0Ng4jAkIVfqYgiqaamaN3cN7AB" TargetMode="External"/><Relationship Id="rId1100" Type="http://schemas.openxmlformats.org/officeDocument/2006/relationships/hyperlink" Target="https://drive.google.com/uc?id=1vh2eBUn6UR1zojhvPm93uLZd9jpEb5le" TargetMode="External"/><Relationship Id="rId1342" Type="http://schemas.openxmlformats.org/officeDocument/2006/relationships/hyperlink" Target="https://drive.google.com/uc?id=1tCX4XwK3CwBXuB0RAwbtJ-r84x-BSa29" TargetMode="External"/><Relationship Id="rId750" Type="http://schemas.openxmlformats.org/officeDocument/2006/relationships/hyperlink" Target="https://drive.google.com/uc?id=126zUM3ncC3F37wvMETFTeKdGpRpcii27" TargetMode="External"/><Relationship Id="rId992" Type="http://schemas.openxmlformats.org/officeDocument/2006/relationships/hyperlink" Target="https://drive.google.com/uc?id=1K7nogTtt5eLWR-RMWBemUEjQBnG-dCm7" TargetMode="External"/><Relationship Id="rId1101" Type="http://schemas.openxmlformats.org/officeDocument/2006/relationships/hyperlink" Target="https://drive.google.com/uc?id=1R5PtaU_BdOVchjPAe3ECVkRCadZ_22Ji" TargetMode="External"/><Relationship Id="rId1343" Type="http://schemas.openxmlformats.org/officeDocument/2006/relationships/hyperlink" Target="https://drive.google.com/uc?id=13IlmPulyqcwpAlgsNcT2uA_6oLDhZkub" TargetMode="External"/><Relationship Id="rId991" Type="http://schemas.openxmlformats.org/officeDocument/2006/relationships/hyperlink" Target="https://drive.google.com/uc?id=1FNVkAbbqBByHPV447xsBLQm-DjpNFYQA" TargetMode="External"/><Relationship Id="rId1102" Type="http://schemas.openxmlformats.org/officeDocument/2006/relationships/hyperlink" Target="https://drive.google.com/uc?id=1Yoj0AFAnHEmpYz1jdLky4AkwHWUN_TRq" TargetMode="External"/><Relationship Id="rId1344" Type="http://schemas.openxmlformats.org/officeDocument/2006/relationships/hyperlink" Target="https://drive.google.com/uc?id=1VolIAa25hLUB2se-0v12jIt0ACltPOMk" TargetMode="External"/><Relationship Id="rId84" Type="http://schemas.openxmlformats.org/officeDocument/2006/relationships/hyperlink" Target="https://drive.google.com/uc?id=1WEABg7vXJtoDRp0QwPpwk9Z-Adl6J4zI" TargetMode="External"/><Relationship Id="rId83" Type="http://schemas.openxmlformats.org/officeDocument/2006/relationships/hyperlink" Target="https://drive.google.com/uc?id=1M07es6Vih0PXUEcEPyxiph5JVifPxhnn" TargetMode="External"/><Relationship Id="rId86" Type="http://schemas.openxmlformats.org/officeDocument/2006/relationships/hyperlink" Target="https://drive.google.com/uc?id=1W3dZWF98hwH2geMKCugViFQLgX4HR78Y" TargetMode="External"/><Relationship Id="rId85" Type="http://schemas.openxmlformats.org/officeDocument/2006/relationships/hyperlink" Target="https://drive.google.com/uc?id=1OtedMBE3XfR9yphOEfJHIu1ZX2MbGNbI" TargetMode="External"/><Relationship Id="rId88" Type="http://schemas.openxmlformats.org/officeDocument/2006/relationships/hyperlink" Target="https://drive.google.com/uc?id=1MdyaMwuEOSGXTkCd6cKN5_9gKnjsk1fm" TargetMode="External"/><Relationship Id="rId87" Type="http://schemas.openxmlformats.org/officeDocument/2006/relationships/hyperlink" Target="https://drive.google.com/uc?id=1onMe8-DCmiTysjcEbkeQoz7xVO0CGtGc" TargetMode="External"/><Relationship Id="rId89" Type="http://schemas.openxmlformats.org/officeDocument/2006/relationships/hyperlink" Target="https://drive.google.com/uc?id=1i6wnKUk4rCdLr3mzDAUVnJ4Tufofr6sN" TargetMode="External"/><Relationship Id="rId709" Type="http://schemas.openxmlformats.org/officeDocument/2006/relationships/hyperlink" Target="https://drive.google.com/uc?id=1mZkzPg5PCZagOXLeVzygUzxrMFggMcRM" TargetMode="External"/><Relationship Id="rId708" Type="http://schemas.openxmlformats.org/officeDocument/2006/relationships/hyperlink" Target="https://drive.google.com/uc?id=1mZppBhwHK59s7_eq5tPkxwT7PoMbPQ08" TargetMode="External"/><Relationship Id="rId707" Type="http://schemas.openxmlformats.org/officeDocument/2006/relationships/hyperlink" Target="https://drive.google.com/uc?id=1mdt60QNGs02N2qSe9OSVyLT_UGNMxEi_" TargetMode="External"/><Relationship Id="rId949" Type="http://schemas.openxmlformats.org/officeDocument/2006/relationships/hyperlink" Target="https://drive.google.com/uc?id=1rRHXRp35Om7cexLehzwbnyIp6CyfzFt-" TargetMode="External"/><Relationship Id="rId706" Type="http://schemas.openxmlformats.org/officeDocument/2006/relationships/hyperlink" Target="https://drive.google.com/uc?id=1mgbOTmzjcXBvkfxbZtUTjJ2RqQzXgxB-" TargetMode="External"/><Relationship Id="rId948" Type="http://schemas.openxmlformats.org/officeDocument/2006/relationships/hyperlink" Target="https://drive.google.com/uc?id=1W_VMsanusE-UwMz7ZyAYgF3CieHDR_PM" TargetMode="External"/><Relationship Id="rId80" Type="http://schemas.openxmlformats.org/officeDocument/2006/relationships/hyperlink" Target="https://drive.google.com/uc?id=16z00JxTIMxkUGOdJzZ78MwIi2-RAGiwf" TargetMode="External"/><Relationship Id="rId82" Type="http://schemas.openxmlformats.org/officeDocument/2006/relationships/hyperlink" Target="https://drive.google.com/uc?id=1cNrWG4WLTdqqKR7GSIcmbsuRkR2hZtH5" TargetMode="External"/><Relationship Id="rId81" Type="http://schemas.openxmlformats.org/officeDocument/2006/relationships/hyperlink" Target="https://drive.google.com/uc?id=1VJ6P3xpZLlzqvBt5EGJoQa5W3d1j7ufh" TargetMode="External"/><Relationship Id="rId701" Type="http://schemas.openxmlformats.org/officeDocument/2006/relationships/hyperlink" Target="https://drive.google.com/uc?id=1nMf6qHpw__L6FfnJKUkGhZbjbCM5fL3G" TargetMode="External"/><Relationship Id="rId943" Type="http://schemas.openxmlformats.org/officeDocument/2006/relationships/hyperlink" Target="https://drive.google.com/uc?id=1LNweNvGgg802mdmPkqX0isN9BkIoxJ7_" TargetMode="External"/><Relationship Id="rId700" Type="http://schemas.openxmlformats.org/officeDocument/2006/relationships/hyperlink" Target="https://drive.google.com/uc?id=1nOxR0oC_PgewC81SOpIQShQWWTcc51TY" TargetMode="External"/><Relationship Id="rId942" Type="http://schemas.openxmlformats.org/officeDocument/2006/relationships/hyperlink" Target="https://drive.google.com/uc?id=1FGZNLTsLXdjtU1OBPpv17PnxrC0zAHI7" TargetMode="External"/><Relationship Id="rId941" Type="http://schemas.openxmlformats.org/officeDocument/2006/relationships/hyperlink" Target="https://drive.google.com/uc?id=1IP4vycDvWDvXrMc-u9D5iCYjTnAckFO8" TargetMode="External"/><Relationship Id="rId940" Type="http://schemas.openxmlformats.org/officeDocument/2006/relationships/hyperlink" Target="https://drive.google.com/uc?id=1U40JTOMVLD5-a2bw1hlIh_7zj9ipvseu" TargetMode="External"/><Relationship Id="rId705" Type="http://schemas.openxmlformats.org/officeDocument/2006/relationships/hyperlink" Target="https://drive.google.com/uc?id=1miWS2h5yjd2ibn-t0utZiKi7s_vKaPNa" TargetMode="External"/><Relationship Id="rId947" Type="http://schemas.openxmlformats.org/officeDocument/2006/relationships/hyperlink" Target="https://drive.google.com/uc?id=1R2RBLzKB7DhGWya2oZL97LgealIU63Oc" TargetMode="External"/><Relationship Id="rId704" Type="http://schemas.openxmlformats.org/officeDocument/2006/relationships/hyperlink" Target="https://drive.google.com/uc?id=1n8nyML0KS-l3x1LH8VjIBgVs5QSL_o8Y" TargetMode="External"/><Relationship Id="rId946" Type="http://schemas.openxmlformats.org/officeDocument/2006/relationships/hyperlink" Target="https://drive.google.com/uc?id=1g8IyqcPVBdKryoYI2f8pkQ2vJE476yax" TargetMode="External"/><Relationship Id="rId703" Type="http://schemas.openxmlformats.org/officeDocument/2006/relationships/hyperlink" Target="https://drive.google.com/uc?id=1nLZpUsffTr1SeeO9IBGZCOfZsQFDTvKv" TargetMode="External"/><Relationship Id="rId945" Type="http://schemas.openxmlformats.org/officeDocument/2006/relationships/hyperlink" Target="https://drive.google.com/uc?id=15fUFRFOhIK5l3vJiEwufhJKLsgoUmmwB" TargetMode="External"/><Relationship Id="rId702" Type="http://schemas.openxmlformats.org/officeDocument/2006/relationships/hyperlink" Target="https://drive.google.com/file/d/1nMVq4R19eqPXIfPvigtoG53pAculYs0j/view?usp=sharing" TargetMode="External"/><Relationship Id="rId944" Type="http://schemas.openxmlformats.org/officeDocument/2006/relationships/hyperlink" Target="https://drive.google.com/uc?id=1sfDXTUPlIsBc1Vk9icpbfSk6ZhEeTXej" TargetMode="External"/><Relationship Id="rId73" Type="http://schemas.openxmlformats.org/officeDocument/2006/relationships/hyperlink" Target="https://drive.google.com/uc?id=1C4x15KweyUhJZm_Mdcu3BeQUeSq0QdF1" TargetMode="External"/><Relationship Id="rId72" Type="http://schemas.openxmlformats.org/officeDocument/2006/relationships/hyperlink" Target="https://drive.google.com/uc?id=1ZrH5RhKde70bJEUS-esAlMQlzC8rLu9C" TargetMode="External"/><Relationship Id="rId75" Type="http://schemas.openxmlformats.org/officeDocument/2006/relationships/hyperlink" Target="https://drive.google.com/uc?id=1vahkv9IE5t8iea_ucMrHmjANKonIDS8h" TargetMode="External"/><Relationship Id="rId74" Type="http://schemas.openxmlformats.org/officeDocument/2006/relationships/hyperlink" Target="https://drive.google.com/uc?id=1m5HgyXuJKofjgRIy8__um0sp1zjdzTLX" TargetMode="External"/><Relationship Id="rId77" Type="http://schemas.openxmlformats.org/officeDocument/2006/relationships/hyperlink" Target="https://drive.google.com/uc?id=1_g9Htq3wavqPYbb5DAVP5pKdRHLbolsJ" TargetMode="External"/><Relationship Id="rId76" Type="http://schemas.openxmlformats.org/officeDocument/2006/relationships/hyperlink" Target="https://drive.google.com/uc?id=1o0WN9iis2KVOLhnaQvC29-Ub_2dCuupo" TargetMode="External"/><Relationship Id="rId79" Type="http://schemas.openxmlformats.org/officeDocument/2006/relationships/hyperlink" Target="https://drive.google.com/uc?id=1bB-xHJzmses1byasoLZSUqflAgv70jkl" TargetMode="External"/><Relationship Id="rId78" Type="http://schemas.openxmlformats.org/officeDocument/2006/relationships/hyperlink" Target="https://drive.google.com/uc?id=1hcxFoQaN55KsqU5Zy1tAavvh_FRxEHlG" TargetMode="External"/><Relationship Id="rId939" Type="http://schemas.openxmlformats.org/officeDocument/2006/relationships/hyperlink" Target="https://drive.google.com/uc?id=18zc9VfAz143A86SQ6Jzi4TrPudOU1uxb" TargetMode="External"/><Relationship Id="rId938" Type="http://schemas.openxmlformats.org/officeDocument/2006/relationships/hyperlink" Target="https://drive.google.com/uc?id=1GTFid7xWcMPI3jNF3VHVXPliaxuB3ojY" TargetMode="External"/><Relationship Id="rId937" Type="http://schemas.openxmlformats.org/officeDocument/2006/relationships/hyperlink" Target="https://drive.google.com/uc?id=1WyvJU8PjEZ9f5-VOzVNqHWR2fGXX6sU5" TargetMode="External"/><Relationship Id="rId71" Type="http://schemas.openxmlformats.org/officeDocument/2006/relationships/hyperlink" Target="https://drive.google.com/file/d/110j4fqM1IDYjdLNdmgypqHi8RDUPlwNA/view?usp=sharing" TargetMode="External"/><Relationship Id="rId70" Type="http://schemas.openxmlformats.org/officeDocument/2006/relationships/hyperlink" Target="https://drive.google.com/uc?id=110-vFI5nvCYg_Gqp7HWc2tD-AToE6UhX" TargetMode="External"/><Relationship Id="rId932" Type="http://schemas.openxmlformats.org/officeDocument/2006/relationships/hyperlink" Target="https://drive.google.com/uc?id=1WZozoIbsSy-ZSd8Gb9u_gSFWFh7R1XIX/" TargetMode="External"/><Relationship Id="rId931" Type="http://schemas.openxmlformats.org/officeDocument/2006/relationships/hyperlink" Target="https://drive.google.com/uc?id=1PZEfCc2ie7nl-h0isjXu83JdcfbrCdb8" TargetMode="External"/><Relationship Id="rId930" Type="http://schemas.openxmlformats.org/officeDocument/2006/relationships/hyperlink" Target="https://drive.google.com/uc?id=1TZc4Hdqd03QvgZc4OUpYBw0Y3Q4MwFti" TargetMode="External"/><Relationship Id="rId936" Type="http://schemas.openxmlformats.org/officeDocument/2006/relationships/hyperlink" Target="https://drive.google.com/uc?id=12f9038FnWE5edmnKY0qlqtXa4cMRDEnt" TargetMode="External"/><Relationship Id="rId935" Type="http://schemas.openxmlformats.org/officeDocument/2006/relationships/hyperlink" Target="https://drive.google.com/uc?id=1T7T1WjXsw2hvng0aXA1Ak-CpSK5zcRpE" TargetMode="External"/><Relationship Id="rId934" Type="http://schemas.openxmlformats.org/officeDocument/2006/relationships/hyperlink" Target="https://drive.google.com/uc?id=16OwpjLtLLhCOp1BAqljhC_btLCXu4VTa" TargetMode="External"/><Relationship Id="rId933" Type="http://schemas.openxmlformats.org/officeDocument/2006/relationships/hyperlink" Target="https://drive.google.com/uc?id=1cVoNgjK3REvk6LeJdj7k1NX1JSm4bPXL" TargetMode="External"/><Relationship Id="rId62" Type="http://schemas.openxmlformats.org/officeDocument/2006/relationships/hyperlink" Target="https://drive.google.com/uc?id=1f68Tp8DJ2mlN2jOnYMCIZMRV_xZwWrk1" TargetMode="External"/><Relationship Id="rId1312" Type="http://schemas.openxmlformats.org/officeDocument/2006/relationships/hyperlink" Target="https://drive.google.com/uc?id=1tnm_QpIfrq7T2x75NenMDRwumJc_23vc" TargetMode="External"/><Relationship Id="rId61" Type="http://schemas.openxmlformats.org/officeDocument/2006/relationships/hyperlink" Target="https://drive.google.com/uc?id=1b9WhrV5iCnvPWxZusRREZk4QB3sqiF0N" TargetMode="External"/><Relationship Id="rId1313" Type="http://schemas.openxmlformats.org/officeDocument/2006/relationships/hyperlink" Target="https://drive.google.com/uc?id=1TE6UEsjHmYR5gUYhq0ijGechbFjSCME6" TargetMode="External"/><Relationship Id="rId64" Type="http://schemas.openxmlformats.org/officeDocument/2006/relationships/hyperlink" Target="https://drive.google.com/uc?id=16gEXWRrwgkB-hVr-TGpch-NBs21AhMmf" TargetMode="External"/><Relationship Id="rId1314" Type="http://schemas.openxmlformats.org/officeDocument/2006/relationships/hyperlink" Target="https://drive.google.com/uc?id=11LzQpWI1Bh0vTwDroYhJffS75krfDlhf" TargetMode="External"/><Relationship Id="rId63" Type="http://schemas.openxmlformats.org/officeDocument/2006/relationships/hyperlink" Target="https://drive.google.com/uc?id=1xS9RS0o693dD-VJX3ls65aR2-K6BAvBz" TargetMode="External"/><Relationship Id="rId1315" Type="http://schemas.openxmlformats.org/officeDocument/2006/relationships/hyperlink" Target="https://drive.google.com/uc?id=1UMqQ3alwtNJX1nGbdfJeF3pUQ1KKyaDp" TargetMode="External"/><Relationship Id="rId66" Type="http://schemas.openxmlformats.org/officeDocument/2006/relationships/hyperlink" Target="https://drive.google.com/uc?id=1FSSQOLWQLm44ah1oz0z_4xJ0TO7jvsBV" TargetMode="External"/><Relationship Id="rId1316" Type="http://schemas.openxmlformats.org/officeDocument/2006/relationships/hyperlink" Target="https://drive.google.com/uc?id=1DjTnJnD2zuW2JB4R6sQ2Nzqz4Wrxviyn" TargetMode="External"/><Relationship Id="rId65" Type="http://schemas.openxmlformats.org/officeDocument/2006/relationships/hyperlink" Target="https://drive.google.com/uc?id=1EnL_iQ72jAcU0RYyebNbvoUyMQmD4hML" TargetMode="External"/><Relationship Id="rId1317" Type="http://schemas.openxmlformats.org/officeDocument/2006/relationships/hyperlink" Target="https://drive.google.com/uc?id=1g_E5QMjgyqpo9c9YjUrmB2Tm5TzgTbVY" TargetMode="External"/><Relationship Id="rId68" Type="http://schemas.openxmlformats.org/officeDocument/2006/relationships/hyperlink" Target="https://drive.google.com/uc?id=1RAyLnAcYgMEoSRr1MzEFoOcoEl-efPT2" TargetMode="External"/><Relationship Id="rId1318" Type="http://schemas.openxmlformats.org/officeDocument/2006/relationships/hyperlink" Target="https://drive.google.com/uc?id=1Nuojzye61oddihPfoSYT-fqIgW34jj9U" TargetMode="External"/><Relationship Id="rId67" Type="http://schemas.openxmlformats.org/officeDocument/2006/relationships/hyperlink" Target="https://drive.google.com/uc?id=1zRMjgzj2Q10zu43mLsZWQbasrUiN5cG4" TargetMode="External"/><Relationship Id="rId1319" Type="http://schemas.openxmlformats.org/officeDocument/2006/relationships/hyperlink" Target="https://drive.google.com/uc?id=1F7u6d0TyyHE9EZTLCOT-7GgSliFSKYFx" TargetMode="External"/><Relationship Id="rId729" Type="http://schemas.openxmlformats.org/officeDocument/2006/relationships/hyperlink" Target="https://drive.google.com/uc?id=1yuV59rvOc4QE2PJBvFB0N4Xn1XgrKo27" TargetMode="External"/><Relationship Id="rId728" Type="http://schemas.openxmlformats.org/officeDocument/2006/relationships/hyperlink" Target="https://drive.google.com/uc?id=1MyLqnDINPTdWnEZiXMmzHs3DxXJTGokl" TargetMode="External"/><Relationship Id="rId60" Type="http://schemas.openxmlformats.org/officeDocument/2006/relationships/hyperlink" Target="https://drive.google.com/uc?id=1DbXSq9nGVuu5MUChAlpQF-6ExsYtzY3_" TargetMode="External"/><Relationship Id="rId723" Type="http://schemas.openxmlformats.org/officeDocument/2006/relationships/hyperlink" Target="https://drive.google.com/uc?id=1lc7PiI6IVxenIW7ezo915vaITfklzHJP" TargetMode="External"/><Relationship Id="rId965" Type="http://schemas.openxmlformats.org/officeDocument/2006/relationships/hyperlink" Target="https://drive.google.com/uc?id=1Iu-qVPOAhEC8rAtmtZE2b93pDrTeuY0J" TargetMode="External"/><Relationship Id="rId722" Type="http://schemas.openxmlformats.org/officeDocument/2006/relationships/hyperlink" Target="https://drive.google.com/uc?id=1lkKffJheRLaP1MGKUZgEUnJ7830_B_oE" TargetMode="External"/><Relationship Id="rId964" Type="http://schemas.openxmlformats.org/officeDocument/2006/relationships/hyperlink" Target="https://drive.google.com/uc?id=1ccLf74r3BlL46qEkMb-JndXpxaXl0GaN" TargetMode="External"/><Relationship Id="rId721" Type="http://schemas.openxmlformats.org/officeDocument/2006/relationships/hyperlink" Target="https://drive.google.com/uc?id=1lnl6wLHlkmX91Z8h3Gothbf40wONSZip" TargetMode="External"/><Relationship Id="rId963" Type="http://schemas.openxmlformats.org/officeDocument/2006/relationships/hyperlink" Target="https://drive.google.com/uc?id=1imgoC_Orn-h8cdSp9_E11a9WjVwWh3Fj/" TargetMode="External"/><Relationship Id="rId720" Type="http://schemas.openxmlformats.org/officeDocument/2006/relationships/hyperlink" Target="https://drive.google.com/uc?id=1lodSkeUD2I9nBTk9rBAefxb6wvwNAYr-" TargetMode="External"/><Relationship Id="rId962" Type="http://schemas.openxmlformats.org/officeDocument/2006/relationships/hyperlink" Target="https://drive.google.com/uc?id=1-WL_kTL1a2sxisfskC-erjlW2-lq4Gqk" TargetMode="External"/><Relationship Id="rId727" Type="http://schemas.openxmlformats.org/officeDocument/2006/relationships/hyperlink" Target="https://drive.google.com/uc?id=1lCa8Ez4AOTiyvapv3MOo6bBE4RcwvlFa" TargetMode="External"/><Relationship Id="rId969" Type="http://schemas.openxmlformats.org/officeDocument/2006/relationships/hyperlink" Target="https://drive.google.com/uc?id=1i0ees5l6D6XaMLQJrtl1S4j-T0LlHPyC" TargetMode="External"/><Relationship Id="rId726" Type="http://schemas.openxmlformats.org/officeDocument/2006/relationships/hyperlink" Target="https://drive.google.com/uc?id=1lStLsOm32ij1hkpGXtNHjWwAHxcgTmtA" TargetMode="External"/><Relationship Id="rId968" Type="http://schemas.openxmlformats.org/officeDocument/2006/relationships/hyperlink" Target="https://drive.google.com/uc?id=1i286mtpoGapH_WN4_sQm0tmjzBjL1NZm" TargetMode="External"/><Relationship Id="rId725" Type="http://schemas.openxmlformats.org/officeDocument/2006/relationships/hyperlink" Target="https://drive.google.com/uc?id=1lXGFb4ZAmL4yrcG9w_o1n4d5XfiSj-xT" TargetMode="External"/><Relationship Id="rId967" Type="http://schemas.openxmlformats.org/officeDocument/2006/relationships/hyperlink" Target="https://drive.google.com/uc?id=1nOh8cHXgMkdXySG_enYRMAWGwxKE1jTQ" TargetMode="External"/><Relationship Id="rId724" Type="http://schemas.openxmlformats.org/officeDocument/2006/relationships/hyperlink" Target="https://drive.google.com/uc?id=1l_oB9VcMfBlj3yWl6SBpLoo_TYdNswPS" TargetMode="External"/><Relationship Id="rId966" Type="http://schemas.openxmlformats.org/officeDocument/2006/relationships/hyperlink" Target="https://drive.google.com/uc?id=1v9XX1s7VpY7xY1XtUfcogOP4wKh00ZHv" TargetMode="External"/><Relationship Id="rId69" Type="http://schemas.openxmlformats.org/officeDocument/2006/relationships/hyperlink" Target="https://drive.google.com/uc?id=10rRnSPlzDGitFI7zPAXBOPRgtj9XLjDy" TargetMode="External"/><Relationship Id="rId961" Type="http://schemas.openxmlformats.org/officeDocument/2006/relationships/hyperlink" Target="https://drive.google.com/uc?id=1UmbQmvD8pHhlR3DPZEWeZq9aCDIYe4MV" TargetMode="External"/><Relationship Id="rId960" Type="http://schemas.openxmlformats.org/officeDocument/2006/relationships/hyperlink" Target="https://drive.google.com/uc?id=1WBvLEvedFx4OeZVTnysPFYP95pw8DTbi" TargetMode="External"/><Relationship Id="rId1310" Type="http://schemas.openxmlformats.org/officeDocument/2006/relationships/hyperlink" Target="https://drive.google.com/uc?id=1i7f80kNVPAtlGfUJXQBnCJDhkP6NzC7R" TargetMode="External"/><Relationship Id="rId1311" Type="http://schemas.openxmlformats.org/officeDocument/2006/relationships/hyperlink" Target="https://drive.google.com/uc?id=1tnm_QpIfrq7T2x75NenMDRwumJc_23vc" TargetMode="External"/><Relationship Id="rId51" Type="http://schemas.openxmlformats.org/officeDocument/2006/relationships/hyperlink" Target="https://drive.google.com/uc?id=1xOIaqHxFMM8MI2DYyW6t7Rt741a_Yken" TargetMode="External"/><Relationship Id="rId1301" Type="http://schemas.openxmlformats.org/officeDocument/2006/relationships/hyperlink" Target="https://drive.google.com/uc?id=1oXWwFGBkPmrDkinmj-KfWK2laauq64Ui" TargetMode="External"/><Relationship Id="rId50" Type="http://schemas.openxmlformats.org/officeDocument/2006/relationships/hyperlink" Target="https://drive.google.com/uc?id=1AMsuiiTqi9zr_Gej1cssiMmKtz6EbUo7" TargetMode="External"/><Relationship Id="rId1302" Type="http://schemas.openxmlformats.org/officeDocument/2006/relationships/hyperlink" Target="https://drive.google.com/uc?id=1m1K1hROXmaCI75FNso1O3Rog1Miwzu0n" TargetMode="External"/><Relationship Id="rId53" Type="http://schemas.openxmlformats.org/officeDocument/2006/relationships/hyperlink" Target="https://drive.google.com/uc?id=1OEZnBVLYhigrYSiTZSvhph-x5N23As5P" TargetMode="External"/><Relationship Id="rId1303" Type="http://schemas.openxmlformats.org/officeDocument/2006/relationships/hyperlink" Target="https://drive.google.com/uc?id=1k0qLfE1-I1h1bsrSgCV4RFf3apmAxH-2" TargetMode="External"/><Relationship Id="rId52" Type="http://schemas.openxmlformats.org/officeDocument/2006/relationships/hyperlink" Target="https://drive.google.com/uc?id=1CVtawuksuaENcjH6EPhx5LNgjRIcdcZh" TargetMode="External"/><Relationship Id="rId1304" Type="http://schemas.openxmlformats.org/officeDocument/2006/relationships/hyperlink" Target="https://drive.google.com/uc?id=1CguiWaU6ra0vhz5T_4EHhMZzt_Pd1tV7" TargetMode="External"/><Relationship Id="rId55" Type="http://schemas.openxmlformats.org/officeDocument/2006/relationships/hyperlink" Target="https://drive.google.com/uc?id=14G0c5d0mo9ialOLK_ZNZjfX-vJU_eeMY" TargetMode="External"/><Relationship Id="rId1305" Type="http://schemas.openxmlformats.org/officeDocument/2006/relationships/hyperlink" Target="https://drive.google.com/uc?id=12aihLHUNK7npmm6xe9YXPkt3tGhFgmkB" TargetMode="External"/><Relationship Id="rId54" Type="http://schemas.openxmlformats.org/officeDocument/2006/relationships/hyperlink" Target="https://drive.google.com/uc?id=1bpIBlusLYzG5u5kMHX0WfhmxUKef12Cl" TargetMode="External"/><Relationship Id="rId1306" Type="http://schemas.openxmlformats.org/officeDocument/2006/relationships/hyperlink" Target="https://drive.google.com/uc?id=1UzDWw7HW4KMP6Pbe7amoSYy71egL9QnO" TargetMode="External"/><Relationship Id="rId57" Type="http://schemas.openxmlformats.org/officeDocument/2006/relationships/hyperlink" Target="https://drive.google.com/uc?id=1EHuM_n7vOPm49ROb3p5qyr_y4h9KUvgn" TargetMode="External"/><Relationship Id="rId1307" Type="http://schemas.openxmlformats.org/officeDocument/2006/relationships/hyperlink" Target="https://drive.google.com/uc?id=147S5JbDny-tyIHA4a2HI6fkjIVtLXXDH" TargetMode="External"/><Relationship Id="rId56" Type="http://schemas.openxmlformats.org/officeDocument/2006/relationships/hyperlink" Target="https://drive.google.com/uc?id=10Omi5Qq0xmQLGGR0-C0H7ZVTA2qW6gfO" TargetMode="External"/><Relationship Id="rId1308" Type="http://schemas.openxmlformats.org/officeDocument/2006/relationships/hyperlink" Target="https://drive.google.com/uc?id=17GSkmf7AV5UQmplTGFBYEwdVKG-H9fil" TargetMode="External"/><Relationship Id="rId1309" Type="http://schemas.openxmlformats.org/officeDocument/2006/relationships/hyperlink" Target="https://drive.google.com/uc?id=1La5l0EC-20HavpjoYZRacvRo48FkE3Y1" TargetMode="External"/><Relationship Id="rId719" Type="http://schemas.openxmlformats.org/officeDocument/2006/relationships/hyperlink" Target="https://drive.google.com/uc?id=1lviPbDO_8W-SrvKr9LruB0313tStYHmt" TargetMode="External"/><Relationship Id="rId718" Type="http://schemas.openxmlformats.org/officeDocument/2006/relationships/hyperlink" Target="https://drive.google.com/uc?id=1m1wAj_r4xmWEx8mU53u-I1rg3Fhspkj7" TargetMode="External"/><Relationship Id="rId717" Type="http://schemas.openxmlformats.org/officeDocument/2006/relationships/hyperlink" Target="https://drive.google.com/uc?id=1m2tXF1bfTvyKCWe09qPKZD3G4awaCO9l" TargetMode="External"/><Relationship Id="rId959" Type="http://schemas.openxmlformats.org/officeDocument/2006/relationships/hyperlink" Target="https://drive.google.com/uc?id=169saVWpg8E-JYldN-FKmwC63xrZm5NJa" TargetMode="External"/><Relationship Id="rId712" Type="http://schemas.openxmlformats.org/officeDocument/2006/relationships/hyperlink" Target="https://drive.google.com/uc?id=1mP8sftX5xYDEisngOmBny3hS1BkCyRAK" TargetMode="External"/><Relationship Id="rId954" Type="http://schemas.openxmlformats.org/officeDocument/2006/relationships/hyperlink" Target="https://drive.google.com/uc?id=1HoHXXUBa3xZvotw14fuOswaue3zsW5TZ" TargetMode="External"/><Relationship Id="rId711" Type="http://schemas.openxmlformats.org/officeDocument/2006/relationships/hyperlink" Target="https://drive.google.com/uc?id=1mQMO8BHNJtR6TftZ4tc7ZNNAgp3bBmo9" TargetMode="External"/><Relationship Id="rId953" Type="http://schemas.openxmlformats.org/officeDocument/2006/relationships/hyperlink" Target="https://drive.google.com/uc?id=1HoHXXUBa3xZvotw14fuOswaue3zsW5TZ" TargetMode="External"/><Relationship Id="rId710" Type="http://schemas.openxmlformats.org/officeDocument/2006/relationships/hyperlink" Target="https://drive.google.com/uc?id=1mQZ2cv90AsYkb7YeaP5N13N9p9i8A9Jl" TargetMode="External"/><Relationship Id="rId952" Type="http://schemas.openxmlformats.org/officeDocument/2006/relationships/hyperlink" Target="https://drive.google.com/uc?id=1-x9n_z9upYyul6RqW2VhKmOcIqj_TIz9/" TargetMode="External"/><Relationship Id="rId951" Type="http://schemas.openxmlformats.org/officeDocument/2006/relationships/hyperlink" Target="https://drive.google.com/uc?id=11GsbGfT-lQ1Q6LAo87F8y2FfKxXsBwSW/" TargetMode="External"/><Relationship Id="rId716" Type="http://schemas.openxmlformats.org/officeDocument/2006/relationships/hyperlink" Target="https://drive.google.com/uc?id=1m4wN9yYKfeuxosRR1DPpwCVSZ6YsBDH5" TargetMode="External"/><Relationship Id="rId958" Type="http://schemas.openxmlformats.org/officeDocument/2006/relationships/hyperlink" Target="https://drive.google.com/uc?id=1Z4OnXkB4LSoqOEVL3JC5nr3JlLSkwcw3" TargetMode="External"/><Relationship Id="rId715" Type="http://schemas.openxmlformats.org/officeDocument/2006/relationships/hyperlink" Target="https://drive.google.com/uc?id=1mCFMNbtFw7e5yJKxM3OMmkkhKguqZ656" TargetMode="External"/><Relationship Id="rId957" Type="http://schemas.openxmlformats.org/officeDocument/2006/relationships/hyperlink" Target="https://drive.google.com/uc?id=1a5UIwVYExmv3I52ACJjCsl7twVXGaT5r" TargetMode="External"/><Relationship Id="rId714" Type="http://schemas.openxmlformats.org/officeDocument/2006/relationships/hyperlink" Target="https://drive.google.com/uc?id=1mDAwQgP8KzfCJ9x08wOXvbdivg022UAv" TargetMode="External"/><Relationship Id="rId956" Type="http://schemas.openxmlformats.org/officeDocument/2006/relationships/hyperlink" Target="https://drive.google.com/uc?id=1cSCUc42h7PBPnP1A8ZRIu7ewI8kszzDH" TargetMode="External"/><Relationship Id="rId713" Type="http://schemas.openxmlformats.org/officeDocument/2006/relationships/hyperlink" Target="https://drive.google.com/uc?id=1mF0_Y7-VBDYou9qe14bpuEZrqQ2U1NHO" TargetMode="External"/><Relationship Id="rId955" Type="http://schemas.openxmlformats.org/officeDocument/2006/relationships/hyperlink" Target="https://drive.google.com/uc?id=1KEVDHkvrjbQ20wFO3kXkR61mUqmTz4l9" TargetMode="External"/><Relationship Id="rId59" Type="http://schemas.openxmlformats.org/officeDocument/2006/relationships/hyperlink" Target="https://drive.google.com/uc?id=1_KQMRmFW87Lh-Bg4VJ8fBGXQF_g9x8Bs" TargetMode="External"/><Relationship Id="rId58" Type="http://schemas.openxmlformats.org/officeDocument/2006/relationships/hyperlink" Target="https://drive.google.com/uc?id=1XvnN6LQ1c2APIPX4xuBWzohBcdY8wJA1" TargetMode="External"/><Relationship Id="rId950" Type="http://schemas.openxmlformats.org/officeDocument/2006/relationships/hyperlink" Target="https://drive.google.com/uc?id=1UZHis0I96Zs8GdZquDx-WrnF5Joe3VOD" TargetMode="External"/><Relationship Id="rId1300" Type="http://schemas.openxmlformats.org/officeDocument/2006/relationships/hyperlink" Target="https://drive.google.com/uc?id=1Vk7vH8lg7ETRxxt97pCb1enECYZjtPGW" TargetMode="External"/><Relationship Id="rId590" Type="http://schemas.openxmlformats.org/officeDocument/2006/relationships/hyperlink" Target="https://drive.google.com/uc?id=13wq-RaGj7JrhsbG4MlMzZuiD_hALAM7t" TargetMode="External"/><Relationship Id="rId107" Type="http://schemas.openxmlformats.org/officeDocument/2006/relationships/hyperlink" Target="http://drive.google.com/uc?id=1fww6oqn9WI0VMo3Om3Qn1PKGrdh9L5aC" TargetMode="External"/><Relationship Id="rId349" Type="http://schemas.openxmlformats.org/officeDocument/2006/relationships/hyperlink" Target="https://drive.google.com/uc?id=1HnTcB3kg3CxCryl6raDTt-qEi_Vn7BIG" TargetMode="External"/><Relationship Id="rId106" Type="http://schemas.openxmlformats.org/officeDocument/2006/relationships/hyperlink" Target="http://drive.google.com/uc?id=1tCj-WtXCHGy68rco-7heZKaSM5vup5up" TargetMode="External"/><Relationship Id="rId348" Type="http://schemas.openxmlformats.org/officeDocument/2006/relationships/hyperlink" Target="https://drive.google.com/uc?id=1dxWFo2LJShDQLNb8eMvb0FVV_ddnECqW" TargetMode="External"/><Relationship Id="rId105" Type="http://schemas.openxmlformats.org/officeDocument/2006/relationships/hyperlink" Target="http://drive.google.com/uc?id=1bztit6sT6hrNM_v6tWDlIU73EDgD4-Ay" TargetMode="External"/><Relationship Id="rId347" Type="http://schemas.openxmlformats.org/officeDocument/2006/relationships/hyperlink" Target="https://drive.google.com/uc?id=1D4RFDACob-2yylsYBEa0tZlAUz4SpvG_" TargetMode="External"/><Relationship Id="rId589" Type="http://schemas.openxmlformats.org/officeDocument/2006/relationships/hyperlink" Target="https://drive.google.com/uc?id=1TLKQx2NMZERmzAbI7Dwv1u9oBUnWi2J-" TargetMode="External"/><Relationship Id="rId104" Type="http://schemas.openxmlformats.org/officeDocument/2006/relationships/hyperlink" Target="http://drive.google.com/uc?id=1lvUqp00An5pikW0LewiRZuxbn_1nl121" TargetMode="External"/><Relationship Id="rId346" Type="http://schemas.openxmlformats.org/officeDocument/2006/relationships/hyperlink" Target="https://drive.google.com/file/d/1B8kyD2w6mHyvUX1SlO0CWJ65CjoOIEmj/view?usp=sharing" TargetMode="External"/><Relationship Id="rId588" Type="http://schemas.openxmlformats.org/officeDocument/2006/relationships/hyperlink" Target="https://drive.google.com/uc?id=1bDGR0Us7L3DkLho4ivweMeRLuzznwsWK" TargetMode="External"/><Relationship Id="rId109" Type="http://schemas.openxmlformats.org/officeDocument/2006/relationships/hyperlink" Target="http://drive.google.com/uc?id=14hYiZQWeuymbeRf48Cns0MNL6psCF3pk" TargetMode="External"/><Relationship Id="rId1170" Type="http://schemas.openxmlformats.org/officeDocument/2006/relationships/hyperlink" Target="https://drive.google.com/uc?id=1V3G9mjcFVFmoGiniHNX1jKjVXVLH40mB" TargetMode="External"/><Relationship Id="rId108" Type="http://schemas.openxmlformats.org/officeDocument/2006/relationships/hyperlink" Target="http://drive.google.com/uc?id=1zs06eksziFmwl2RgFhb8s3d8OI-H92Bq" TargetMode="External"/><Relationship Id="rId1171" Type="http://schemas.openxmlformats.org/officeDocument/2006/relationships/hyperlink" Target="https://drive.google.com/uc?id=1DzmK4AyuJuw-WINV6iNTL27OQf0J7JeR" TargetMode="External"/><Relationship Id="rId341" Type="http://schemas.openxmlformats.org/officeDocument/2006/relationships/hyperlink" Target="https://drive.google.com/uc?id=1Z8KS0tiQwfoYHk2YM0UKtmzWeBiiu7TH" TargetMode="External"/><Relationship Id="rId583" Type="http://schemas.openxmlformats.org/officeDocument/2006/relationships/hyperlink" Target="https://drive.google.com/uc?id=1h6-W249LtQ1GKMZMBPTg4hR2XcGa5I-_" TargetMode="External"/><Relationship Id="rId1172" Type="http://schemas.openxmlformats.org/officeDocument/2006/relationships/hyperlink" Target="https://drive.google.com/uc?id=1eyn0KEnzG3_8XfKsyYwHQg6eYQPob9cM" TargetMode="External"/><Relationship Id="rId340" Type="http://schemas.openxmlformats.org/officeDocument/2006/relationships/hyperlink" Target="https://drive.google.com/uc?id=1UW8NCR39ef7E3VdU0qLB555QZm8CvBL5/" TargetMode="External"/><Relationship Id="rId582" Type="http://schemas.openxmlformats.org/officeDocument/2006/relationships/hyperlink" Target="https://drive.google.com/uc?id=1hC9fHP1Cr5l10ozkuRS7Qz4D_SZ2Vhcn" TargetMode="External"/><Relationship Id="rId1173" Type="http://schemas.openxmlformats.org/officeDocument/2006/relationships/hyperlink" Target="https://drive.google.com/uc?id=15Ycpxsj650gmnxeCFWNSFO5Lf0mqTZLu" TargetMode="External"/><Relationship Id="rId581" Type="http://schemas.openxmlformats.org/officeDocument/2006/relationships/hyperlink" Target="https://drive.google.com/uc?id=1fdhPi1YC0KQV1Acibh_LSVoPe7o56LVL" TargetMode="External"/><Relationship Id="rId1174" Type="http://schemas.openxmlformats.org/officeDocument/2006/relationships/hyperlink" Target="https://drive.google.com/uc?id=1nSiLsZt-IdKajhj-_j64jkmTrNH1H2Bl" TargetMode="External"/><Relationship Id="rId580" Type="http://schemas.openxmlformats.org/officeDocument/2006/relationships/hyperlink" Target="https://drive.google.com/uc?id=1HciWLdaB_3Bl8Achvnz7vWwuwdlDYhNK" TargetMode="External"/><Relationship Id="rId1175" Type="http://schemas.openxmlformats.org/officeDocument/2006/relationships/hyperlink" Target="https://drive.google.com/uc?id=1egGnDtWjVP-msjvaXon2-9_OaUe1uGrj" TargetMode="External"/><Relationship Id="rId103" Type="http://schemas.openxmlformats.org/officeDocument/2006/relationships/hyperlink" Target="http://drive.google.com/uc?id=1LoOSuVYEQ8Hag7erHAYUrR-WwYK8aGwO" TargetMode="External"/><Relationship Id="rId345" Type="http://schemas.openxmlformats.org/officeDocument/2006/relationships/hyperlink" Target="https://drive.google.com/uc?id=1l777RsVWEXjo6reQ9e9eKzCOLGGdDukX" TargetMode="External"/><Relationship Id="rId587" Type="http://schemas.openxmlformats.org/officeDocument/2006/relationships/hyperlink" Target="https://drive.google.com/uc?id=1r6mw9JMur82xpUMCf8uqsLS5f5DtCvap" TargetMode="External"/><Relationship Id="rId1176" Type="http://schemas.openxmlformats.org/officeDocument/2006/relationships/hyperlink" Target="https://drive.google.com/uc?id=10GrdVD2F5sudHkUejgorM7lEI-UMl7xd" TargetMode="External"/><Relationship Id="rId102" Type="http://schemas.openxmlformats.org/officeDocument/2006/relationships/hyperlink" Target="https://drive.google.com/uc?id=1wN-FOl4A17m437ulTW6-smUGVmdA8ZMV" TargetMode="External"/><Relationship Id="rId344" Type="http://schemas.openxmlformats.org/officeDocument/2006/relationships/hyperlink" Target="https://drive.google.com/uc?id=1aqEY0lNcsrWKDCQaZgCfH-BBhi4c_Dwv" TargetMode="External"/><Relationship Id="rId586" Type="http://schemas.openxmlformats.org/officeDocument/2006/relationships/hyperlink" Target="https://drive.google.com/uc?id=16JWpNq5LeckWfeRWqA6mrJqC2r-aXiUI" TargetMode="External"/><Relationship Id="rId1177" Type="http://schemas.openxmlformats.org/officeDocument/2006/relationships/hyperlink" Target="https://drive.google.com/uc?id=18yYEiTx-AB2ixGMWgBnBVmtGHmXB0KQE" TargetMode="External"/><Relationship Id="rId101" Type="http://schemas.openxmlformats.org/officeDocument/2006/relationships/hyperlink" Target="https://drive.google.com/uc?id=18irvmmZbxNleH9MWRS9ggopbEmZFB256" TargetMode="External"/><Relationship Id="rId343" Type="http://schemas.openxmlformats.org/officeDocument/2006/relationships/hyperlink" Target="https://drive.google.com/uc?id=1Jz5cltIvowm3YP7QbE8xp3V8flbsvI_o" TargetMode="External"/><Relationship Id="rId585" Type="http://schemas.openxmlformats.org/officeDocument/2006/relationships/hyperlink" Target="https://drive.google.com/uc?id=1h1ChqqQVenyuSbktz2dzyqRz5IoF1nMi" TargetMode="External"/><Relationship Id="rId1178" Type="http://schemas.openxmlformats.org/officeDocument/2006/relationships/hyperlink" Target="https://drive.google.com/uc?id=1tZ-3E0N-bzgPdL1eKEx6caWmBKIjricg" TargetMode="External"/><Relationship Id="rId100" Type="http://schemas.openxmlformats.org/officeDocument/2006/relationships/hyperlink" Target="https://drive.google.com/uc?id=13B8-3VIFYVdi2kUTFjcQY7gR9lpD5fwf" TargetMode="External"/><Relationship Id="rId342" Type="http://schemas.openxmlformats.org/officeDocument/2006/relationships/hyperlink" Target="https://drive.google.com/uc?id=1MbzF4tIB2QEfFg8ipOQGRe2jASKn3r88" TargetMode="External"/><Relationship Id="rId584" Type="http://schemas.openxmlformats.org/officeDocument/2006/relationships/hyperlink" Target="https://drive.google.com/uc?id=1h44ivh2Q2dayrshjpdFPB0YWrAgqhtsY" TargetMode="External"/><Relationship Id="rId1179" Type="http://schemas.openxmlformats.org/officeDocument/2006/relationships/hyperlink" Target="https://drive.google.com/uc?id=1ipCBBQVsqD5alviB_XMIpamXWqgbhLAg" TargetMode="External"/><Relationship Id="rId1169" Type="http://schemas.openxmlformats.org/officeDocument/2006/relationships/hyperlink" Target="https://drive.google.com/uc?id=1N-77Rl-EDzBR3sPbDAdxxApVH6H7kDyX" TargetMode="External"/><Relationship Id="rId338" Type="http://schemas.openxmlformats.org/officeDocument/2006/relationships/hyperlink" Target="https://drive.google.com/uc?id=1k4mmmyoV6EzCGYf8FzRr3g2tN6d1kFzx3" TargetMode="External"/><Relationship Id="rId337" Type="http://schemas.openxmlformats.org/officeDocument/2006/relationships/hyperlink" Target="https://drive.google.com/uc?id=11GT8TvrIvAmxaOEYOknwixHteodWTcZN" TargetMode="External"/><Relationship Id="rId579" Type="http://schemas.openxmlformats.org/officeDocument/2006/relationships/hyperlink" Target="https://drive.google.com/uc?id=1hND5mFzBpBghPRwGUEzcQ8Jg1ztvS_po" TargetMode="External"/><Relationship Id="rId336" Type="http://schemas.openxmlformats.org/officeDocument/2006/relationships/hyperlink" Target="https://drive.google.com/uc?id=1jQ5zMEEaz5K01Qs3mwdCv0VepdvzavjC" TargetMode="External"/><Relationship Id="rId578" Type="http://schemas.openxmlformats.org/officeDocument/2006/relationships/hyperlink" Target="https://drive.google.com/uc?id=1hF_rsWMW7U1m4a52scXEIwYnHN486o50" TargetMode="External"/><Relationship Id="rId335" Type="http://schemas.openxmlformats.org/officeDocument/2006/relationships/hyperlink" Target="https://drive.google.com/uc?id=1Ur-iBvypNK_vlbrjkZ1almkNgGQPZjfn/" TargetMode="External"/><Relationship Id="rId577" Type="http://schemas.openxmlformats.org/officeDocument/2006/relationships/hyperlink" Target="https://drive.google.com/uc?id=1hDW1GV2wI2yUeQQmrMA6sP2nB_1hB0e2" TargetMode="External"/><Relationship Id="rId339" Type="http://schemas.openxmlformats.org/officeDocument/2006/relationships/hyperlink" Target="https://drive.google.com/file/d/1pY4LBGOpc2pFLnLn8tYbAWoNyBob7d8n/view?usp=sharing" TargetMode="External"/><Relationship Id="rId1160" Type="http://schemas.openxmlformats.org/officeDocument/2006/relationships/hyperlink" Target="https://drive.google.com/uc?id=1uWeMs6zvasaOzd8oTViU1OQBIo642DQz" TargetMode="External"/><Relationship Id="rId330" Type="http://schemas.openxmlformats.org/officeDocument/2006/relationships/hyperlink" Target="https://drive.google.com/uc?id=1r8AhvaXNJSfm64P0I4-S-t-R8Xl3SNsB" TargetMode="External"/><Relationship Id="rId572" Type="http://schemas.openxmlformats.org/officeDocument/2006/relationships/hyperlink" Target="https://drive.google.com/uc?id=1fhQASu3QAy051fI_TGzqOsjK8ymEN2QC" TargetMode="External"/><Relationship Id="rId1161" Type="http://schemas.openxmlformats.org/officeDocument/2006/relationships/hyperlink" Target="https://drive.google.com/uc?id=1FoKfSA3tirHBPS6tQmOAabEk4baZkbBR" TargetMode="External"/><Relationship Id="rId571" Type="http://schemas.openxmlformats.org/officeDocument/2006/relationships/hyperlink" Target="https://drive.google.com/uc?id=1KlTPIRjVkID6EPdmvPV-becG_wXQNw_l" TargetMode="External"/><Relationship Id="rId1162" Type="http://schemas.openxmlformats.org/officeDocument/2006/relationships/hyperlink" Target="https://drive.google.com/uc?id=1AdGKQjg0rUxRrHb0ZIFXKzUqLjymUlSF" TargetMode="External"/><Relationship Id="rId570" Type="http://schemas.openxmlformats.org/officeDocument/2006/relationships/hyperlink" Target="https://drive.google.com/uc?id=1AFi-rB6wgZfEw52JWmyaAHw9iP4xqJnj" TargetMode="External"/><Relationship Id="rId1163" Type="http://schemas.openxmlformats.org/officeDocument/2006/relationships/hyperlink" Target="https://drive.google.com/uc?id=1oqwo1ku_-_BloHRrAx2MCl43q-3bfGRV" TargetMode="External"/><Relationship Id="rId1164" Type="http://schemas.openxmlformats.org/officeDocument/2006/relationships/hyperlink" Target="https://drive.google.com/uc?id=1dIMo_eOf_vc5fYaOLRrk0gsASkB0PwT1" TargetMode="External"/><Relationship Id="rId334" Type="http://schemas.openxmlformats.org/officeDocument/2006/relationships/hyperlink" Target="https://drive.google.com/uc?id=1OFPmPrsqpArXVtkNNqLv9mmqmxHAo46J" TargetMode="External"/><Relationship Id="rId576" Type="http://schemas.openxmlformats.org/officeDocument/2006/relationships/hyperlink" Target="https://drive.google.com/uc?id=1hD3yqcNyd7aOClM8KDY0rM7N2eSglzF1" TargetMode="External"/><Relationship Id="rId1165" Type="http://schemas.openxmlformats.org/officeDocument/2006/relationships/hyperlink" Target="https://drive.google.com/uc?id=1MKfICqSseDf0F1SCa5y6n54oWXAmHDSf" TargetMode="External"/><Relationship Id="rId333" Type="http://schemas.openxmlformats.org/officeDocument/2006/relationships/hyperlink" Target="https://drive.google.com/uc?id=1FacTGgZQr_6eeiQBeF4aTz0ICQfHBx9-" TargetMode="External"/><Relationship Id="rId575" Type="http://schemas.openxmlformats.org/officeDocument/2006/relationships/hyperlink" Target="https://drive.google.com/uc?id=1cTWQNNl85uihbwpVlEmQgCHgNnWdXFTj" TargetMode="External"/><Relationship Id="rId1166" Type="http://schemas.openxmlformats.org/officeDocument/2006/relationships/hyperlink" Target="https://drive.google.com/uc?id=1vIgF7v6038wSJdZvQ-kiuzrVMLgNfAga" TargetMode="External"/><Relationship Id="rId332" Type="http://schemas.openxmlformats.org/officeDocument/2006/relationships/hyperlink" Target="https://drive.google.com/uc?id=1-lsG5PLoLWGKoAu8iXcVh2vx3nnOPF1L" TargetMode="External"/><Relationship Id="rId574" Type="http://schemas.openxmlformats.org/officeDocument/2006/relationships/hyperlink" Target="https://drive.google.com/uc?id=1DKnv6coIkBmZiG0BagQ-IoUOQCFlxAoN" TargetMode="External"/><Relationship Id="rId1167" Type="http://schemas.openxmlformats.org/officeDocument/2006/relationships/hyperlink" Target="https://drive.google.com/uc?id=1jvj1r8JN-aG8d1agua8JALI8jL-KuFnI" TargetMode="External"/><Relationship Id="rId331" Type="http://schemas.openxmlformats.org/officeDocument/2006/relationships/hyperlink" Target="https://drive.google.com/uc?id=1_fZh5Xfip6jZqxDYRnUby8w_9rZMFgyj" TargetMode="External"/><Relationship Id="rId573" Type="http://schemas.openxmlformats.org/officeDocument/2006/relationships/hyperlink" Target="https://drive.google.com/uc?id=1CgwqMy1uNPm0NAAgo4_PRuu8cglJzcJE" TargetMode="External"/><Relationship Id="rId1168" Type="http://schemas.openxmlformats.org/officeDocument/2006/relationships/hyperlink" Target="https://drive.google.com/uc?id=1HfyvqgwYP18jZ5XT1h4afND2whUzk2cw" TargetMode="External"/><Relationship Id="rId370" Type="http://schemas.openxmlformats.org/officeDocument/2006/relationships/hyperlink" Target="https://drive.google.com/uc?id=1iAHzrsgICoXa6_qLYze9xLJVjrayaW-v" TargetMode="External"/><Relationship Id="rId129" Type="http://schemas.openxmlformats.org/officeDocument/2006/relationships/hyperlink" Target="http://drive.google.com/uc?id=1_jo7B5A5xKENR37jsqRFxCoC4casIHnZ" TargetMode="External"/><Relationship Id="rId128" Type="http://schemas.openxmlformats.org/officeDocument/2006/relationships/hyperlink" Target="http://drive.google.com/uc?id=1WsQVPLBIokqljz7WiBSfS4dySGeBtu1q" TargetMode="External"/><Relationship Id="rId127" Type="http://schemas.openxmlformats.org/officeDocument/2006/relationships/hyperlink" Target="http://drive.google.com/uc?id=1DqT6GvFjPwsrCUOzpLJeD_UEyx12tY2A" TargetMode="External"/><Relationship Id="rId369" Type="http://schemas.openxmlformats.org/officeDocument/2006/relationships/hyperlink" Target="https://drive.google.com/uc?id=10k7RpIuUh-VjP4cL3asijFU9vbY7mXcB" TargetMode="External"/><Relationship Id="rId126" Type="http://schemas.openxmlformats.org/officeDocument/2006/relationships/hyperlink" Target="http://drive.google.com/uc?id=1wrpxWmCL0YtpzkWnQkhohJWG1fEX6cCg" TargetMode="External"/><Relationship Id="rId368" Type="http://schemas.openxmlformats.org/officeDocument/2006/relationships/hyperlink" Target="https://drive.google.com/uc?id=1Pgd8pGC0_3uqhgiVYIUIXS8mdMFHEB6G" TargetMode="External"/><Relationship Id="rId1190" Type="http://schemas.openxmlformats.org/officeDocument/2006/relationships/hyperlink" Target="https://drive.google.com/uc?id=1wfk4xloXUyLUkBqJwiR0KWm2Zu00h5eZ" TargetMode="External"/><Relationship Id="rId1191" Type="http://schemas.openxmlformats.org/officeDocument/2006/relationships/hyperlink" Target="https://drive.google.com/file/d/18fhIfIaFSCbEcpr9eEyedAedxSahM_m6/view" TargetMode="External"/><Relationship Id="rId1192" Type="http://schemas.openxmlformats.org/officeDocument/2006/relationships/hyperlink" Target="https://drive.google.com/uc?id=1KsyOHzwIEhVucjbMOkQX__x1voSifBcM" TargetMode="External"/><Relationship Id="rId1193" Type="http://schemas.openxmlformats.org/officeDocument/2006/relationships/hyperlink" Target="https://drive.google.com/uc?id=1vJWzW3VMjbVhri21pUZFAcnRY6EqNPHQ" TargetMode="External"/><Relationship Id="rId121" Type="http://schemas.openxmlformats.org/officeDocument/2006/relationships/hyperlink" Target="http://drive.google.com/uc?id=1naq2j6vp660Sl2GA-z0mE_FI_Sc7ooVF" TargetMode="External"/><Relationship Id="rId363" Type="http://schemas.openxmlformats.org/officeDocument/2006/relationships/hyperlink" Target="https://drive.google.com/uc?id=1uOvlIVoltSw7Viql3ZZlURi7b-G_Ipqw" TargetMode="External"/><Relationship Id="rId1194" Type="http://schemas.openxmlformats.org/officeDocument/2006/relationships/hyperlink" Target="https://drive.google.com/uc?id=1hP3kBkckDepE87RnVtNacYsCI8JEMtCH" TargetMode="External"/><Relationship Id="rId120" Type="http://schemas.openxmlformats.org/officeDocument/2006/relationships/hyperlink" Target="http://drive.google.com/uc?id=1TV7hOotMg1fKO7tBxw_TuAEXit-Xy1Sb" TargetMode="External"/><Relationship Id="rId362" Type="http://schemas.openxmlformats.org/officeDocument/2006/relationships/hyperlink" Target="https://drive.google.com/uc?id=1LERj0hVn-46KntyPsTOmecEwmt4l-jaV" TargetMode="External"/><Relationship Id="rId1195" Type="http://schemas.openxmlformats.org/officeDocument/2006/relationships/hyperlink" Target="https://drive.google.com/uc?id=1shSyJX9pmNgBb9lVvPOO9n-8z0ZQPPKP" TargetMode="External"/><Relationship Id="rId361" Type="http://schemas.openxmlformats.org/officeDocument/2006/relationships/hyperlink" Target="https://drive.google.com/uc?id=1IKTG2jeEq2yL50-rhYbDpbNwVlvSH-oq" TargetMode="External"/><Relationship Id="rId1196" Type="http://schemas.openxmlformats.org/officeDocument/2006/relationships/hyperlink" Target="https://drive.google.com/uc?id=1FAtazvuXSbdDwuUPfWnEpvCJXIj2y1EO" TargetMode="External"/><Relationship Id="rId360" Type="http://schemas.openxmlformats.org/officeDocument/2006/relationships/hyperlink" Target="https://drive.google.com/uc?id=1qIU_bIoaEbggGuKjkyCPDGZqxcA08jOF" TargetMode="External"/><Relationship Id="rId1197" Type="http://schemas.openxmlformats.org/officeDocument/2006/relationships/hyperlink" Target="https://drive.google.com/uc?id=1c4SYA5K92d7IOowYoUk6o_cCNVp7Z4El" TargetMode="External"/><Relationship Id="rId125" Type="http://schemas.openxmlformats.org/officeDocument/2006/relationships/hyperlink" Target="http://drive.google.com/uc?id=1zjQgkCbALE2AeuKV5e-Rwid1_olLaQSY" TargetMode="External"/><Relationship Id="rId367" Type="http://schemas.openxmlformats.org/officeDocument/2006/relationships/hyperlink" Target="https://drive.google.com/uc?id=1ES4GXJc2Q1TN4wWAgVP2Xftk3gjVWpMZ" TargetMode="External"/><Relationship Id="rId1198" Type="http://schemas.openxmlformats.org/officeDocument/2006/relationships/hyperlink" Target="https://drive.google.com/uc?id=1yMatLVsseL2egoSlHrjS3oFK-d8ZdwEb" TargetMode="External"/><Relationship Id="rId124" Type="http://schemas.openxmlformats.org/officeDocument/2006/relationships/hyperlink" Target="http://drive.google.com/uc?id=1ETu5299qOoW-jjHimkribpv_c_epK24k" TargetMode="External"/><Relationship Id="rId366" Type="http://schemas.openxmlformats.org/officeDocument/2006/relationships/hyperlink" Target="https://drive.google.com/uc?id=1t6Odp_NDNzu59SgDLV8PcyOaienlaqpe" TargetMode="External"/><Relationship Id="rId1199" Type="http://schemas.openxmlformats.org/officeDocument/2006/relationships/hyperlink" Target="https://drive.google.com/uc?id=1CVEMzSodsEn07YgEOosfOqF3uYFb5HcK" TargetMode="External"/><Relationship Id="rId123" Type="http://schemas.openxmlformats.org/officeDocument/2006/relationships/hyperlink" Target="http://drive.google.com/uc?id=1DmzhEWf0CqKpZCjHYOF2esPPynP-ywhm" TargetMode="External"/><Relationship Id="rId365" Type="http://schemas.openxmlformats.org/officeDocument/2006/relationships/hyperlink" Target="https://drive.google.com/uc?id=1CQohhieF6a_zRV9QNijIvU3b3KszkIDd" TargetMode="External"/><Relationship Id="rId122" Type="http://schemas.openxmlformats.org/officeDocument/2006/relationships/hyperlink" Target="http://drive.google.com/uc?id=19_tNinhUTj9xD4YMjeKwsqtmUj4aYpQ9" TargetMode="External"/><Relationship Id="rId364" Type="http://schemas.openxmlformats.org/officeDocument/2006/relationships/hyperlink" Target="https://drive.google.com/uc?id=1TYeKXCUITBxmVPYT4EYckJ4bL1aWUwNo" TargetMode="External"/><Relationship Id="rId95" Type="http://schemas.openxmlformats.org/officeDocument/2006/relationships/hyperlink" Target="https://drive.google.com/uc?id=1T9Hv-niIfxjsQtsCM4XDX7MmS_emO1gU" TargetMode="External"/><Relationship Id="rId94" Type="http://schemas.openxmlformats.org/officeDocument/2006/relationships/hyperlink" Target="https://drive.google.com/uc?id=18QBuFf4bulkHDZfDz4aFTgjqW0XORPM4" TargetMode="External"/><Relationship Id="rId97" Type="http://schemas.openxmlformats.org/officeDocument/2006/relationships/hyperlink" Target="https://drive.google.com/uc?id=1On3GRGFBQ1TkSRxUmu_R970hNNJKzIjh" TargetMode="External"/><Relationship Id="rId96" Type="http://schemas.openxmlformats.org/officeDocument/2006/relationships/hyperlink" Target="https://drive.google.com/uc?id=1qHpkzhFCkDfM4bDEEUcPmRBkGAiDOsvd" TargetMode="External"/><Relationship Id="rId99" Type="http://schemas.openxmlformats.org/officeDocument/2006/relationships/hyperlink" Target="https://drive.google.com/uc?id=1AR5ro3o7q8LrGIjmfoUs8n2hCvhhL2ji" TargetMode="External"/><Relationship Id="rId98" Type="http://schemas.openxmlformats.org/officeDocument/2006/relationships/hyperlink" Target="https://drive.google.com/uc?id=1mNqNeooEAXeL6BYbmuXHQffyAqL7eHr6" TargetMode="External"/><Relationship Id="rId91" Type="http://schemas.openxmlformats.org/officeDocument/2006/relationships/hyperlink" Target="https://drive.google.com/uc?id=1yNGulezjGqe0N2jmmMiHGS1MIfpRA4kJ" TargetMode="External"/><Relationship Id="rId90" Type="http://schemas.openxmlformats.org/officeDocument/2006/relationships/hyperlink" Target="https://drive.google.com/uc?id=1vzmeYEm3sVxaLyiHQ0AAB8ijM0bgjdDd" TargetMode="External"/><Relationship Id="rId93" Type="http://schemas.openxmlformats.org/officeDocument/2006/relationships/hyperlink" Target="https://drive.google.com/uc?id=1HDBGY26xcscsUtBORaotoHsWv0pyUjFM" TargetMode="External"/><Relationship Id="rId92" Type="http://schemas.openxmlformats.org/officeDocument/2006/relationships/hyperlink" Target="https://drive.google.com/uc?id=1S-OvJQDMMY3n0zbRdR7JrTJmkWuL-PlH" TargetMode="External"/><Relationship Id="rId118" Type="http://schemas.openxmlformats.org/officeDocument/2006/relationships/hyperlink" Target="http://drive.google.com/uc?id=1xneRrRsGiC-khngV9GAFLZZgSqCao7n-" TargetMode="External"/><Relationship Id="rId117" Type="http://schemas.openxmlformats.org/officeDocument/2006/relationships/hyperlink" Target="http://drive.google.com/uc?id=1tXWu3WVPuoUQ8NRRF_2f-yrYd1_gkYYR" TargetMode="External"/><Relationship Id="rId359" Type="http://schemas.openxmlformats.org/officeDocument/2006/relationships/hyperlink" Target="https://drive.google.com/uc?id=1VoAqFOmbT9RfT2RhuJGmrnO9isZ2m6ei" TargetMode="External"/><Relationship Id="rId116" Type="http://schemas.openxmlformats.org/officeDocument/2006/relationships/hyperlink" Target="http://drive.google.com/uc?id=1PgRjpZYbZd86sOxkgh3OOExHClCx6z7b" TargetMode="External"/><Relationship Id="rId358" Type="http://schemas.openxmlformats.org/officeDocument/2006/relationships/hyperlink" Target="https://drive.google.com/uc?id=1q0QMV6w0jO8uTc1hjmKr5rjfvvEGjZIh" TargetMode="External"/><Relationship Id="rId115" Type="http://schemas.openxmlformats.org/officeDocument/2006/relationships/hyperlink" Target="http://drive.google.com/uc?id=1nYKpkqdJE3Luj0p_cyGCaMXjq0HjQ_dd" TargetMode="External"/><Relationship Id="rId357" Type="http://schemas.openxmlformats.org/officeDocument/2006/relationships/hyperlink" Target="https://drive.google.com/uc?id=1uEoLjgndN1DesJfwQCPnZSk6UY4Iacpc" TargetMode="External"/><Relationship Id="rId599" Type="http://schemas.openxmlformats.org/officeDocument/2006/relationships/hyperlink" Target="https://drive.google.com/uc?id=1gkSQlH-bGcktg75sqaBuKoa7zcPPLT2f" TargetMode="External"/><Relationship Id="rId1180" Type="http://schemas.openxmlformats.org/officeDocument/2006/relationships/hyperlink" Target="https://drive.google.com/file/d/1ihUzdqwLusgQqDhdTudj3CkArIjiOpE6/view?usp=sharing" TargetMode="External"/><Relationship Id="rId1181" Type="http://schemas.openxmlformats.org/officeDocument/2006/relationships/hyperlink" Target="https://drive.google.com/uc?id=1WjFSmUKiyMoZnCw_AXziMmgmh2OUPb-C" TargetMode="External"/><Relationship Id="rId119" Type="http://schemas.openxmlformats.org/officeDocument/2006/relationships/hyperlink" Target="http://drive.google.com/uc?id=1Y1vVYr1znAujTbtvstGECz81Vp5Vq3HZ" TargetMode="External"/><Relationship Id="rId1182" Type="http://schemas.openxmlformats.org/officeDocument/2006/relationships/hyperlink" Target="https://drive.google.com/uc?id=1TqerK8Q4CjN-8tq_x3llKUVxko9ABJ12" TargetMode="External"/><Relationship Id="rId110" Type="http://schemas.openxmlformats.org/officeDocument/2006/relationships/hyperlink" Target="http://drive.google.com/uc?id=1QMm3IJqR6METAkgIzp50XUgs3ke1dGDI" TargetMode="External"/><Relationship Id="rId352" Type="http://schemas.openxmlformats.org/officeDocument/2006/relationships/hyperlink" Target="https://drive.google.com/uc?id=1tN54yyzJKKZt8Y-LdXps2un0GhzEiKui" TargetMode="External"/><Relationship Id="rId594" Type="http://schemas.openxmlformats.org/officeDocument/2006/relationships/hyperlink" Target="https://drive.google.com/uc?id=1oYvfVQBZ1IN9F51nK3D-_Cp2fMQ3LrdJ" TargetMode="External"/><Relationship Id="rId1183" Type="http://schemas.openxmlformats.org/officeDocument/2006/relationships/hyperlink" Target="https://drive.google.com/uc?id=1b79dCNJObRsjf_S3ZoymCEE5AvLtuA9v" TargetMode="External"/><Relationship Id="rId351" Type="http://schemas.openxmlformats.org/officeDocument/2006/relationships/hyperlink" Target="https://drive.google.com/uc?id=1PNttM05alLGfilRtneOXrg6o7mwPbSxh" TargetMode="External"/><Relationship Id="rId593" Type="http://schemas.openxmlformats.org/officeDocument/2006/relationships/hyperlink" Target="https://drive.google.com/uc?id=17rewtHKUNXEwcS3Rii2nGBeI6QOnwkY4" TargetMode="External"/><Relationship Id="rId1184" Type="http://schemas.openxmlformats.org/officeDocument/2006/relationships/hyperlink" Target="https://drive.google.com/uc?id=13pcu0FQQKDoXSkZfyGnZ3wc2ykat_KK_" TargetMode="External"/><Relationship Id="rId350" Type="http://schemas.openxmlformats.org/officeDocument/2006/relationships/hyperlink" Target="https://drive.google.com/uc?id=1jXA69eobc_4FGHuYoqz3rXbSKzOUHaCs" TargetMode="External"/><Relationship Id="rId592" Type="http://schemas.openxmlformats.org/officeDocument/2006/relationships/hyperlink" Target="https://drive.google.com/uc?id=18hEgwAiZxzxrKhNW1oD-1CIaPS2MgFPS" TargetMode="External"/><Relationship Id="rId1185" Type="http://schemas.openxmlformats.org/officeDocument/2006/relationships/hyperlink" Target="https://drive.google.com/uc?id=1_MsrQpca3qtKqsSCKORRx4Dgpc_YQMcL" TargetMode="External"/><Relationship Id="rId591" Type="http://schemas.openxmlformats.org/officeDocument/2006/relationships/hyperlink" Target="https://drive.google.com/uc?id=1QSrTmF296Ov20br5T-MrSPYhDP6vSRer" TargetMode="External"/><Relationship Id="rId1186" Type="http://schemas.openxmlformats.org/officeDocument/2006/relationships/hyperlink" Target="https://drive.google.com/uc?id=18PJ8v1xR5lvhQtBMEEUjhDej_yABEjR2" TargetMode="External"/><Relationship Id="rId114" Type="http://schemas.openxmlformats.org/officeDocument/2006/relationships/hyperlink" Target="http://drive.google.com/uc?id=1owVTYC5rqtSp2U7nLgfYbBFEp1JiULLi" TargetMode="External"/><Relationship Id="rId356" Type="http://schemas.openxmlformats.org/officeDocument/2006/relationships/hyperlink" Target="https://drive.google.com/uc?id=1LTJU5rMtakjU31PAKSmIhzfjOb7kVR9w" TargetMode="External"/><Relationship Id="rId598" Type="http://schemas.openxmlformats.org/officeDocument/2006/relationships/hyperlink" Target="https://drive.google.com/uc?id=1gksz365dOe61tc_4LhqQxEg6M0wjtmKL" TargetMode="External"/><Relationship Id="rId1187" Type="http://schemas.openxmlformats.org/officeDocument/2006/relationships/hyperlink" Target="https://drive.google.com/uc?id=1CWfhGHsBmL9c5MKjYjcvVlbEdDTDcObd" TargetMode="External"/><Relationship Id="rId113" Type="http://schemas.openxmlformats.org/officeDocument/2006/relationships/hyperlink" Target="http://drive.google.com/uc?id=1JZZ10S0Du83HdZxuLDqSzKkUFGqI9tKC" TargetMode="External"/><Relationship Id="rId355" Type="http://schemas.openxmlformats.org/officeDocument/2006/relationships/hyperlink" Target="https://drive.google.com/uc?id=1Vsyc2zUfAkWp8QogJWeASob-qAs1s7aM" TargetMode="External"/><Relationship Id="rId597" Type="http://schemas.openxmlformats.org/officeDocument/2006/relationships/hyperlink" Target="https://drive.google.com/uc?id=1gl6G-PdL_LuHb2_aFTELpB1vu4vXi765" TargetMode="External"/><Relationship Id="rId1188" Type="http://schemas.openxmlformats.org/officeDocument/2006/relationships/hyperlink" Target="https://drive.google.com/uc?id=1PmhbIuXxSpKWIo74vAOaGHblvHBozl1A" TargetMode="External"/><Relationship Id="rId112" Type="http://schemas.openxmlformats.org/officeDocument/2006/relationships/hyperlink" Target="http://drive.google.com/uc?id=1yARrQSniqRfdsaigdzaPbYoTbjMbLxSW" TargetMode="External"/><Relationship Id="rId354" Type="http://schemas.openxmlformats.org/officeDocument/2006/relationships/hyperlink" Target="https://drive.google.com/uc?id=1_x1vZDNwBRPOD10lEIeYHODliT5u6tO_" TargetMode="External"/><Relationship Id="rId596" Type="http://schemas.openxmlformats.org/officeDocument/2006/relationships/hyperlink" Target="https://drive.google.com/uc?id=1gnRX_IWHwBn4V7wga4cCbAr2WE1LMTTr" TargetMode="External"/><Relationship Id="rId1189" Type="http://schemas.openxmlformats.org/officeDocument/2006/relationships/hyperlink" Target="https://drive.google.com/uc?id=1tt73cf76RyV7CR60i3zr-fTFBCIrU8Gz" TargetMode="External"/><Relationship Id="rId111" Type="http://schemas.openxmlformats.org/officeDocument/2006/relationships/hyperlink" Target="http://drive.google.com/uc?id=16pVWdK-Sdp7Bwg9N7hAVaElOv_lfExDL" TargetMode="External"/><Relationship Id="rId353" Type="http://schemas.openxmlformats.org/officeDocument/2006/relationships/hyperlink" Target="https://drive.google.com/uc?id=15ywB3QglI5tEEUyumKJLczEFmpeAzzEE" TargetMode="External"/><Relationship Id="rId595" Type="http://schemas.openxmlformats.org/officeDocument/2006/relationships/hyperlink" Target="https://drive.google.com/uc?id=1gopfYkJxUV8G-n2DfarenF6Ktko0Esuf" TargetMode="External"/><Relationship Id="rId1136" Type="http://schemas.openxmlformats.org/officeDocument/2006/relationships/hyperlink" Target="https://drive.google.com/uc?id=18q5hDbQ680DIz4ou6GpI86EmSiGcVRYw" TargetMode="External"/><Relationship Id="rId1378" Type="http://schemas.openxmlformats.org/officeDocument/2006/relationships/hyperlink" Target="https://drive.google.com/uc?id=1L48RFyv9b84lg_kRts0AuvoNY1Rrwln4" TargetMode="External"/><Relationship Id="rId1137" Type="http://schemas.openxmlformats.org/officeDocument/2006/relationships/hyperlink" Target="https://drive.google.com/uc?id=1z8cpJpVEKK_lK8M_L_fDAFnVyVz3ut_N" TargetMode="External"/><Relationship Id="rId1379" Type="http://schemas.openxmlformats.org/officeDocument/2006/relationships/hyperlink" Target="https://drive.google.com/uc?id=1qsuyEMgBMNgJYcE8KShs-GhHmIFxL4X-" TargetMode="External"/><Relationship Id="rId1138" Type="http://schemas.openxmlformats.org/officeDocument/2006/relationships/hyperlink" Target="https://drive.google.com/file/d/1jGplyqHF1N0IizSZYZHJ3U11dua9zgN-/view?usp=sharing" TargetMode="External"/><Relationship Id="rId1139" Type="http://schemas.openxmlformats.org/officeDocument/2006/relationships/hyperlink" Target="https://drive.google.com/uc?id=1gJB-m3lv7C-7Q7yi1hts7oPvZ9GyV35F" TargetMode="External"/><Relationship Id="rId305" Type="http://schemas.openxmlformats.org/officeDocument/2006/relationships/hyperlink" Target="https://drive.google.com/uc?id=16-dA0x0p6RehUPAC_JjBv6lre2ZiCfpO" TargetMode="External"/><Relationship Id="rId547" Type="http://schemas.openxmlformats.org/officeDocument/2006/relationships/hyperlink" Target="https://drive.google.com/uc?id=149RHDeZw7TY0Gi2rFAKjNWU2GxwwNM8U" TargetMode="External"/><Relationship Id="rId789" Type="http://schemas.openxmlformats.org/officeDocument/2006/relationships/hyperlink" Target="https://drive.google.com/uc?id=1SfSgAixSo7hIFk3T3UBgI1E_BOsgigeP" TargetMode="External"/><Relationship Id="rId304" Type="http://schemas.openxmlformats.org/officeDocument/2006/relationships/hyperlink" Target="https://drive.google.com/uc?id=169_XGW1WmpuJddCem3iR-cfuHP1AsF69" TargetMode="External"/><Relationship Id="rId546" Type="http://schemas.openxmlformats.org/officeDocument/2006/relationships/hyperlink" Target="https://drive.google.com/uc?id=1eqmnxfqeR1vcmXJ7LVUyo8OMijvbe_za" TargetMode="External"/><Relationship Id="rId788" Type="http://schemas.openxmlformats.org/officeDocument/2006/relationships/hyperlink" Target="https://drive.google.com/1UIQMMaRFHNhcfRLVwKTv5FUkSbRMipKZuc?id=" TargetMode="External"/><Relationship Id="rId303" Type="http://schemas.openxmlformats.org/officeDocument/2006/relationships/hyperlink" Target="https://drive.google.com/uc?id=1LKUuKtHcZPSrzL4cKnX-99xPQQRiBDFH" TargetMode="External"/><Relationship Id="rId545" Type="http://schemas.openxmlformats.org/officeDocument/2006/relationships/hyperlink" Target="https://drive.google.com/uc?id=1-Vm_nNAKEyymEIqu6CTAOoFTT5nrdvXT" TargetMode="External"/><Relationship Id="rId787" Type="http://schemas.openxmlformats.org/officeDocument/2006/relationships/hyperlink" Target="https://drive.google.com/uc?id=1U6OtS4Vh2md6-7XF2UckE20KWTSXJ-Kr" TargetMode="External"/><Relationship Id="rId302" Type="http://schemas.openxmlformats.org/officeDocument/2006/relationships/hyperlink" Target="https://drive.google.com/uc?id=1yB157tGRLtehnGaefhqV9GYonbZg4CUc" TargetMode="External"/><Relationship Id="rId544" Type="http://schemas.openxmlformats.org/officeDocument/2006/relationships/hyperlink" Target="https://drive.google.com/uc?id=1A26M0NZ0kW1LdrlJH9mwcj9DsKdBq1by" TargetMode="External"/><Relationship Id="rId786" Type="http://schemas.openxmlformats.org/officeDocument/2006/relationships/hyperlink" Target="https://drive.google.com/uc?id=1U3ouc6JCEHcgsvaJZ5zkLMn_uR2jkNre" TargetMode="External"/><Relationship Id="rId309" Type="http://schemas.openxmlformats.org/officeDocument/2006/relationships/hyperlink" Target="https://drive.google.com/uc?id=1ip_0Gipt5RSClu2Dfp2PX7nl9PK2RwSD" TargetMode="External"/><Relationship Id="rId308" Type="http://schemas.openxmlformats.org/officeDocument/2006/relationships/hyperlink" Target="https://drive.google.com/uc?id=1RUrqxVhjgp4PaVc9W5jDYO7qBgkwwDV7" TargetMode="External"/><Relationship Id="rId307" Type="http://schemas.openxmlformats.org/officeDocument/2006/relationships/hyperlink" Target="https://drive.google.com/uc?id=1lRNoFcKcEDEjMHxJNUSUZ4JDEuNtyPVy" TargetMode="External"/><Relationship Id="rId549" Type="http://schemas.openxmlformats.org/officeDocument/2006/relationships/hyperlink" Target="https://drive.google.com/uc?id=1y4yhRQSNl39IPcwGZgn04QxDh_wIWK-a" TargetMode="External"/><Relationship Id="rId306" Type="http://schemas.openxmlformats.org/officeDocument/2006/relationships/hyperlink" Target="https://drive.google.com/uc?id=1AJpEFfgkUaOxTaZeM5YsYlN9PrbtYvWQ" TargetMode="External"/><Relationship Id="rId548" Type="http://schemas.openxmlformats.org/officeDocument/2006/relationships/hyperlink" Target="https://drive.google.com/uc?id=1jowSdOOmVX_M5LBQ-4hVXDYOreA7urCp" TargetMode="External"/><Relationship Id="rId781" Type="http://schemas.openxmlformats.org/officeDocument/2006/relationships/hyperlink" Target="https://drive.google.com/uc?id=1TY0wdV1TwADA1iojA3mnUDmqM9BkaOPF" TargetMode="External"/><Relationship Id="rId1370" Type="http://schemas.openxmlformats.org/officeDocument/2006/relationships/hyperlink" Target="https://drive.google.com/uc?id=15wXJu330uIuB0eYmMAIx0DOr65AkWKG5" TargetMode="External"/><Relationship Id="rId780" Type="http://schemas.openxmlformats.org/officeDocument/2006/relationships/hyperlink" Target="https://drive.google.com/uc?id=1Kn9c0V_xPC6TX4GG5A6NVuObCneEE4ax" TargetMode="External"/><Relationship Id="rId1371" Type="http://schemas.openxmlformats.org/officeDocument/2006/relationships/hyperlink" Target="https://drive.google.com/uc?id=12bQs3m9utm-nrOghyki2hQ48V_M_Ql9B" TargetMode="External"/><Relationship Id="rId1130" Type="http://schemas.openxmlformats.org/officeDocument/2006/relationships/hyperlink" Target="https://drive.google.com/uc?id=1LwoZV0bTZ34FS98QSe8-YTjqGbgcdhfQ" TargetMode="External"/><Relationship Id="rId1372" Type="http://schemas.openxmlformats.org/officeDocument/2006/relationships/hyperlink" Target="https://drive.google.com/uc?id=1JwUWx-VqmyXynq2GpfoYpdvAY0DW-jIc" TargetMode="External"/><Relationship Id="rId1131" Type="http://schemas.openxmlformats.org/officeDocument/2006/relationships/hyperlink" Target="https://drive.google.com/uc?id=1wm6RyPKv7C_GdmVJQD8JUYVCVDyljBhz" TargetMode="External"/><Relationship Id="rId1373" Type="http://schemas.openxmlformats.org/officeDocument/2006/relationships/hyperlink" Target="https://drive.google.com/uc?id=14o2wBZtgmwbdZIwtgyBypCNG2FbumZmT" TargetMode="External"/><Relationship Id="rId301" Type="http://schemas.openxmlformats.org/officeDocument/2006/relationships/hyperlink" Target="https://drive.google.com/uc?id=1UTb37_gHyT8vKol9NeRw3QWnpw1VXtzz" TargetMode="External"/><Relationship Id="rId543" Type="http://schemas.openxmlformats.org/officeDocument/2006/relationships/hyperlink" Target="https://drive.google.com/uc?id=1m5VlroQA_KBICzEHqMEwkJ8iB0j3JmS2" TargetMode="External"/><Relationship Id="rId785" Type="http://schemas.openxmlformats.org/officeDocument/2006/relationships/hyperlink" Target="https://drive.google.com/uc?id=1GjgzhETAWKT4F5D7_YX3ciSCG9rotmLO" TargetMode="External"/><Relationship Id="rId1132" Type="http://schemas.openxmlformats.org/officeDocument/2006/relationships/hyperlink" Target="https://drive.google.com/uc?id=1jOwv49wmIyzOvJmKVCeu2qtXOicn9hdT" TargetMode="External"/><Relationship Id="rId1374" Type="http://schemas.openxmlformats.org/officeDocument/2006/relationships/hyperlink" Target="https://drive.google.com/uc?id=1Qvf7sloWxJeAhqZGH0a2Y7gKeR30CVkV" TargetMode="External"/><Relationship Id="rId300" Type="http://schemas.openxmlformats.org/officeDocument/2006/relationships/hyperlink" Target="https://drive.google.com/uc?id=1ahI-p5QF_Bk4gx8rxnQT5deZgQMJED9f" TargetMode="External"/><Relationship Id="rId542" Type="http://schemas.openxmlformats.org/officeDocument/2006/relationships/hyperlink" Target="https://drive.google.com/uc?id=1lG6G8iaVqCadjw7zPcQg4uNKmjma3q-A" TargetMode="External"/><Relationship Id="rId784" Type="http://schemas.openxmlformats.org/officeDocument/2006/relationships/hyperlink" Target="https://drive.google.com/uc?id=1-SYUeMDexCITfJb8Znn8z2zBDgR2x94-" TargetMode="External"/><Relationship Id="rId1133" Type="http://schemas.openxmlformats.org/officeDocument/2006/relationships/hyperlink" Target="https://drive.google.com/uc?id=1CpuO_44JPmuidBBo80HTN0frFzZWrS86" TargetMode="External"/><Relationship Id="rId1375" Type="http://schemas.openxmlformats.org/officeDocument/2006/relationships/hyperlink" Target="https://drive.google.com/uc?id=1YnBJlCYxyVR7A1vkjT4CPrX1glQHxHlo" TargetMode="External"/><Relationship Id="rId541" Type="http://schemas.openxmlformats.org/officeDocument/2006/relationships/hyperlink" Target="https://drive.google.com/uc?id=1EkxLoUaBCtf_ScA6oIT1lo3kjP8OCAnm" TargetMode="External"/><Relationship Id="rId783" Type="http://schemas.openxmlformats.org/officeDocument/2006/relationships/hyperlink" Target="https://drive.google.com/uc?id=1wVOcGMZ3NwC_huO1ZDuYB_LfRaovh_L_" TargetMode="External"/><Relationship Id="rId1134" Type="http://schemas.openxmlformats.org/officeDocument/2006/relationships/hyperlink" Target="https://drive.google.com/uc?id=1WJbM3Nl1eG2I2q5jcNp_NVFUOheONjOD" TargetMode="External"/><Relationship Id="rId1376" Type="http://schemas.openxmlformats.org/officeDocument/2006/relationships/hyperlink" Target="https://drive.google.com/uc?id=10A8Dn2tKq_AB5u-4ISo8mW1Ytbn7bJi4" TargetMode="External"/><Relationship Id="rId540" Type="http://schemas.openxmlformats.org/officeDocument/2006/relationships/hyperlink" Target="https://drive.google.com/uc?id=1RpSSF0wHF-xjUKIqV_3Gw33UK-LfTrmj" TargetMode="External"/><Relationship Id="rId782" Type="http://schemas.openxmlformats.org/officeDocument/2006/relationships/hyperlink" Target="https://drive.google.com/uc?id=1-s4lViTKlFohrm__9FU4WpjNLVmP6-6R" TargetMode="External"/><Relationship Id="rId1135" Type="http://schemas.openxmlformats.org/officeDocument/2006/relationships/hyperlink" Target="https://drive.google.com/uc?id=1jDouZlAIpo0_UehC3u4BvEfXhNFkvgk3" TargetMode="External"/><Relationship Id="rId1377" Type="http://schemas.openxmlformats.org/officeDocument/2006/relationships/hyperlink" Target="https://drive.google.com/uc?id=1JNpf1nI5toBNZ47DS8sbIXHRXQh0mr9u" TargetMode="External"/><Relationship Id="rId1125" Type="http://schemas.openxmlformats.org/officeDocument/2006/relationships/hyperlink" Target="https://drive.google.com/uc?id=16xVpgsfJaQgj89QhrsOYBTbUBQDyV4tg" TargetMode="External"/><Relationship Id="rId1367" Type="http://schemas.openxmlformats.org/officeDocument/2006/relationships/hyperlink" Target="https://drive.google.com/uc?id=1sZP4QLki8yIGhvqmr6dCszjs9tqfFXzf" TargetMode="External"/><Relationship Id="rId1126" Type="http://schemas.openxmlformats.org/officeDocument/2006/relationships/hyperlink" Target="https://drive.google.com/uc?id=1zFIA1_kOe9OFQ3bRlnjLANzPjme8sAdy" TargetMode="External"/><Relationship Id="rId1368" Type="http://schemas.openxmlformats.org/officeDocument/2006/relationships/hyperlink" Target="https://drive.google.com/uc?id=1as75wBhDACdqZmOKE_TVR6OT9KanMslR" TargetMode="External"/><Relationship Id="rId1127" Type="http://schemas.openxmlformats.org/officeDocument/2006/relationships/hyperlink" Target="https://drive.google.com/uc?id=1SDo75XnM5eQrkBsqWqnCbAzjOOkyFx1b" TargetMode="External"/><Relationship Id="rId1369" Type="http://schemas.openxmlformats.org/officeDocument/2006/relationships/hyperlink" Target="https://drive.google.com/uc?id=1wLSoK3sOeJe_ox5PW4cDwNCJqxUjRG5s" TargetMode="External"/><Relationship Id="rId1128" Type="http://schemas.openxmlformats.org/officeDocument/2006/relationships/hyperlink" Target="https://drive.google.com/uc?id=1NrwOkoqDCst2E5zgz77HeppnM8rMD-lM" TargetMode="External"/><Relationship Id="rId1129" Type="http://schemas.openxmlformats.org/officeDocument/2006/relationships/hyperlink" Target="https://drive.google.com/uc?id=1CYy26sBqRhg00jfsE5ZNxn0xb2WJ9HBC" TargetMode="External"/><Relationship Id="rId536" Type="http://schemas.openxmlformats.org/officeDocument/2006/relationships/hyperlink" Target="https://drive.google.com/uc?id=12zO9S_U74-1tBaPc1C-EzQRX1VB7blpP" TargetMode="External"/><Relationship Id="rId778" Type="http://schemas.openxmlformats.org/officeDocument/2006/relationships/hyperlink" Target="https://drive.google.com/uc?id=1Skw0Ug4yB5NRTFToGp9eRrnOc69y2m1K" TargetMode="External"/><Relationship Id="rId535" Type="http://schemas.openxmlformats.org/officeDocument/2006/relationships/hyperlink" Target="https://drive.google.com/uc?id=1W76-7UP7V7Be_FnYVOHAV4gl9ufdKxgv" TargetMode="External"/><Relationship Id="rId777" Type="http://schemas.openxmlformats.org/officeDocument/2006/relationships/hyperlink" Target="https://drive.google.com/uc?id=15Uxi0yF5tqjYkTadKlc1SoYoXhG4rk8c" TargetMode="External"/><Relationship Id="rId534" Type="http://schemas.openxmlformats.org/officeDocument/2006/relationships/hyperlink" Target="https://drive.google.com/uc?id=1ZbmL7k7EjJXver0x-_5QK_kI3PeH6W-S" TargetMode="External"/><Relationship Id="rId776" Type="http://schemas.openxmlformats.org/officeDocument/2006/relationships/hyperlink" Target="https://drive.google.com/uc?id=1qDyZ3XepOUe3rXasbPjnrbBqrLU6CI1b" TargetMode="External"/><Relationship Id="rId533" Type="http://schemas.openxmlformats.org/officeDocument/2006/relationships/hyperlink" Target="https://drive.google.com/uc?id=1ysZFgjQPJSE6z_6xQwSw8OokWTMuVXgs" TargetMode="External"/><Relationship Id="rId775" Type="http://schemas.openxmlformats.org/officeDocument/2006/relationships/hyperlink" Target="https://drive.google.com/uc?id=1YiOb8uPGqC4HltGxxpB6DuSuaHGSfdnz" TargetMode="External"/><Relationship Id="rId539" Type="http://schemas.openxmlformats.org/officeDocument/2006/relationships/hyperlink" Target="https://drive.google.com/uc?id=1dAPSetz6JmnIFT5wEHknR950t0jKAT8p" TargetMode="External"/><Relationship Id="rId538" Type="http://schemas.openxmlformats.org/officeDocument/2006/relationships/hyperlink" Target="https://drive.google.com/uc?id=1wctQ2x2NZgRBr_Mn1bdfmXGpS0hPR7Da" TargetMode="External"/><Relationship Id="rId537" Type="http://schemas.openxmlformats.org/officeDocument/2006/relationships/hyperlink" Target="https://drive.google.com/uc?id=1TRSDH-46HV51eWSRgQLN63_MOp4iQvrn" TargetMode="External"/><Relationship Id="rId779" Type="http://schemas.openxmlformats.org/officeDocument/2006/relationships/hyperlink" Target="https://drive.google.com/uc?id=1vWZ4txXKKVK3UDfyg--HdD8Vk__hDJZv" TargetMode="External"/><Relationship Id="rId770" Type="http://schemas.openxmlformats.org/officeDocument/2006/relationships/hyperlink" Target="https://drive.google.com/uc?id=1ATSELfMBPYmylDCIXol2Z6Myez44F3uG" TargetMode="External"/><Relationship Id="rId1360" Type="http://schemas.openxmlformats.org/officeDocument/2006/relationships/hyperlink" Target="https://drive.google.com/uc?id=1UVu-yB5X-pWCgcPS2aHgXFCezf1r4b32" TargetMode="External"/><Relationship Id="rId1361" Type="http://schemas.openxmlformats.org/officeDocument/2006/relationships/hyperlink" Target="https://drive.google.com/uc?id=1wllLMnQM51pLtuI0R9n2K1dvav3E38cs" TargetMode="External"/><Relationship Id="rId1120" Type="http://schemas.openxmlformats.org/officeDocument/2006/relationships/hyperlink" Target="https://drive.google.com/uc?id=1ujAPNzHqJb0YqIRRf4rT-1M028n9Sr8y" TargetMode="External"/><Relationship Id="rId1362" Type="http://schemas.openxmlformats.org/officeDocument/2006/relationships/hyperlink" Target="https://drive.google.com/uc?id=1t5FQBpwb4uYVlPZ-GZs0TjhAf1_QJEW3" TargetMode="External"/><Relationship Id="rId532" Type="http://schemas.openxmlformats.org/officeDocument/2006/relationships/hyperlink" Target="https://drive.google.com/uc?id=1m0tVigt2yKhWBRDxa_JyyWAGVX_01NyI" TargetMode="External"/><Relationship Id="rId774" Type="http://schemas.openxmlformats.org/officeDocument/2006/relationships/hyperlink" Target="https://drive.google.com/uc?id=11lb1ij1EsQ_fPFyaE4LIA02D7dYU65OW" TargetMode="External"/><Relationship Id="rId1121" Type="http://schemas.openxmlformats.org/officeDocument/2006/relationships/hyperlink" Target="https://drive.google.com/uc?id=1KUd1AKsUvv2dXFqejdNdxsv_rTaGqhZC" TargetMode="External"/><Relationship Id="rId1363" Type="http://schemas.openxmlformats.org/officeDocument/2006/relationships/hyperlink" Target="https://drive.google.com/uc?id=1Ae-P7YPjBuwzVWCls8g_6ZEzBM3gDztD" TargetMode="External"/><Relationship Id="rId531" Type="http://schemas.openxmlformats.org/officeDocument/2006/relationships/hyperlink" Target="https://drive.google.com/uc?id=1i2LuQr65t6Ulq08B8ArcTbfieGqFKXo0" TargetMode="External"/><Relationship Id="rId773" Type="http://schemas.openxmlformats.org/officeDocument/2006/relationships/hyperlink" Target="https://drive.google.com/uc?id=1hjh44ygu9xsoLxN6oMydv9zOgRxxvUvi" TargetMode="External"/><Relationship Id="rId1122" Type="http://schemas.openxmlformats.org/officeDocument/2006/relationships/hyperlink" Target="https://drive.google.com/uc?id=1dnzRssVeggrI3qBm9tGaZ8Nfo5c_8l88" TargetMode="External"/><Relationship Id="rId1364" Type="http://schemas.openxmlformats.org/officeDocument/2006/relationships/hyperlink" Target="https://drive.google.com/uc?id=1ZBbQ1u0RopYxx93tXQM37zn8cXAlXAWz" TargetMode="External"/><Relationship Id="rId530" Type="http://schemas.openxmlformats.org/officeDocument/2006/relationships/hyperlink" Target="https://drive.google.com/uc?id=1HuAC4wn4oQ5YxPd1aOcCxYmCPvvT7KpO" TargetMode="External"/><Relationship Id="rId772" Type="http://schemas.openxmlformats.org/officeDocument/2006/relationships/hyperlink" Target="https://drive.google.com/uc?id=1wu5Wy8SOMB1aR5kpv9l8sntFLVROsh_I" TargetMode="External"/><Relationship Id="rId1123" Type="http://schemas.openxmlformats.org/officeDocument/2006/relationships/hyperlink" Target="https://drive.google.com/uc?id=15P4hg3cJMRsUFE4nvK-kh1mRzOvv7TyF" TargetMode="External"/><Relationship Id="rId1365" Type="http://schemas.openxmlformats.org/officeDocument/2006/relationships/hyperlink" Target="https://drive.google.com/uc?id=1znudQZRMmg8anQe2HGBwljMUAxqBHVNF" TargetMode="External"/><Relationship Id="rId771" Type="http://schemas.openxmlformats.org/officeDocument/2006/relationships/hyperlink" Target="https://drive.google.com/uc?id=19Ixjl3LM2GaFyExT2bdXPXpTjCIM0wBL" TargetMode="External"/><Relationship Id="rId1124" Type="http://schemas.openxmlformats.org/officeDocument/2006/relationships/hyperlink" Target="https://drive.google.com/uc?id=1vfT8x1GmbegmGecRmnF-JWDweshTJaWG" TargetMode="External"/><Relationship Id="rId1366" Type="http://schemas.openxmlformats.org/officeDocument/2006/relationships/hyperlink" Target="https://drive.google.com/uc?id=1YhAd3J84DgPHfaOmQUswAtxMZgh9vuex" TargetMode="External"/><Relationship Id="rId1158" Type="http://schemas.openxmlformats.org/officeDocument/2006/relationships/hyperlink" Target="https://drive.google.com/uc?id=1H1V8j1c-YYXXJiR41S2m2xvvSS1tIXOK" TargetMode="External"/><Relationship Id="rId1159" Type="http://schemas.openxmlformats.org/officeDocument/2006/relationships/hyperlink" Target="https://drive.google.com/uc?id=1Km4iRu2oWMiyLpZiGiDvryBe8wmyT1Im" TargetMode="External"/><Relationship Id="rId327" Type="http://schemas.openxmlformats.org/officeDocument/2006/relationships/hyperlink" Target="https://drive.google.com/uc?id=1iqtgCNA_9yE8JTzpLIEhT-Dm5gLE72j3" TargetMode="External"/><Relationship Id="rId569" Type="http://schemas.openxmlformats.org/officeDocument/2006/relationships/hyperlink" Target="https://drive.google.com/uc?id=1xvgjRUgsW58R4avowKRXj8zGGtS0-t7T" TargetMode="External"/><Relationship Id="rId326" Type="http://schemas.openxmlformats.org/officeDocument/2006/relationships/hyperlink" Target="https://drive.google.com/uc?id=1ugV1232c51bYK_ZCJFixOMQzVdgGqFkJ" TargetMode="External"/><Relationship Id="rId568" Type="http://schemas.openxmlformats.org/officeDocument/2006/relationships/hyperlink" Target="https://drive.google.com/uc?id=1UnxJAcbMfQ8yrmjEHtj-A19byCdj7Pem" TargetMode="External"/><Relationship Id="rId325" Type="http://schemas.openxmlformats.org/officeDocument/2006/relationships/hyperlink" Target="https://drive.google.com/uc?id=1tKe_uV4Lzq1_06M-amATU2tHVkZUymH6" TargetMode="External"/><Relationship Id="rId567" Type="http://schemas.openxmlformats.org/officeDocument/2006/relationships/hyperlink" Target="https://drive.google.com/uc?id=1DJfr550AVT7Ge6NBJ7j8zlV5oy1SemZf" TargetMode="External"/><Relationship Id="rId324" Type="http://schemas.openxmlformats.org/officeDocument/2006/relationships/hyperlink" Target="https://drive.google.com/uc?id=1b8zHTME6OFbDU8LA8zsNRv3t1LIkHXJZ" TargetMode="External"/><Relationship Id="rId566" Type="http://schemas.openxmlformats.org/officeDocument/2006/relationships/hyperlink" Target="https://drive.google.com/uc?id=1kHQMAJmwBvoqus6H8YxE3sUW2n7XNpXY" TargetMode="External"/><Relationship Id="rId329" Type="http://schemas.openxmlformats.org/officeDocument/2006/relationships/hyperlink" Target="https://drive.google.com/uc?id=1pEpkEySvKFbyyzlF0NUpXKClRCt8QDYb" TargetMode="External"/><Relationship Id="rId1390" Type="http://schemas.openxmlformats.org/officeDocument/2006/relationships/hyperlink" Target="https://drive.google.com/uc?id=1YeDjI0Sr1RFiTGuAUi9timmCLz-F0PhW" TargetMode="External"/><Relationship Id="rId328" Type="http://schemas.openxmlformats.org/officeDocument/2006/relationships/hyperlink" Target="https://drive.google.com/uc?id=1-8QXvhUY2Cnhy3h9nafCTbZwI9rNSrDF" TargetMode="External"/><Relationship Id="rId1391" Type="http://schemas.openxmlformats.org/officeDocument/2006/relationships/hyperlink" Target="https://drive.google.com/uc?id=1nOE0XcgkOd791BRvk-9Q9adfghW4cC3h" TargetMode="External"/><Relationship Id="rId561" Type="http://schemas.openxmlformats.org/officeDocument/2006/relationships/hyperlink" Target="https://drive.google.com/uc?id=1EBdo0qOJfP9tR5Du9utoQXnMBsFsqizw" TargetMode="External"/><Relationship Id="rId1150" Type="http://schemas.openxmlformats.org/officeDocument/2006/relationships/hyperlink" Target="https://drive.google.com/uc?id=1NJBlYLaCVvZfIxOy3FaOjTIjyHbAZTUU" TargetMode="External"/><Relationship Id="rId1392" Type="http://schemas.openxmlformats.org/officeDocument/2006/relationships/hyperlink" Target="https://drive.google.com/uc?id=1trlAOgdj4nwO6tBfigIooVZoy1QCAZeG" TargetMode="External"/><Relationship Id="rId560" Type="http://schemas.openxmlformats.org/officeDocument/2006/relationships/hyperlink" Target="https://drive.google.com/uc?id=1NlXfRqiPLmshl2yKiBySgjClTyowGA-T" TargetMode="External"/><Relationship Id="rId1151" Type="http://schemas.openxmlformats.org/officeDocument/2006/relationships/hyperlink" Target="https://drive.google.com/uc?id=1X4LlScTHuoXd39YhZQoAI1Q3o29Iywgk" TargetMode="External"/><Relationship Id="rId1393" Type="http://schemas.openxmlformats.org/officeDocument/2006/relationships/hyperlink" Target="https://drive.google.com/uc?id=1finFTPbARcyHQeEheg6owPy734nA3bhu" TargetMode="External"/><Relationship Id="rId1152" Type="http://schemas.openxmlformats.org/officeDocument/2006/relationships/hyperlink" Target="https://drive.google.com/uc?id=1Rxu0o9XJApBtDmO1f0nZIKu_n_mBLGSt" TargetMode="External"/><Relationship Id="rId1394" Type="http://schemas.openxmlformats.org/officeDocument/2006/relationships/hyperlink" Target="https://drive.google.com/uc?id=1d0GO660mccvQVh5IoLvxLUOcKrA5SyEB" TargetMode="External"/><Relationship Id="rId1153" Type="http://schemas.openxmlformats.org/officeDocument/2006/relationships/hyperlink" Target="https://drive.google.com/uc?id=1Cl7q1O7i6qW5zPA3XVK93_xlHor4WVQZ" TargetMode="External"/><Relationship Id="rId1395" Type="http://schemas.openxmlformats.org/officeDocument/2006/relationships/hyperlink" Target="https://drive.google.com/uc?id=1lRZfvCB_5Va8CfYJKC0F_DYr34ym--n0" TargetMode="External"/><Relationship Id="rId323" Type="http://schemas.openxmlformats.org/officeDocument/2006/relationships/hyperlink" Target="https://drive.google.com/uc?id=10mRbtSq0qQMnrrU4Py02giDfi4t9vWYe" TargetMode="External"/><Relationship Id="rId565" Type="http://schemas.openxmlformats.org/officeDocument/2006/relationships/hyperlink" Target="https://drive.google.com/uc?id=1croiPwgvc3VZLKQPcOptia57D6CkfZQq" TargetMode="External"/><Relationship Id="rId1154" Type="http://schemas.openxmlformats.org/officeDocument/2006/relationships/hyperlink" Target="https://drive.google.com/uc?id=1TYRUGQflgrO-5vm_2kB93kcB7KROQDri" TargetMode="External"/><Relationship Id="rId1396" Type="http://schemas.openxmlformats.org/officeDocument/2006/relationships/hyperlink" Target="https://drive.google.com/uc?id=1-bjOcMmxgHFPrhiV05OG7SZr0o9lYbTE" TargetMode="External"/><Relationship Id="rId322" Type="http://schemas.openxmlformats.org/officeDocument/2006/relationships/hyperlink" Target="https://drive.google.com/uc?id=1lzamKEKSqcyonYgshGLTGTbia8OpI80p" TargetMode="External"/><Relationship Id="rId564" Type="http://schemas.openxmlformats.org/officeDocument/2006/relationships/hyperlink" Target="https://drive.google.com/uc?id=1K8SUaiRz2kL-XZoPcx5TACLvBWYkWa-P" TargetMode="External"/><Relationship Id="rId1155" Type="http://schemas.openxmlformats.org/officeDocument/2006/relationships/hyperlink" Target="https://drive.google.com/uc?id=1qmNlcwiZ0gNFSIIoNSRdT7HBKpxFYYNf" TargetMode="External"/><Relationship Id="rId1397" Type="http://schemas.openxmlformats.org/officeDocument/2006/relationships/hyperlink" Target="https://drive.google.com/uc?id=1eOwrJ7K6oyWfe261oaMQTaFaG3L2qOWo" TargetMode="External"/><Relationship Id="rId321" Type="http://schemas.openxmlformats.org/officeDocument/2006/relationships/hyperlink" Target="https://drive.google.com/uc?id=1ED7MP_IrfSGf3z3AGVR0OwwCwYg5a88S" TargetMode="External"/><Relationship Id="rId563" Type="http://schemas.openxmlformats.org/officeDocument/2006/relationships/hyperlink" Target="https://drive.google.com/uc?id=1FjiVLPnQGRQjv2AXBnhSxfus8SpBFbc8" TargetMode="External"/><Relationship Id="rId1156" Type="http://schemas.openxmlformats.org/officeDocument/2006/relationships/hyperlink" Target="https://drive.google.com/uc?id=1Ztuj4eNZHHXv_nGWEPRAamkUFgDx0bCI" TargetMode="External"/><Relationship Id="rId1398" Type="http://schemas.openxmlformats.org/officeDocument/2006/relationships/hyperlink" Target="https://drive.google.com/uc?id=1hxpo_PLBviJo0x0wR1aWfN-aLh-yj4KL" TargetMode="External"/><Relationship Id="rId320" Type="http://schemas.openxmlformats.org/officeDocument/2006/relationships/hyperlink" Target="https://drive.google.com/uc?id=1jZWkGafdDm0Wik_HHcHo3FXg0b4520JR" TargetMode="External"/><Relationship Id="rId562" Type="http://schemas.openxmlformats.org/officeDocument/2006/relationships/hyperlink" Target="https://drive.google.com/uc?id=1pxtIGan5PF_cVHJbsSXDmWgd2K_xqJiQ" TargetMode="External"/><Relationship Id="rId1157" Type="http://schemas.openxmlformats.org/officeDocument/2006/relationships/hyperlink" Target="https://drive.google.com/uc?id=1mPFBO3wBiP816-0H-o-lmj7lvWKmIwbF" TargetMode="External"/><Relationship Id="rId1399" Type="http://schemas.openxmlformats.org/officeDocument/2006/relationships/hyperlink" Target="https://drive.google.com/uc?id=1ZdPZks1HheYGc2kB31cCcBV8w0aov1h1" TargetMode="External"/><Relationship Id="rId1147" Type="http://schemas.openxmlformats.org/officeDocument/2006/relationships/hyperlink" Target="https://drive.google.com/uc?id=1g53DRKe3pTcENXUQML_Kc7ZyfHYv_d1v" TargetMode="External"/><Relationship Id="rId1389" Type="http://schemas.openxmlformats.org/officeDocument/2006/relationships/hyperlink" Target="https://drive.google.com/uc?id=1hviblKu1AognpcEIdvjCmGkdjusFcU5W" TargetMode="External"/><Relationship Id="rId1148" Type="http://schemas.openxmlformats.org/officeDocument/2006/relationships/hyperlink" Target="https://drive.google.com/uc?id=1HYlkugHT25QsLYfBb4HEMPAIN7V4Lddh" TargetMode="External"/><Relationship Id="rId1149" Type="http://schemas.openxmlformats.org/officeDocument/2006/relationships/hyperlink" Target="https://drive.google.com/uc?id=1kVx3mUEDGO_O7AxLRT1xMzQAd2IeIIMQ" TargetMode="External"/><Relationship Id="rId316" Type="http://schemas.openxmlformats.org/officeDocument/2006/relationships/hyperlink" Target="https://drive.google.com/uc?id=1CnGNxpr0-5jlqlz_QzQaCNj-mbHeNlUq" TargetMode="External"/><Relationship Id="rId558" Type="http://schemas.openxmlformats.org/officeDocument/2006/relationships/hyperlink" Target="https://drive.google.com/uc?id=1uQ5HslTbkaTEJPQQO2MmsgEPMZacR-Ye" TargetMode="External"/><Relationship Id="rId315" Type="http://schemas.openxmlformats.org/officeDocument/2006/relationships/hyperlink" Target="https://drive.google.com/uc?id=1C345WdtcQIfKbXbZZg27WgyLciTo2OTm" TargetMode="External"/><Relationship Id="rId557" Type="http://schemas.openxmlformats.org/officeDocument/2006/relationships/hyperlink" Target="https://drive.google.com/uc?id=1Gr3uslZ7No8VWxr4EGd_WOW1EH74I_Mc" TargetMode="External"/><Relationship Id="rId799" Type="http://schemas.openxmlformats.org/officeDocument/2006/relationships/hyperlink" Target="https://drive.google.com/uc?id=1T3U7gCaL9JR9ixis9XyO1exc9IgXpaFX" TargetMode="External"/><Relationship Id="rId314" Type="http://schemas.openxmlformats.org/officeDocument/2006/relationships/hyperlink" Target="https://drive.google.com/uc?id=1osqYe7uC-e3al0b_Yfn1NFtg5WPEwG2E" TargetMode="External"/><Relationship Id="rId556" Type="http://schemas.openxmlformats.org/officeDocument/2006/relationships/hyperlink" Target="https://drive.google.com/uc?id=11-ZVuYMJpAcl1xk5-QfUuDp6LM9o7ClG" TargetMode="External"/><Relationship Id="rId798" Type="http://schemas.openxmlformats.org/officeDocument/2006/relationships/hyperlink" Target="https://drive.google.com/uc?id=1T0Kem-vr7y8R276dzWz-nNFBmMpHoNmx" TargetMode="External"/><Relationship Id="rId313" Type="http://schemas.openxmlformats.org/officeDocument/2006/relationships/hyperlink" Target="https://drive.google.com/uc?id=1T2VpY07QPhYWOjlSBUxToN352LgnPMcv" TargetMode="External"/><Relationship Id="rId555" Type="http://schemas.openxmlformats.org/officeDocument/2006/relationships/hyperlink" Target="https://drive.google.com/uc?id=1TYhagmwqQ_mRjrLQPwpZaNdIoefSASOP" TargetMode="External"/><Relationship Id="rId797" Type="http://schemas.openxmlformats.org/officeDocument/2006/relationships/hyperlink" Target="https://drive.google.com/uc?id=1SzrQHiHLEAU538UjKOD_I2blTfu2c2vN" TargetMode="External"/><Relationship Id="rId319" Type="http://schemas.openxmlformats.org/officeDocument/2006/relationships/hyperlink" Target="https://drive.google.com/uc?id=1aUqUovxsCMOSEaDJF1xqPLGOSwnjr2Lh" TargetMode="External"/><Relationship Id="rId318" Type="http://schemas.openxmlformats.org/officeDocument/2006/relationships/hyperlink" Target="https://drive.google.com/uc?id=1ZRerMnbB6bC03Zj5Ymy-aWHKhsHnxodA" TargetMode="External"/><Relationship Id="rId317" Type="http://schemas.openxmlformats.org/officeDocument/2006/relationships/hyperlink" Target="https://drive.google.com/uc?id=1Kdy3H8iSy8GSxeEKxOfepW0riENIhvYb" TargetMode="External"/><Relationship Id="rId559" Type="http://schemas.openxmlformats.org/officeDocument/2006/relationships/hyperlink" Target="https://drive.google.com/uc?id=1C6Rp5WvO6SZWV6OxAgowHNNGSUjCzvVm" TargetMode="External"/><Relationship Id="rId1380" Type="http://schemas.openxmlformats.org/officeDocument/2006/relationships/hyperlink" Target="https://drive.google.com/uc?id=1bpw6WUo6jQfbLnixA0RQ2e8DX_UgL8Gd" TargetMode="External"/><Relationship Id="rId550" Type="http://schemas.openxmlformats.org/officeDocument/2006/relationships/hyperlink" Target="https://drive.google.com/uc?id=16daX_e85mxQk0zHfSk2vwHgbCu2ZMDwy" TargetMode="External"/><Relationship Id="rId792" Type="http://schemas.openxmlformats.org/officeDocument/2006/relationships/hyperlink" Target="https://drive.google.com/uc?id=1SoeiXsNyyoOFA2EdoIq2Lyl1UdzgRRQZ" TargetMode="External"/><Relationship Id="rId1381" Type="http://schemas.openxmlformats.org/officeDocument/2006/relationships/hyperlink" Target="https://drive.google.com/uc?id=1mmbS8DI36lpNQY-U1tDEE0uPCM1vVhUq" TargetMode="External"/><Relationship Id="rId791" Type="http://schemas.openxmlformats.org/officeDocument/2006/relationships/hyperlink" Target="https://drive.google.com/uc?id=1SoaiDq37ljPlOipAmDOPszOn0Meeh9EY" TargetMode="External"/><Relationship Id="rId1140" Type="http://schemas.openxmlformats.org/officeDocument/2006/relationships/hyperlink" Target="https://drive.google.com/uc?id=1gJB-m3lv7C-7Q7yi1hts7oPvZ9GyV35F" TargetMode="External"/><Relationship Id="rId1382" Type="http://schemas.openxmlformats.org/officeDocument/2006/relationships/hyperlink" Target="https://drive.google.com/uc?id=1QVXQRZLKzDm5OyMZvlU_cnddaCBfx1kY" TargetMode="External"/><Relationship Id="rId790" Type="http://schemas.openxmlformats.org/officeDocument/2006/relationships/hyperlink" Target="https://drive.google.com/uc?id=1SftUo5r3VAPKZC16ah1Mv6YRU6PiVoV0" TargetMode="External"/><Relationship Id="rId1141" Type="http://schemas.openxmlformats.org/officeDocument/2006/relationships/hyperlink" Target="https://drive.google.com/uc?id=13kNvvgSC1hNBm1p9iW4-F5pgeBukTRkV" TargetMode="External"/><Relationship Id="rId1383" Type="http://schemas.openxmlformats.org/officeDocument/2006/relationships/hyperlink" Target="https://drive.google.com/uc?id=1hSHaI6UdN90YPmeUKtLw0C9EjnR2M4_k" TargetMode="External"/><Relationship Id="rId1142" Type="http://schemas.openxmlformats.org/officeDocument/2006/relationships/hyperlink" Target="https://drive.google.com/uc?id=11qKy3rBkTgzc2aQWilJQbCEC8ilIIGsQ" TargetMode="External"/><Relationship Id="rId1384" Type="http://schemas.openxmlformats.org/officeDocument/2006/relationships/hyperlink" Target="https://drive.google.com/uc?id=1mY5VsaXN7qo3xfXEXSo2vn3YgU8AWd7z" TargetMode="External"/><Relationship Id="rId312" Type="http://schemas.openxmlformats.org/officeDocument/2006/relationships/hyperlink" Target="https://drive.google.com/uc?id=12GMBW4dGI83_Yp3qdu-eGUNXQQfxXhxs" TargetMode="External"/><Relationship Id="rId554" Type="http://schemas.openxmlformats.org/officeDocument/2006/relationships/hyperlink" Target="https://drive.google.com/uc?id=1Jcooy8r3wfzdYcJvyw3q4DW8FhzAS4tb" TargetMode="External"/><Relationship Id="rId796" Type="http://schemas.openxmlformats.org/officeDocument/2006/relationships/hyperlink" Target="https://drive.google.com/uc?id=1SvQeFoq_AFnLUxpoPIk7fUEnK2x7zFS3" TargetMode="External"/><Relationship Id="rId1143" Type="http://schemas.openxmlformats.org/officeDocument/2006/relationships/hyperlink" Target="https://drive.google.com/uc?id=1iG2xkQ-Y7ShTCZkMHPIr8idtjl9-Pfb9" TargetMode="External"/><Relationship Id="rId1385" Type="http://schemas.openxmlformats.org/officeDocument/2006/relationships/hyperlink" Target="https://drive.google.com/uc?id=1643TyhMVW5pHUKtylFmMT2KLBGXuaNXp" TargetMode="External"/><Relationship Id="rId311" Type="http://schemas.openxmlformats.org/officeDocument/2006/relationships/hyperlink" Target="https://drive.google.com/uc?id=1hqRjwfqiyj4E6K-PpCK9AuYHA5tWB-n7" TargetMode="External"/><Relationship Id="rId553" Type="http://schemas.openxmlformats.org/officeDocument/2006/relationships/hyperlink" Target="https://drive.google.com/uc?id=1or_UUD42ZWCK31nDzHoV81Etj8D4rA-m" TargetMode="External"/><Relationship Id="rId795" Type="http://schemas.openxmlformats.org/officeDocument/2006/relationships/hyperlink" Target="https://drive.google.com/uc?id=1SuwVXgTgPL6ROWpnnykiIrvpP4-FVsVd" TargetMode="External"/><Relationship Id="rId1144" Type="http://schemas.openxmlformats.org/officeDocument/2006/relationships/hyperlink" Target="https://drive.google.com/uc?id=1VrgXwWejjhbY9c-SKZmU4wsMgIZVJdWB" TargetMode="External"/><Relationship Id="rId1386" Type="http://schemas.openxmlformats.org/officeDocument/2006/relationships/hyperlink" Target="https://drive.google.com/uc?id=10WWZrcMan8Vt4XxE58kymfbl_P9KRBc4" TargetMode="External"/><Relationship Id="rId310" Type="http://schemas.openxmlformats.org/officeDocument/2006/relationships/hyperlink" Target="https://drive.google.com/uc?id=1KoRAnV8OEnkZRdjQqTLtE5-sLN_X8oCM" TargetMode="External"/><Relationship Id="rId552" Type="http://schemas.openxmlformats.org/officeDocument/2006/relationships/hyperlink" Target="https://drive.google.com/uc?id=1_Pd27EkpTwh4UM7MYy1w_rSQqyxhHn5S" TargetMode="External"/><Relationship Id="rId794" Type="http://schemas.openxmlformats.org/officeDocument/2006/relationships/hyperlink" Target="https://drive.google.com/uc?id=1StSFjnMkeTQV72o5JR8ivKUUACzJeMyX" TargetMode="External"/><Relationship Id="rId1145" Type="http://schemas.openxmlformats.org/officeDocument/2006/relationships/hyperlink" Target="https://drive.google.com/uc?id=1AgvOjwsMFnVJDZlnFF8qOFcHQx8iTGMu" TargetMode="External"/><Relationship Id="rId1387" Type="http://schemas.openxmlformats.org/officeDocument/2006/relationships/hyperlink" Target="https://drive.google.com/uc?id=1xh8yqPN1SxBvRKPL4KDX_DN3PWX0RR1P" TargetMode="External"/><Relationship Id="rId551" Type="http://schemas.openxmlformats.org/officeDocument/2006/relationships/hyperlink" Target="https://drive.google.com/uc?id=1wavxSWg_1Fqjx5tk_gV35WmovXG7Okte" TargetMode="External"/><Relationship Id="rId793" Type="http://schemas.openxmlformats.org/officeDocument/2006/relationships/hyperlink" Target="https://drive.google.com/uc?id=1Sp27qq_0_KCBxJe91yZ9o_LQpZFYEzhv" TargetMode="External"/><Relationship Id="rId1146" Type="http://schemas.openxmlformats.org/officeDocument/2006/relationships/hyperlink" Target="https://drive.google.com/uc?id=1MCZsw77BOoQfcPhcPQjeug0aA0TfCY02" TargetMode="External"/><Relationship Id="rId1388" Type="http://schemas.openxmlformats.org/officeDocument/2006/relationships/hyperlink" Target="https://drive.google.com/uc?id=1QWtP3o1jj_x-tBwNTuv2q1zdxGAv-PzL" TargetMode="External"/><Relationship Id="rId297" Type="http://schemas.openxmlformats.org/officeDocument/2006/relationships/hyperlink" Target="https://drive.google.com/uc?id=1pXXpnf57-3mSFRTgDkWovzwv3N8j3Y9N" TargetMode="External"/><Relationship Id="rId296" Type="http://schemas.openxmlformats.org/officeDocument/2006/relationships/hyperlink" Target="https://drive.google.com/uc?id=1kUZEBZF7kohXbJAPXjB9V7bbGKil86LT" TargetMode="External"/><Relationship Id="rId295" Type="http://schemas.openxmlformats.org/officeDocument/2006/relationships/hyperlink" Target="https://drive.google.com/uc?id=1BEaZ_CibUBy1S1jCUld9OGfTWHc_TpUJ" TargetMode="External"/><Relationship Id="rId294" Type="http://schemas.openxmlformats.org/officeDocument/2006/relationships/hyperlink" Target="https://drive.google.com/uc?id=1gs9WSSwEQxyvHBdVt0nOD5lz1zSiGPlJ" TargetMode="External"/><Relationship Id="rId299" Type="http://schemas.openxmlformats.org/officeDocument/2006/relationships/hyperlink" Target="https://drive.google.com/uc?id=19Z5mzUH3wJCkGHtpiHX_CpV8fcEnMkmk" TargetMode="External"/><Relationship Id="rId298" Type="http://schemas.openxmlformats.org/officeDocument/2006/relationships/hyperlink" Target="https://drive.google.com/uc?id=1dRx7i0FUPDvkkwlao1L48VTe6as6Toko" TargetMode="External"/><Relationship Id="rId271" Type="http://schemas.openxmlformats.org/officeDocument/2006/relationships/hyperlink" Target="https://drive.google.com/uc?id=1mpcGvswqR8-_0IYHVwupo7eTPvzV_qAk" TargetMode="External"/><Relationship Id="rId270" Type="http://schemas.openxmlformats.org/officeDocument/2006/relationships/hyperlink" Target="https://drive.google.com/uc?id=1ONWBZ3lgGianYm0eXuhoBTtYCVbwWPFt" TargetMode="External"/><Relationship Id="rId269" Type="http://schemas.openxmlformats.org/officeDocument/2006/relationships/hyperlink" Target="https://drive.google.com/uc?id=1mwBhvMfXZFwt7M56QmAd013Zf4odPN2f" TargetMode="External"/><Relationship Id="rId264" Type="http://schemas.openxmlformats.org/officeDocument/2006/relationships/hyperlink" Target="https://drive.google.com/uc?id=18u2qOtr3WP8zgNT7eZkVe80e_56bjVKy" TargetMode="External"/><Relationship Id="rId263" Type="http://schemas.openxmlformats.org/officeDocument/2006/relationships/hyperlink" Target="https://drive.google.com/uc?id=13uC_a9S4ySbE6M8L4ZUp1EPQRDvqw7lW" TargetMode="External"/><Relationship Id="rId262" Type="http://schemas.openxmlformats.org/officeDocument/2006/relationships/hyperlink" Target="https://drive.google.com/uc?id=14QlQFd2nK8Bon7NVb5gznP-CrPMS0lpL" TargetMode="External"/><Relationship Id="rId261" Type="http://schemas.openxmlformats.org/officeDocument/2006/relationships/hyperlink" Target="https://drive.google.com/uc?id=1gsSitp2EdJMmLrNFpBzlcBhhczzlyCE8" TargetMode="External"/><Relationship Id="rId268" Type="http://schemas.openxmlformats.org/officeDocument/2006/relationships/hyperlink" Target="https://drive.google.com/uc?id=1bsscerIPojYt-wC0-MeG7Q__fxjwVLs4" TargetMode="External"/><Relationship Id="rId267" Type="http://schemas.openxmlformats.org/officeDocument/2006/relationships/hyperlink" Target="https://drive.google.com/uc?id=10PaSYx8ztzoQcngOfWHaOoUqsZO2he8a" TargetMode="External"/><Relationship Id="rId266" Type="http://schemas.openxmlformats.org/officeDocument/2006/relationships/hyperlink" Target="https://drive.google.com/uc?id=13rPoQVUCJkZZzrOPHT9W8nF5tw5kWYta" TargetMode="External"/><Relationship Id="rId265" Type="http://schemas.openxmlformats.org/officeDocument/2006/relationships/hyperlink" Target="https://drive.google.com/uc?id=1pa0Y0AHs9OyyuFbJPEdsUWNL4j6VMpeq" TargetMode="External"/><Relationship Id="rId260" Type="http://schemas.openxmlformats.org/officeDocument/2006/relationships/hyperlink" Target="https://drive.google.com/uc?id=1wjTWdWflYasZke134fROYF8kv7aLy3W_" TargetMode="External"/><Relationship Id="rId259" Type="http://schemas.openxmlformats.org/officeDocument/2006/relationships/hyperlink" Target="https://drive.google.com/uc?id=1z2FJiWvNHRp-sVakB6w2AyYmtcePGUxQ" TargetMode="External"/><Relationship Id="rId258" Type="http://schemas.openxmlformats.org/officeDocument/2006/relationships/hyperlink" Target="https://drive.google.com/uc?id=1cLFe4eWfOJEKR2uk1vO9Hg4iPyd6PDql" TargetMode="External"/><Relationship Id="rId253" Type="http://schemas.openxmlformats.org/officeDocument/2006/relationships/hyperlink" Target="https://drive.google.com/uc?id=1cRJYdA8DMtgYPOLFOyL8igoqi8dG9D9b" TargetMode="External"/><Relationship Id="rId495" Type="http://schemas.openxmlformats.org/officeDocument/2006/relationships/hyperlink" Target="https://drive.google.com/uc?id=1QeXS-xyrC3QKFS9YmTX9Ihl1igratYcF" TargetMode="External"/><Relationship Id="rId252" Type="http://schemas.openxmlformats.org/officeDocument/2006/relationships/hyperlink" Target="https://drive.google.com/uc?id=1jRXXvHwAHVLkFqmoFLEmQ-sV_UrHms7M" TargetMode="External"/><Relationship Id="rId494" Type="http://schemas.openxmlformats.org/officeDocument/2006/relationships/hyperlink" Target="https://drive.google.com/uc?id=1A07Y3PdKN1MZqouIYCaAwxRsi6NQIKgR" TargetMode="External"/><Relationship Id="rId251" Type="http://schemas.openxmlformats.org/officeDocument/2006/relationships/hyperlink" Target="https://drive.google.com/uc?id=1ds_KkNJpDribneTCoUjv4gDTjGODny_X" TargetMode="External"/><Relationship Id="rId493" Type="http://schemas.openxmlformats.org/officeDocument/2006/relationships/hyperlink" Target="https://drive.google.com/uc?id=1xAsmoDywwjACiglT_I2H7q9p-roZHr98" TargetMode="External"/><Relationship Id="rId250" Type="http://schemas.openxmlformats.org/officeDocument/2006/relationships/hyperlink" Target="https://drive.google.com/uc?id=1T2YJG67buORgRjkgONi9MrIUkIo0lixt" TargetMode="External"/><Relationship Id="rId492" Type="http://schemas.openxmlformats.org/officeDocument/2006/relationships/hyperlink" Target="https://drive.google.com/uc?id=16gQW4J57AafSwe1A4RSQ3fSvuKTNAsgW" TargetMode="External"/><Relationship Id="rId257" Type="http://schemas.openxmlformats.org/officeDocument/2006/relationships/hyperlink" Target="https://drive.google.com/uc?id=18oYz2LNCgxvC1nbNoIFFmVgCG8PaRs30" TargetMode="External"/><Relationship Id="rId499" Type="http://schemas.openxmlformats.org/officeDocument/2006/relationships/hyperlink" Target="https://drive.google.com/uc?id=1zBzG94oLVtRlKLB0KeVoi-VQJ8DIpU3p" TargetMode="External"/><Relationship Id="rId256" Type="http://schemas.openxmlformats.org/officeDocument/2006/relationships/hyperlink" Target="https://drive.google.com/uc?id=1g2DPMXNe7cG7wR3iRctBp_bY67RxaFsY" TargetMode="External"/><Relationship Id="rId498" Type="http://schemas.openxmlformats.org/officeDocument/2006/relationships/hyperlink" Target="https://drive.google.com/uc?id=1FJMbFLLhsols4MnT4bgHTICfoT_ycXR1" TargetMode="External"/><Relationship Id="rId255" Type="http://schemas.openxmlformats.org/officeDocument/2006/relationships/hyperlink" Target="https://drive.google.com/uc?id=1-qp7XcMQZF6I64x1pMScKD5nN3MY2KH5" TargetMode="External"/><Relationship Id="rId497" Type="http://schemas.openxmlformats.org/officeDocument/2006/relationships/hyperlink" Target="https://drive.google.com/uc?id=1y4_3vyGO94zwBhQXx8odYeZwp3GGyv8T" TargetMode="External"/><Relationship Id="rId254" Type="http://schemas.openxmlformats.org/officeDocument/2006/relationships/hyperlink" Target="https://drive.google.com/uc?id=1nzDQeswPESEBuyoL0GuTmWFQQ2rrjWQq" TargetMode="External"/><Relationship Id="rId496" Type="http://schemas.openxmlformats.org/officeDocument/2006/relationships/hyperlink" Target="https://drive.google.com/uc?id=1DoFy1Qj_djoqXfCEBdrfjz-macSpGxTq" TargetMode="External"/><Relationship Id="rId293" Type="http://schemas.openxmlformats.org/officeDocument/2006/relationships/hyperlink" Target="https://drive.google.com/uc?id=1ZpkGqwoPmHcdiM1Ng_9UvxMmNI1hhsPO" TargetMode="External"/><Relationship Id="rId292" Type="http://schemas.openxmlformats.org/officeDocument/2006/relationships/hyperlink" Target="https://drive.google.com/uc?id=1pIK02Aj-b94iaiKWVego6gQTMyFVlawd" TargetMode="External"/><Relationship Id="rId291" Type="http://schemas.openxmlformats.org/officeDocument/2006/relationships/hyperlink" Target="https://drive.google.com/uc?id=1iAvFt6oQUhYJIOydb-aJiO9kDkgo00sx" TargetMode="External"/><Relationship Id="rId290" Type="http://schemas.openxmlformats.org/officeDocument/2006/relationships/hyperlink" Target="https://drive.google.com/uc?id=1i8_G1tIw4f4kCjvWTogs7-tw2jUmmZt1" TargetMode="External"/><Relationship Id="rId286" Type="http://schemas.openxmlformats.org/officeDocument/2006/relationships/hyperlink" Target="https://drive.google.com/uc?id=1lyMTsVoScHs72-tBNVFrq5bw1ZHB_Avo" TargetMode="External"/><Relationship Id="rId285" Type="http://schemas.openxmlformats.org/officeDocument/2006/relationships/hyperlink" Target="https://drive.google.com/uc?id=1veTh3wJ5ekZiEGB6CRcKya5-lr6nzREZ" TargetMode="External"/><Relationship Id="rId284" Type="http://schemas.openxmlformats.org/officeDocument/2006/relationships/hyperlink" Target="https://drive.google.com/uc?id=1mGkp0AcuDhcsKdFy8JOBFhzWmKyPRy1-" TargetMode="External"/><Relationship Id="rId283" Type="http://schemas.openxmlformats.org/officeDocument/2006/relationships/hyperlink" Target="https://drive.google.com/uc?id=1H6T8iKy6MCUuRiah0HEkp1r8LP5OldTs" TargetMode="External"/><Relationship Id="rId289" Type="http://schemas.openxmlformats.org/officeDocument/2006/relationships/hyperlink" Target="https://drive.google.com/uc?id=1JYe1pn-wZjdwSDUf12diu1NthQ2ZCr6w" TargetMode="External"/><Relationship Id="rId288" Type="http://schemas.openxmlformats.org/officeDocument/2006/relationships/hyperlink" Target="https://drive.google.com/uc?id=1mKuHBVZgQJ8rXfWYb4oBoZtYZC1Zt-fZ" TargetMode="External"/><Relationship Id="rId287" Type="http://schemas.openxmlformats.org/officeDocument/2006/relationships/hyperlink" Target="https://drive.google.com/uc?id=11w2dI2tQdAhJIDu-f_JsiveLYphKu0B2" TargetMode="External"/><Relationship Id="rId282" Type="http://schemas.openxmlformats.org/officeDocument/2006/relationships/hyperlink" Target="https://drive.google.com/uc?id=1dJ_YxD3-TLKnTT4OQi-C7yDdmW1I4hPI" TargetMode="External"/><Relationship Id="rId281" Type="http://schemas.openxmlformats.org/officeDocument/2006/relationships/hyperlink" Target="https://drive.google.com/uc?id=1ZcyKO-Ao8Ep0gd5HWzb9i_YPzgpwZfed" TargetMode="External"/><Relationship Id="rId280" Type="http://schemas.openxmlformats.org/officeDocument/2006/relationships/hyperlink" Target="https://drive.google.com/uc?id=1vx0qvaCe-Weg9oLgNfDFKdKsP9cCBQnG" TargetMode="External"/><Relationship Id="rId275" Type="http://schemas.openxmlformats.org/officeDocument/2006/relationships/hyperlink" Target="https://drive.google.com/uc?id=1_LOUrQUCAt5xyrhtg01hdUABoGa4FruZ" TargetMode="External"/><Relationship Id="rId274" Type="http://schemas.openxmlformats.org/officeDocument/2006/relationships/hyperlink" Target="https://drive.google.com/uc?id=1M4-YREj3_aEh6sPpLh_YFY8-2hsFfFE4" TargetMode="External"/><Relationship Id="rId273" Type="http://schemas.openxmlformats.org/officeDocument/2006/relationships/hyperlink" Target="https://drive.google.com/uc?id=1b8KzESRPUtguRTYmqicaBf4Zvzw98uki" TargetMode="External"/><Relationship Id="rId272" Type="http://schemas.openxmlformats.org/officeDocument/2006/relationships/hyperlink" Target="https://drive.google.com/uc?id=1enkFmCtwGj7TkK8wbKpGRUA-ysjOuTm6" TargetMode="External"/><Relationship Id="rId279" Type="http://schemas.openxmlformats.org/officeDocument/2006/relationships/hyperlink" Target="https://drive.google.com/uc?id=1OdTLEPGQK-cyXUHFW5KMJ6FS91RbFy17" TargetMode="External"/><Relationship Id="rId278" Type="http://schemas.openxmlformats.org/officeDocument/2006/relationships/hyperlink" Target="https://drive.google.com/uc?id=17e3k2eyt8Zwn3VN_irxhgYf9DjLGqwjI" TargetMode="External"/><Relationship Id="rId277" Type="http://schemas.openxmlformats.org/officeDocument/2006/relationships/hyperlink" Target="https://drive.google.com/uc?id=1sWU1RnAI8pySHL8RhsKxLXzgluB9cnVV" TargetMode="External"/><Relationship Id="rId276" Type="http://schemas.openxmlformats.org/officeDocument/2006/relationships/hyperlink" Target="https://drive.google.com/uc?id=1gvdRfRlutvXfZKg7-9cgj8eRZk4d15IS" TargetMode="External"/><Relationship Id="rId907" Type="http://schemas.openxmlformats.org/officeDocument/2006/relationships/hyperlink" Target="https://drive.google.com/file/d/1Q0RK5i5v4zIGrxZdR3jeRHTbSB_7iwLn/view?usp=sharing" TargetMode="External"/><Relationship Id="rId906" Type="http://schemas.openxmlformats.org/officeDocument/2006/relationships/hyperlink" Target="https://drive.google.com/uc?id=1ypUbBoDpjJm59TQuix1bu1UURC5JQN0v" TargetMode="External"/><Relationship Id="rId905" Type="http://schemas.openxmlformats.org/officeDocument/2006/relationships/hyperlink" Target="https://drive.google.com/uc?id=1HtF4FHYWM3EDX-SpK3F-dY7erjhNX6Rl" TargetMode="External"/><Relationship Id="rId904" Type="http://schemas.openxmlformats.org/officeDocument/2006/relationships/hyperlink" Target="https://drive.google.com/uc?id=1axrbut3vdW_C0PktPm0v_3_FNIuP5wRV" TargetMode="External"/><Relationship Id="rId909" Type="http://schemas.openxmlformats.org/officeDocument/2006/relationships/hyperlink" Target="https://drive.google.com/uc?id=1P1tmJ5naBwbIu0WXuZtDzypAPmNspq1H" TargetMode="External"/><Relationship Id="rId908" Type="http://schemas.openxmlformats.org/officeDocument/2006/relationships/hyperlink" Target="https://drive.google.com/uc?id=13lo8Sj0EJ5mYFPbXH18aB-1nsMmf1-d0" TargetMode="External"/><Relationship Id="rId903" Type="http://schemas.openxmlformats.org/officeDocument/2006/relationships/hyperlink" Target="https://drive.google.com/uc?id=12xTC-iZlhXscp-ezQuktUcTS7ksZCOXS" TargetMode="External"/><Relationship Id="rId902" Type="http://schemas.openxmlformats.org/officeDocument/2006/relationships/hyperlink" Target="https://drive.google.com/uc?id=1duKnw7gCOQeuRTrWNYN0jtFpTXqJ9Wdw/" TargetMode="External"/><Relationship Id="rId901" Type="http://schemas.openxmlformats.org/officeDocument/2006/relationships/hyperlink" Target="https://drive.google.com/uc?id=19dUif8NMjot9a2avlJwiT8V3r5jjzrdW/" TargetMode="External"/><Relationship Id="rId900" Type="http://schemas.openxmlformats.org/officeDocument/2006/relationships/hyperlink" Target="https://drive.google.com/uc?id=1XqahfMaT-_2fSED1mwgbOXwek-Wv24pN" TargetMode="External"/><Relationship Id="rId929" Type="http://schemas.openxmlformats.org/officeDocument/2006/relationships/hyperlink" Target="https://drive.google.com/uc?id=1PQWoNmBuU4g4kXvXhR9OlB6kp89KAwF6" TargetMode="External"/><Relationship Id="rId928" Type="http://schemas.openxmlformats.org/officeDocument/2006/relationships/hyperlink" Target="https://drive.google.com/uc?id=1XLjpuzSGnbnz21fwfHQFv5kBS-OtViyi" TargetMode="External"/><Relationship Id="rId927" Type="http://schemas.openxmlformats.org/officeDocument/2006/relationships/hyperlink" Target="https://drive.google.com/uc?id=1Q-RGT3CIKkgaq5D3Hmf0vNKLyA_JEnI7" TargetMode="External"/><Relationship Id="rId926" Type="http://schemas.openxmlformats.org/officeDocument/2006/relationships/hyperlink" Target="https://drive.google.com/uc?id=1BUNxJkAIkugAvEfvP3utS8_-qIuHN4dq" TargetMode="External"/><Relationship Id="rId921" Type="http://schemas.openxmlformats.org/officeDocument/2006/relationships/hyperlink" Target="https://drive.google.com/uc?id=1H-exHSs_FHd1Lfw0cmQVRwlzrrevvHjw" TargetMode="External"/><Relationship Id="rId920" Type="http://schemas.openxmlformats.org/officeDocument/2006/relationships/hyperlink" Target="https://drive.google.com/uc?id=1PhMyDhQ5ODoJnnPYbENztJSY-c47CLAN" TargetMode="External"/><Relationship Id="rId925" Type="http://schemas.openxmlformats.org/officeDocument/2006/relationships/hyperlink" Target="https://drive.google.com/uc?id=1uTDEQXY6i6G80HEldbSPPxvg4x59R3Lo" TargetMode="External"/><Relationship Id="rId924" Type="http://schemas.openxmlformats.org/officeDocument/2006/relationships/hyperlink" Target="https://drive.google.com/uc?id=19_51Q16791uYhu0Dnu0pEXlwsP5tS_ge" TargetMode="External"/><Relationship Id="rId923" Type="http://schemas.openxmlformats.org/officeDocument/2006/relationships/hyperlink" Target="https://drive.google.com/uc?id=1I8iuC6FM8SErqFuYuDgLZeB1kBgdj9qc" TargetMode="External"/><Relationship Id="rId922" Type="http://schemas.openxmlformats.org/officeDocument/2006/relationships/hyperlink" Target="https://drive.google.com/uc?id=1mJh2DC_hiPFooWddP85cN_HXDbKF6tmC" TargetMode="External"/><Relationship Id="rId918" Type="http://schemas.openxmlformats.org/officeDocument/2006/relationships/hyperlink" Target="https://drive.google.com/uc?id=1ZbEJmDRHFpTC4ovJx4FAoTSbXjCWLO7x" TargetMode="External"/><Relationship Id="rId917" Type="http://schemas.openxmlformats.org/officeDocument/2006/relationships/hyperlink" Target="https://drive.google.com/uc?id=1sMwi9jRM0HqzuXmbtqJ60pIk_OGJPyoe" TargetMode="External"/><Relationship Id="rId916" Type="http://schemas.openxmlformats.org/officeDocument/2006/relationships/hyperlink" Target="https://drive.google.com/uc?id=10E5A1Dkyyp9Iiy90nW5_okUQUDYRKHvh" TargetMode="External"/><Relationship Id="rId915" Type="http://schemas.openxmlformats.org/officeDocument/2006/relationships/hyperlink" Target="https://drive.google.com/uc?id=1gzBa8BERmFhcHYrw-91Vqa9kO4nUYtcW" TargetMode="External"/><Relationship Id="rId919" Type="http://schemas.openxmlformats.org/officeDocument/2006/relationships/hyperlink" Target="https://drive.google.com/uc?id=1boPXGgrNSyANfS62VjwPCgCjAVHMI67H" TargetMode="External"/><Relationship Id="rId910" Type="http://schemas.openxmlformats.org/officeDocument/2006/relationships/hyperlink" Target="https://drive.google.com/uc?id=1Fr_3Mn88ssTIcg41HIRfrBmWW0UoinoN" TargetMode="External"/><Relationship Id="rId914" Type="http://schemas.openxmlformats.org/officeDocument/2006/relationships/hyperlink" Target="https://drive.google.com/uc?id=1fYal7FQByBeAWZIZC3iOf7SqtyLYxI7I" TargetMode="External"/><Relationship Id="rId913" Type="http://schemas.openxmlformats.org/officeDocument/2006/relationships/hyperlink" Target="https://drive.google.com/uc?id=1lm3jZFfzOMauW9DZ2C5ViccZ8KqDiLOm" TargetMode="External"/><Relationship Id="rId912" Type="http://schemas.openxmlformats.org/officeDocument/2006/relationships/hyperlink" Target="https://drive.google.com/uc?id=1LhtLESZWqidEQfOCiyV0Tx05loUPpbxP" TargetMode="External"/><Relationship Id="rId911" Type="http://schemas.openxmlformats.org/officeDocument/2006/relationships/hyperlink" Target="https://drive.google.com/uc?id=1GKGIKSQqBq4HGaeMU1Y71EhmvLGplzK8/" TargetMode="External"/><Relationship Id="rId1213" Type="http://schemas.openxmlformats.org/officeDocument/2006/relationships/hyperlink" Target="https://drive.google.com/uc?id=1U-rgMIW7IhPfjM5a7xsjs8BmfyqIB6J9" TargetMode="External"/><Relationship Id="rId1214" Type="http://schemas.openxmlformats.org/officeDocument/2006/relationships/hyperlink" Target="https://drive.google.com/uc?id=1-X6oq4ckAPOg91kQ5irCDZBemqPfdpAQ" TargetMode="External"/><Relationship Id="rId1215" Type="http://schemas.openxmlformats.org/officeDocument/2006/relationships/hyperlink" Target="https://drive.google.com/uc?id=1hMVOTdCrGivqSvwS5aL_4apGgpRHdZkp" TargetMode="External"/><Relationship Id="rId1216" Type="http://schemas.openxmlformats.org/officeDocument/2006/relationships/hyperlink" Target="https://drive.google.com/uc?id=1K4LidLtwqd2mCilxr-4n0C6sVwJc1iFc" TargetMode="External"/><Relationship Id="rId1217" Type="http://schemas.openxmlformats.org/officeDocument/2006/relationships/hyperlink" Target="https://drive.google.com/uc?id=189hblQ1d64xnu6g496sozfRIs9eZCkYv" TargetMode="External"/><Relationship Id="rId1218" Type="http://schemas.openxmlformats.org/officeDocument/2006/relationships/hyperlink" Target="https://drive.google.com/uc?id=1vaC1WuDt74dOshXYSvGpS3TF8sl0X0E5" TargetMode="External"/><Relationship Id="rId1219" Type="http://schemas.openxmlformats.org/officeDocument/2006/relationships/hyperlink" Target="https://drive.google.com/uc?id=19Zye7A8HKIsxikOSyV49i5U8ckKxygHd" TargetMode="External"/><Relationship Id="rId629" Type="http://schemas.openxmlformats.org/officeDocument/2006/relationships/hyperlink" Target="https://drive.google.com/uc?id=10n9yLhVjMd26pQw0QX_RGus-MAXZkxNU" TargetMode="External"/><Relationship Id="rId624" Type="http://schemas.openxmlformats.org/officeDocument/2006/relationships/hyperlink" Target="https://drive.google.com/uc?id=1Q0uwSN_cDy7xVqonjJ-s5maeJK4ja5T2" TargetMode="External"/><Relationship Id="rId866" Type="http://schemas.openxmlformats.org/officeDocument/2006/relationships/hyperlink" Target="https://drive.google.com/uc?id=1KHRxzgOR9TWGXNWHUW4WawPteUoHdrJr" TargetMode="External"/><Relationship Id="rId623" Type="http://schemas.openxmlformats.org/officeDocument/2006/relationships/hyperlink" Target="https://drive.google.com/uc?id=1KVm10igUHpW3eq-4YB1DEXAeyEh-VApV" TargetMode="External"/><Relationship Id="rId865" Type="http://schemas.openxmlformats.org/officeDocument/2006/relationships/hyperlink" Target="https://drive.google.com/uc?id=1f37kSoo4YI5wKo7XgJlAeWAcbllIXPOp" TargetMode="External"/><Relationship Id="rId622" Type="http://schemas.openxmlformats.org/officeDocument/2006/relationships/hyperlink" Target="https://drive.google.com/uc?id=1CmfWWnLiEg38P9guHFEQrxxwoyH9fMur" TargetMode="External"/><Relationship Id="rId864" Type="http://schemas.openxmlformats.org/officeDocument/2006/relationships/hyperlink" Target="https://drive.google.com/uc?id=1-jedggpJbXeeZP0Ayv1eeyiKJ9H2XYHX" TargetMode="External"/><Relationship Id="rId621" Type="http://schemas.openxmlformats.org/officeDocument/2006/relationships/hyperlink" Target="https://drive.google.com/uc?id=1dCi6LNIpiRmk1niD2QEfIlrS1BFqmdzh" TargetMode="External"/><Relationship Id="rId863" Type="http://schemas.openxmlformats.org/officeDocument/2006/relationships/hyperlink" Target="https://drive.google.com/uc?id=1_VTf84beFFrR1uYrlXn3use6kddWwrHy" TargetMode="External"/><Relationship Id="rId628" Type="http://schemas.openxmlformats.org/officeDocument/2006/relationships/hyperlink" Target="https://drive.google.com/uc?id=1XTh2RUKPOFpPREqXL54ihqGLABDHL_Jq" TargetMode="External"/><Relationship Id="rId627" Type="http://schemas.openxmlformats.org/officeDocument/2006/relationships/hyperlink" Target="https://drive.google.com/uc?id=1nWA_JccObqMtPCOjOdXba531X8JCMCEO" TargetMode="External"/><Relationship Id="rId869" Type="http://schemas.openxmlformats.org/officeDocument/2006/relationships/hyperlink" Target="https://drive.google.com/uc?id=1HusrC78SJBAipXz45IEANZQVsU3GTpVa" TargetMode="External"/><Relationship Id="rId626" Type="http://schemas.openxmlformats.org/officeDocument/2006/relationships/hyperlink" Target="https://drive.google.com/uc?id=1pEbQwCHYu7nAYw_SYwSfrNKy1rY3C7k5" TargetMode="External"/><Relationship Id="rId868" Type="http://schemas.openxmlformats.org/officeDocument/2006/relationships/hyperlink" Target="https://drive.google.com/uc?id=1KKD6vTE97nGsbqVlvfPffyX3Y40Vc5pI" TargetMode="External"/><Relationship Id="rId625" Type="http://schemas.openxmlformats.org/officeDocument/2006/relationships/hyperlink" Target="https://drive.google.com/uc?id=1rWZG7x14pExaPwuBfI2_hBtkulr9xOBi" TargetMode="External"/><Relationship Id="rId867" Type="http://schemas.openxmlformats.org/officeDocument/2006/relationships/hyperlink" Target="https://drive.google.com/uc?id=1sMXHI_LUfbC7Pr_dVZLqNr4FQkMVzH6x" TargetMode="External"/><Relationship Id="rId620" Type="http://schemas.openxmlformats.org/officeDocument/2006/relationships/hyperlink" Target="https://drive.google.com/uc?id=1LGp14O30-Nx9kR0X8yXS2v5Yxitt8ylz" TargetMode="External"/><Relationship Id="rId862" Type="http://schemas.openxmlformats.org/officeDocument/2006/relationships/hyperlink" Target="https://drive.google.com/uc?id=1RGLZxRdqmU6Ufv-B7KHwUBIAE8cCfkci" TargetMode="External"/><Relationship Id="rId861" Type="http://schemas.openxmlformats.org/officeDocument/2006/relationships/hyperlink" Target="https://drive.google.com/uc?id=1tlOtkdLq5Vm1TCGAoWmsJzmbZW2XJaBd" TargetMode="External"/><Relationship Id="rId1210" Type="http://schemas.openxmlformats.org/officeDocument/2006/relationships/hyperlink" Target="https://drive.google.com/uc?id=1_JUIeNFUT7mqSaey4x18DhP_8hHmVciM" TargetMode="External"/><Relationship Id="rId860" Type="http://schemas.openxmlformats.org/officeDocument/2006/relationships/hyperlink" Target="https://drive.google.com/uc?id=1xxrilPsQpQb20Fa-KdhoLWydGSlHlXYU" TargetMode="External"/><Relationship Id="rId1211" Type="http://schemas.openxmlformats.org/officeDocument/2006/relationships/hyperlink" Target="https://drive.google.com/uc?id=15QvEbP8zCsBQsg-3wR20GJjw54JK5a8x" TargetMode="External"/><Relationship Id="rId1212" Type="http://schemas.openxmlformats.org/officeDocument/2006/relationships/hyperlink" Target="https://drive.google.com/uc?id=1zkzIdkUgQ6lPiFTLwfmTjUX8O3B1-kdx" TargetMode="External"/><Relationship Id="rId1202" Type="http://schemas.openxmlformats.org/officeDocument/2006/relationships/hyperlink" Target="https://drive.google.com/uc?id=1yMmE3482LNKwallEb6lZZOdc2_j2XqDX" TargetMode="External"/><Relationship Id="rId1203" Type="http://schemas.openxmlformats.org/officeDocument/2006/relationships/hyperlink" Target="https://drive.google.com/uc?id=d/1j6eljb2AyfXrD5pDcJcCPAeqjTuEcPWM" TargetMode="External"/><Relationship Id="rId1204" Type="http://schemas.openxmlformats.org/officeDocument/2006/relationships/hyperlink" Target="https://drive.google.com/uc?id=1LKqW_rDx8b-iVYZXC7HggYL4M15iSkdp" TargetMode="External"/><Relationship Id="rId1205" Type="http://schemas.openxmlformats.org/officeDocument/2006/relationships/hyperlink" Target="https://drive.google.com/uc?id=1jCMSvEPre3GFf_17MGO0qlXxco8pO0I8" TargetMode="External"/><Relationship Id="rId1206" Type="http://schemas.openxmlformats.org/officeDocument/2006/relationships/hyperlink" Target="https://drive.google.com/uc?id=1uLeBEhgGUHV4s-3BEgP5l9I0gL63iV9k" TargetMode="External"/><Relationship Id="rId1207" Type="http://schemas.openxmlformats.org/officeDocument/2006/relationships/hyperlink" Target="https://drive.google.com/uc?id=1B-eU4DdxsIYqP8esqB5Hx9Q4U3mV2Ava" TargetMode="External"/><Relationship Id="rId1208" Type="http://schemas.openxmlformats.org/officeDocument/2006/relationships/hyperlink" Target="https://drive.google.com/uc?id=1x8N_3vAYB6j7KvFGlxVdr44j8PnTcLVk" TargetMode="External"/><Relationship Id="rId1209" Type="http://schemas.openxmlformats.org/officeDocument/2006/relationships/hyperlink" Target="https://drive.google.com/uc?id=1YS-BS1PAHClodETLMv3VDTWFw3kBaVG_" TargetMode="External"/><Relationship Id="rId619" Type="http://schemas.openxmlformats.org/officeDocument/2006/relationships/hyperlink" Target="https://drive.google.com/uc?id=10mqhwBns_RkGii9NW2-jXoFj4ltiIP0-" TargetMode="External"/><Relationship Id="rId618" Type="http://schemas.openxmlformats.org/officeDocument/2006/relationships/hyperlink" Target="https://drive.google.com/uc?id=1BDn5qJFpQnt0FW0FjqoZo1MW3SgXzjwE" TargetMode="External"/><Relationship Id="rId613" Type="http://schemas.openxmlformats.org/officeDocument/2006/relationships/hyperlink" Target="https://drive.google.com/uc?id=1fXG8-nOucJ1zDYmJY1fpfDHepcwlKbUE" TargetMode="External"/><Relationship Id="rId855" Type="http://schemas.openxmlformats.org/officeDocument/2006/relationships/hyperlink" Target="https://drive.google.com/uc?id=1xT0KySoPcaFKGAyW8XyUNjhbO0HBpCGj" TargetMode="External"/><Relationship Id="rId612" Type="http://schemas.openxmlformats.org/officeDocument/2006/relationships/hyperlink" Target="https://drive.google.com/uc?id=1fd2oCo5vIqVelIRsTHqQgT7ErigXwUH9" TargetMode="External"/><Relationship Id="rId854" Type="http://schemas.openxmlformats.org/officeDocument/2006/relationships/hyperlink" Target="https://drive.google.com/uc?id=1tSTvbUB9uftQfFjEL0zowBiXUjsa4MUc" TargetMode="External"/><Relationship Id="rId611" Type="http://schemas.openxmlformats.org/officeDocument/2006/relationships/hyperlink" Target="https://drive.google.com/uc?id=1fm5H9Pox7oL5iLXqsNytf7kZU5-eqt7A" TargetMode="External"/><Relationship Id="rId853" Type="http://schemas.openxmlformats.org/officeDocument/2006/relationships/hyperlink" Target="https://drive.google.com/uc?id=15-cfwXUGIU21VKHP1E1rHaeIDPSVUhuz" TargetMode="External"/><Relationship Id="rId610" Type="http://schemas.openxmlformats.org/officeDocument/2006/relationships/hyperlink" Target="https://drive.google.com/uc?id=1fg627jFN67CGL7FY4EMIELrTxNVJ2mKW" TargetMode="External"/><Relationship Id="rId852" Type="http://schemas.openxmlformats.org/officeDocument/2006/relationships/hyperlink" Target="https://drive.google.com/uc?id=1e31rbq5wb_HzzqWhqP8cDj8iQWS3xpJa" TargetMode="External"/><Relationship Id="rId617" Type="http://schemas.openxmlformats.org/officeDocument/2006/relationships/hyperlink" Target="https://drive.google.com/uc?id=1kTD0wMxh0yVK-uKDBW9isj3huhLAJPHr" TargetMode="External"/><Relationship Id="rId859" Type="http://schemas.openxmlformats.org/officeDocument/2006/relationships/hyperlink" Target="https://drive.google.com/uc?id=1K8hpnXKGCaSLZ2liumRwN1J1M4hOeBrE" TargetMode="External"/><Relationship Id="rId616" Type="http://schemas.openxmlformats.org/officeDocument/2006/relationships/hyperlink" Target="https://drive.google.com/uc?id=1bBVte0ZkVom-drLFHYallyzl1Q9ZGAon" TargetMode="External"/><Relationship Id="rId858" Type="http://schemas.openxmlformats.org/officeDocument/2006/relationships/hyperlink" Target="https://drive.google.com/uc?id=1J8ayN34jLXA0vd_OwWC1kbsYWMQa0EzL" TargetMode="External"/><Relationship Id="rId615" Type="http://schemas.openxmlformats.org/officeDocument/2006/relationships/hyperlink" Target="https://drive.google.com/uc?id=1S10wk3X96D2R_OZkqpuUUxeqqXxFtr3x" TargetMode="External"/><Relationship Id="rId857" Type="http://schemas.openxmlformats.org/officeDocument/2006/relationships/hyperlink" Target="https://drive.google.com/uc?id=1VeA_euGnrBoPDyq3gRT8NfkmOeJR7izF" TargetMode="External"/><Relationship Id="rId614" Type="http://schemas.openxmlformats.org/officeDocument/2006/relationships/hyperlink" Target="https://drive.google.com/uc?id=1FM-zY0Yhr-NkCClGCS53vbDshxOB_Bg4" TargetMode="External"/><Relationship Id="rId856" Type="http://schemas.openxmlformats.org/officeDocument/2006/relationships/hyperlink" Target="https://drive.google.com/uc?id=1nxJ1ww2qKRLmRjRqh80LSdM2yJzm4Y6R" TargetMode="External"/><Relationship Id="rId851" Type="http://schemas.openxmlformats.org/officeDocument/2006/relationships/hyperlink" Target="https://drive.google.com/uc?id=1oXsAnCNgfWQFOK03QPeyLow-jGWza1yh" TargetMode="External"/><Relationship Id="rId850" Type="http://schemas.openxmlformats.org/officeDocument/2006/relationships/hyperlink" Target="https://drive.google.com/uc?id=13IVWyWSw_sxc_NW67t0vu0caZH1mKzuC" TargetMode="External"/><Relationship Id="rId1200" Type="http://schemas.openxmlformats.org/officeDocument/2006/relationships/hyperlink" Target="https://drive.google.com/uc?id=11SZYG1AqwhOv5rOVaP7egjgBVu8lCCGt" TargetMode="External"/><Relationship Id="rId1201" Type="http://schemas.openxmlformats.org/officeDocument/2006/relationships/hyperlink" Target="https://drive.google.com/uc?id=1Wzto9ccdQHUxmoM7FAcetQSU7AV7MA5b" TargetMode="External"/><Relationship Id="rId1235" Type="http://schemas.openxmlformats.org/officeDocument/2006/relationships/hyperlink" Target="https://drive.google.com/uc?id=1PyxH7pBl-tEKqYQn887MlakRE41vAlcc" TargetMode="External"/><Relationship Id="rId1236" Type="http://schemas.openxmlformats.org/officeDocument/2006/relationships/hyperlink" Target="https://drive.google.com/uc?id=1hqVSlmeCvMaBfrqf6AlnT6xqqqXWFHdy" TargetMode="External"/><Relationship Id="rId1237" Type="http://schemas.openxmlformats.org/officeDocument/2006/relationships/hyperlink" Target="https://drive.google.com/uc?id=1D4bh8aBEZ9vDGs8dCezypp12llor-ORl" TargetMode="External"/><Relationship Id="rId1238" Type="http://schemas.openxmlformats.org/officeDocument/2006/relationships/hyperlink" Target="https://drive.google.com/uc?id=1xNm-t0htLtAXik_oPAGCTlSJ3Z1LQY5F" TargetMode="External"/><Relationship Id="rId1239" Type="http://schemas.openxmlformats.org/officeDocument/2006/relationships/hyperlink" Target="https://drive.google.com/uc?id=1dgDcqbH4T3648zJNYfmPaWiVWkYk5Jwy" TargetMode="External"/><Relationship Id="rId409" Type="http://schemas.openxmlformats.org/officeDocument/2006/relationships/hyperlink" Target="https://drive.google.com/uc?id=1qpPM9FNiqFB1FsOsJ_vNeqHGXoHnl7dx" TargetMode="External"/><Relationship Id="rId404" Type="http://schemas.openxmlformats.org/officeDocument/2006/relationships/hyperlink" Target="https://drive.google.com/uc?id=1GlVv0Ojmx0AuEtcFNdfOTiY1cV4t7tRf" TargetMode="External"/><Relationship Id="rId646" Type="http://schemas.openxmlformats.org/officeDocument/2006/relationships/hyperlink" Target="https://drive.google.com/uc?id=1jd20cF31yJFZMALWdA9SvFtgJEilWy1B" TargetMode="External"/><Relationship Id="rId888" Type="http://schemas.openxmlformats.org/officeDocument/2006/relationships/hyperlink" Target="https://drive.google.com/uc?id=11iFDVNb9wQoUbEY5MZfXQRA2ZlwGqisB" TargetMode="External"/><Relationship Id="rId403" Type="http://schemas.openxmlformats.org/officeDocument/2006/relationships/hyperlink" Target="https://drive.google.com/uc?id=1haoZHxIWTQGuMBoWql2E5lMb6RqVP7SV" TargetMode="External"/><Relationship Id="rId645" Type="http://schemas.openxmlformats.org/officeDocument/2006/relationships/hyperlink" Target="https://drive.google.com/uc?id=1jklr2pb5_56u_CzYoY8F78c45I1o_043" TargetMode="External"/><Relationship Id="rId887" Type="http://schemas.openxmlformats.org/officeDocument/2006/relationships/hyperlink" Target="https://drive.google.com/uc?id=1hq2CiXY2F6q2-WrXTauz6pAgqgpe7CrJ" TargetMode="External"/><Relationship Id="rId402" Type="http://schemas.openxmlformats.org/officeDocument/2006/relationships/hyperlink" Target="https://drive.google.com/uc?id=11tjksT7HH9JdRHd4E49EmdNHL4VYj2Lp" TargetMode="External"/><Relationship Id="rId644" Type="http://schemas.openxmlformats.org/officeDocument/2006/relationships/hyperlink" Target="https://drive.google.com/uc?id=1jv4Po5rpbDQC7khdIKT3_SuLi9Dal2rF" TargetMode="External"/><Relationship Id="rId886" Type="http://schemas.openxmlformats.org/officeDocument/2006/relationships/hyperlink" Target="https://drive.google.com/uc?id=1co1LRMFGMEGCtkvy4GdASzhVA3_mNLbR" TargetMode="External"/><Relationship Id="rId401" Type="http://schemas.openxmlformats.org/officeDocument/2006/relationships/hyperlink" Target="https://drive.google.com/uc?id=1RESqRvjXHdXXGiugiyDoDtwxQoWiWuW0" TargetMode="External"/><Relationship Id="rId643" Type="http://schemas.openxmlformats.org/officeDocument/2006/relationships/hyperlink" Target="https://drive.google.com/uc?id=1k3VNBKr7ixgGWZ_tr4oPdrFZAvlHedtm" TargetMode="External"/><Relationship Id="rId885" Type="http://schemas.openxmlformats.org/officeDocument/2006/relationships/hyperlink" Target="https://drive.google.com/uc?id=16-3QnvBZWFS4YJv3cprRZzgl5LixDKWE" TargetMode="External"/><Relationship Id="rId408" Type="http://schemas.openxmlformats.org/officeDocument/2006/relationships/hyperlink" Target="https://drive.google.com/uc?id=1Y5fkyjLO-HvMNRK8hEt0Q969cDrjXmT7" TargetMode="External"/><Relationship Id="rId407" Type="http://schemas.openxmlformats.org/officeDocument/2006/relationships/hyperlink" Target="https://drive.google.com/uc?id=1nxL3MXyytsD6ZtR6q9EosqloV64DQ3i4" TargetMode="External"/><Relationship Id="rId649" Type="http://schemas.openxmlformats.org/officeDocument/2006/relationships/hyperlink" Target="https://drive.google.com/uc?id=1jQGrAxZxgvpkWGDwtdilQGQN634ZsF7c" TargetMode="External"/><Relationship Id="rId406" Type="http://schemas.openxmlformats.org/officeDocument/2006/relationships/hyperlink" Target="https://drive.google.com/uc?id=1-sSEfLXHOUuX6AYVkSx-W9OIDcW7Neso" TargetMode="External"/><Relationship Id="rId648" Type="http://schemas.openxmlformats.org/officeDocument/2006/relationships/hyperlink" Target="https://drive.google.com/uc?id=1jV6JMP5KiHB2PFT4IuKdpGjW1h0nDkSR" TargetMode="External"/><Relationship Id="rId405" Type="http://schemas.openxmlformats.org/officeDocument/2006/relationships/hyperlink" Target="https://drive.google.com/uc?id=1xvNZO_PhqBqjVC_BEV5noj2ddo06AuCA" TargetMode="External"/><Relationship Id="rId647" Type="http://schemas.openxmlformats.org/officeDocument/2006/relationships/hyperlink" Target="https://drive.google.com/uc?id=1jW6fY-eJB0eH5-hv_IcsMgVoL7OZgqVT" TargetMode="External"/><Relationship Id="rId889" Type="http://schemas.openxmlformats.org/officeDocument/2006/relationships/hyperlink" Target="https://drive.google.com/uc?id=1nrN80JO1IdjabABYSl1XJ69DGBWQMldi" TargetMode="External"/><Relationship Id="rId880" Type="http://schemas.openxmlformats.org/officeDocument/2006/relationships/hyperlink" Target="https://drive.google.com/uc?id=1ukFZVgfGwNEg6f-c1jvyEjUwsgWoQGQR" TargetMode="External"/><Relationship Id="rId1230" Type="http://schemas.openxmlformats.org/officeDocument/2006/relationships/hyperlink" Target="https://drive.google.com/uc?id=1Mh4r9xUxLLQA-bZjLj0qbIyUXRutDQod" TargetMode="External"/><Relationship Id="rId400" Type="http://schemas.openxmlformats.org/officeDocument/2006/relationships/hyperlink" Target="https://drive.google.com/uc?id=1pgn1Z58t6RleL8soZl13MKJ_rxg1bAGC" TargetMode="External"/><Relationship Id="rId642" Type="http://schemas.openxmlformats.org/officeDocument/2006/relationships/hyperlink" Target="https://drive.google.com/uc?id=1k6GJx3KQSDnL4I6SA4pyY5J-ctQkGkgH" TargetMode="External"/><Relationship Id="rId884" Type="http://schemas.openxmlformats.org/officeDocument/2006/relationships/hyperlink" Target="https://drive.google.com/uc?id=1hKh1HKc42GhL44oc6laoeouiTO24gLnl" TargetMode="External"/><Relationship Id="rId1231" Type="http://schemas.openxmlformats.org/officeDocument/2006/relationships/hyperlink" Target="https://drive.google.com/uc?id=14GbhFjtYo4wrcB9URHe4JvETjU6u-GwD" TargetMode="External"/><Relationship Id="rId641" Type="http://schemas.openxmlformats.org/officeDocument/2006/relationships/hyperlink" Target="https://drive.google.com/uc?id=1kB5kQQ9EjAWa2CQ218dIjPO-9RmPOXyn" TargetMode="External"/><Relationship Id="rId883" Type="http://schemas.openxmlformats.org/officeDocument/2006/relationships/hyperlink" Target="https://drive.google.com/uc?id=1dEVkfHU5MEJsCzMYebITeWtWUFFEZzMH" TargetMode="External"/><Relationship Id="rId1232" Type="http://schemas.openxmlformats.org/officeDocument/2006/relationships/hyperlink" Target="https://drive.google.com/uc?id=1Or-WpeaivbVAQDpraUCQHlmfKGej7SkW" TargetMode="External"/><Relationship Id="rId640" Type="http://schemas.openxmlformats.org/officeDocument/2006/relationships/hyperlink" Target="https://drive.google.com/uc?id=1kDOyACUUG3YhZWVpcJgIa0CDlw2RAKw6/view?usp=share_link" TargetMode="External"/><Relationship Id="rId882" Type="http://schemas.openxmlformats.org/officeDocument/2006/relationships/hyperlink" Target="https://drive.google.com/uc?id=1BeN3oZlUWcngXgq_JUne-qt8lyIps5Lt" TargetMode="External"/><Relationship Id="rId1233" Type="http://schemas.openxmlformats.org/officeDocument/2006/relationships/hyperlink" Target="https://drive.google.com/uc?id=1i42cBvoIa9kac53dMIXO6oP0PlHhMIH1" TargetMode="External"/><Relationship Id="rId881" Type="http://schemas.openxmlformats.org/officeDocument/2006/relationships/hyperlink" Target="https://drive.google.com/uc?id=1x1LtUtAElnxpUzhowY29bVzfUY-xJ2hn" TargetMode="External"/><Relationship Id="rId1234" Type="http://schemas.openxmlformats.org/officeDocument/2006/relationships/hyperlink" Target="https://drive.google.com/uc?id=1Wc5TS30kjw53spLSHc_2UHH7BO6oi8Gt" TargetMode="External"/><Relationship Id="rId1224" Type="http://schemas.openxmlformats.org/officeDocument/2006/relationships/hyperlink" Target="https://drive.google.com/uc?id=1Y7eOR6Xkow1OjJUd6vbz0qiH6DTNuG7p" TargetMode="External"/><Relationship Id="rId1225" Type="http://schemas.openxmlformats.org/officeDocument/2006/relationships/hyperlink" Target="https://drive.google.com/uc?id=1TLf-gnQ1vmgfq6-ZVk9uvnRsW2iVBLTr" TargetMode="External"/><Relationship Id="rId1226" Type="http://schemas.openxmlformats.org/officeDocument/2006/relationships/hyperlink" Target="https://drive.google.com/file/d/1I5csyvzXuXrpGPth7HT46vfGfEJyFXzw/view?usp=share_link" TargetMode="External"/><Relationship Id="rId1227" Type="http://schemas.openxmlformats.org/officeDocument/2006/relationships/hyperlink" Target="https://drive.google.com/uc?id=1aguY2KkMGVOfk2od-meJ3eIT6LYFddqt" TargetMode="External"/><Relationship Id="rId1228" Type="http://schemas.openxmlformats.org/officeDocument/2006/relationships/hyperlink" Target="https://drive.google.com/file/d/1RcaD-lAZFAzapkFKfT-jEVLMWWXOnoAU/view?usp=share_link" TargetMode="External"/><Relationship Id="rId1229" Type="http://schemas.openxmlformats.org/officeDocument/2006/relationships/hyperlink" Target="https://drive.google.com/uc?id=1d_pXAkunWHrexy1mUx2iQgYhnQQctVDD" TargetMode="External"/><Relationship Id="rId635" Type="http://schemas.openxmlformats.org/officeDocument/2006/relationships/hyperlink" Target="https://drive.google.com/uc?id=1kXAnB4rWEmNyUcAfNsh931xHgnQ2QyOE" TargetMode="External"/><Relationship Id="rId877" Type="http://schemas.openxmlformats.org/officeDocument/2006/relationships/hyperlink" Target="https://drive.google.com/uc?id=1eKdfSS_xpQk_4GszW-AxSl4QP3FT3e--" TargetMode="External"/><Relationship Id="rId634" Type="http://schemas.openxmlformats.org/officeDocument/2006/relationships/hyperlink" Target="https://drive.google.com/uc?id=1kfMt_-OCla9HUfHl4g8QrZ0vtgf_il7z" TargetMode="External"/><Relationship Id="rId876" Type="http://schemas.openxmlformats.org/officeDocument/2006/relationships/hyperlink" Target="https://drive.google.com/uc?id=1UjShED7HFOj6SYJzknd0fcCULRHAVGEP" TargetMode="External"/><Relationship Id="rId633" Type="http://schemas.openxmlformats.org/officeDocument/2006/relationships/hyperlink" Target="https://drive.google.com/uc?id=1jo5YG9AczdNHqol64Se9TuKoM9m15Blu" TargetMode="External"/><Relationship Id="rId875" Type="http://schemas.openxmlformats.org/officeDocument/2006/relationships/hyperlink" Target="https://drive.google.com/uc?id=1k51w_iOqFNVIEIFJRLJbOGfZhDjcIBsV" TargetMode="External"/><Relationship Id="rId632" Type="http://schemas.openxmlformats.org/officeDocument/2006/relationships/hyperlink" Target="https://drive.google.com/uc?id=1V4_zAaA9RDUnbynzRqlGBrchMJyHOMhu" TargetMode="External"/><Relationship Id="rId874" Type="http://schemas.openxmlformats.org/officeDocument/2006/relationships/hyperlink" Target="https://drive.google.com/uc?id=1JK-IfQ6M84iXylY0EhvE2K0b52T8W2NY" TargetMode="External"/><Relationship Id="rId639" Type="http://schemas.openxmlformats.org/officeDocument/2006/relationships/hyperlink" Target="https://drive.google.com/uc?id=1kHf5GhAeGBqAYas_krhsf_SfdpB_-Cub" TargetMode="External"/><Relationship Id="rId638" Type="http://schemas.openxmlformats.org/officeDocument/2006/relationships/hyperlink" Target="https://drive.google.com/uc?id=1kRYoWKPDtNQgkp29sLgDvniv_4YVvbdJ" TargetMode="External"/><Relationship Id="rId637" Type="http://schemas.openxmlformats.org/officeDocument/2006/relationships/hyperlink" Target="https://drive.google.com/uc?id=1dKECoXo-1agXJ1vb3jLkhCjYqVb1DofF" TargetMode="External"/><Relationship Id="rId879" Type="http://schemas.openxmlformats.org/officeDocument/2006/relationships/hyperlink" Target="https://drive.google.com/uc?id=1koYIteJ-P_E1QYHIrqddXQ0gs6XMtF1j" TargetMode="External"/><Relationship Id="rId636" Type="http://schemas.openxmlformats.org/officeDocument/2006/relationships/hyperlink" Target="https://drive.google.com/uc?id=1kX6laQEWp5h9E46oYAa7lUoOUqyljig0" TargetMode="External"/><Relationship Id="rId878" Type="http://schemas.openxmlformats.org/officeDocument/2006/relationships/hyperlink" Target="https://drive.google.com/uc?id=1IY7ttfpudf1Chj_wSocdm8mTZ5fdwD3S" TargetMode="External"/><Relationship Id="rId631" Type="http://schemas.openxmlformats.org/officeDocument/2006/relationships/hyperlink" Target="https://drive.google.com/uc?id=1ux3vG3_GUcW-384E1RMLcYDRp_S6kJjB" TargetMode="External"/><Relationship Id="rId873" Type="http://schemas.openxmlformats.org/officeDocument/2006/relationships/hyperlink" Target="https://drive.google.com/uc?id=1iTzluADzHQQUKAxAKpt0nzJsjMqT2Ssk" TargetMode="External"/><Relationship Id="rId1220" Type="http://schemas.openxmlformats.org/officeDocument/2006/relationships/hyperlink" Target="https://drive.google.com/file/d/1hK8s24gTz1MJkXiRi0kaEL0gQeRdguIW/view?usp=share_link" TargetMode="External"/><Relationship Id="rId630" Type="http://schemas.openxmlformats.org/officeDocument/2006/relationships/hyperlink" Target="https://drive.google.com/uc?id=14-3sFEJNhsXZ4BmStiRKcI4PD1jIyqKx" TargetMode="External"/><Relationship Id="rId872" Type="http://schemas.openxmlformats.org/officeDocument/2006/relationships/hyperlink" Target="https://drive.google.com/uc?id=1vDFgTtcHxMDRQTxlLeQ4iA0CKbXmjuan" TargetMode="External"/><Relationship Id="rId1221" Type="http://schemas.openxmlformats.org/officeDocument/2006/relationships/hyperlink" Target="https://drive.google.com/uc?id=192s-7yNdUly8FXn_2JRm8OrEJO335ZhO" TargetMode="External"/><Relationship Id="rId871" Type="http://schemas.openxmlformats.org/officeDocument/2006/relationships/hyperlink" Target="https://drive.google.com/uc?id=186UZCQKO00BdLHsviOwjeujxRCOFEVnJ" TargetMode="External"/><Relationship Id="rId1222" Type="http://schemas.openxmlformats.org/officeDocument/2006/relationships/hyperlink" Target="https://drive.google.com/uc?id=1kwnf9uPIvvsM-9okkjiQuhB8uE_S-xXL" TargetMode="External"/><Relationship Id="rId870" Type="http://schemas.openxmlformats.org/officeDocument/2006/relationships/hyperlink" Target="https://drive.google.com/uc?id=1GVU_D7qhoE4VLxynmYO0wCnA8PuOYzWx" TargetMode="External"/><Relationship Id="rId1223" Type="http://schemas.openxmlformats.org/officeDocument/2006/relationships/hyperlink" Target="https://drive.google.com/uc?id=1yM0NzlmY_3R1GSKNZl2zenjBqLpi28cD" TargetMode="External"/><Relationship Id="rId1411" Type="http://schemas.openxmlformats.org/officeDocument/2006/relationships/hyperlink" Target="https://drive.google.com/uc?id=1nbvsmvEZ6id3tK9HV38__NeLf9kPXZAG" TargetMode="External"/><Relationship Id="rId1412" Type="http://schemas.openxmlformats.org/officeDocument/2006/relationships/hyperlink" Target="https://drive.google.com/uc?id=1pIIX2HgGU0eFcsNDeGBjCybIge5TzB-8" TargetMode="External"/><Relationship Id="rId1413" Type="http://schemas.openxmlformats.org/officeDocument/2006/relationships/hyperlink" Target="https://drive.google.com/uc?id=11XeiL0kWPv2ZvwOFHxPmIWARugUyY6YH" TargetMode="External"/><Relationship Id="rId1414" Type="http://schemas.openxmlformats.org/officeDocument/2006/relationships/hyperlink" Target="https://drive.google.com/uc?id=1izffUBe3eFMaGwooZznawirPFR609T7F" TargetMode="External"/><Relationship Id="rId1415" Type="http://schemas.openxmlformats.org/officeDocument/2006/relationships/hyperlink" Target="https://drive.google.com/uc?id=1iBWlrNMUWAshuor-qn2kqVSsAndzs" TargetMode="External"/><Relationship Id="rId1416" Type="http://schemas.openxmlformats.org/officeDocument/2006/relationships/hyperlink" Target="https://drive.google.com/uc?id=10OWbK2uOZMSANp4Cymf2_9wvYfFxI7IR" TargetMode="External"/><Relationship Id="rId1417" Type="http://schemas.openxmlformats.org/officeDocument/2006/relationships/hyperlink" Target="https://drive.google.com/uc?id=1wX4XPyYEqi6zwI0TOWZ51qZXrwcFsJbn" TargetMode="External"/><Relationship Id="rId1418" Type="http://schemas.openxmlformats.org/officeDocument/2006/relationships/hyperlink" Target="https://drive.google.com/uc?id=1B5Ag8z8TIpZu3fk9VwN1pvb7MRaUoLj7" TargetMode="External"/><Relationship Id="rId1419" Type="http://schemas.openxmlformats.org/officeDocument/2006/relationships/hyperlink" Target="https://drive.google.com/uc?id=1UzAR3ePftNg_lMAnlm73vEkkjRXGai8V" TargetMode="External"/><Relationship Id="rId829" Type="http://schemas.openxmlformats.org/officeDocument/2006/relationships/hyperlink" Target="https://drive.google.com/uc?id=1RABGVUuB2gSjQsIO4ccqxnYfkklQ46tq" TargetMode="External"/><Relationship Id="rId828" Type="http://schemas.openxmlformats.org/officeDocument/2006/relationships/hyperlink" Target="https://drive.google.com/uc?id=1krNtuZ9l2AnCl_MVKrbgt45aKcV2MFgM" TargetMode="External"/><Relationship Id="rId827" Type="http://schemas.openxmlformats.org/officeDocument/2006/relationships/hyperlink" Target="https://drive.google.com/uc?id=1BXl_gbgBW99T3bXeRRfArW04SdD5zfpA" TargetMode="External"/><Relationship Id="rId822" Type="http://schemas.openxmlformats.org/officeDocument/2006/relationships/hyperlink" Target="https://drive.google.com/uc?id=1oB8jjbKfNS9rVOWoNQaUvx4gm5aYVlNb" TargetMode="External"/><Relationship Id="rId821" Type="http://schemas.openxmlformats.org/officeDocument/2006/relationships/hyperlink" Target="https://drive.google.com/uc?id=17EyZ4VGDiLmD1O_WQQrXwNVsl-AHiDi4" TargetMode="External"/><Relationship Id="rId820" Type="http://schemas.openxmlformats.org/officeDocument/2006/relationships/hyperlink" Target="https://drive.google.com/uc?id=1rQ3F6tYR3dDhFN3FGcshjs1mjemVe_-M" TargetMode="External"/><Relationship Id="rId826" Type="http://schemas.openxmlformats.org/officeDocument/2006/relationships/hyperlink" Target="https://drive.google.com/uc?id=1gavbxUUZA_hdzKClk8_wzh_PaC-sZ88Q" TargetMode="External"/><Relationship Id="rId825" Type="http://schemas.openxmlformats.org/officeDocument/2006/relationships/hyperlink" Target="https://drive.google.com/uc?id=1Uriw59Foh6Cx1dfcuXmMiY86RpufrPWk" TargetMode="External"/><Relationship Id="rId824" Type="http://schemas.openxmlformats.org/officeDocument/2006/relationships/hyperlink" Target="https://drive.google.com/uc?id=176UiWK3w8CDzt6MDkFjvQuW5KhCMxcU3" TargetMode="External"/><Relationship Id="rId823" Type="http://schemas.openxmlformats.org/officeDocument/2006/relationships/hyperlink" Target="https://drive.google.com/uc?id=1wiXQKsvucx5JP59zRHzvYe7D_j6R7WPO" TargetMode="External"/><Relationship Id="rId1410" Type="http://schemas.openxmlformats.org/officeDocument/2006/relationships/hyperlink" Target="https://drive.google.com/uc?id=1rwXeIzQaPs6VCrHTYZ9915m6LyEg-Jwf" TargetMode="External"/><Relationship Id="rId1400" Type="http://schemas.openxmlformats.org/officeDocument/2006/relationships/hyperlink" Target="https://drive.google.com/uc?id=1FkhmBLyprKyzG6iz-7kS6h-UGfOE_G0n" TargetMode="External"/><Relationship Id="rId1401" Type="http://schemas.openxmlformats.org/officeDocument/2006/relationships/hyperlink" Target="https://drive.google.com/uc?id=1CAD0zdZXd-KVLTLFyTklLjTC5D6ysjqF" TargetMode="External"/><Relationship Id="rId1402" Type="http://schemas.openxmlformats.org/officeDocument/2006/relationships/hyperlink" Target="https://drive.google.com/uc?id=13Jd84HryY5gBqa9ozrtvukwha_EosBLe" TargetMode="External"/><Relationship Id="rId1403" Type="http://schemas.openxmlformats.org/officeDocument/2006/relationships/hyperlink" Target="https://drive.google.com/uc?id=1eco0ZrNUv6D1HoTNFSsCB8BWajYjzBW0" TargetMode="External"/><Relationship Id="rId1404" Type="http://schemas.openxmlformats.org/officeDocument/2006/relationships/hyperlink" Target="https://drive.google.com/uc?id=10WN4mGoL2PL55Z5sJfFkQWOHwdW3m3YQ" TargetMode="External"/><Relationship Id="rId1405" Type="http://schemas.openxmlformats.org/officeDocument/2006/relationships/hyperlink" Target="https://drive.google.com/uc?id=1zt5vr8PpMDtViN3M3dgOiSvvY85GxuAi" TargetMode="External"/><Relationship Id="rId1406" Type="http://schemas.openxmlformats.org/officeDocument/2006/relationships/hyperlink" Target="https://drive.google.com/uc?id=1BTiWHqW5yBIDLrvKCRUYAh7H6ZINaqA2" TargetMode="External"/><Relationship Id="rId1407" Type="http://schemas.openxmlformats.org/officeDocument/2006/relationships/hyperlink" Target="https://drive.google.com/uc?id=1hj-kie3z7oQa1vZAnSDcFqbI0NCYdhYz" TargetMode="External"/><Relationship Id="rId819" Type="http://schemas.openxmlformats.org/officeDocument/2006/relationships/hyperlink" Target="https://drive.google.com/uc?id=1lUiqoIxhvhDIVQUT01v6t8b66y3qjaby" TargetMode="External"/><Relationship Id="rId1408" Type="http://schemas.openxmlformats.org/officeDocument/2006/relationships/hyperlink" Target="https://drive.google.com/uc?id=1Sb5nAGhy6Tcws8nIYNXn47uC6aUBPsa7" TargetMode="External"/><Relationship Id="rId818" Type="http://schemas.openxmlformats.org/officeDocument/2006/relationships/hyperlink" Target="https://drive.google.com/uc?id=1_Y7Ss50--fIIv-swvJJ8OVFsuKFvh0Z8" TargetMode="External"/><Relationship Id="rId1409" Type="http://schemas.openxmlformats.org/officeDocument/2006/relationships/hyperlink" Target="https://drive.google.com/uc?id=19S_4h8aLqAoV_5TdJp9D-bc-ZsmlCgdj" TargetMode="External"/><Relationship Id="rId817" Type="http://schemas.openxmlformats.org/officeDocument/2006/relationships/hyperlink" Target="https://drive.google.com/uc?id=1Yq0n-wHLq092RDzRgls675_imWekFZwl" TargetMode="External"/><Relationship Id="rId816" Type="http://schemas.openxmlformats.org/officeDocument/2006/relationships/hyperlink" Target="https://drive.google.com/uc?id=1x42IT9K3reb88-vQIF8O88UIem2O39-K" TargetMode="External"/><Relationship Id="rId811" Type="http://schemas.openxmlformats.org/officeDocument/2006/relationships/hyperlink" Target="https://drive.google.com/uc?id=1U3dtsYDu0afWRVhDcDnvcD7BXFLr4-ro" TargetMode="External"/><Relationship Id="rId810" Type="http://schemas.openxmlformats.org/officeDocument/2006/relationships/hyperlink" Target="https://drive.google.com/uc?id=1U3S0v1Ncg-FzPrliLxEeaMMDlMVhmomf" TargetMode="External"/><Relationship Id="rId815" Type="http://schemas.openxmlformats.org/officeDocument/2006/relationships/hyperlink" Target="https://drive.google.com/uc?id=1saWm46h6xUbNZNSFX9ew_5Lrct7fNoJb" TargetMode="External"/><Relationship Id="rId814" Type="http://schemas.openxmlformats.org/officeDocument/2006/relationships/hyperlink" Target="https://drive.google.com/uc?id=1PKH-rL06SSpSAe76qIg2gsZl2ybaDN4y" TargetMode="External"/><Relationship Id="rId813" Type="http://schemas.openxmlformats.org/officeDocument/2006/relationships/hyperlink" Target="https://drive.google.com/uc?id=1uKXr-TDXu5vJXHLuTzmqSVzt6rstjH3O" TargetMode="External"/><Relationship Id="rId812" Type="http://schemas.openxmlformats.org/officeDocument/2006/relationships/hyperlink" Target="https://drive.google.com/uc?id=1UIQMMaRFHNhcfRLVwKTv5FUkSbRMipKZ/view?usp=sharing" TargetMode="External"/><Relationship Id="rId609" Type="http://schemas.openxmlformats.org/officeDocument/2006/relationships/hyperlink" Target="https://drive.google.com/open?id=1fs74RIsiOzNd-AQs3OW8kpL5JMNdIKic&amp;usp=drive_copy" TargetMode="External"/><Relationship Id="rId608" Type="http://schemas.openxmlformats.org/officeDocument/2006/relationships/hyperlink" Target="https://drive.google.com/open?id=1fy5J9vOtGc17k2P7LwtIwLcsk-zonP-P&amp;usp=drive_copy" TargetMode="External"/><Relationship Id="rId607" Type="http://schemas.openxmlformats.org/officeDocument/2006/relationships/hyperlink" Target="https://drive.google.com/open?id=1gLlrkcpQrka6Sq0C3jC2dcosWtYyqC7V&amp;usp=drive_copy" TargetMode="External"/><Relationship Id="rId849" Type="http://schemas.openxmlformats.org/officeDocument/2006/relationships/hyperlink" Target="https://drive.google.com/uc?id=1IrHIYNCU14xKfkjBzYZrwTBsjx-FmQOa" TargetMode="External"/><Relationship Id="rId602" Type="http://schemas.openxmlformats.org/officeDocument/2006/relationships/hyperlink" Target="https://drive.google.com/uc?id=1g_1raQ7Xg-KlcqG8llD2eQVFoBsxniJJ" TargetMode="External"/><Relationship Id="rId844" Type="http://schemas.openxmlformats.org/officeDocument/2006/relationships/hyperlink" Target="https://drive.google.com/uc?id=1rvpCWvzGq9nuwvL1aioc8RaxapGyPW0L" TargetMode="External"/><Relationship Id="rId601" Type="http://schemas.openxmlformats.org/officeDocument/2006/relationships/hyperlink" Target="https://drive.google.com/uc?id=1g_RYOCXL7HBlPUmQPm2byC3MV-6dQCpW" TargetMode="External"/><Relationship Id="rId843" Type="http://schemas.openxmlformats.org/officeDocument/2006/relationships/hyperlink" Target="https://drive.google.com/uc?id=1c9nlDe_ted9zg6Ih0IXg37C94IwuCAXT" TargetMode="External"/><Relationship Id="rId600" Type="http://schemas.openxmlformats.org/officeDocument/2006/relationships/hyperlink" Target="https://drive.google.com/uc?id=1gdDUB9kOJhXA-rU0XswtVrHLm949Pdvh" TargetMode="External"/><Relationship Id="rId842" Type="http://schemas.openxmlformats.org/officeDocument/2006/relationships/hyperlink" Target="https://drive.google.com/uc?id=12Bq9obVlzK8ilCpx0wlCgJB8FMjlwe3k" TargetMode="External"/><Relationship Id="rId841" Type="http://schemas.openxmlformats.org/officeDocument/2006/relationships/hyperlink" Target="https://drive.google.com/uc?id=1t7BUzFGLDPcksRimeXIPg7R36Woc8JGr" TargetMode="External"/><Relationship Id="rId606" Type="http://schemas.openxmlformats.org/officeDocument/2006/relationships/hyperlink" Target="https://drive.google.com/uc?id=1gLyZx7_jf1L2JGgcJ4zlvWkBVqZ8n2yz" TargetMode="External"/><Relationship Id="rId848" Type="http://schemas.openxmlformats.org/officeDocument/2006/relationships/hyperlink" Target="https://drive.google.com/uc?id=172HPZSEXlgvlu2p9d_JQA0SEY418vJo0" TargetMode="External"/><Relationship Id="rId605" Type="http://schemas.openxmlformats.org/officeDocument/2006/relationships/hyperlink" Target="https://drive.google.com/uc?id=1gNJi83LtQ3EfjIKuu5ivZGhaG-betRrB" TargetMode="External"/><Relationship Id="rId847" Type="http://schemas.openxmlformats.org/officeDocument/2006/relationships/hyperlink" Target="https://drive.google.com/uc?id=1aIoAb1m2JEG0x4mY2Tztf6dKrJIG-s0R" TargetMode="External"/><Relationship Id="rId604" Type="http://schemas.openxmlformats.org/officeDocument/2006/relationships/hyperlink" Target="https://drive.google.com/uc?id=1gTcnCHHR_71L7weh4q0hZSouAYL0nhLo" TargetMode="External"/><Relationship Id="rId846" Type="http://schemas.openxmlformats.org/officeDocument/2006/relationships/hyperlink" Target="https://drive.google.com/uc?id=1jVoxImEixs5eN-Ra6rSs4VxPlvwQyg0k" TargetMode="External"/><Relationship Id="rId603" Type="http://schemas.openxmlformats.org/officeDocument/2006/relationships/hyperlink" Target="https://drive.google.com/uc?id=1gX8h3OKdpB2x4Fy7W-gEwDLEa_L3J4ZI" TargetMode="External"/><Relationship Id="rId845" Type="http://schemas.openxmlformats.org/officeDocument/2006/relationships/hyperlink" Target="https://drive.google.com/uc?id=1k4xWRo8-fmP4BgFMgL52QettqcwIyddX" TargetMode="External"/><Relationship Id="rId840" Type="http://schemas.openxmlformats.org/officeDocument/2006/relationships/hyperlink" Target="https://drive.google.com/uc?id=1oKFVoAWFbUUhYHNACyTAo19XfnLVM8-N" TargetMode="External"/><Relationship Id="rId1422" Type="http://schemas.openxmlformats.org/officeDocument/2006/relationships/hyperlink" Target="https://drive.google.com/uc?id=1GVPhKJS5TxAc3FWSNyFtppBWcKcdbx6P" TargetMode="External"/><Relationship Id="rId1423" Type="http://schemas.openxmlformats.org/officeDocument/2006/relationships/hyperlink" Target="https://drive.google.com/uc?id=1vDp9LV70q47M-p-ZQVsENGs7Vq3xH6Q4" TargetMode="External"/><Relationship Id="rId1424" Type="http://schemas.openxmlformats.org/officeDocument/2006/relationships/drawing" Target="../drawings/drawing1.xml"/><Relationship Id="rId839" Type="http://schemas.openxmlformats.org/officeDocument/2006/relationships/hyperlink" Target="https://drive.google.com/uc?id=1mTCQMfhJf8TU89xwAIIWpYLBTRBH7cyG" TargetMode="External"/><Relationship Id="rId838" Type="http://schemas.openxmlformats.org/officeDocument/2006/relationships/hyperlink" Target="https://drive.google.com/uc?id=1dFeZQoQEE3mzR_T9N4tiSV30siWKdUP5" TargetMode="External"/><Relationship Id="rId833" Type="http://schemas.openxmlformats.org/officeDocument/2006/relationships/hyperlink" Target="https://drive.google.com/uc?id=1UBa-AHD1zvyxc6etQOYpvmpsvTXzSBPR" TargetMode="External"/><Relationship Id="rId832" Type="http://schemas.openxmlformats.org/officeDocument/2006/relationships/hyperlink" Target="https://drive.google.com/uc?id=1qH2YhO0pWSwRoqO2_B4SRKkka7zPFiy3" TargetMode="External"/><Relationship Id="rId831" Type="http://schemas.openxmlformats.org/officeDocument/2006/relationships/hyperlink" Target="https://drive.google.com/uc?id=1dn6V_vduGK_SKx9WP17SU1JK7dQPOwlU" TargetMode="External"/><Relationship Id="rId830" Type="http://schemas.openxmlformats.org/officeDocument/2006/relationships/hyperlink" Target="https://drive.google.com/uc?id=1i6jdcZCddLQjDCNRUqKFQ4vCZ7RvRKhQ" TargetMode="External"/><Relationship Id="rId837" Type="http://schemas.openxmlformats.org/officeDocument/2006/relationships/hyperlink" Target="https://drive.google.com/uc?id=1RyMcjhHmsnHSWmuFZJoaFT164__GyKj0" TargetMode="External"/><Relationship Id="rId836" Type="http://schemas.openxmlformats.org/officeDocument/2006/relationships/hyperlink" Target="https://drive.google.com/uc?id=16fX_6J0CZbCwgzuZ-AQMYLvlUf6WgycQ" TargetMode="External"/><Relationship Id="rId835" Type="http://schemas.openxmlformats.org/officeDocument/2006/relationships/hyperlink" Target="https://drive.google.com/uc?id=1MSpmcqXa28B4xexe3QbwdRtW4sCxZJXB" TargetMode="External"/><Relationship Id="rId834" Type="http://schemas.openxmlformats.org/officeDocument/2006/relationships/hyperlink" Target="https://drive.google.com/uc?id=1znbiIRcSmYfYKNIkEIe9AIo0mK7lNxR9" TargetMode="External"/><Relationship Id="rId1420" Type="http://schemas.openxmlformats.org/officeDocument/2006/relationships/hyperlink" Target="https://drive.google.com/uc?id=1xwRQJljwZ6Fc4orkbtsKxlb5gSJ5uK14" TargetMode="External"/><Relationship Id="rId1421" Type="http://schemas.openxmlformats.org/officeDocument/2006/relationships/hyperlink" Target="https://drive.google.com/uc?id=1BSgSMUwhLpkT2xd4XafA0jHH9L2U1z7A" TargetMode="External"/><Relationship Id="rId1059" Type="http://schemas.openxmlformats.org/officeDocument/2006/relationships/hyperlink" Target="https://drive.google.com/uc?id=1mIR-wokzlbCgZk0Lg_dAzzRMAIFUM2ZJ" TargetMode="External"/><Relationship Id="rId228" Type="http://schemas.openxmlformats.org/officeDocument/2006/relationships/hyperlink" Target="https://drive.google.com/file/d/14VlpZNq8Xf7WdxlBaFnqua7dC36X23GX/" TargetMode="External"/><Relationship Id="rId227" Type="http://schemas.openxmlformats.org/officeDocument/2006/relationships/hyperlink" Target="https://drive.google.com/uc?id=1zTqclzaMBt-MXq_fnTCBtOiWP9C3m9js" TargetMode="External"/><Relationship Id="rId469" Type="http://schemas.openxmlformats.org/officeDocument/2006/relationships/hyperlink" Target="https://drive.google.com/uc?id=1cHrB-Kc50n---AAN5JZC2O22UNfnBpKX" TargetMode="External"/><Relationship Id="rId226" Type="http://schemas.openxmlformats.org/officeDocument/2006/relationships/hyperlink" Target="https://drive.google.com/uc?id=1WdrVF2B1G4ZOI2Goxh3ce4s48GmI8rlN" TargetMode="External"/><Relationship Id="rId468" Type="http://schemas.openxmlformats.org/officeDocument/2006/relationships/hyperlink" Target="https://drive.google.com/uc?id=1-ltxnNoM2IKWBrBzsZGig0D2iIAsA3Jx" TargetMode="External"/><Relationship Id="rId225" Type="http://schemas.openxmlformats.org/officeDocument/2006/relationships/hyperlink" Target="https://drive.google.com/uc?id=1CrcOa3_zlcg5OWSuHpa312tiLUMVxEhs" TargetMode="External"/><Relationship Id="rId467" Type="http://schemas.openxmlformats.org/officeDocument/2006/relationships/hyperlink" Target="https://drive.google.com/uc?id=1AOScvlwAaOPAQj3zacQLXPvrCd4pZDlP" TargetMode="External"/><Relationship Id="rId1290" Type="http://schemas.openxmlformats.org/officeDocument/2006/relationships/hyperlink" Target="https://drive.google.com/uc?id=18GRCNvoVUN8Y76e8sYZxscB5qWPbq-kd" TargetMode="External"/><Relationship Id="rId1291" Type="http://schemas.openxmlformats.org/officeDocument/2006/relationships/hyperlink" Target="https://drive.google.com/uc?id=1Qy_dGsr98SJoyQiGvrzncNRLtwtCV9JW" TargetMode="External"/><Relationship Id="rId229" Type="http://schemas.openxmlformats.org/officeDocument/2006/relationships/hyperlink" Target="https://drive.google.com/uc?id=1n2gRL83I3a3_2z3RcREtlK_J1RnR_kcQ" TargetMode="External"/><Relationship Id="rId1050" Type="http://schemas.openxmlformats.org/officeDocument/2006/relationships/hyperlink" Target="https://drive.google.com/uc?id=1uCj5b8Ai2q12fap3RVAhrovxnn5EKGLS" TargetMode="External"/><Relationship Id="rId1292" Type="http://schemas.openxmlformats.org/officeDocument/2006/relationships/hyperlink" Target="https://drive.google.com/uc?id=1QU9juaVW6bgkglvGBpZqm-l2M3PGtEnM" TargetMode="External"/><Relationship Id="rId220" Type="http://schemas.openxmlformats.org/officeDocument/2006/relationships/hyperlink" Target="https://drive.google.com/uc?id=1glGP4kdz-EDt2x3GVBxoDOUubPMeUcXo" TargetMode="External"/><Relationship Id="rId462" Type="http://schemas.openxmlformats.org/officeDocument/2006/relationships/hyperlink" Target="https://drive.google.com/uc?id=19BBawq-8ppac4Dw9Lqo_5kIAB2v_0I6O" TargetMode="External"/><Relationship Id="rId1051" Type="http://schemas.openxmlformats.org/officeDocument/2006/relationships/hyperlink" Target="https://drive.google.com/uc?id=1aOe44AYTHuWgQS4NRKBh69EZVtvgR4M2" TargetMode="External"/><Relationship Id="rId1293" Type="http://schemas.openxmlformats.org/officeDocument/2006/relationships/hyperlink" Target="https://drive.google.com/uc?id=1G9ZY2Zx922hNUn1RPtu3VvmD1qaC1W1d" TargetMode="External"/><Relationship Id="rId461" Type="http://schemas.openxmlformats.org/officeDocument/2006/relationships/hyperlink" Target="https://drive.google.com/uc?id=1KWMrG3yVxxIDrKtvIeQ6yvzGMEfEeItb" TargetMode="External"/><Relationship Id="rId1052" Type="http://schemas.openxmlformats.org/officeDocument/2006/relationships/hyperlink" Target="https://drive.google.com/uc?id=1Gjfajb3qy7VRJO1lj3iN1e4nz_0ukQ-i" TargetMode="External"/><Relationship Id="rId1294" Type="http://schemas.openxmlformats.org/officeDocument/2006/relationships/hyperlink" Target="https://drive.google.com/uc?id=1FEd3y6Pq0MSixbRm893cSVnbxdlwTHnW" TargetMode="External"/><Relationship Id="rId460" Type="http://schemas.openxmlformats.org/officeDocument/2006/relationships/hyperlink" Target="https://drive.google.com/uc?id=1g4CFmbhZG65o-llk8818c5G9a3kgknQc" TargetMode="External"/><Relationship Id="rId1053" Type="http://schemas.openxmlformats.org/officeDocument/2006/relationships/hyperlink" Target="https://drive.google.com/uc?id=1WFu5b4mPxtcB2EQPZMs0ZIh4fWmSBBNq" TargetMode="External"/><Relationship Id="rId1295" Type="http://schemas.openxmlformats.org/officeDocument/2006/relationships/hyperlink" Target="https://drive.google.com/uc?id=1ppOVpPPzKAe7VMPZvHSpNNDWSZk3-j7e" TargetMode="External"/><Relationship Id="rId1054" Type="http://schemas.openxmlformats.org/officeDocument/2006/relationships/hyperlink" Target="https://drive.google.com/uc?id=1soYbE8RsMemH_58_4VO5dg__yn4PuIJ8" TargetMode="External"/><Relationship Id="rId1296" Type="http://schemas.openxmlformats.org/officeDocument/2006/relationships/hyperlink" Target="https://drive.google.com/uc?id=12dHdPGE9RFjVN5twlscsKADngkHOjw4r" TargetMode="External"/><Relationship Id="rId224" Type="http://schemas.openxmlformats.org/officeDocument/2006/relationships/hyperlink" Target="https://drive.google.com/uc?id=1JZlowolduIsUHgVXO6gIs29ArKCqVcd8" TargetMode="External"/><Relationship Id="rId466" Type="http://schemas.openxmlformats.org/officeDocument/2006/relationships/hyperlink" Target="https://drive.google.com/uc?id=10FJebl3PM0_99NXbEz6qvvCQWtjo-BjS" TargetMode="External"/><Relationship Id="rId1055" Type="http://schemas.openxmlformats.org/officeDocument/2006/relationships/hyperlink" Target="https://drive.google.com/uc?id=1L_28iowjiJhtHkzeObweXzf_K3YGSRF3" TargetMode="External"/><Relationship Id="rId1297" Type="http://schemas.openxmlformats.org/officeDocument/2006/relationships/hyperlink" Target="https://drive.google.com/uc?id=1_FMZ0FhtxUDRa93mbwzMQRTe5DuVQm0I" TargetMode="External"/><Relationship Id="rId223" Type="http://schemas.openxmlformats.org/officeDocument/2006/relationships/hyperlink" Target="https://drive.google.com/uc?id=1Xxs4R84tCQJtGYCoKvZs5BrRqMn8B5wM" TargetMode="External"/><Relationship Id="rId465" Type="http://schemas.openxmlformats.org/officeDocument/2006/relationships/hyperlink" Target="https://drive.google.com/uc?id=1n7MGmDBXkbVz0I0PjbIhsZbVaXrxVVZe" TargetMode="External"/><Relationship Id="rId1056" Type="http://schemas.openxmlformats.org/officeDocument/2006/relationships/hyperlink" Target="https://drive.google.com/uc?id=1VN7cwEvKMUEW5A9TR-SXhDg8e1yxrABJ" TargetMode="External"/><Relationship Id="rId1298" Type="http://schemas.openxmlformats.org/officeDocument/2006/relationships/hyperlink" Target="https://drive.google.com/uc?id=1DOWclejA0ohzUX_v1W0xOnUWoCM5x90Z" TargetMode="External"/><Relationship Id="rId222" Type="http://schemas.openxmlformats.org/officeDocument/2006/relationships/hyperlink" Target="https://drive.google.com/uc?id=13JUvAUKlTAMgcmJTlw2GcE_tU_wl81To" TargetMode="External"/><Relationship Id="rId464" Type="http://schemas.openxmlformats.org/officeDocument/2006/relationships/hyperlink" Target="https://drive.google.com/uc?id=1sgYjFq1WJBiQ2qJjVm_GiMXPk7svENKO" TargetMode="External"/><Relationship Id="rId1057" Type="http://schemas.openxmlformats.org/officeDocument/2006/relationships/hyperlink" Target="https://drive.google.com/uc?id=1qe2xDw7iJNMJC1CYKb1pDkFriE0i0Qmq" TargetMode="External"/><Relationship Id="rId1299" Type="http://schemas.openxmlformats.org/officeDocument/2006/relationships/hyperlink" Target="https://drive.google.com/uc?id=1qXoczdQBLVn3eYlsf3PS8RBZP82v2GPB" TargetMode="External"/><Relationship Id="rId221" Type="http://schemas.openxmlformats.org/officeDocument/2006/relationships/hyperlink" Target="https://drive.google.com/uc?id=12Od75LiT3KYMRAiSAScZAF24r6i6xZ1a" TargetMode="External"/><Relationship Id="rId463" Type="http://schemas.openxmlformats.org/officeDocument/2006/relationships/hyperlink" Target="https://drive.google.com/uc?id=1bVfZL1CKShJJxUUcDYJrwjpMwTDhQM9W" TargetMode="External"/><Relationship Id="rId1058" Type="http://schemas.openxmlformats.org/officeDocument/2006/relationships/hyperlink" Target="https://drive.google.com/uc?id=1BYIiI03TeBySmlHgMK4sWEUrOypxuLG8" TargetMode="External"/><Relationship Id="rId1048" Type="http://schemas.openxmlformats.org/officeDocument/2006/relationships/hyperlink" Target="https://drive.google.com/uc?id=1_2chWi6P0ucZqxY9pdtlFHbBib9tNJ0H" TargetMode="External"/><Relationship Id="rId1049" Type="http://schemas.openxmlformats.org/officeDocument/2006/relationships/hyperlink" Target="https://drive.google.com/uc?id=1B29tpmOJ9p1oYH_m_edRM94mnQVe1Hxi" TargetMode="External"/><Relationship Id="rId217" Type="http://schemas.openxmlformats.org/officeDocument/2006/relationships/hyperlink" Target="https://drive.google.com/uc?id=1UYyoPsjSVrnNf0zqkFFrSUbG8Et-mmez" TargetMode="External"/><Relationship Id="rId459" Type="http://schemas.openxmlformats.org/officeDocument/2006/relationships/hyperlink" Target="https://drive.google.com/uc?id=1I60rBCKyqKX3tkT9YQBIny-nwHsjq3Ne" TargetMode="External"/><Relationship Id="rId216" Type="http://schemas.openxmlformats.org/officeDocument/2006/relationships/hyperlink" Target="https://drive.google.com/uc?id=1XGaIolMBKCIVzQ5TnzgnpOrT-rIdgjYJ" TargetMode="External"/><Relationship Id="rId458" Type="http://schemas.openxmlformats.org/officeDocument/2006/relationships/hyperlink" Target="https://drive.google.com/uc?id=1xQJDbq97sgPrX9WAaI7nt7CuplCO5Jd0" TargetMode="External"/><Relationship Id="rId215" Type="http://schemas.openxmlformats.org/officeDocument/2006/relationships/hyperlink" Target="https://drive.google.com/uc?id=1gsOYXAF-bzhZ0KNMGc69o1KN9D_5iLRF" TargetMode="External"/><Relationship Id="rId457" Type="http://schemas.openxmlformats.org/officeDocument/2006/relationships/hyperlink" Target="https://drive.google.com/uc?id=1gr8hhQtXXAi2u10djKhwAnS-btjaEFG_" TargetMode="External"/><Relationship Id="rId699" Type="http://schemas.openxmlformats.org/officeDocument/2006/relationships/hyperlink" Target="https://drive.google.com/uc?id=1nPRxALpDbVStck1nKv9v1IKVJrcQlhRW" TargetMode="External"/><Relationship Id="rId214" Type="http://schemas.openxmlformats.org/officeDocument/2006/relationships/hyperlink" Target="https://drive.google.com/uc?id=1XUJ0YkLRqEt2_IOyseUg3xL-mAgk2yDn" TargetMode="External"/><Relationship Id="rId456" Type="http://schemas.openxmlformats.org/officeDocument/2006/relationships/hyperlink" Target="https://drive.google.com/uc?id=1GbSk7OGTplQAFU2X-1C_JAsRQbC1i5C6" TargetMode="External"/><Relationship Id="rId698" Type="http://schemas.openxmlformats.org/officeDocument/2006/relationships/hyperlink" Target="https://drive.google.com/uc?id=1nQCNEovpTLkUYPROxXOVFvvUD9J_Q252" TargetMode="External"/><Relationship Id="rId219" Type="http://schemas.openxmlformats.org/officeDocument/2006/relationships/hyperlink" Target="https://drive.google.com/uc?id=1xK_JCzaA_58XTVDc5BuCZkkKj-JL6KNG" TargetMode="External"/><Relationship Id="rId1280" Type="http://schemas.openxmlformats.org/officeDocument/2006/relationships/hyperlink" Target="https://drive.google.com/uc?id=13_1VJN5xtJ3yQLolmWhPAkP0pZ0hTqUo" TargetMode="External"/><Relationship Id="rId218" Type="http://schemas.openxmlformats.org/officeDocument/2006/relationships/hyperlink" Target="https://drive.google.com/uc?id=1MsLSTmpvqCLEQyFiAlcMWV09sep0df5v" TargetMode="External"/><Relationship Id="rId1281" Type="http://schemas.openxmlformats.org/officeDocument/2006/relationships/hyperlink" Target="https://drive.google.com/uc?id=1gYMucwgKTaDkJKlMpgAaGqyvtEZ3y7M_" TargetMode="External"/><Relationship Id="rId451" Type="http://schemas.openxmlformats.org/officeDocument/2006/relationships/hyperlink" Target="https://drive.google.com/uc?id=1UCZqgXts5IrDyhGiidfCpvOcv8RJf9tq" TargetMode="External"/><Relationship Id="rId693" Type="http://schemas.openxmlformats.org/officeDocument/2006/relationships/hyperlink" Target="https://drive.google.com/uc?id=1nhUnsNbDBAyR902e4kUiK-NwvdwwHqsF" TargetMode="External"/><Relationship Id="rId1040" Type="http://schemas.openxmlformats.org/officeDocument/2006/relationships/hyperlink" Target="https://drive.google.com/uc?id=1FJL46VBDDexIMdoXVWZ1MgCRYhkeuHjo" TargetMode="External"/><Relationship Id="rId1282" Type="http://schemas.openxmlformats.org/officeDocument/2006/relationships/hyperlink" Target="https://drive.google.com/uc?id=1GZxtNCxg1W7CqJIYrE5xn1Vq6NnADriE" TargetMode="External"/><Relationship Id="rId450" Type="http://schemas.openxmlformats.org/officeDocument/2006/relationships/hyperlink" Target="https://drive.google.com/uc?id=19zg6oW9aW8JbA_Tt9uNAyTRkK1NTcran" TargetMode="External"/><Relationship Id="rId692" Type="http://schemas.openxmlformats.org/officeDocument/2006/relationships/hyperlink" Target="https://drive.google.com/uc?id=1nmqp61U4IioKMzwas61F7y0rPyZ0wtt4" TargetMode="External"/><Relationship Id="rId1041" Type="http://schemas.openxmlformats.org/officeDocument/2006/relationships/hyperlink" Target="https://drive.google.com/uc?id=1QpP3oMVRwZ7huPDoQ-7oNTzkfWb0sRcl" TargetMode="External"/><Relationship Id="rId1283" Type="http://schemas.openxmlformats.org/officeDocument/2006/relationships/hyperlink" Target="https://drive.google.com/uc?id=1xL85ssNa4Vpyw6W4jpNgFjMd6VPaKTgS" TargetMode="External"/><Relationship Id="rId691" Type="http://schemas.openxmlformats.org/officeDocument/2006/relationships/hyperlink" Target="https://drive.google.com/uc?id=1npfuQSzFyJ4WGJKuYNAt2Xcq4huMx_9b" TargetMode="External"/><Relationship Id="rId1042" Type="http://schemas.openxmlformats.org/officeDocument/2006/relationships/hyperlink" Target="https://drive.google.com/uc?id=1q1GxgZ3mYgHHPTR9SZDn-AoKPoNFRgZe" TargetMode="External"/><Relationship Id="rId1284" Type="http://schemas.openxmlformats.org/officeDocument/2006/relationships/hyperlink" Target="https://drive.google.com/uc?id=1ictUiqrvPm1zab8_HFv4HxxVlkELl4ps" TargetMode="External"/><Relationship Id="rId690" Type="http://schemas.openxmlformats.org/officeDocument/2006/relationships/hyperlink" Target="https://drive.google.com/uc?id=1nqZei9E1ZWzmZnYNKPHwAHNZ1q-bjJfF" TargetMode="External"/><Relationship Id="rId1043" Type="http://schemas.openxmlformats.org/officeDocument/2006/relationships/hyperlink" Target="https://drive.google.com/uc?id=1v-Wc_XCN55cmCVu6Wyj8NZWKQ0EBHoti" TargetMode="External"/><Relationship Id="rId1285" Type="http://schemas.openxmlformats.org/officeDocument/2006/relationships/hyperlink" Target="https://drive.google.com/uc?id=1hyTcqUZH1F0pZ6OsoUXSSH8Cx95kv65V" TargetMode="External"/><Relationship Id="rId213" Type="http://schemas.openxmlformats.org/officeDocument/2006/relationships/hyperlink" Target="https://drive.google.com/uc?id=12RgvuwI3UgUGED__EB_bhFNFko_C4NHU" TargetMode="External"/><Relationship Id="rId455" Type="http://schemas.openxmlformats.org/officeDocument/2006/relationships/hyperlink" Target="https://drive.google.com/uc?id=1rgrvVIrnQA7IWT6n9V5UZtqxiagGSet_" TargetMode="External"/><Relationship Id="rId697" Type="http://schemas.openxmlformats.org/officeDocument/2006/relationships/hyperlink" Target="https://drive.google.com/uc?id=1nST-rp4WEv7JH8kAwSvvf1tkucSvwG7L" TargetMode="External"/><Relationship Id="rId1044" Type="http://schemas.openxmlformats.org/officeDocument/2006/relationships/hyperlink" Target="https://drive.google.com/uc?id=1j-AEUu_tM3H7_Kuk3CHRL0Cth4IIspk4" TargetMode="External"/><Relationship Id="rId1286" Type="http://schemas.openxmlformats.org/officeDocument/2006/relationships/hyperlink" Target="https://drive.google.com/uc?id=1vU3q3g9vApkFDB5j8xzpHeM8OhTas_wk" TargetMode="External"/><Relationship Id="rId212" Type="http://schemas.openxmlformats.org/officeDocument/2006/relationships/hyperlink" Target="https://drive.google.com/uc?id=1ERAyRYOddmW26X_263lLgGqsRiPZD_Ls" TargetMode="External"/><Relationship Id="rId454" Type="http://schemas.openxmlformats.org/officeDocument/2006/relationships/hyperlink" Target="https://drive.google.com/uc?id=15da5DN0iGK9hUg1yAqbRZ4lbVjX6esiJ" TargetMode="External"/><Relationship Id="rId696" Type="http://schemas.openxmlformats.org/officeDocument/2006/relationships/hyperlink" Target="https://drive.google.com/uc?id=1nVIBjPo4Oq5f91XICvJlL5EM-lOQoXR4" TargetMode="External"/><Relationship Id="rId1045" Type="http://schemas.openxmlformats.org/officeDocument/2006/relationships/hyperlink" Target="https://drive.google.com/uc?id=1zHaJtDeS-VubTGQi7c8EDpt-oiXMsdAe" TargetMode="External"/><Relationship Id="rId1287" Type="http://schemas.openxmlformats.org/officeDocument/2006/relationships/hyperlink" Target="https://drive.google.com/uc?id=10rzj8T9pQdRNgjXJtgxDRCYDwuxUMc7v" TargetMode="External"/><Relationship Id="rId211" Type="http://schemas.openxmlformats.org/officeDocument/2006/relationships/hyperlink" Target="https://drive.google.com/uc?id=18PKqh6Jb44oXzGqh7adO0IqlD9fPQ16i" TargetMode="External"/><Relationship Id="rId453" Type="http://schemas.openxmlformats.org/officeDocument/2006/relationships/hyperlink" Target="https://drive.google.com/uc?id=1AznAuKzQDICtwR6JlkykUEnt6HeVJhfb" TargetMode="External"/><Relationship Id="rId695" Type="http://schemas.openxmlformats.org/officeDocument/2006/relationships/hyperlink" Target="https://drive.google.com/uc?id=1nagSI0u9n-YlbuZuyjQ8pNrUWqHDan_P" TargetMode="External"/><Relationship Id="rId1046" Type="http://schemas.openxmlformats.org/officeDocument/2006/relationships/hyperlink" Target="https://drive.google.com/uc?id=1sx861oXvb5T6TtDHy3r0AEtr6o_ZtZYs" TargetMode="External"/><Relationship Id="rId1288" Type="http://schemas.openxmlformats.org/officeDocument/2006/relationships/hyperlink" Target="https://drive.google.com/uc?id=1NZufFInDOrMThFHzQBJBxnE0JNuW67yj" TargetMode="External"/><Relationship Id="rId210" Type="http://schemas.openxmlformats.org/officeDocument/2006/relationships/hyperlink" Target="https://drive.google.com/uc?id=1N3QjaT9xvIR1aP-2w7Wa7r1ldEESAaWS" TargetMode="External"/><Relationship Id="rId452" Type="http://schemas.openxmlformats.org/officeDocument/2006/relationships/hyperlink" Target="https://drive.google.com/uc?id=1mKR1ERw86sAe4dRU3SKD8gwnzOgLl1xu" TargetMode="External"/><Relationship Id="rId694" Type="http://schemas.openxmlformats.org/officeDocument/2006/relationships/hyperlink" Target="https://drive.google.com/uc?id=1ndMPw0K_Qr7FmB4dcMmNcyun1IcGwtDy" TargetMode="External"/><Relationship Id="rId1047" Type="http://schemas.openxmlformats.org/officeDocument/2006/relationships/hyperlink" Target="https://drive.google.com/uc?id=1fb5yyVZ8S7vGLmWNMs74WKlK6i3OGFnk" TargetMode="External"/><Relationship Id="rId1289" Type="http://schemas.openxmlformats.org/officeDocument/2006/relationships/hyperlink" Target="https://drive.google.com/uc?id=11vJe7dzXEckrcT29N8N0Xh4dqSpaK1A-" TargetMode="External"/><Relationship Id="rId491" Type="http://schemas.openxmlformats.org/officeDocument/2006/relationships/hyperlink" Target="https://drive.google.com/uc?id=1f0bvxky3JTF1ucNm3UYeCJxeTed4z0ZD" TargetMode="External"/><Relationship Id="rId490" Type="http://schemas.openxmlformats.org/officeDocument/2006/relationships/hyperlink" Target="https://drive.google.com/uc?id=1eDTEXj9MXe9a8pGwTNRI5yPtRki_CxTP" TargetMode="External"/><Relationship Id="rId249" Type="http://schemas.openxmlformats.org/officeDocument/2006/relationships/hyperlink" Target="https://drive.google.com/uc?id=1IfbiCkRN9NOlWfP0_iBFPoAOh7J0OGY6" TargetMode="External"/><Relationship Id="rId248" Type="http://schemas.openxmlformats.org/officeDocument/2006/relationships/hyperlink" Target="https://drive.google.com/uc?id=1MiIbmogdkS0VAul9Jaa6NeRAh4CjPKfq" TargetMode="External"/><Relationship Id="rId247" Type="http://schemas.openxmlformats.org/officeDocument/2006/relationships/hyperlink" Target="https://drive.google.com/uc?id=1MjW5Vh0HY_ZiSlHyt1eemJQGEWF_tQ-_" TargetMode="External"/><Relationship Id="rId489" Type="http://schemas.openxmlformats.org/officeDocument/2006/relationships/hyperlink" Target="https://drive.google.com/uc?id=12sPcFPc7rqzvrJmIPafkHLw4PrCu9hBm" TargetMode="External"/><Relationship Id="rId1070" Type="http://schemas.openxmlformats.org/officeDocument/2006/relationships/hyperlink" Target="https://drive.google.com/uc?id=1md2grcp9PQc42k33zjg7LzjgRaaXRaD1" TargetMode="External"/><Relationship Id="rId1071" Type="http://schemas.openxmlformats.org/officeDocument/2006/relationships/hyperlink" Target="https://drive.google.com/uc?id=189zhgMLUVvY1hvvSZ9gkjA0hH50erEVo" TargetMode="External"/><Relationship Id="rId1072" Type="http://schemas.openxmlformats.org/officeDocument/2006/relationships/hyperlink" Target="https://drive.google.com/uc?id=1F-2962_iz5kIW0nb0Q1H7N4euZblbr95" TargetMode="External"/><Relationship Id="rId242" Type="http://schemas.openxmlformats.org/officeDocument/2006/relationships/hyperlink" Target="https://drive.google.com/uc?id=1sTZXyWs9rLKDhbuf6NUlPhD5l0dEmk1G" TargetMode="External"/><Relationship Id="rId484" Type="http://schemas.openxmlformats.org/officeDocument/2006/relationships/hyperlink" Target="https://drive.google.com/uc?id=11Jy_afnitY5MiuHKs7mPCNEmXjH4voPP" TargetMode="External"/><Relationship Id="rId1073" Type="http://schemas.openxmlformats.org/officeDocument/2006/relationships/hyperlink" Target="https://drive.google.com/uc?id=1YxAndDMNUC9GTA40bu2w8SJT07N0mkd_" TargetMode="External"/><Relationship Id="rId241" Type="http://schemas.openxmlformats.org/officeDocument/2006/relationships/hyperlink" Target="https://drive.google.com/uc?id=1pOBYCKThr9yI3hOPNFsORWrblXaI0x0S" TargetMode="External"/><Relationship Id="rId483" Type="http://schemas.openxmlformats.org/officeDocument/2006/relationships/hyperlink" Target="https://drive.google.com/uc?id=1xIMbcaPwWQHnQrd4SDJvJZekA9Ktay3o" TargetMode="External"/><Relationship Id="rId1074" Type="http://schemas.openxmlformats.org/officeDocument/2006/relationships/hyperlink" Target="https://drive.google.com/uc?id=15kmMqIQGfie4VArsGjBq2-IKyIK3N3O9" TargetMode="External"/><Relationship Id="rId240" Type="http://schemas.openxmlformats.org/officeDocument/2006/relationships/hyperlink" Target="https://drive.google.com/uc?id=13HHM0NKXGGIFs5gj_-ke2bzylFaU_DiI" TargetMode="External"/><Relationship Id="rId482" Type="http://schemas.openxmlformats.org/officeDocument/2006/relationships/hyperlink" Target="https://drive.google.com/uc?id=1GMSr6v_60jAWVujyu0Cjc1xfu-p-eDVY" TargetMode="External"/><Relationship Id="rId1075" Type="http://schemas.openxmlformats.org/officeDocument/2006/relationships/hyperlink" Target="https://drive.google.com/uc?id=1yRr_9pHtbp5hETGJ9xjvvKJ-8FhomD6L" TargetMode="External"/><Relationship Id="rId481" Type="http://schemas.openxmlformats.org/officeDocument/2006/relationships/hyperlink" Target="https://drive.google.com/uc?id=1TxnL4U-FEn1tQsXEF4I7v7Wieglqo6hi" TargetMode="External"/><Relationship Id="rId1076" Type="http://schemas.openxmlformats.org/officeDocument/2006/relationships/hyperlink" Target="https://drive.google.com/uc?id=1bwpj8Rp0USKIk_BlhORmKgKoOVEiOsc5" TargetMode="External"/><Relationship Id="rId246" Type="http://schemas.openxmlformats.org/officeDocument/2006/relationships/hyperlink" Target="https://drive.google.com/uc?id=1Y5_UtuhZTraFAY7QT-R2EJZ8TymKrKaq" TargetMode="External"/><Relationship Id="rId488" Type="http://schemas.openxmlformats.org/officeDocument/2006/relationships/hyperlink" Target="https://drive.google.com/uc?id=1Ot-JXteFk-jhmbqB95t2zOrCrGxHm1FY" TargetMode="External"/><Relationship Id="rId1077" Type="http://schemas.openxmlformats.org/officeDocument/2006/relationships/hyperlink" Target="https://drive.google.com/uc?id=1Ps-kXFjmwHPTcCDj_WJVUmF1A7tgBq8F" TargetMode="External"/><Relationship Id="rId245" Type="http://schemas.openxmlformats.org/officeDocument/2006/relationships/hyperlink" Target="https://drive.google.com/uc?id=1o1esbGT7rx4Dfwc0uGECDO6nw9dp5EHl" TargetMode="External"/><Relationship Id="rId487" Type="http://schemas.openxmlformats.org/officeDocument/2006/relationships/hyperlink" Target="https://drive.google.com/uc?id=1d5mPSWHMEZxC8SugHkXzmbHmsfSFOT6o" TargetMode="External"/><Relationship Id="rId1078" Type="http://schemas.openxmlformats.org/officeDocument/2006/relationships/hyperlink" Target="https://drive.google.com/uc?id=1CrL32KNCB7XbRKsxct6i9deHiCDMo5zx" TargetMode="External"/><Relationship Id="rId244" Type="http://schemas.openxmlformats.org/officeDocument/2006/relationships/hyperlink" Target="https://drive.google.com/uc?id=1CVhW_eu07LqDgjFTP40UGM5uGoMOsfsD" TargetMode="External"/><Relationship Id="rId486" Type="http://schemas.openxmlformats.org/officeDocument/2006/relationships/hyperlink" Target="https://drive.google.com/uc?id=1DEMtRNR8JDi-3obTKwxw-xnI46dI4Hj5" TargetMode="External"/><Relationship Id="rId1079" Type="http://schemas.openxmlformats.org/officeDocument/2006/relationships/hyperlink" Target="https://drive.google.com/uc?id=1MvC2T82GsKoFA3PN6WRjkOj7X-5q3nev" TargetMode="External"/><Relationship Id="rId243" Type="http://schemas.openxmlformats.org/officeDocument/2006/relationships/hyperlink" Target="https://drive.google.com/uc?id=1HRhqLZCc1fo5UWQ1QgvYthorYuaonxzp" TargetMode="External"/><Relationship Id="rId485" Type="http://schemas.openxmlformats.org/officeDocument/2006/relationships/hyperlink" Target="https://drive.google.com/uc?id=1x43wmMDzR9RAzn5z9N0N1WsqL-Yo2UBt" TargetMode="External"/><Relationship Id="rId480" Type="http://schemas.openxmlformats.org/officeDocument/2006/relationships/hyperlink" Target="https://drive.google.com/uc?id=1epSwqbTCqU6l0xloJxcpG33i4n5UaYpw" TargetMode="External"/><Relationship Id="rId239" Type="http://schemas.openxmlformats.org/officeDocument/2006/relationships/hyperlink" Target="https://drive.google.com/uc?id=1WEk1wYhMLsenhhWZDUCc2qoPifSmiSL9" TargetMode="External"/><Relationship Id="rId238" Type="http://schemas.openxmlformats.org/officeDocument/2006/relationships/hyperlink" Target="https://drive.google.com/uc?id=1tDtJXkwuFNDyAy_8hqrlr3Tj8Y0sWz4F" TargetMode="External"/><Relationship Id="rId237" Type="http://schemas.openxmlformats.org/officeDocument/2006/relationships/hyperlink" Target="https://drive.google.com/uc?id=1c09Lv44YnW71bv71hpHinY-UfvFM1I8L" TargetMode="External"/><Relationship Id="rId479" Type="http://schemas.openxmlformats.org/officeDocument/2006/relationships/hyperlink" Target="https://drive.google.com/uc?id=1utZxMwXo9acoXmYpIwWoqA6YHh-ErVHq" TargetMode="External"/><Relationship Id="rId236" Type="http://schemas.openxmlformats.org/officeDocument/2006/relationships/hyperlink" Target="https://drive.google.com/uc?id=1Y5FLuQXtIpm1YjqSFgd2Dh4VMl6aspnX" TargetMode="External"/><Relationship Id="rId478" Type="http://schemas.openxmlformats.org/officeDocument/2006/relationships/hyperlink" Target="https://drive.google.com/uc?id=1cu4lvMOS-b2bQQ634K0eJvCjJniGni9o" TargetMode="External"/><Relationship Id="rId1060" Type="http://schemas.openxmlformats.org/officeDocument/2006/relationships/hyperlink" Target="https://drive.google.com/uc?id=1_oxmzKI-wbtgmxMNH84nYAHqeB5PLlsL" TargetMode="External"/><Relationship Id="rId1061" Type="http://schemas.openxmlformats.org/officeDocument/2006/relationships/hyperlink" Target="https://drive.google.com/uc?id=1-S9Hj5VUDpLyYidEAg7dQtTVfzoKYH_O" TargetMode="External"/><Relationship Id="rId231" Type="http://schemas.openxmlformats.org/officeDocument/2006/relationships/hyperlink" Target="https://drive.google.com/uc?id=1iJUnZ5lFDyQYuuWCE5wUVR11X4LJaeXl" TargetMode="External"/><Relationship Id="rId473" Type="http://schemas.openxmlformats.org/officeDocument/2006/relationships/hyperlink" Target="https://drive.google.com/uc?id=1mlMnyC1n44Y0pidc_7A8NF16_9F5TVcT" TargetMode="External"/><Relationship Id="rId1062" Type="http://schemas.openxmlformats.org/officeDocument/2006/relationships/hyperlink" Target="https://drive.google.com/uc?id=13NW0qZX5NEMYJRNZs3it2kFEgxwsFXTC" TargetMode="External"/><Relationship Id="rId230" Type="http://schemas.openxmlformats.org/officeDocument/2006/relationships/hyperlink" Target="https://drive.google.com/uc?id=1edUyyoOEPSvQ04sBDpz1uUme0Cn-Ib7k" TargetMode="External"/><Relationship Id="rId472" Type="http://schemas.openxmlformats.org/officeDocument/2006/relationships/hyperlink" Target="https://drive.google.com/uc?id=1rQ5iADcw3vvk5v550m1W1eyaiNMJFnuO" TargetMode="External"/><Relationship Id="rId1063" Type="http://schemas.openxmlformats.org/officeDocument/2006/relationships/hyperlink" Target="https://drive.google.com/uc?id=1k9v3ymMYxwbWcBDEwNbERtUeP3IXsmlr" TargetMode="External"/><Relationship Id="rId471" Type="http://schemas.openxmlformats.org/officeDocument/2006/relationships/hyperlink" Target="https://drive.google.com/uc?id=1mOWwfbbYoU1C8FKAyAehqm8ZA7iRRGQK" TargetMode="External"/><Relationship Id="rId1064" Type="http://schemas.openxmlformats.org/officeDocument/2006/relationships/hyperlink" Target="https://drive.google.com/uc?id=11NE9NZTxLU0896xAPF0avWmMMKtufFJM" TargetMode="External"/><Relationship Id="rId470" Type="http://schemas.openxmlformats.org/officeDocument/2006/relationships/hyperlink" Target="https://drive.google.com/uc?id=1heh8jMo4OW-xv2TnMKpplye7pAfw61fR" TargetMode="External"/><Relationship Id="rId1065" Type="http://schemas.openxmlformats.org/officeDocument/2006/relationships/hyperlink" Target="https://drive.google.com/uc?id=1wHrAF41rEemE04ug7yWnfwTB4TckQVai" TargetMode="External"/><Relationship Id="rId235" Type="http://schemas.openxmlformats.org/officeDocument/2006/relationships/hyperlink" Target="https://drive.google.com/uc?id=1MJxZScMLSSVQ-7hWc-UBq0BPBBX22kh9" TargetMode="External"/><Relationship Id="rId477" Type="http://schemas.openxmlformats.org/officeDocument/2006/relationships/hyperlink" Target="https://drive.google.com/uc?id=1MTxdZbgihZZdDvJ_61xg58FoyWLLojQe" TargetMode="External"/><Relationship Id="rId1066" Type="http://schemas.openxmlformats.org/officeDocument/2006/relationships/hyperlink" Target="https://drive.google.com/uc?id=19y-wmhqjVXLzzoSjMhqsy5F3S6sIcl_S" TargetMode="External"/><Relationship Id="rId234" Type="http://schemas.openxmlformats.org/officeDocument/2006/relationships/hyperlink" Target="https://drive.google.com/uc?id=1i8efKj6FmgrzKzPm56t_Z8bF5mFnozB_" TargetMode="External"/><Relationship Id="rId476" Type="http://schemas.openxmlformats.org/officeDocument/2006/relationships/hyperlink" Target="https://drive.google.com/uc?id=14eCboM3gKlmzvsVyESuvKaoqNVs-BeCG" TargetMode="External"/><Relationship Id="rId1067" Type="http://schemas.openxmlformats.org/officeDocument/2006/relationships/hyperlink" Target="https://drive.google.com/uc?id=1Uxxh5IRYxpmLfUKzUHSR5UMiYu16S4XE" TargetMode="External"/><Relationship Id="rId233" Type="http://schemas.openxmlformats.org/officeDocument/2006/relationships/hyperlink" Target="https://drive.google.com/uc?id=1ninglKMNrk7yORYKO1qW1t5hDnlqZeKB" TargetMode="External"/><Relationship Id="rId475" Type="http://schemas.openxmlformats.org/officeDocument/2006/relationships/hyperlink" Target="https://drive.google.com/uc?id=1OTin8onRqeftLk97YVZeezmvqufy76XO" TargetMode="External"/><Relationship Id="rId1068" Type="http://schemas.openxmlformats.org/officeDocument/2006/relationships/hyperlink" Target="https://drive.google.com/uc?id=1zV9W6SD--vJKnaeycNblmoHV94iJIXx1" TargetMode="External"/><Relationship Id="rId232" Type="http://schemas.openxmlformats.org/officeDocument/2006/relationships/hyperlink" Target="https://drive.google.com/uc?id=1LWHnrXmt6F2ut0KRu9Ax3NTZ2AMnv2eR" TargetMode="External"/><Relationship Id="rId474" Type="http://schemas.openxmlformats.org/officeDocument/2006/relationships/hyperlink" Target="https://drive.google.com/uc?id=1SuYcBYiiTnNGCfdcuvYxsivqGP3WIIXE" TargetMode="External"/><Relationship Id="rId1069" Type="http://schemas.openxmlformats.org/officeDocument/2006/relationships/hyperlink" Target="https://drive.google.com/uc?id=1lFKG7LFAZljxHBOn1o3OfY-p0eHui9pY" TargetMode="External"/><Relationship Id="rId1015" Type="http://schemas.openxmlformats.org/officeDocument/2006/relationships/hyperlink" Target="https://drive.google.com/uc?id=1HCFp3CTDSI18OpDGJDtNY5yDihmVxdmp" TargetMode="External"/><Relationship Id="rId1257" Type="http://schemas.openxmlformats.org/officeDocument/2006/relationships/hyperlink" Target="https://drive.google.com/uc?id=1nvatRUakXXrLAtcAJq2OSheI-gf606MK" TargetMode="External"/><Relationship Id="rId1016" Type="http://schemas.openxmlformats.org/officeDocument/2006/relationships/hyperlink" Target="https://drive.google.com/uc?id=1y1N5SPIaZWxVd0HR6FAcEz3a9yIFDE13" TargetMode="External"/><Relationship Id="rId1258" Type="http://schemas.openxmlformats.org/officeDocument/2006/relationships/hyperlink" Target="https://drive.google.com/uc?id=14c4MfHEPr1T1XBPYQvvS45krp8XzWW7f" TargetMode="External"/><Relationship Id="rId1017" Type="http://schemas.openxmlformats.org/officeDocument/2006/relationships/hyperlink" Target="https://drive.google.com/uc?id=1kEnJFWDx3iz433Z7G3WyMBHNy7ZGDWhO" TargetMode="External"/><Relationship Id="rId1259" Type="http://schemas.openxmlformats.org/officeDocument/2006/relationships/hyperlink" Target="https://drive.google.com/uc?id=15KgCilt4SAqFOiKL1aZm0ZbY8ezN-QeA" TargetMode="External"/><Relationship Id="rId1018" Type="http://schemas.openxmlformats.org/officeDocument/2006/relationships/hyperlink" Target="https://drive.google.com/uc?id=1BIoiErkBsNyp1fbzIEd3s2wL908OJK2h" TargetMode="External"/><Relationship Id="rId1019" Type="http://schemas.openxmlformats.org/officeDocument/2006/relationships/hyperlink" Target="https://drive.google.com/uc?id=1klm4FLgLp2ng1LK4oPLDcVPKydTpX47D" TargetMode="External"/><Relationship Id="rId426" Type="http://schemas.openxmlformats.org/officeDocument/2006/relationships/hyperlink" Target="https://drive.google.com/uc?id=1ElQLEra0ENVh2COpyZXRXKrbZe_uOU8u" TargetMode="External"/><Relationship Id="rId668" Type="http://schemas.openxmlformats.org/officeDocument/2006/relationships/hyperlink" Target="https://drive.google.com/uc?id=1RBPxRkmEHusJRUP7bRcIfZNLpvcjmQTT" TargetMode="External"/><Relationship Id="rId425" Type="http://schemas.openxmlformats.org/officeDocument/2006/relationships/hyperlink" Target="https://drive.google.com/uc?id=1u4jeDR508_ElKRtW-Cf5vwR8egaSLI5L" TargetMode="External"/><Relationship Id="rId667" Type="http://schemas.openxmlformats.org/officeDocument/2006/relationships/hyperlink" Target="https://drive.google.com/uc?id=1i8U7dTujh9KeFWKbERttK4euNCcDgu-b" TargetMode="External"/><Relationship Id="rId424" Type="http://schemas.openxmlformats.org/officeDocument/2006/relationships/hyperlink" Target="https://drive.google.com/uc?id=1JRHM_QKKZqxrTtFaXhStfgaaKd7cdaNW" TargetMode="External"/><Relationship Id="rId666" Type="http://schemas.openxmlformats.org/officeDocument/2006/relationships/hyperlink" Target="https://drive.google.com/uc?id=1iMRoijVDlreDwK55w8kIkpmrYEL6rksu" TargetMode="External"/><Relationship Id="rId423" Type="http://schemas.openxmlformats.org/officeDocument/2006/relationships/hyperlink" Target="https://drive.google.com/uc?id=1f9hhjNHUGPLFpjx5LpqtnpQ4VaXodf1M" TargetMode="External"/><Relationship Id="rId665" Type="http://schemas.openxmlformats.org/officeDocument/2006/relationships/hyperlink" Target="https://drive.google.com/uc?id=1iPU7dZIhAKRUn2exAR4ejeEgJ8jlWN23" TargetMode="External"/><Relationship Id="rId429" Type="http://schemas.openxmlformats.org/officeDocument/2006/relationships/hyperlink" Target="https://drive.google.com/uc?id=18bLqv665ax6ympzpBC0iPbOnfMSjNXyb/view" TargetMode="External"/><Relationship Id="rId428" Type="http://schemas.openxmlformats.org/officeDocument/2006/relationships/hyperlink" Target="https://drive.google.com/uc?id=1pQxyJtwCDAZhtS6M0biA-wfV-p_lncKD" TargetMode="External"/><Relationship Id="rId427" Type="http://schemas.openxmlformats.org/officeDocument/2006/relationships/hyperlink" Target="https://drive.google.com/uc?id=1fsRksXtWQvPnrkrWlnKzvsg1c_aWyU2T" TargetMode="External"/><Relationship Id="rId669" Type="http://schemas.openxmlformats.org/officeDocument/2006/relationships/hyperlink" Target="https://drive.google.com/uc?id=1u-QkgkaucIb2qiGaDz2tPEePvC_mI0M5" TargetMode="External"/><Relationship Id="rId660" Type="http://schemas.openxmlformats.org/officeDocument/2006/relationships/hyperlink" Target="https://drive.google.com/uc?id=1iYTbJEB_rGq7VhAqjie9PLSL-jPQsBC9" TargetMode="External"/><Relationship Id="rId1250" Type="http://schemas.openxmlformats.org/officeDocument/2006/relationships/hyperlink" Target="https://drive.google.com/uc?id=1MGHBDx2flunc36-AqfwewlqJ18p5bznK" TargetMode="External"/><Relationship Id="rId1251" Type="http://schemas.openxmlformats.org/officeDocument/2006/relationships/hyperlink" Target="https://drive.google.com/uc?id=1r6PaH5Aad4EYBKSATbKRqMidqjqc58rl" TargetMode="External"/><Relationship Id="rId1010" Type="http://schemas.openxmlformats.org/officeDocument/2006/relationships/hyperlink" Target="https://drive.google.com/uc?id=1YnR78KphU908sjLXzcFvz-MTDbE8Lmgw" TargetMode="External"/><Relationship Id="rId1252" Type="http://schemas.openxmlformats.org/officeDocument/2006/relationships/hyperlink" Target="https://drive.google.com/uc?id=1J9mous0zYqGYZFli6TEQ7EMiCrU0Y0s-" TargetMode="External"/><Relationship Id="rId422" Type="http://schemas.openxmlformats.org/officeDocument/2006/relationships/hyperlink" Target="https://drive.google.com/uc?id=1f9hhjNHUGPLFpjx5LpqtnpQ4VaXodf1M" TargetMode="External"/><Relationship Id="rId664" Type="http://schemas.openxmlformats.org/officeDocument/2006/relationships/hyperlink" Target="https://drive.google.com/uc?id=1kjFH6vtiOaXXs8o6Suwf9iTCSF04K5wI" TargetMode="External"/><Relationship Id="rId1011" Type="http://schemas.openxmlformats.org/officeDocument/2006/relationships/hyperlink" Target="https://drive.google.com/uc?id=1alRZLVWA7D6Z-EWO_sCR4AmT40hsQ2i7" TargetMode="External"/><Relationship Id="rId1253" Type="http://schemas.openxmlformats.org/officeDocument/2006/relationships/hyperlink" Target="https://drive.google.com/uc?id=1aF4bUi_PdJB4fSVXtnRS3SMzXRkwRJF0" TargetMode="External"/><Relationship Id="rId421" Type="http://schemas.openxmlformats.org/officeDocument/2006/relationships/hyperlink" Target="https://drive.google.com/uc?id=1f9hhjNHUGPLFpjx5LpqtnpQ4VaXodf1M" TargetMode="External"/><Relationship Id="rId663" Type="http://schemas.openxmlformats.org/officeDocument/2006/relationships/hyperlink" Target="https://drive.google.com/uc?id=1iam2kd8s-x2HN0fXXlKkUBcxywBMKZwt" TargetMode="External"/><Relationship Id="rId1012" Type="http://schemas.openxmlformats.org/officeDocument/2006/relationships/hyperlink" Target="https://drive.google.com/uc?id=19pm2cSYM8V0-9iEhawaLs25mlk5RGKAY/" TargetMode="External"/><Relationship Id="rId1254" Type="http://schemas.openxmlformats.org/officeDocument/2006/relationships/hyperlink" Target="https://drive.google.com/uc?id=15nBuFpKYpjPQqDuBFlSoXj1c0DjF4oYU" TargetMode="External"/><Relationship Id="rId420" Type="http://schemas.openxmlformats.org/officeDocument/2006/relationships/hyperlink" Target="https://drive.google.com/uc?id=1hk6ZYGwjltt9FsJ22QHX5K5hCmNElTOJ" TargetMode="External"/><Relationship Id="rId662" Type="http://schemas.openxmlformats.org/officeDocument/2006/relationships/hyperlink" Target="https://drive.google.com/uc?id=1iZjVibcraQkPdMrAp6U0EX81kFOMkAN4" TargetMode="External"/><Relationship Id="rId1013" Type="http://schemas.openxmlformats.org/officeDocument/2006/relationships/hyperlink" Target="https://drive.google.com/uc?id=1sQQEXFYpzZFpE8gf2g4ajwYvbTZp-oZQ" TargetMode="External"/><Relationship Id="rId1255" Type="http://schemas.openxmlformats.org/officeDocument/2006/relationships/hyperlink" Target="https://drive.google.com/uc?id=1PrtAS2s2QGHUyS4l74wmfSodostHtBZD" TargetMode="External"/><Relationship Id="rId661" Type="http://schemas.openxmlformats.org/officeDocument/2006/relationships/hyperlink" Target="https://drive.google.com/uc?id=1iYcw3N2FdZy_BYU88bAKZiPU3jOc5QwW" TargetMode="External"/><Relationship Id="rId1014" Type="http://schemas.openxmlformats.org/officeDocument/2006/relationships/hyperlink" Target="https://drive.google.com/uc?id=1Ao2uxb6X0ZQH4-rUa0k1rB_Ea5ixl6XS" TargetMode="External"/><Relationship Id="rId1256" Type="http://schemas.openxmlformats.org/officeDocument/2006/relationships/hyperlink" Target="https://drive.google.com/uc?id=12xDaRbVBRq_zvk3Wnf5NS-PwxYPwW1fJ" TargetMode="External"/><Relationship Id="rId1004" Type="http://schemas.openxmlformats.org/officeDocument/2006/relationships/hyperlink" Target="https://drive.google.com/uc?id=1Emzra0kMtFoQ7eekEO-eWzDrExauBBvI" TargetMode="External"/><Relationship Id="rId1246" Type="http://schemas.openxmlformats.org/officeDocument/2006/relationships/hyperlink" Target="https://drive.google.com/uc?id=1YRl8s5pcpSC7ROH-_g8-otSQ_TF08m-n" TargetMode="External"/><Relationship Id="rId1005" Type="http://schemas.openxmlformats.org/officeDocument/2006/relationships/hyperlink" Target="https://drive.google.com/uc?id=12Y1iYDDmcmfCWnwWcEbni3OjMXcsXVup" TargetMode="External"/><Relationship Id="rId1247" Type="http://schemas.openxmlformats.org/officeDocument/2006/relationships/hyperlink" Target="https://drive.google.com/uc?id=1BCoNaKsLolonJmCE9LuuN200VFrpFJp3" TargetMode="External"/><Relationship Id="rId1006" Type="http://schemas.openxmlformats.org/officeDocument/2006/relationships/hyperlink" Target="https://drive.google.com/uc?id=1FQHi4vT0s9mC5DoTHWNzA5_3CbDvwd_R" TargetMode="External"/><Relationship Id="rId1248" Type="http://schemas.openxmlformats.org/officeDocument/2006/relationships/hyperlink" Target="https://drive.google.com/uc?id=1uv0qtToZLSt9D2MzfctUjSwJneKFd-DT" TargetMode="External"/><Relationship Id="rId1007" Type="http://schemas.openxmlformats.org/officeDocument/2006/relationships/hyperlink" Target="https://drive.google.com/uc?id=1aLyLXAAUlLGoxbT98VobPnrqken_aX4Q" TargetMode="External"/><Relationship Id="rId1249" Type="http://schemas.openxmlformats.org/officeDocument/2006/relationships/hyperlink" Target="https://drive.google.com/uc?id=1pHTPOXI83hXypMYrBqMSvDvWYuzab8lP" TargetMode="External"/><Relationship Id="rId1008" Type="http://schemas.openxmlformats.org/officeDocument/2006/relationships/hyperlink" Target="https://drive.google.com/uc?id=1FsYwcjCrp_gB1o2ImCZKXc2dLqN4yPNf" TargetMode="External"/><Relationship Id="rId1009" Type="http://schemas.openxmlformats.org/officeDocument/2006/relationships/hyperlink" Target="https://drive.google.com/uc?id=1oH6Mr4Q0rQzGlVunA7vsyGdn3JHUo-yv" TargetMode="External"/><Relationship Id="rId415" Type="http://schemas.openxmlformats.org/officeDocument/2006/relationships/hyperlink" Target="https://drive.google.com/uc?id=1pDSoI3L3H_iKFO6V4j55UPgMyJAdHGiF" TargetMode="External"/><Relationship Id="rId657" Type="http://schemas.openxmlformats.org/officeDocument/2006/relationships/hyperlink" Target="https://drive.google.com/uc?id=1irewmLHRx6IaRUNxn30t4RGSHJZvdRu0" TargetMode="External"/><Relationship Id="rId899" Type="http://schemas.openxmlformats.org/officeDocument/2006/relationships/hyperlink" Target="https://drive.google.com/uc?id=1SZz08vtVHncDV8cF5x4sRYuz9n6x_pn7" TargetMode="External"/><Relationship Id="rId414" Type="http://schemas.openxmlformats.org/officeDocument/2006/relationships/hyperlink" Target="https://drive.google.com/uc?id=1H6lggoBz01rbwvSqPzZZ53Zv4HPBYj1-" TargetMode="External"/><Relationship Id="rId656" Type="http://schemas.openxmlformats.org/officeDocument/2006/relationships/hyperlink" Target="https://drive.google.com/uc?id=1isKrpgfOrS84oHgLjwyn4_p8efGW89l_" TargetMode="External"/><Relationship Id="rId898" Type="http://schemas.openxmlformats.org/officeDocument/2006/relationships/hyperlink" Target="https://drive.google.com/file/d/14heT-iaAMWNnImgbFd7pQbKwmsZtTlfi/view?usp=share_link" TargetMode="External"/><Relationship Id="rId413" Type="http://schemas.openxmlformats.org/officeDocument/2006/relationships/hyperlink" Target="https://drive.google.com/uc?id=1HmDYKeDrVxp-Lo0ojt7jfebmrQAD7iXD" TargetMode="External"/><Relationship Id="rId655" Type="http://schemas.openxmlformats.org/officeDocument/2006/relationships/hyperlink" Target="https://drive.google.com/uc?id=1rEEsSlaGKiWGhBSPlVDQcvAhDSoTGBWW" TargetMode="External"/><Relationship Id="rId897" Type="http://schemas.openxmlformats.org/officeDocument/2006/relationships/hyperlink" Target="https://drive.google.com/uc?id=1CKEG2zN5MZiWtlCOFZ6FcGexsGsbmcG9" TargetMode="External"/><Relationship Id="rId412" Type="http://schemas.openxmlformats.org/officeDocument/2006/relationships/hyperlink" Target="https://drive.google.com/uc?id=1Z0RGmdKANhMMyT97XzfBmwZr57vObToW" TargetMode="External"/><Relationship Id="rId654" Type="http://schemas.openxmlformats.org/officeDocument/2006/relationships/hyperlink" Target="https://drive.google.com/uc?id=1V0Ae78hQhXrXxen7TSpnGb1N_XZK1JRv" TargetMode="External"/><Relationship Id="rId896" Type="http://schemas.openxmlformats.org/officeDocument/2006/relationships/hyperlink" Target="https://drive.google.com/uc?id=1TEegVRstpkRc_Cte6-7lI2AOBMbrPq0H" TargetMode="External"/><Relationship Id="rId419" Type="http://schemas.openxmlformats.org/officeDocument/2006/relationships/hyperlink" Target="https://drive.google.com/uc?id=1JqWs4v1r2Jvp7yU0xfeuu3uLX1unnSrA" TargetMode="External"/><Relationship Id="rId418" Type="http://schemas.openxmlformats.org/officeDocument/2006/relationships/hyperlink" Target="https://drive.google.com/uc?id=1UUJ3lHrdPike4MS97BUcnQnyydSJ0HtE" TargetMode="External"/><Relationship Id="rId417" Type="http://schemas.openxmlformats.org/officeDocument/2006/relationships/hyperlink" Target="https://drive.google.com/uc?id=1Zznjsw-nk5DI1uGTsrwWaAi9RN41zYpm" TargetMode="External"/><Relationship Id="rId659" Type="http://schemas.openxmlformats.org/officeDocument/2006/relationships/hyperlink" Target="https://drive.google.com/uc?id=1ilvSX9bMm9_gPJ7GeVLQZtHihcYvDX_s" TargetMode="External"/><Relationship Id="rId416" Type="http://schemas.openxmlformats.org/officeDocument/2006/relationships/hyperlink" Target="https://drive.google.com/uc?id=1LWQeniFKkw142flohv4_1jPQP9t-73Id" TargetMode="External"/><Relationship Id="rId658" Type="http://schemas.openxmlformats.org/officeDocument/2006/relationships/hyperlink" Target="https://drive.google.com/uc?id=1ioEjavc5hFH5kULiTBYXfRMMjGFjx-zQ" TargetMode="External"/><Relationship Id="rId891" Type="http://schemas.openxmlformats.org/officeDocument/2006/relationships/hyperlink" Target="https://drive.google.com/uc?id=1x8vB6efU5G9Xce8X8KIMvti1Bzvqt009" TargetMode="External"/><Relationship Id="rId890" Type="http://schemas.openxmlformats.org/officeDocument/2006/relationships/hyperlink" Target="https://drive.google.com/uc?id=19qKVL-hr3l0kV37m0Wl57OOQ7od_Mxtr" TargetMode="External"/><Relationship Id="rId1240" Type="http://schemas.openxmlformats.org/officeDocument/2006/relationships/hyperlink" Target="https://drive.google.com/uc?id=1aXGBQApFospOZjre0QphJiX8C-RUFclz" TargetMode="External"/><Relationship Id="rId1241" Type="http://schemas.openxmlformats.org/officeDocument/2006/relationships/hyperlink" Target="https://drive.google.com/uc?id=1fU2iLWZ3bQ5-DMrK-8JVhf1fkW2xPAGn" TargetMode="External"/><Relationship Id="rId411" Type="http://schemas.openxmlformats.org/officeDocument/2006/relationships/hyperlink" Target="https://drive.google.com/uc?id=1SJo5W0lv_HXbfrDBOM7LmIgzzBw_9Hro" TargetMode="External"/><Relationship Id="rId653" Type="http://schemas.openxmlformats.org/officeDocument/2006/relationships/hyperlink" Target="https://drive.google.com/uc?id=1j5X5NgM3MC4UPlhYewL5OX02POaIPEkU" TargetMode="External"/><Relationship Id="rId895" Type="http://schemas.openxmlformats.org/officeDocument/2006/relationships/hyperlink" Target="https://drive.google.com/uc?id=1SI88Ee5s_UpfWLiEw5j08rO4Ms2ZPynd" TargetMode="External"/><Relationship Id="rId1000" Type="http://schemas.openxmlformats.org/officeDocument/2006/relationships/hyperlink" Target="https://drive.google.com/uc?id=1OU1NzOqLz_05CnMMevzVhUcBOFIa8IDW" TargetMode="External"/><Relationship Id="rId1242" Type="http://schemas.openxmlformats.org/officeDocument/2006/relationships/hyperlink" Target="https://drive.google.com/uc?id=1WAEvQFU6UccO16RzM7dZoTM11CMJJ-wd" TargetMode="External"/><Relationship Id="rId410" Type="http://schemas.openxmlformats.org/officeDocument/2006/relationships/hyperlink" Target="https://drive.google.com/uc?id=1EqziJjJTAQE2y7uIFClOsoVUCtVpZszU" TargetMode="External"/><Relationship Id="rId652" Type="http://schemas.openxmlformats.org/officeDocument/2006/relationships/hyperlink" Target="https://drive.google.com/uc?id=1j69Tg9EFxH8HcMEUeRxP1mxYF4EpU9XC" TargetMode="External"/><Relationship Id="rId894" Type="http://schemas.openxmlformats.org/officeDocument/2006/relationships/hyperlink" Target="https://drive.google.com/uc?id=1VSbmt-UCenKrI3ZFMMBi784h6KH6UF4N" TargetMode="External"/><Relationship Id="rId1001" Type="http://schemas.openxmlformats.org/officeDocument/2006/relationships/hyperlink" Target="https://drive.google.com/uc?id=1PStSYl7LASQiHpkWcrb55AkENEzs-J_Y/" TargetMode="External"/><Relationship Id="rId1243" Type="http://schemas.openxmlformats.org/officeDocument/2006/relationships/hyperlink" Target="https://drive.google.com/uc?id=1AYQ0LiNHh7pqlwfv5PKRpVR8Hfp-QTxk" TargetMode="External"/><Relationship Id="rId651" Type="http://schemas.openxmlformats.org/officeDocument/2006/relationships/hyperlink" Target="https://drive.google.com/uc?id=1jFN49oTcnpNFujlQvLEn4Zyax_kbW_tS" TargetMode="External"/><Relationship Id="rId893" Type="http://schemas.openxmlformats.org/officeDocument/2006/relationships/hyperlink" Target="https://drive.google.com/uc?id=12KtLN-Zu6syvn96VjQL8KDXGwAU2ZbTX" TargetMode="External"/><Relationship Id="rId1002" Type="http://schemas.openxmlformats.org/officeDocument/2006/relationships/hyperlink" Target="https://drive.google.com/uc?id=153QL5p0D0YmL53XBaFoxgg_LsHbJ_hKi/" TargetMode="External"/><Relationship Id="rId1244" Type="http://schemas.openxmlformats.org/officeDocument/2006/relationships/hyperlink" Target="https://drive.google.com/uc?id=1R0Kb60ZYyIsycdcdVFrkdTmO-kdLr_as" TargetMode="External"/><Relationship Id="rId650" Type="http://schemas.openxmlformats.org/officeDocument/2006/relationships/hyperlink" Target="https://drive.google.com/uc?id=1jGOn1yZbtXttuKFcUpnUkwMqZAhyExC8" TargetMode="External"/><Relationship Id="rId892" Type="http://schemas.openxmlformats.org/officeDocument/2006/relationships/hyperlink" Target="https://drive.google.com/uc?id=1bf8s32mdvRTCKcFjYyJk-2LdTS9whcZt" TargetMode="External"/><Relationship Id="rId1003" Type="http://schemas.openxmlformats.org/officeDocument/2006/relationships/hyperlink" Target="https://drive.google.com/uc?id=1WvuS8eHep_Qo0JguvYQF1zSIZRMSP7lY" TargetMode="External"/><Relationship Id="rId1245" Type="http://schemas.openxmlformats.org/officeDocument/2006/relationships/hyperlink" Target="https://drive.google.com/uc?id=1A_MSur2uJB2fFKOIUSZ_I7C2V2HwnkoK" TargetMode="External"/><Relationship Id="rId1037" Type="http://schemas.openxmlformats.org/officeDocument/2006/relationships/hyperlink" Target="https://drive.google.com/uc?id=1nM1iXz13wIDpxqNzt_4ltq6pXj5DxIU9" TargetMode="External"/><Relationship Id="rId1279" Type="http://schemas.openxmlformats.org/officeDocument/2006/relationships/hyperlink" Target="https://drive.google.com/uc?id=1plOh0BKtbS4iwp0nCY2CaLv41Qv8aZZ0" TargetMode="External"/><Relationship Id="rId1038" Type="http://schemas.openxmlformats.org/officeDocument/2006/relationships/hyperlink" Target="https://drive.google.com/uc?id=1qXKBLI1bXbaygRNWpulEBE0wR9gNYIks" TargetMode="External"/><Relationship Id="rId1039" Type="http://schemas.openxmlformats.org/officeDocument/2006/relationships/hyperlink" Target="https://drive.google.com/uc?id=16aEz2Saaag4-Vk4EB3yjR2AZLCOsEd9W" TargetMode="External"/><Relationship Id="rId206" Type="http://schemas.openxmlformats.org/officeDocument/2006/relationships/hyperlink" Target="https://drive.google.com/uc?id=1fajdJLCTnRXxRAWp-r0JvHBsjgX26Obm" TargetMode="External"/><Relationship Id="rId448" Type="http://schemas.openxmlformats.org/officeDocument/2006/relationships/hyperlink" Target="https://drive.google.com/uc?id=1NLaUPtHwGhX3hKbTftXsfJalRJhKLJBi" TargetMode="External"/><Relationship Id="rId205" Type="http://schemas.openxmlformats.org/officeDocument/2006/relationships/hyperlink" Target="https://drive.google.com/uc?id=1we2FwyQr2QzD7t-9cO35BywYu4EGqbt7" TargetMode="External"/><Relationship Id="rId447" Type="http://schemas.openxmlformats.org/officeDocument/2006/relationships/hyperlink" Target="https://drive.google.com/uc?id=1u4RpRyBlB_GHocE4jUMqBuB4XBZl7lbR" TargetMode="External"/><Relationship Id="rId689" Type="http://schemas.openxmlformats.org/officeDocument/2006/relationships/hyperlink" Target="https://drive.google.com/uc?id=1nvVrlLVdiC3gC5jz6RuQ_--OqYf0yLr4" TargetMode="External"/><Relationship Id="rId204" Type="http://schemas.openxmlformats.org/officeDocument/2006/relationships/hyperlink" Target="https://drive.google.com/uc?id=1SkpFLgRWpaBtVDdQGWCmqzvx-tl2jin4" TargetMode="External"/><Relationship Id="rId446" Type="http://schemas.openxmlformats.org/officeDocument/2006/relationships/hyperlink" Target="https://drive.google.com/uc?id=1KbRQ4bFxVFrwX-oWO9y-jjYIDSLyT3d_" TargetMode="External"/><Relationship Id="rId688" Type="http://schemas.openxmlformats.org/officeDocument/2006/relationships/hyperlink" Target="https://drive.google.com/uc?id=1nyLaH8PYzKuzjCXNbeg0jiqALisnBH1N" TargetMode="External"/><Relationship Id="rId203" Type="http://schemas.openxmlformats.org/officeDocument/2006/relationships/hyperlink" Target="https://drive.google.com/uc?id=1KwASHudStyV7yiiFENavYqVpvTZqEVx_" TargetMode="External"/><Relationship Id="rId445" Type="http://schemas.openxmlformats.org/officeDocument/2006/relationships/hyperlink" Target="https://drive.google.com/uc?id=1rVukQZuYkZ4YA0oGBp29SOEwvsCQ1I--" TargetMode="External"/><Relationship Id="rId687" Type="http://schemas.openxmlformats.org/officeDocument/2006/relationships/hyperlink" Target="https://drive.google.com/uc?id=1oIP0e2WwG8qwut6Z87ixXseSDzC1bDGg" TargetMode="External"/><Relationship Id="rId209" Type="http://schemas.openxmlformats.org/officeDocument/2006/relationships/hyperlink" Target="https://drive.google.com/file/d/1Ko9NNI0jhE063cUYtrvFw2I_qky8oFvp/view?usp=sharing" TargetMode="External"/><Relationship Id="rId208" Type="http://schemas.openxmlformats.org/officeDocument/2006/relationships/hyperlink" Target="https://drive.google.com/uc?id=11OYI4MH5SXkaHVVoGalXZEyfwqFEMtzl" TargetMode="External"/><Relationship Id="rId207" Type="http://schemas.openxmlformats.org/officeDocument/2006/relationships/hyperlink" Target="https://drive.google.com/uc?id=1gTKJG_28oqptXt-4-iNUJxnbpfoeErfu" TargetMode="External"/><Relationship Id="rId449" Type="http://schemas.openxmlformats.org/officeDocument/2006/relationships/hyperlink" Target="https://drive.google.com/uc?id=16O0NwUpVSZcWhCv5HiLCjuDPLWhTp4Tx" TargetMode="External"/><Relationship Id="rId1270" Type="http://schemas.openxmlformats.org/officeDocument/2006/relationships/hyperlink" Target="https://drive.google.com/uc?id=11SJB3htLirks5YsbM8gy9kJvvhdzYPpl" TargetMode="External"/><Relationship Id="rId440" Type="http://schemas.openxmlformats.org/officeDocument/2006/relationships/hyperlink" Target="https://drive.google.com/uc?id=1DaAH1eRGfiO_xp_uQm4g1Vxerfzw9hWm" TargetMode="External"/><Relationship Id="rId682" Type="http://schemas.openxmlformats.org/officeDocument/2006/relationships/hyperlink" Target="https://drive.google.com/uc?id=1od0YVtGkzNnxZAHQchvboKrsrsKYF332" TargetMode="External"/><Relationship Id="rId1271" Type="http://schemas.openxmlformats.org/officeDocument/2006/relationships/hyperlink" Target="https://drive.google.com/uc?id=1Ud0OVuZ95pyHDU9o0oUJlSIZlCY0VTlU" TargetMode="External"/><Relationship Id="rId681" Type="http://schemas.openxmlformats.org/officeDocument/2006/relationships/hyperlink" Target="https://drive.google.com/uc?id=1ok7WT_uT-ai1OGKnLHmbeerVnmLtKuvQ" TargetMode="External"/><Relationship Id="rId1030" Type="http://schemas.openxmlformats.org/officeDocument/2006/relationships/hyperlink" Target="https://drive.google.com/uc?id=12Sgu33aHdeP7E8fxMHCMn3lBMdrqrDYe" TargetMode="External"/><Relationship Id="rId1272" Type="http://schemas.openxmlformats.org/officeDocument/2006/relationships/hyperlink" Target="https://drive.google.com/uc?id=1I_NKWTfXg6TC-LfmgV_eUV3Cc1ZpjslS" TargetMode="External"/><Relationship Id="rId680" Type="http://schemas.openxmlformats.org/officeDocument/2006/relationships/hyperlink" Target="https://drive.google.com/uc?id=1oxFzrJsMFacQDh5xMu-7EQscaews4ZP5" TargetMode="External"/><Relationship Id="rId1031" Type="http://schemas.openxmlformats.org/officeDocument/2006/relationships/hyperlink" Target="https://drive.google.com/uc?id=1__apc55jo_3hIi_4bNePIlLKawACywGr" TargetMode="External"/><Relationship Id="rId1273" Type="http://schemas.openxmlformats.org/officeDocument/2006/relationships/hyperlink" Target="https://drive.google.com/uc?id=1AKT6pKYyeSBp_o6XZVdc1ybum0ocKztc" TargetMode="External"/><Relationship Id="rId1032" Type="http://schemas.openxmlformats.org/officeDocument/2006/relationships/hyperlink" Target="https://drive.google.com/uc?id=1D1nuWkKqFz6bokqPvtaBzzvLWEVtMPml" TargetMode="External"/><Relationship Id="rId1274" Type="http://schemas.openxmlformats.org/officeDocument/2006/relationships/hyperlink" Target="https://drive.google.com/uc?id=1RZz80j7_pJYPIRCHnEMBILvWE5232hnX" TargetMode="External"/><Relationship Id="rId202" Type="http://schemas.openxmlformats.org/officeDocument/2006/relationships/hyperlink" Target="https://drive.google.com/uc?id=1vbmDIvwyqRYIzDZrFZqHvpJ3mwtofUuz" TargetMode="External"/><Relationship Id="rId444" Type="http://schemas.openxmlformats.org/officeDocument/2006/relationships/hyperlink" Target="https://drive.google.com/uc?id=1dawNc7RhZUoqKKpoP3T3BGp5xx9uXCvJ" TargetMode="External"/><Relationship Id="rId686" Type="http://schemas.openxmlformats.org/officeDocument/2006/relationships/hyperlink" Target="https://drive.google.com/uc?id=1oMEZN34AdY1Meo4vUvN4ZnkIT5lwbS4x" TargetMode="External"/><Relationship Id="rId1033" Type="http://schemas.openxmlformats.org/officeDocument/2006/relationships/hyperlink" Target="https://drive.google.com/uc?id=1ohpv1sVNw075T31cyiwEDd1BZK4KM6eu" TargetMode="External"/><Relationship Id="rId1275" Type="http://schemas.openxmlformats.org/officeDocument/2006/relationships/hyperlink" Target="https://drive.google.com/uc?id=1QMFaCLzCHiVDAtqWyUsdTi9B2f7hR8v5" TargetMode="External"/><Relationship Id="rId201" Type="http://schemas.openxmlformats.org/officeDocument/2006/relationships/hyperlink" Target="https://drive.google.com/uc?id=1lNT29C1SpdM-I1HTj39bwSaqOwlBStmF" TargetMode="External"/><Relationship Id="rId443" Type="http://schemas.openxmlformats.org/officeDocument/2006/relationships/hyperlink" Target="https://drive.google.com/uc?id=1w9xQUuNU0yLCtgSHgdJ6tX3Hu-PHcLRD" TargetMode="External"/><Relationship Id="rId685" Type="http://schemas.openxmlformats.org/officeDocument/2006/relationships/hyperlink" Target="https://drive.google.com/uc?id=1oUyEcvReSnb_l4lFfmh2NqlAua0XTZMp" TargetMode="External"/><Relationship Id="rId1034" Type="http://schemas.openxmlformats.org/officeDocument/2006/relationships/hyperlink" Target="https://drive.google.com/uc?id=1LQy9WaBMiqfdAsdlOzDHZjhbRS5kN-qy" TargetMode="External"/><Relationship Id="rId1276" Type="http://schemas.openxmlformats.org/officeDocument/2006/relationships/hyperlink" Target="https://drive.google.com/uc?id=1qVZ9knrkhExKHbD61p0YDvjTdinUudZe" TargetMode="External"/><Relationship Id="rId200" Type="http://schemas.openxmlformats.org/officeDocument/2006/relationships/hyperlink" Target="https://drive.google.com/uc?id=1W8MO_2olyhZcuDJEtrdHJf48vkHHk45s" TargetMode="External"/><Relationship Id="rId442" Type="http://schemas.openxmlformats.org/officeDocument/2006/relationships/hyperlink" Target="https://drive.google.com/uc?id=1f_8iRgltWAVHzhzATtWZYeYf9vIUY7Us" TargetMode="External"/><Relationship Id="rId684" Type="http://schemas.openxmlformats.org/officeDocument/2006/relationships/hyperlink" Target="https://drive.google.com/uc?id=1oasjiAiy8KSoiuvhPKdbMvIr2ntYRCd9" TargetMode="External"/><Relationship Id="rId1035" Type="http://schemas.openxmlformats.org/officeDocument/2006/relationships/hyperlink" Target="https://drive.google.com/uc?id=15a4NgEhYqIRu3USKO6qywYJjQheNeQwj" TargetMode="External"/><Relationship Id="rId1277" Type="http://schemas.openxmlformats.org/officeDocument/2006/relationships/hyperlink" Target="https://drive.google.com/uc?id=1NV_rNR6uMqSS0kijPDFGiZMmfNsmRE5S" TargetMode="External"/><Relationship Id="rId441" Type="http://schemas.openxmlformats.org/officeDocument/2006/relationships/hyperlink" Target="https://drive.google.com/uc?id=1QpbkZveIj3Advy7VDWnnajLgJLI_k_TG" TargetMode="External"/><Relationship Id="rId683" Type="http://schemas.openxmlformats.org/officeDocument/2006/relationships/hyperlink" Target="https://drive.google.com/uc?id=1ob5UJ-AvpOvoZucJByZYrEF95h9wiUsM" TargetMode="External"/><Relationship Id="rId1036" Type="http://schemas.openxmlformats.org/officeDocument/2006/relationships/hyperlink" Target="https://drive.google.com/uc?id=15a4NgEhYqIRu3USKO6qywYJjQheNeQwj" TargetMode="External"/><Relationship Id="rId1278" Type="http://schemas.openxmlformats.org/officeDocument/2006/relationships/hyperlink" Target="https://drive.google.com/uc?id=18QEFdhYhXu8Q-6_-dRBCuRxPkWyM6hku" TargetMode="External"/><Relationship Id="rId1026" Type="http://schemas.openxmlformats.org/officeDocument/2006/relationships/hyperlink" Target="https://drive.google.com/uc?id=1VUeIJirYXPzWxlfa-MB3j-4GDrWd7RV5" TargetMode="External"/><Relationship Id="rId1268" Type="http://schemas.openxmlformats.org/officeDocument/2006/relationships/hyperlink" Target="https://drive.google.com/uc?id=11qGZQh3Uev7ValNyMaIzeMLUXP4Selij" TargetMode="External"/><Relationship Id="rId1027" Type="http://schemas.openxmlformats.org/officeDocument/2006/relationships/hyperlink" Target="https://drive.google.com/uc?id=1AseksFgimEoalZG4pGRYbjDHbguEsVKI" TargetMode="External"/><Relationship Id="rId1269" Type="http://schemas.openxmlformats.org/officeDocument/2006/relationships/hyperlink" Target="https://drive.google.com/uc?id=1fUB9sH7kC8cdF2llwL31pOWL4vzwPe4m" TargetMode="External"/><Relationship Id="rId1028" Type="http://schemas.openxmlformats.org/officeDocument/2006/relationships/hyperlink" Target="https://drive.google.com/uc?id=1Pgbe_kXEmG0HbYfdJaGkn9iOBN9rLayN" TargetMode="External"/><Relationship Id="rId1029" Type="http://schemas.openxmlformats.org/officeDocument/2006/relationships/hyperlink" Target="https://drive.google.com/uc?id=1moZh3RWSQCIgkGVO5_3OZd9vwE_Y2e8J" TargetMode="External"/><Relationship Id="rId437" Type="http://schemas.openxmlformats.org/officeDocument/2006/relationships/hyperlink" Target="https://drive.google.com/uc?id=1-xvo2OxV1zU1lBMiSS1JvQjATXlEiS9Q" TargetMode="External"/><Relationship Id="rId679" Type="http://schemas.openxmlformats.org/officeDocument/2006/relationships/hyperlink" Target="https://drive.google.com/uc?id=1pH2dVwV0XWWIBOCb1N0cEFqpjzTA_Ej_" TargetMode="External"/><Relationship Id="rId436" Type="http://schemas.openxmlformats.org/officeDocument/2006/relationships/hyperlink" Target="https://drive.google.com/uc?id=1Bz2-hx3EqDq4v5_1590u7FRnf4LNS4H5" TargetMode="External"/><Relationship Id="rId678" Type="http://schemas.openxmlformats.org/officeDocument/2006/relationships/hyperlink" Target="https://drive.google.com/uc?id=1pHsM91Ct0wP9gY_FVimF7NnJ9HxB6eEa" TargetMode="External"/><Relationship Id="rId435" Type="http://schemas.openxmlformats.org/officeDocument/2006/relationships/hyperlink" Target="https://drive.google.com/uc?id=1JJkRLZkm9048CErBjyZJkcR_yUhMVYlU" TargetMode="External"/><Relationship Id="rId677" Type="http://schemas.openxmlformats.org/officeDocument/2006/relationships/hyperlink" Target="https://drive.google.com/uc?id=1pTbiiO1FvzW5fNOTuL8M-eXUXUnz-F9g" TargetMode="External"/><Relationship Id="rId434" Type="http://schemas.openxmlformats.org/officeDocument/2006/relationships/hyperlink" Target="https://drive.google.com/uc?id=1zHILsKmSDzdk1ab4Kk9OUX6ZVXskVdGv" TargetMode="External"/><Relationship Id="rId676" Type="http://schemas.openxmlformats.org/officeDocument/2006/relationships/hyperlink" Target="https://drive.google.com/uc?id=1pYNITSHrORtC-xZnv956691wdoZkNybU" TargetMode="External"/><Relationship Id="rId439" Type="http://schemas.openxmlformats.org/officeDocument/2006/relationships/hyperlink" Target="https://drive.google.com/uc?id=1XMW93RlToyj1M3gByxq9LIRBjtLtphJo" TargetMode="External"/><Relationship Id="rId438" Type="http://schemas.openxmlformats.org/officeDocument/2006/relationships/hyperlink" Target="https://drive.google.com/uc?id=1ndrFukP1nKnK8wJvSrw1ub2yYuQOgTXu" TargetMode="External"/><Relationship Id="rId671" Type="http://schemas.openxmlformats.org/officeDocument/2006/relationships/hyperlink" Target="https://drive.google.com/uc?id=1pCuWOu9Yr3dqG1oZHJnU6XsZ939JAFxY" TargetMode="External"/><Relationship Id="rId1260" Type="http://schemas.openxmlformats.org/officeDocument/2006/relationships/hyperlink" Target="https://drive.google.com/uc?id=1dp991WZ5FxhfR0NrLOr9Jlc0KyASaueB" TargetMode="External"/><Relationship Id="rId670" Type="http://schemas.openxmlformats.org/officeDocument/2006/relationships/hyperlink" Target="https://drive.google.com/uc?id=1B4Jv_GpnqVTgt9N-eyZwb8tykGfeGukk" TargetMode="External"/><Relationship Id="rId1261" Type="http://schemas.openxmlformats.org/officeDocument/2006/relationships/hyperlink" Target="https://drive.google.com/uc?id=1RYlZSAqUmW_PwTCcGrr_LAthingMcyny" TargetMode="External"/><Relationship Id="rId1020" Type="http://schemas.openxmlformats.org/officeDocument/2006/relationships/hyperlink" Target="https://drive.google.com/uc?id=1e7-WKOQGlkftTXQeAot1M_KeHAUTRG7i" TargetMode="External"/><Relationship Id="rId1262" Type="http://schemas.openxmlformats.org/officeDocument/2006/relationships/hyperlink" Target="https://drive.google.com/uc?id=13ZyLgBZuOmyHRDo80IazWiwHBRpf9Cyg" TargetMode="External"/><Relationship Id="rId1021" Type="http://schemas.openxmlformats.org/officeDocument/2006/relationships/hyperlink" Target="https://drive.google.com/uc?id=19Ip0jiK6qS7tMKNrOGybpl4q9hFZFXLD" TargetMode="External"/><Relationship Id="rId1263" Type="http://schemas.openxmlformats.org/officeDocument/2006/relationships/hyperlink" Target="https://drive.google.com/uc?id=1Ly1rLsBc7urELlaFJR0eW4b7cg87M26w" TargetMode="External"/><Relationship Id="rId433" Type="http://schemas.openxmlformats.org/officeDocument/2006/relationships/hyperlink" Target="https://drive.google.com/uc?id=1_piXWpMfwtIdaDWco2ih9Pmq8kB3IQBu" TargetMode="External"/><Relationship Id="rId675" Type="http://schemas.openxmlformats.org/officeDocument/2006/relationships/hyperlink" Target="https://drive.google.com/uc?id=1pZaLUras0NkXBmWhROccEx1OZFAjcnXq" TargetMode="External"/><Relationship Id="rId1022" Type="http://schemas.openxmlformats.org/officeDocument/2006/relationships/hyperlink" Target="https://drive.google.com/uc?id=1tUYsuHUkbq21oZXFerBMilsyiAhS2V2b" TargetMode="External"/><Relationship Id="rId1264" Type="http://schemas.openxmlformats.org/officeDocument/2006/relationships/hyperlink" Target="https://drive.google.com/uc?id=1Ngz9i8vrZ7XaO5IBZwyu6nok2VH2Zg60" TargetMode="External"/><Relationship Id="rId432" Type="http://schemas.openxmlformats.org/officeDocument/2006/relationships/hyperlink" Target="https://drive.google.com/uc?id=1gt-xk8PqC0lYGsUwoJOywkqFTHMjWuoH" TargetMode="External"/><Relationship Id="rId674" Type="http://schemas.openxmlformats.org/officeDocument/2006/relationships/hyperlink" Target="https://drive.google.com/uc?id=1ptLyvo6x5DyW9g8WXUjFhIAOe3OlOAL9" TargetMode="External"/><Relationship Id="rId1023" Type="http://schemas.openxmlformats.org/officeDocument/2006/relationships/hyperlink" Target="https://drive.google.com/uc?id=1Mll-Mef4NKRkZRek37MXRzfpZVC63daZ" TargetMode="External"/><Relationship Id="rId1265" Type="http://schemas.openxmlformats.org/officeDocument/2006/relationships/hyperlink" Target="https://drive.google.com/uc?id=1g7xV4ZcCgrqtIhN6FpuVuzsOK-tiaf67" TargetMode="External"/><Relationship Id="rId431" Type="http://schemas.openxmlformats.org/officeDocument/2006/relationships/hyperlink" Target="https://drive.google.com/uc?id=1ZWRX6ePbMzNE9KxhP_Yf7GawenttDqm0" TargetMode="External"/><Relationship Id="rId673" Type="http://schemas.openxmlformats.org/officeDocument/2006/relationships/hyperlink" Target="https://drive.google.com/uc?id=1pz6iFeZUuxrZZQ_w4q1WwImljxRdRCyD" TargetMode="External"/><Relationship Id="rId1024" Type="http://schemas.openxmlformats.org/officeDocument/2006/relationships/hyperlink" Target="https://drive.google.com/uc?id=1y6-Kq_SDAZ5mruIGKR8EcAnwdlU5eFnj" TargetMode="External"/><Relationship Id="rId1266" Type="http://schemas.openxmlformats.org/officeDocument/2006/relationships/hyperlink" Target="https://drive.google.com/uc?id=1xGKqjJX8OSH7hOabUjswkS3_1_U3AL5n" TargetMode="External"/><Relationship Id="rId430" Type="http://schemas.openxmlformats.org/officeDocument/2006/relationships/hyperlink" Target="https://drive.google.com/uc?id=1qIvwjPByb0jGfxJDkCnZsPTmWV5njGHq" TargetMode="External"/><Relationship Id="rId672" Type="http://schemas.openxmlformats.org/officeDocument/2006/relationships/hyperlink" Target="https://drive.google.com/uc?id=1oNO0lMTQhL856T0IZTEBvL9vJgMI_nDg" TargetMode="External"/><Relationship Id="rId1025" Type="http://schemas.openxmlformats.org/officeDocument/2006/relationships/hyperlink" Target="https://drive.google.com/uc?id=1j2cN-XOWJhLf8ORjMitS50lDBfKLdGH7/" TargetMode="External"/><Relationship Id="rId1267" Type="http://schemas.openxmlformats.org/officeDocument/2006/relationships/hyperlink" Target="https://drive.google.com/uc?id=107WuRuEQckuDCTzDT738EKbVgwHSAKk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uc?id=1iSPc1EUeUezitEZJJAfklN2DOUmuPOpM" TargetMode="External"/><Relationship Id="rId2" Type="http://schemas.openxmlformats.org/officeDocument/2006/relationships/hyperlink" Target="https://drive.google.com/uc?id=12_JEv_6VP1HbKzcrpi4xMLVdBXLxwC7h" TargetMode="External"/><Relationship Id="rId3" Type="http://schemas.openxmlformats.org/officeDocument/2006/relationships/hyperlink" Target="https://drive.google.com/uc?id=1Ry1Ou6OZBz1ah53aLVWnfge_fLFS-99h" TargetMode="External"/><Relationship Id="rId4" Type="http://schemas.openxmlformats.org/officeDocument/2006/relationships/hyperlink" Target="https://drive.google.com/uc?id=1HuAC4wn4oQ5YxPd1aOcCxYmCPvvT7KpO" TargetMode="External"/><Relationship Id="rId9" Type="http://schemas.openxmlformats.org/officeDocument/2006/relationships/hyperlink" Target="https://drive.google.com/uc?id=1W76-7UP7V7Be_FnYVOHAV4gl9ufdKxgv" TargetMode="External"/><Relationship Id="rId5" Type="http://schemas.openxmlformats.org/officeDocument/2006/relationships/hyperlink" Target="https://drive.google.com/uc?id=1i2LuQr65t6Ulq08B8ArcTbfieGqFKXo0" TargetMode="External"/><Relationship Id="rId6" Type="http://schemas.openxmlformats.org/officeDocument/2006/relationships/hyperlink" Target="https://drive.google.com/uc?id=1m0tVigt2yKhWBRDxa_JyyWAGVX_01NyI" TargetMode="External"/><Relationship Id="rId7" Type="http://schemas.openxmlformats.org/officeDocument/2006/relationships/hyperlink" Target="https://drive.google.com/uc?id=1zxOoDF21Wxu3KnKbUGxWvt76ih_oa5Tn" TargetMode="External"/><Relationship Id="rId8" Type="http://schemas.openxmlformats.org/officeDocument/2006/relationships/hyperlink" Target="https://drive.google.com/uc?id=1ZbmL7k7EjJXver0x-_5QK_kI3PeH6W-S" TargetMode="External"/><Relationship Id="rId11" Type="http://schemas.openxmlformats.org/officeDocument/2006/relationships/hyperlink" Target="https://drive.google.com/uc?id=1TRSDH-46HV51eWSRgQLN63_MOp4iQvrn" TargetMode="External"/><Relationship Id="rId10" Type="http://schemas.openxmlformats.org/officeDocument/2006/relationships/hyperlink" Target="https://drive.google.com/uc?id=12zO9S_U74-1tBaPc1C-EzQRX1VB7blpP" TargetMode="External"/><Relationship Id="rId13" Type="http://schemas.openxmlformats.org/officeDocument/2006/relationships/hyperlink" Target="https://drive.google.com/uc?id=1dAPSetz6JmnIFT5wEHknR950t0jKAT8p" TargetMode="External"/><Relationship Id="rId12" Type="http://schemas.openxmlformats.org/officeDocument/2006/relationships/hyperlink" Target="https://drive.google.com/uc?id=1wctQ2x2NZgRBr_Mn1bdfmXGpS0hPR7Da" TargetMode="External"/><Relationship Id="rId15" Type="http://schemas.openxmlformats.org/officeDocument/2006/relationships/hyperlink" Target="https://drive.google.com/uc?id=1EkxLoUaBCtf_ScA6oIT1lo3kjP8OCAnm" TargetMode="External"/><Relationship Id="rId14" Type="http://schemas.openxmlformats.org/officeDocument/2006/relationships/hyperlink" Target="https://drive.google.com/uc?id=1RpSSF0wHF-xjUKIqV_3Gw33UK-LfTrmj" TargetMode="External"/><Relationship Id="rId17" Type="http://schemas.openxmlformats.org/officeDocument/2006/relationships/hyperlink" Target="https://drive.google.com/uc?id=1lG6G8iaVqCadjw7zPcQg4uNKmjma3q-A" TargetMode="External"/><Relationship Id="rId16" Type="http://schemas.openxmlformats.org/officeDocument/2006/relationships/hyperlink" Target="https://drive.google.com/uc?id=1j6UO3QCHJkFXmdeeW786_87kPXCigP00" TargetMode="External"/><Relationship Id="rId19" Type="http://schemas.openxmlformats.org/officeDocument/2006/relationships/drawing" Target="../drawings/drawing2.xml"/><Relationship Id="rId18" Type="http://schemas.openxmlformats.org/officeDocument/2006/relationships/hyperlink" Target="https://drive.google.com/uc?id=1M2hrqL8J9SYGJBLgurnPCB6gOkgJcev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13"/>
    <col customWidth="1" min="2" max="2" width="10.5"/>
    <col customWidth="1" min="7" max="7" width="13.63"/>
    <col customWidth="1" min="9" max="9" width="9.38"/>
    <col customWidth="1" min="12" max="13" width="22.38"/>
    <col customWidth="1" min="14" max="14" width="38.5"/>
    <col customWidth="1" min="15" max="15" width="86.5"/>
    <col customWidth="1" min="16" max="16" width="72.5"/>
    <col customWidth="1" min="17" max="17" width="18.75"/>
    <col customWidth="1" min="19" max="19" width="12.88"/>
    <col customWidth="1" min="22" max="22" width="58.13"/>
    <col customWidth="1" min="23" max="23" width="17.0"/>
    <col customWidth="1" min="24" max="24" width="57.75"/>
  </cols>
  <sheetData>
    <row r="1">
      <c r="A1" s="1" t="s">
        <v>0</v>
      </c>
      <c r="B1" s="2" t="s">
        <v>1</v>
      </c>
      <c r="C1" s="1" t="s">
        <v>2</v>
      </c>
      <c r="D1" s="3" t="s">
        <v>3</v>
      </c>
      <c r="E1" s="3" t="s">
        <v>4</v>
      </c>
      <c r="F1" s="3" t="s">
        <v>5</v>
      </c>
      <c r="G1" s="3" t="s">
        <v>6</v>
      </c>
      <c r="H1" s="3" t="s">
        <v>7</v>
      </c>
      <c r="I1" s="4" t="s">
        <v>8</v>
      </c>
      <c r="J1" s="4" t="s">
        <v>9</v>
      </c>
      <c r="K1" s="3" t="s">
        <v>10</v>
      </c>
      <c r="L1" s="1" t="s">
        <v>11</v>
      </c>
      <c r="M1" s="1" t="s">
        <v>12</v>
      </c>
      <c r="N1" s="1" t="s">
        <v>13</v>
      </c>
      <c r="O1" s="1" t="s">
        <v>14</v>
      </c>
      <c r="P1" s="1" t="s">
        <v>15</v>
      </c>
      <c r="Q1" s="1" t="s">
        <v>16</v>
      </c>
      <c r="R1" s="1" t="s">
        <v>17</v>
      </c>
      <c r="S1" s="1" t="s">
        <v>18</v>
      </c>
      <c r="T1" s="1" t="s">
        <v>19</v>
      </c>
      <c r="U1" s="1" t="s">
        <v>20</v>
      </c>
      <c r="V1" s="1" t="s">
        <v>21</v>
      </c>
      <c r="W1" s="1" t="s">
        <v>22</v>
      </c>
      <c r="X1" s="1" t="s">
        <v>23</v>
      </c>
    </row>
    <row r="2" hidden="1">
      <c r="A2" s="5">
        <f>IFERROR(__xludf.DUMMYFUNCTION("IMPORTRANGE(""https://docs.google.com/spreadsheets/d/11Xf8ueyQm_IkJIrLjE_knan7jqO4kbHyGCgwn2elcQA/edit#gid=1945605910"", ""CRUZ DAS ALMAS!A3:X29"")"),8.0)</f>
        <v>8</v>
      </c>
      <c r="B2" s="5" t="str">
        <f>IFERROR(__xludf.DUMMYFUNCTION("""COMPUTED_VALUE"""),"CA001")</f>
        <v>CA001</v>
      </c>
      <c r="C2" s="5" t="str">
        <f>IFERROR(__xludf.DUMMYFUNCTION("""COMPUTED_VALUE"""),"NÃO POSSUI")</f>
        <v>NÃO POSSUI</v>
      </c>
      <c r="D2" s="5" t="str">
        <f>IFERROR(__xludf.DUMMYFUNCTION("""COMPUTED_VALUE"""),"COM SUPORTE")</f>
        <v>COM SUPORTE</v>
      </c>
      <c r="E2" s="5" t="str">
        <f>IFERROR(__xludf.DUMMYFUNCTION("""COMPUTED_VALUE"""),"SEM BAIA")</f>
        <v>SEM BAIA</v>
      </c>
      <c r="F2" s="5" t="str">
        <f>IFERROR(__xludf.DUMMYFUNCTION("""COMPUTED_VALUE"""),"SIM")</f>
        <v>SIM</v>
      </c>
      <c r="G2" s="5" t="str">
        <f>IFERROR(__xludf.DUMMYFUNCTION("""COMPUTED_VALUE"""),"NÃO")</f>
        <v>NÃO</v>
      </c>
      <c r="H2" s="5" t="str">
        <f>IFERROR(__xludf.DUMMYFUNCTION("""COMPUTED_VALUE"""),"PAVIMENTADA")</f>
        <v>PAVIMENTADA</v>
      </c>
      <c r="I2" s="6" t="str">
        <f>IFERROR(__xludf.DUMMYFUNCTION("""COMPUTED_VALUE"""),"-9.638656")</f>
        <v>-9.638656</v>
      </c>
      <c r="J2" s="6" t="str">
        <f>IFERROR(__xludf.DUMMYFUNCTION("""COMPUTED_VALUE"""),"-35.698207")</f>
        <v>-35.698207</v>
      </c>
      <c r="K2" s="5" t="str">
        <f>IFERROR(__xludf.DUMMYFUNCTION("""COMPUTED_VALUE"""),"AV. BRIGADEIRO EDUARDO GOMES DE BRITO, S/N")</f>
        <v>AV. BRIGADEIRO EDUARDO GOMES DE BRITO, S/N</v>
      </c>
      <c r="L2" s="5" t="str">
        <f>IFERROR(__xludf.DUMMYFUNCTION("""COMPUTED_VALUE"""),"ARTERIAL ")</f>
        <v>ARTERIAL </v>
      </c>
      <c r="M2" s="5" t="str">
        <f>IFERROR(__xludf.DUMMYFUNCTION("""COMPUTED_VALUE"""),"CRUZ DAS ALMAS")</f>
        <v>CRUZ DAS ALMAS</v>
      </c>
      <c r="N2" s="5" t="str">
        <f>IFERROR(__xludf.DUMMYFUNCTION("""COMPUTED_VALUE"""),"CENTRO - BAIRRO")</f>
        <v>CENTRO - BAIRRO</v>
      </c>
      <c r="O2" s="5" t="str">
        <f>IFERROR(__xludf.DUMMYFUNCTION("""COMPUTED_VALUE"""),"EM FRENTE DO RITZ RESIDENCE")</f>
        <v>EM FRENTE DO RITZ RESIDENCE</v>
      </c>
      <c r="P2" s="5" t="str">
        <f>IFERROR(__xludf.DUMMYFUNCTION("""COMPUTED_VALUE"""),"PRIORIDADE MÉDIA")</f>
        <v>PRIORIDADE MÉDIA</v>
      </c>
      <c r="Q2" s="5" t="str">
        <f>IFERROR(__xludf.DUMMYFUNCTION("""COMPUTED_VALUE"""),"SUBSTITUIÇÃO DA PLACA E DO SUPORTE, PINTURA DA BAIA NO ASFALTO, ADEQUAÇÃO DA CALÇADA (PISO TÁTIL)")</f>
        <v>SUBSTITUIÇÃO DA PLACA E DO SUPORTE, PINTURA DA BAIA NO ASFALTO, ADEQUAÇÃO DA CALÇADA (PISO TÁTIL)</v>
      </c>
      <c r="R2" s="5" t="str">
        <f>IFERROR(__xludf.DUMMYFUNCTION("""COMPUTED_VALUE"""),"NENHUMA DAS OPÇÕES")</f>
        <v>NENHUMA DAS OPÇÕES</v>
      </c>
      <c r="S2" s="7">
        <f>IFERROR(__xludf.DUMMYFUNCTION("""COMPUTED_VALUE"""),44562.0)</f>
        <v>44562</v>
      </c>
      <c r="T2" s="5"/>
      <c r="U2" s="7">
        <f>IFERROR(__xludf.DUMMYFUNCTION("""COMPUTED_VALUE"""),44562.0)</f>
        <v>44562</v>
      </c>
      <c r="V2" s="8" t="str">
        <f>IFERROR(__xludf.DUMMYFUNCTION("""COMPUTED_VALUE"""),"https://drive.google.com/uc?id=1Wr-eQ9MjgDadrVkJronlADYj7k8cSqon")</f>
        <v>https://drive.google.com/uc?id=1Wr-eQ9MjgDadrVkJronlADYj7k8cSqon</v>
      </c>
      <c r="W2" s="5" t="str">
        <f>IFERROR(__xludf.DUMMYFUNCTION("""COMPUTED_VALUE"""),"NÃO")</f>
        <v>NÃO</v>
      </c>
      <c r="X2" s="5" t="str">
        <f>IFERROR(__xludf.DUMMYFUNCTION("""COMPUTED_VALUE"""),"NÃO SE APLICA")</f>
        <v>NÃO SE APLICA</v>
      </c>
    </row>
    <row r="3" hidden="1">
      <c r="A3" s="5">
        <f>IFERROR(__xludf.DUMMYFUNCTION("""COMPUTED_VALUE"""),8.0)</f>
        <v>8</v>
      </c>
      <c r="B3" s="5" t="str">
        <f>IFERROR(__xludf.DUMMYFUNCTION("""COMPUTED_VALUE"""),"CA002")</f>
        <v>CA002</v>
      </c>
      <c r="C3" s="5" t="str">
        <f>IFERROR(__xludf.DUMMYFUNCTION("""COMPUTED_VALUE"""),"NÃO POSSUI")</f>
        <v>NÃO POSSUI</v>
      </c>
      <c r="D3" s="5" t="str">
        <f>IFERROR(__xludf.DUMMYFUNCTION("""COMPUTED_VALUE"""),"SEM PLACA")</f>
        <v>SEM PLACA</v>
      </c>
      <c r="E3" s="5" t="str">
        <f>IFERROR(__xludf.DUMMYFUNCTION("""COMPUTED_VALUE"""),"SEM BAIA")</f>
        <v>SEM BAIA</v>
      </c>
      <c r="F3" s="5" t="str">
        <f>IFERROR(__xludf.DUMMYFUNCTION("""COMPUTED_VALUE"""),"SIM")</f>
        <v>SIM</v>
      </c>
      <c r="G3" s="5" t="str">
        <f>IFERROR(__xludf.DUMMYFUNCTION("""COMPUTED_VALUE"""),"NÃO")</f>
        <v>NÃO</v>
      </c>
      <c r="H3" s="5" t="str">
        <f>IFERROR(__xludf.DUMMYFUNCTION("""COMPUTED_VALUE"""),"PAVIMENTADA")</f>
        <v>PAVIMENTADA</v>
      </c>
      <c r="I3" s="6" t="str">
        <f>IFERROR(__xludf.DUMMYFUNCTION("""COMPUTED_VALUE"""),"-9.635334")</f>
        <v>-9.635334</v>
      </c>
      <c r="J3" s="6" t="str">
        <f>IFERROR(__xludf.DUMMYFUNCTION("""COMPUTED_VALUE"""),"-35.697686")</f>
        <v>-35.697686</v>
      </c>
      <c r="K3" s="5" t="str">
        <f>IFERROR(__xludf.DUMMYFUNCTION("""COMPUTED_VALUE"""),"AV. BRIGADEIRO EDUARDO GOMES DE BRITO, S/N")</f>
        <v>AV. BRIGADEIRO EDUARDO GOMES DE BRITO, S/N</v>
      </c>
      <c r="L3" s="5" t="str">
        <f>IFERROR(__xludf.DUMMYFUNCTION("""COMPUTED_VALUE"""),"ARTERIAL ")</f>
        <v>ARTERIAL </v>
      </c>
      <c r="M3" s="5" t="str">
        <f>IFERROR(__xludf.DUMMYFUNCTION("""COMPUTED_VALUE"""),"CRUZ DAS ALMAS")</f>
        <v>CRUZ DAS ALMAS</v>
      </c>
      <c r="N3" s="5" t="str">
        <f>IFERROR(__xludf.DUMMYFUNCTION("""COMPUTED_VALUE"""),"CENTRO - BAIRRO")</f>
        <v>CENTRO - BAIRRO</v>
      </c>
      <c r="O3" s="5" t="str">
        <f>IFERROR(__xludf.DUMMYFUNCTION("""COMPUTED_VALUE"""),"EM FRENTE CLÍNICA PET CURIOSO")</f>
        <v>EM FRENTE CLÍNICA PET CURIOSO</v>
      </c>
      <c r="P3" s="5" t="str">
        <f>IFERROR(__xludf.DUMMYFUNCTION("""COMPUTED_VALUE"""),"PRIORIDADE MÉDIA")</f>
        <v>PRIORIDADE MÉDIA</v>
      </c>
      <c r="Q3" s="5" t="str">
        <f>IFERROR(__xludf.DUMMYFUNCTION("""COMPUTED_VALUE"""),"IMPLANTAR PLACA COM SUPORTE, PINTURA DA BAIA NO ASFALTO, ADEQUAÇÃO DA CALÇADA (PISO TÁTIL)")</f>
        <v>IMPLANTAR PLACA COM SUPORTE, PINTURA DA BAIA NO ASFALTO, ADEQUAÇÃO DA CALÇADA (PISO TÁTIL)</v>
      </c>
      <c r="R3" s="5" t="str">
        <f>IFERROR(__xludf.DUMMYFUNCTION("""COMPUTED_VALUE"""),"IMPLANTAR ABRIGO")</f>
        <v>IMPLANTAR ABRIGO</v>
      </c>
      <c r="S3" s="7">
        <f>IFERROR(__xludf.DUMMYFUNCTION("""COMPUTED_VALUE"""),44563.0)</f>
        <v>44563</v>
      </c>
      <c r="T3" s="5"/>
      <c r="U3" s="7">
        <f>IFERROR(__xludf.DUMMYFUNCTION("""COMPUTED_VALUE"""),44563.0)</f>
        <v>44563</v>
      </c>
      <c r="V3" s="9" t="str">
        <f>IFERROR(__xludf.DUMMYFUNCTION("""COMPUTED_VALUE"""),"https://drive.google.com/uc?id=16hBW3_BIlRY8nBs9b0TydZKF9_UoxFpP")</f>
        <v>https://drive.google.com/uc?id=16hBW3_BIlRY8nBs9b0TydZKF9_UoxFpP</v>
      </c>
      <c r="W3" s="5" t="str">
        <f>IFERROR(__xludf.DUMMYFUNCTION("""COMPUTED_VALUE"""),"NÃO")</f>
        <v>NÃO</v>
      </c>
      <c r="X3" s="5" t="str">
        <f>IFERROR(__xludf.DUMMYFUNCTION("""COMPUTED_VALUE"""),"NÃO SE APLICA")</f>
        <v>NÃO SE APLICA</v>
      </c>
    </row>
    <row r="4" hidden="1">
      <c r="A4" s="5">
        <f>IFERROR(__xludf.DUMMYFUNCTION("""COMPUTED_VALUE"""),8.0)</f>
        <v>8</v>
      </c>
      <c r="B4" s="5" t="str">
        <f>IFERROR(__xludf.DUMMYFUNCTION("""COMPUTED_VALUE"""),"CA005")</f>
        <v>CA005</v>
      </c>
      <c r="C4" s="5" t="str">
        <f>IFERROR(__xludf.DUMMYFUNCTION("""COMPUTED_VALUE"""),"NÃO POSSUI")</f>
        <v>NÃO POSSUI</v>
      </c>
      <c r="D4" s="5" t="str">
        <f>IFERROR(__xludf.DUMMYFUNCTION("""COMPUTED_VALUE"""),"COM SUPORTE")</f>
        <v>COM SUPORTE</v>
      </c>
      <c r="E4" s="5" t="str">
        <f>IFERROR(__xludf.DUMMYFUNCTION("""COMPUTED_VALUE"""),"SEM BAIA")</f>
        <v>SEM BAIA</v>
      </c>
      <c r="F4" s="5" t="str">
        <f>IFERROR(__xludf.DUMMYFUNCTION("""COMPUTED_VALUE"""),"SIM")</f>
        <v>SIM</v>
      </c>
      <c r="G4" s="5" t="str">
        <f>IFERROR(__xludf.DUMMYFUNCTION("""COMPUTED_VALUE"""),"NÃO")</f>
        <v>NÃO</v>
      </c>
      <c r="H4" s="5" t="str">
        <f>IFERROR(__xludf.DUMMYFUNCTION("""COMPUTED_VALUE"""),"PAVIMENTADA")</f>
        <v>PAVIMENTADA</v>
      </c>
      <c r="I4" s="6" t="str">
        <f>IFERROR(__xludf.DUMMYFUNCTION("""COMPUTED_VALUE"""),"-9.631504")</f>
        <v>-9.631504</v>
      </c>
      <c r="J4" s="6" t="str">
        <f>IFERROR(__xludf.DUMMYFUNCTION("""COMPUTED_VALUE"""),"-35.696269")</f>
        <v>-35.696269</v>
      </c>
      <c r="K4" s="5" t="str">
        <f>IFERROR(__xludf.DUMMYFUNCTION("""COMPUTED_VALUE"""),"AV. BRIGADEIRO EDUARDO GOMES DE BRITO, S/N")</f>
        <v>AV. BRIGADEIRO EDUARDO GOMES DE BRITO, S/N</v>
      </c>
      <c r="L4" s="5" t="str">
        <f>IFERROR(__xludf.DUMMYFUNCTION("""COMPUTED_VALUE"""),"ARTERIAL ")</f>
        <v>ARTERIAL </v>
      </c>
      <c r="M4" s="5" t="str">
        <f>IFERROR(__xludf.DUMMYFUNCTION("""COMPUTED_VALUE"""),"CRUZ DAS ALMAS")</f>
        <v>CRUZ DAS ALMAS</v>
      </c>
      <c r="N4" s="5" t="str">
        <f>IFERROR(__xludf.DUMMYFUNCTION("""COMPUTED_VALUE"""),"CENTRO - BAIRRO")</f>
        <v>CENTRO - BAIRRO</v>
      </c>
      <c r="O4" s="5" t="str">
        <f>IFERROR(__xludf.DUMMYFUNCTION("""COMPUTED_VALUE"""),"EM FRENTE DO HOTEL MATSUBARA")</f>
        <v>EM FRENTE DO HOTEL MATSUBARA</v>
      </c>
      <c r="P4" s="5" t="str">
        <f>IFERROR(__xludf.DUMMYFUNCTION("""COMPUTED_VALUE"""),"PRIORIDADE ALTA")</f>
        <v>PRIORIDADE ALTA</v>
      </c>
      <c r="Q4" s="5" t="str">
        <f>IFERROR(__xludf.DUMMYFUNCTION("""COMPUTED_VALUE"""),"SUBSTITUIÇÃO DA PLACA E DO SUPORTE, PINTURA DA BAIA NO ASFALTO, ADEQUAÇÃO DA CALÇADA (PISO TÁTIL)")</f>
        <v>SUBSTITUIÇÃO DA PLACA E DO SUPORTE, PINTURA DA BAIA NO ASFALTO, ADEQUAÇÃO DA CALÇADA (PISO TÁTIL)</v>
      </c>
      <c r="R4" s="5" t="str">
        <f>IFERROR(__xludf.DUMMYFUNCTION("""COMPUTED_VALUE"""),"IMPLANTAR ABRIGO")</f>
        <v>IMPLANTAR ABRIGO</v>
      </c>
      <c r="S4" s="7">
        <f>IFERROR(__xludf.DUMMYFUNCTION("""COMPUTED_VALUE"""),44566.0)</f>
        <v>44566</v>
      </c>
      <c r="T4" s="5"/>
      <c r="U4" s="7">
        <f>IFERROR(__xludf.DUMMYFUNCTION("""COMPUTED_VALUE"""),44566.0)</f>
        <v>44566</v>
      </c>
      <c r="V4" s="9" t="str">
        <f>IFERROR(__xludf.DUMMYFUNCTION("""COMPUTED_VALUE"""),"https://drive.google.com/uc?id=12rvVr7_K1gtOkAwjc1c-_a-e8Nkwqg6q")</f>
        <v>https://drive.google.com/uc?id=12rvVr7_K1gtOkAwjc1c-_a-e8Nkwqg6q</v>
      </c>
      <c r="W4" s="5" t="str">
        <f>IFERROR(__xludf.DUMMYFUNCTION("""COMPUTED_VALUE"""),"NÃO")</f>
        <v>NÃO</v>
      </c>
      <c r="X4" s="5" t="str">
        <f>IFERROR(__xludf.DUMMYFUNCTION("""COMPUTED_VALUE"""),"NÃO SE APLICA")</f>
        <v>NÃO SE APLICA</v>
      </c>
    </row>
    <row r="5" hidden="1">
      <c r="A5" s="5">
        <f>IFERROR(__xludf.DUMMYFUNCTION("""COMPUTED_VALUE"""),8.0)</f>
        <v>8</v>
      </c>
      <c r="B5" s="5" t="str">
        <f>IFERROR(__xludf.DUMMYFUNCTION("""COMPUTED_VALUE"""),"CA006")</f>
        <v>CA006</v>
      </c>
      <c r="C5" s="5" t="str">
        <f>IFERROR(__xludf.DUMMYFUNCTION("""COMPUTED_VALUE"""),"NÃO POSSUI")</f>
        <v>NÃO POSSUI</v>
      </c>
      <c r="D5" s="5" t="str">
        <f>IFERROR(__xludf.DUMMYFUNCTION("""COMPUTED_VALUE"""),"SEM PLACA")</f>
        <v>SEM PLACA</v>
      </c>
      <c r="E5" s="5" t="str">
        <f>IFERROR(__xludf.DUMMYFUNCTION("""COMPUTED_VALUE"""),"SEM BAIA")</f>
        <v>SEM BAIA</v>
      </c>
      <c r="F5" s="5" t="str">
        <f>IFERROR(__xludf.DUMMYFUNCTION("""COMPUTED_VALUE"""),"NÃO")</f>
        <v>NÃO</v>
      </c>
      <c r="G5" s="5" t="str">
        <f>IFERROR(__xludf.DUMMYFUNCTION("""COMPUTED_VALUE"""),"NÃO")</f>
        <v>NÃO</v>
      </c>
      <c r="H5" s="5" t="str">
        <f>IFERROR(__xludf.DUMMYFUNCTION("""COMPUTED_VALUE"""),"PAVIMENTADA")</f>
        <v>PAVIMENTADA</v>
      </c>
      <c r="I5" s="6" t="str">
        <f>IFERROR(__xludf.DUMMYFUNCTION("""COMPUTED_VALUE"""),"-9.637811")</f>
        <v>-9.637811</v>
      </c>
      <c r="J5" s="6" t="str">
        <f>IFERROR(__xludf.DUMMYFUNCTION("""COMPUTED_VALUE"""),"-35.699225")</f>
        <v>-35.699225</v>
      </c>
      <c r="K5" s="5" t="str">
        <f>IFERROR(__xludf.DUMMYFUNCTION("""COMPUTED_VALUE"""),"RUA PROF. ERNÂNI DE FIGUEIREDO MAGALHÃES, 109")</f>
        <v>RUA PROF. ERNÂNI DE FIGUEIREDO MAGALHÃES, 109</v>
      </c>
      <c r="L5" s="5" t="str">
        <f>IFERROR(__xludf.DUMMYFUNCTION("""COMPUTED_VALUE"""),"LOCAL")</f>
        <v>LOCAL</v>
      </c>
      <c r="M5" s="5" t="str">
        <f>IFERROR(__xludf.DUMMYFUNCTION("""COMPUTED_VALUE"""),"CRUZ DAS ALMAS")</f>
        <v>CRUZ DAS ALMAS</v>
      </c>
      <c r="N5" s="5" t="str">
        <f>IFERROR(__xludf.DUMMYFUNCTION("""COMPUTED_VALUE"""),"CENTRO - BAIRRO")</f>
        <v>CENTRO - BAIRRO</v>
      </c>
      <c r="O5" s="5" t="str">
        <f>IFERROR(__xludf.DUMMYFUNCTION("""COMPUTED_VALUE"""),"EM FRENTE A CASA 04")</f>
        <v>EM FRENTE A CASA 04</v>
      </c>
      <c r="P5" s="5" t="str">
        <f>IFERROR(__xludf.DUMMYFUNCTION("""COMPUTED_VALUE"""),"URGENTE")</f>
        <v>URGENTE</v>
      </c>
      <c r="Q5" s="5" t="str">
        <f>IFERROR(__xludf.DUMMYFUNCTION("""COMPUTED_VALUE"""),"RETIRAR ABRIGO DE CONCRETO")</f>
        <v>RETIRAR ABRIGO DE CONCRETO</v>
      </c>
      <c r="R5" s="5" t="str">
        <f>IFERROR(__xludf.DUMMYFUNCTION("""COMPUTED_VALUE"""),"NENHUMA DAS OPÇÕES")</f>
        <v>NENHUMA DAS OPÇÕES</v>
      </c>
      <c r="S5" s="7">
        <f>IFERROR(__xludf.DUMMYFUNCTION("""COMPUTED_VALUE"""),44567.0)</f>
        <v>44567</v>
      </c>
      <c r="T5" s="5"/>
      <c r="U5" s="7">
        <f>IFERROR(__xludf.DUMMYFUNCTION("""COMPUTED_VALUE"""),44567.0)</f>
        <v>44567</v>
      </c>
      <c r="V5" s="9" t="str">
        <f>IFERROR(__xludf.DUMMYFUNCTION("""COMPUTED_VALUE"""),"https://drive.google.com/uc?id=11USD8-LC-RrgcoXksuzu0P46f_XSkLzN")</f>
        <v>https://drive.google.com/uc?id=11USD8-LC-RrgcoXksuzu0P46f_XSkLzN</v>
      </c>
      <c r="W5" s="5" t="str">
        <f>IFERROR(__xludf.DUMMYFUNCTION("""COMPUTED_VALUE"""),"NÃO")</f>
        <v>NÃO</v>
      </c>
      <c r="X5" s="5" t="str">
        <f>IFERROR(__xludf.DUMMYFUNCTION("""COMPUTED_VALUE"""),"NÃO SE APLICA")</f>
        <v>NÃO SE APLICA</v>
      </c>
    </row>
    <row r="6" hidden="1">
      <c r="A6" s="5">
        <f>IFERROR(__xludf.DUMMYFUNCTION("""COMPUTED_VALUE"""),8.0)</f>
        <v>8</v>
      </c>
      <c r="B6" s="5" t="str">
        <f>IFERROR(__xludf.DUMMYFUNCTION("""COMPUTED_VALUE"""),"CA007")</f>
        <v>CA007</v>
      </c>
      <c r="C6" s="5" t="str">
        <f>IFERROR(__xludf.DUMMYFUNCTION("""COMPUTED_VALUE"""),"NÃO POSSUI")</f>
        <v>NÃO POSSUI</v>
      </c>
      <c r="D6" s="5" t="str">
        <f>IFERROR(__xludf.DUMMYFUNCTION("""COMPUTED_VALUE"""),"SEM PLACA")</f>
        <v>SEM PLACA</v>
      </c>
      <c r="E6" s="5" t="str">
        <f>IFERROR(__xludf.DUMMYFUNCTION("""COMPUTED_VALUE"""),"SEM BAIA")</f>
        <v>SEM BAIA</v>
      </c>
      <c r="F6" s="5" t="str">
        <f>IFERROR(__xludf.DUMMYFUNCTION("""COMPUTED_VALUE"""),"SIM")</f>
        <v>SIM</v>
      </c>
      <c r="G6" s="5" t="str">
        <f>IFERROR(__xludf.DUMMYFUNCTION("""COMPUTED_VALUE"""),"NÃO")</f>
        <v>NÃO</v>
      </c>
      <c r="H6" s="5" t="str">
        <f>IFERROR(__xludf.DUMMYFUNCTION("""COMPUTED_VALUE"""),"PAVIMENTADA")</f>
        <v>PAVIMENTADA</v>
      </c>
      <c r="I6" s="6" t="str">
        <f>IFERROR(__xludf.DUMMYFUNCTION("""COMPUTED_VALUE"""),"-9.639105")</f>
        <v>-9.639105</v>
      </c>
      <c r="J6" s="6" t="str">
        <f>IFERROR(__xludf.DUMMYFUNCTION("""COMPUTED_VALUE"""),"-35.700296")</f>
        <v>-35.700296</v>
      </c>
      <c r="K6" s="5" t="str">
        <f>IFERROR(__xludf.DUMMYFUNCTION("""COMPUTED_VALUE"""),"RUA CAMARAGIBE, S/N")</f>
        <v>RUA CAMARAGIBE, S/N</v>
      </c>
      <c r="L6" s="5" t="str">
        <f>IFERROR(__xludf.DUMMYFUNCTION("""COMPUTED_VALUE"""),"COLETORA")</f>
        <v>COLETORA</v>
      </c>
      <c r="M6" s="5" t="str">
        <f>IFERROR(__xludf.DUMMYFUNCTION("""COMPUTED_VALUE"""),"CRUZ DAS ALMAS")</f>
        <v>CRUZ DAS ALMAS</v>
      </c>
      <c r="N6" s="5" t="str">
        <f>IFERROR(__xludf.DUMMYFUNCTION("""COMPUTED_VALUE"""),"BAIRRO - CENTRO")</f>
        <v>BAIRRO - CENTRO</v>
      </c>
      <c r="O6" s="5" t="str">
        <f>IFERROR(__xludf.DUMMYFUNCTION("""COMPUTED_VALUE"""),"EM FRENTE AO PETISCAR LAVA JATO")</f>
        <v>EM FRENTE AO PETISCAR LAVA JATO</v>
      </c>
      <c r="P6" s="5" t="str">
        <f>IFERROR(__xludf.DUMMYFUNCTION("""COMPUTED_VALUE"""),"PRIORIDADE MÉDIA")</f>
        <v>PRIORIDADE MÉDIA</v>
      </c>
      <c r="Q6" s="5" t="str">
        <f>IFERROR(__xludf.DUMMYFUNCTION("""COMPUTED_VALUE"""),"PINTURA DA BAIA NO ASFALTO, ADEQUAÇÃO DA CALÇADA (PISO TÁTIL)")</f>
        <v>PINTURA DA BAIA NO ASFALTO, ADEQUAÇÃO DA CALÇADA (PISO TÁTIL)</v>
      </c>
      <c r="R6" s="5" t="str">
        <f>IFERROR(__xludf.DUMMYFUNCTION("""COMPUTED_VALUE"""),"NENHUMA DAS OPÇÕES")</f>
        <v>NENHUMA DAS OPÇÕES</v>
      </c>
      <c r="S6" s="7">
        <f>IFERROR(__xludf.DUMMYFUNCTION("""COMPUTED_VALUE"""),44568.0)</f>
        <v>44568</v>
      </c>
      <c r="T6" s="5"/>
      <c r="U6" s="7">
        <f>IFERROR(__xludf.DUMMYFUNCTION("""COMPUTED_VALUE"""),44568.0)</f>
        <v>44568</v>
      </c>
      <c r="V6" s="9" t="str">
        <f>IFERROR(__xludf.DUMMYFUNCTION("""COMPUTED_VALUE"""),"https://drive.google.com/uc?id=1WIrg_W8peQJ7Yev2Fn4O6X6gQb2d6Wp7")</f>
        <v>https://drive.google.com/uc?id=1WIrg_W8peQJ7Yev2Fn4O6X6gQb2d6Wp7</v>
      </c>
      <c r="W6" s="5" t="str">
        <f>IFERROR(__xludf.DUMMYFUNCTION("""COMPUTED_VALUE"""),"NÃO")</f>
        <v>NÃO</v>
      </c>
      <c r="X6" s="5" t="str">
        <f>IFERROR(__xludf.DUMMYFUNCTION("""COMPUTED_VALUE"""),"NÃO SE APLICA")</f>
        <v>NÃO SE APLICA</v>
      </c>
    </row>
    <row r="7" hidden="1">
      <c r="A7" s="5">
        <f>IFERROR(__xludf.DUMMYFUNCTION("""COMPUTED_VALUE"""),8.0)</f>
        <v>8</v>
      </c>
      <c r="B7" s="5" t="str">
        <f>IFERROR(__xludf.DUMMYFUNCTION("""COMPUTED_VALUE"""),"CA008")</f>
        <v>CA008</v>
      </c>
      <c r="C7" s="5" t="str">
        <f>IFERROR(__xludf.DUMMYFUNCTION("""COMPUTED_VALUE"""),"NÃO POSSUI")</f>
        <v>NÃO POSSUI</v>
      </c>
      <c r="D7" s="5" t="str">
        <f>IFERROR(__xludf.DUMMYFUNCTION("""COMPUTED_VALUE"""),"COM SUPORTE")</f>
        <v>COM SUPORTE</v>
      </c>
      <c r="E7" s="5" t="str">
        <f>IFERROR(__xludf.DUMMYFUNCTION("""COMPUTED_VALUE"""),"SEM BAIA")</f>
        <v>SEM BAIA</v>
      </c>
      <c r="F7" s="5" t="str">
        <f>IFERROR(__xludf.DUMMYFUNCTION("""COMPUTED_VALUE"""),"NÃO")</f>
        <v>NÃO</v>
      </c>
      <c r="G7" s="5" t="str">
        <f>IFERROR(__xludf.DUMMYFUNCTION("""COMPUTED_VALUE"""),"NÃO")</f>
        <v>NÃO</v>
      </c>
      <c r="H7" s="5" t="str">
        <f>IFERROR(__xludf.DUMMYFUNCTION("""COMPUTED_VALUE"""),"PAVIMENTADA")</f>
        <v>PAVIMENTADA</v>
      </c>
      <c r="I7" s="6" t="str">
        <f>IFERROR(__xludf.DUMMYFUNCTION("""COMPUTED_VALUE"""),"-9.638797")</f>
        <v>-9.638797</v>
      </c>
      <c r="J7" s="6" t="str">
        <f>IFERROR(__xludf.DUMMYFUNCTION("""COMPUTED_VALUE"""),"-35.703702")</f>
        <v>-35.703702</v>
      </c>
      <c r="K7" s="5" t="str">
        <f>IFERROR(__xludf.DUMMYFUNCTION("""COMPUTED_VALUE"""),"RUA PADRE LUIZ AMÉRICO GALVÃO, 422")</f>
        <v>RUA PADRE LUIZ AMÉRICO GALVÃO, 422</v>
      </c>
      <c r="L7" s="5" t="str">
        <f>IFERROR(__xludf.DUMMYFUNCTION("""COMPUTED_VALUE"""),"COLETORA")</f>
        <v>COLETORA</v>
      </c>
      <c r="M7" s="5" t="str">
        <f>IFERROR(__xludf.DUMMYFUNCTION("""COMPUTED_VALUE"""),"CRUZ DAS ALMAS")</f>
        <v>CRUZ DAS ALMAS</v>
      </c>
      <c r="N7" s="5" t="str">
        <f>IFERROR(__xludf.DUMMYFUNCTION("""COMPUTED_VALUE"""),"BAIRRO - CENTRO")</f>
        <v>BAIRRO - CENTRO</v>
      </c>
      <c r="O7" s="5" t="str">
        <f>IFERROR(__xludf.DUMMYFUNCTION("""COMPUTED_VALUE"""),"EM FRENTE A CASA 422 E A CHEFFE")</f>
        <v>EM FRENTE A CASA 422 E A CHEFFE</v>
      </c>
      <c r="P7" s="5" t="str">
        <f>IFERROR(__xludf.DUMMYFUNCTION("""COMPUTED_VALUE"""),"PRIORIDADE ALTA")</f>
        <v>PRIORIDADE ALTA</v>
      </c>
      <c r="Q7" s="5" t="str">
        <f>IFERROR(__xludf.DUMMYFUNCTION("""COMPUTED_VALUE"""),"PINTURA DA BAIA NO ASFALTO, ADEQUAÇÃO DA CALÇADA (RAMPA DE ACESSIBILIDADE E PISO TÁTIL)")</f>
        <v>PINTURA DA BAIA NO ASFALTO, ADEQUAÇÃO DA CALÇADA (RAMPA DE ACESSIBILIDADE E PISO TÁTIL)</v>
      </c>
      <c r="R7" s="5" t="str">
        <f>IFERROR(__xludf.DUMMYFUNCTION("""COMPUTED_VALUE"""),"NENHUMA DAS OPÇÕES")</f>
        <v>NENHUMA DAS OPÇÕES</v>
      </c>
      <c r="S7" s="7">
        <f>IFERROR(__xludf.DUMMYFUNCTION("""COMPUTED_VALUE"""),44569.0)</f>
        <v>44569</v>
      </c>
      <c r="T7" s="5"/>
      <c r="U7" s="7">
        <f>IFERROR(__xludf.DUMMYFUNCTION("""COMPUTED_VALUE"""),44569.0)</f>
        <v>44569</v>
      </c>
      <c r="V7" s="10" t="str">
        <f>IFERROR(__xludf.DUMMYFUNCTION("""COMPUTED_VALUE"""),"https://drive.google.com/uc?id=1lUr8-K1sgUiob29_yJgzSl-lSysDai5u")</f>
        <v>https://drive.google.com/uc?id=1lUr8-K1sgUiob29_yJgzSl-lSysDai5u</v>
      </c>
      <c r="W7" s="5" t="str">
        <f>IFERROR(__xludf.DUMMYFUNCTION("""COMPUTED_VALUE"""),"NÃO")</f>
        <v>NÃO</v>
      </c>
      <c r="X7" s="5" t="str">
        <f>IFERROR(__xludf.DUMMYFUNCTION("""COMPUTED_VALUE"""),"NÃO SE APLICA")</f>
        <v>NÃO SE APLICA</v>
      </c>
    </row>
    <row r="8">
      <c r="A8" s="5">
        <f>IFERROR(__xludf.DUMMYFUNCTION("""COMPUTED_VALUE"""),8.0)</f>
        <v>8</v>
      </c>
      <c r="B8" s="5" t="str">
        <f>IFERROR(__xludf.DUMMYFUNCTION("""COMPUTED_VALUE"""),"CA009")</f>
        <v>CA009</v>
      </c>
      <c r="C8" s="5" t="str">
        <f>IFERROR(__xludf.DUMMYFUNCTION("""COMPUTED_VALUE"""),"ABRIGO METÁLICO PEQUENO PORTE")</f>
        <v>ABRIGO METÁLICO PEQUENO PORTE</v>
      </c>
      <c r="D8" s="5" t="str">
        <f>IFERROR(__xludf.DUMMYFUNCTION("""COMPUTED_VALUE"""),"SEM PLACA")</f>
        <v>SEM PLACA</v>
      </c>
      <c r="E8" s="5" t="str">
        <f>IFERROR(__xludf.DUMMYFUNCTION("""COMPUTED_VALUE"""),"SEM BAIA")</f>
        <v>SEM BAIA</v>
      </c>
      <c r="F8" s="5" t="str">
        <f>IFERROR(__xludf.DUMMYFUNCTION("""COMPUTED_VALUE"""),"NÃO")</f>
        <v>NÃO</v>
      </c>
      <c r="G8" s="5" t="str">
        <f>IFERROR(__xludf.DUMMYFUNCTION("""COMPUTED_VALUE"""),"NÃO")</f>
        <v>NÃO</v>
      </c>
      <c r="H8" s="5" t="str">
        <f>IFERROR(__xludf.DUMMYFUNCTION("""COMPUTED_VALUE"""),"PAVIMENTADA")</f>
        <v>PAVIMENTADA</v>
      </c>
      <c r="I8" s="6" t="str">
        <f>IFERROR(__xludf.DUMMYFUNCTION("""COMPUTED_VALUE"""),"-9.637688")</f>
        <v>-9.637688</v>
      </c>
      <c r="J8" s="6" t="str">
        <f>IFERROR(__xludf.DUMMYFUNCTION("""COMPUTED_VALUE"""),"-35.704058")</f>
        <v>-35.704058</v>
      </c>
      <c r="K8" s="5" t="str">
        <f>IFERROR(__xludf.DUMMYFUNCTION("""COMPUTED_VALUE"""),"AV. COM. GUSTAVO PAIVA, S/N")</f>
        <v>AV. COM. GUSTAVO PAIVA, S/N</v>
      </c>
      <c r="L8" s="5" t="str">
        <f>IFERROR(__xludf.DUMMYFUNCTION("""COMPUTED_VALUE"""),"ARTERIAL ")</f>
        <v>ARTERIAL </v>
      </c>
      <c r="M8" s="5" t="str">
        <f>IFERROR(__xludf.DUMMYFUNCTION("""COMPUTED_VALUE"""),"CRUZ DAS ALMAS")</f>
        <v>CRUZ DAS ALMAS</v>
      </c>
      <c r="N8" s="5" t="str">
        <f>IFERROR(__xludf.DUMMYFUNCTION("""COMPUTED_VALUE"""),"CENTRO - BAIRRO")</f>
        <v>CENTRO - BAIRRO</v>
      </c>
      <c r="O8" s="5" t="str">
        <f>IFERROR(__xludf.DUMMYFUNCTION("""COMPUTED_VALUE"""),"EM FRENTE A CASA VIEIRA")</f>
        <v>EM FRENTE A CASA VIEIRA</v>
      </c>
      <c r="P8" s="5" t="str">
        <f>IFERROR(__xludf.DUMMYFUNCTION("""COMPUTED_VALUE"""),"PRIORIDADE ALTA")</f>
        <v>PRIORIDADE ALTA</v>
      </c>
      <c r="Q8" s="5" t="str">
        <f>IFERROR(__xludf.DUMMYFUNCTION("""COMPUTED_VALUE"""),"SUBSTITUIR TODA A ESTRUTURA DA COBERTA DO ABRIGO METÁLICO, IMPLANTAR ASSENTOS; PINTURA DA BAIA NO ASFALTO ALINHADA AO ABRIGO, REFORMA NA PAVIMENTAÇÃO DA CALÇADA, ADEQUAÇÃO DA CALÇADA (RAMPA DE ACESSIBILIDADE E PISO TÁTIL)")</f>
        <v>SUBSTITUIR TODA A ESTRUTURA DA COBERTA DO ABRIGO METÁLICO, IMPLANTAR ASSENTOS; PINTURA DA BAIA NO ASFALTO ALINHADA AO ABRIGO, REFORMA NA PAVIMENTAÇÃO DA CALÇADA, ADEQUAÇÃO DA CALÇADA (RAMPA DE ACESSIBILIDADE E PISO TÁTIL)</v>
      </c>
      <c r="R8" s="5" t="str">
        <f>IFERROR(__xludf.DUMMYFUNCTION("""COMPUTED_VALUE"""),"NENHUMA DAS OPÇÕES")</f>
        <v>NENHUMA DAS OPÇÕES</v>
      </c>
      <c r="S8" s="7">
        <f>IFERROR(__xludf.DUMMYFUNCTION("""COMPUTED_VALUE"""),44570.0)</f>
        <v>44570</v>
      </c>
      <c r="T8" s="5"/>
      <c r="U8" s="7">
        <f>IFERROR(__xludf.DUMMYFUNCTION("""COMPUTED_VALUE"""),44570.0)</f>
        <v>44570</v>
      </c>
      <c r="V8" s="9" t="str">
        <f>IFERROR(__xludf.DUMMYFUNCTION("""COMPUTED_VALUE"""),"https://drive.google.com/uc?id=1cwgdFT2Iay8-9M8gCG_vgCf-h3asZAQD")</f>
        <v>https://drive.google.com/uc?id=1cwgdFT2Iay8-9M8gCG_vgCf-h3asZAQD</v>
      </c>
      <c r="W8" s="5" t="str">
        <f>IFERROR(__xludf.DUMMYFUNCTION("""COMPUTED_VALUE"""),"JUNTOS")</f>
        <v>JUNTOS</v>
      </c>
      <c r="X8" s="5" t="str">
        <f>IFERROR(__xludf.DUMMYFUNCTION("""COMPUTED_VALUE"""),"NÃO")</f>
        <v>NÃO</v>
      </c>
    </row>
    <row r="9">
      <c r="A9" s="5">
        <f>IFERROR(__xludf.DUMMYFUNCTION("""COMPUTED_VALUE"""),8.0)</f>
        <v>8</v>
      </c>
      <c r="B9" s="5" t="str">
        <f>IFERROR(__xludf.DUMMYFUNCTION("""COMPUTED_VALUE"""),"CA010")</f>
        <v>CA010</v>
      </c>
      <c r="C9" s="5" t="str">
        <f>IFERROR(__xludf.DUMMYFUNCTION("""COMPUTED_VALUE"""),"ABRIGO METÁLICO PEQUENO PORTE")</f>
        <v>ABRIGO METÁLICO PEQUENO PORTE</v>
      </c>
      <c r="D9" s="5" t="str">
        <f>IFERROR(__xludf.DUMMYFUNCTION("""COMPUTED_VALUE"""),"SEM PLACA")</f>
        <v>SEM PLACA</v>
      </c>
      <c r="E9" s="5" t="str">
        <f>IFERROR(__xludf.DUMMYFUNCTION("""COMPUTED_VALUE"""),"SEM BAIA")</f>
        <v>SEM BAIA</v>
      </c>
      <c r="F9" s="5" t="str">
        <f>IFERROR(__xludf.DUMMYFUNCTION("""COMPUTED_VALUE"""),"SIM")</f>
        <v>SIM</v>
      </c>
      <c r="G9" s="5" t="str">
        <f>IFERROR(__xludf.DUMMYFUNCTION("""COMPUTED_VALUE"""),"NÃO")</f>
        <v>NÃO</v>
      </c>
      <c r="H9" s="5" t="str">
        <f>IFERROR(__xludf.DUMMYFUNCTION("""COMPUTED_VALUE"""),"PAVIMENTADA")</f>
        <v>PAVIMENTADA</v>
      </c>
      <c r="I9" s="6" t="str">
        <f>IFERROR(__xludf.DUMMYFUNCTION("""COMPUTED_VALUE"""),"-9.637169")</f>
        <v>-9.637169</v>
      </c>
      <c r="J9" s="6" t="str">
        <f>IFERROR(__xludf.DUMMYFUNCTION("""COMPUTED_VALUE"""),"-35.703876")</f>
        <v>-35.703876</v>
      </c>
      <c r="K9" s="5" t="str">
        <f>IFERROR(__xludf.DUMMYFUNCTION("""COMPUTED_VALUE"""),"AV. COM. GUSTAVO PAIVA, S/N")</f>
        <v>AV. COM. GUSTAVO PAIVA, S/N</v>
      </c>
      <c r="L9" s="5" t="str">
        <f>IFERROR(__xludf.DUMMYFUNCTION("""COMPUTED_VALUE"""),"ARTERIAL ")</f>
        <v>ARTERIAL </v>
      </c>
      <c r="M9" s="5" t="str">
        <f>IFERROR(__xludf.DUMMYFUNCTION("""COMPUTED_VALUE"""),"CRUZ DAS ALMAS")</f>
        <v>CRUZ DAS ALMAS</v>
      </c>
      <c r="N9" s="5" t="str">
        <f>IFERROR(__xludf.DUMMYFUNCTION("""COMPUTED_VALUE"""),"BAIRRO - CENTRO")</f>
        <v>BAIRRO - CENTRO</v>
      </c>
      <c r="O9" s="5" t="str">
        <f>IFERROR(__xludf.DUMMYFUNCTION("""COMPUTED_VALUE"""),"ENTRE A CASA VIEIRA E O CONDOMÍNIO DOM ADELMO MACHADO")</f>
        <v>ENTRE A CASA VIEIRA E O CONDOMÍNIO DOM ADELMO MACHADO</v>
      </c>
      <c r="P9" s="5" t="str">
        <f>IFERROR(__xludf.DUMMYFUNCTION("""COMPUTED_VALUE"""),"PRIORIDADE ALTA")</f>
        <v>PRIORIDADE ALTA</v>
      </c>
      <c r="Q9" s="5" t="str">
        <f>IFERROR(__xludf.DUMMYFUNCTION("""COMPUTED_VALUE"""),"SUBSTITUIÇÃO DA ESTRUTURA METÁLICA DA COBERTA, PINTURA DO ABRIGO, PINTURA DA BAIA NO ASFALTO, ADEQUAÇÃO DA CALÇADA (PISO TÁTIL)")</f>
        <v>SUBSTITUIÇÃO DA ESTRUTURA METÁLICA DA COBERTA, PINTURA DO ABRIGO, PINTURA DA BAIA NO ASFALTO, ADEQUAÇÃO DA CALÇADA (PISO TÁTIL)</v>
      </c>
      <c r="R9" s="5" t="str">
        <f>IFERROR(__xludf.DUMMYFUNCTION("""COMPUTED_VALUE"""),"NENHUMA DAS OPÇÕES")</f>
        <v>NENHUMA DAS OPÇÕES</v>
      </c>
      <c r="S9" s="7">
        <f>IFERROR(__xludf.DUMMYFUNCTION("""COMPUTED_VALUE"""),44571.0)</f>
        <v>44571</v>
      </c>
      <c r="T9" s="5"/>
      <c r="U9" s="7">
        <f>IFERROR(__xludf.DUMMYFUNCTION("""COMPUTED_VALUE"""),44571.0)</f>
        <v>44571</v>
      </c>
      <c r="V9" s="9" t="str">
        <f>IFERROR(__xludf.DUMMYFUNCTION("""COMPUTED_VALUE"""),"https://drive.google.com/uc?id=15M1bi7Y6p0bhhhy1Rl2E-a_WrjaCjJxB")</f>
        <v>https://drive.google.com/uc?id=15M1bi7Y6p0bhhhy1Rl2E-a_WrjaCjJxB</v>
      </c>
      <c r="W9" s="5" t="str">
        <f>IFERROR(__xludf.DUMMYFUNCTION("""COMPUTED_VALUE"""),"NÃO")</f>
        <v>NÃO</v>
      </c>
      <c r="X9" s="5" t="str">
        <f>IFERROR(__xludf.DUMMYFUNCTION("""COMPUTED_VALUE"""),"NÃO")</f>
        <v>NÃO</v>
      </c>
    </row>
    <row r="10">
      <c r="A10" s="5">
        <f>IFERROR(__xludf.DUMMYFUNCTION("""COMPUTED_VALUE"""),8.0)</f>
        <v>8</v>
      </c>
      <c r="B10" s="5" t="str">
        <f>IFERROR(__xludf.DUMMYFUNCTION("""COMPUTED_VALUE"""),"CA011")</f>
        <v>CA011</v>
      </c>
      <c r="C10" s="5" t="str">
        <f>IFERROR(__xludf.DUMMYFUNCTION("""COMPUTED_VALUE"""),"ABRIGO METÁLICO PEQUENO PORTE")</f>
        <v>ABRIGO METÁLICO PEQUENO PORTE</v>
      </c>
      <c r="D10" s="5" t="str">
        <f>IFERROR(__xludf.DUMMYFUNCTION("""COMPUTED_VALUE"""),"SEM PLACA")</f>
        <v>SEM PLACA</v>
      </c>
      <c r="E10" s="5" t="str">
        <f>IFERROR(__xludf.DUMMYFUNCTION("""COMPUTED_VALUE"""),"SEM BAIA")</f>
        <v>SEM BAIA</v>
      </c>
      <c r="F10" s="5" t="str">
        <f>IFERROR(__xludf.DUMMYFUNCTION("""COMPUTED_VALUE"""),"NÃO")</f>
        <v>NÃO</v>
      </c>
      <c r="G10" s="5" t="str">
        <f>IFERROR(__xludf.DUMMYFUNCTION("""COMPUTED_VALUE"""),"NÃO")</f>
        <v>NÃO</v>
      </c>
      <c r="H10" s="5" t="str">
        <f>IFERROR(__xludf.DUMMYFUNCTION("""COMPUTED_VALUE"""),"PAVIMENTADA")</f>
        <v>PAVIMENTADA</v>
      </c>
      <c r="I10" s="6" t="str">
        <f>IFERROR(__xludf.DUMMYFUNCTION("""COMPUTED_VALUE"""),"-9.634999")</f>
        <v>-9.634999</v>
      </c>
      <c r="J10" s="6" t="str">
        <f>IFERROR(__xludf.DUMMYFUNCTION("""COMPUTED_VALUE"""),"-35.702202")</f>
        <v>-35.702202</v>
      </c>
      <c r="K10" s="5" t="str">
        <f>IFERROR(__xludf.DUMMYFUNCTION("""COMPUTED_VALUE"""),"AV. COM. GUSTAVO PAIVA, 151")</f>
        <v>AV. COM. GUSTAVO PAIVA, 151</v>
      </c>
      <c r="L10" s="5" t="str">
        <f>IFERROR(__xludf.DUMMYFUNCTION("""COMPUTED_VALUE"""),"ARTERIAL ")</f>
        <v>ARTERIAL </v>
      </c>
      <c r="M10" s="5" t="str">
        <f>IFERROR(__xludf.DUMMYFUNCTION("""COMPUTED_VALUE"""),"CRUZ DAS ALMAS")</f>
        <v>CRUZ DAS ALMAS</v>
      </c>
      <c r="N10" s="5" t="str">
        <f>IFERROR(__xludf.DUMMYFUNCTION("""COMPUTED_VALUE"""),"CENTRO - BAIRRO")</f>
        <v>CENTRO - BAIRRO</v>
      </c>
      <c r="O10" s="5" t="str">
        <f>IFERROR(__xludf.DUMMYFUNCTION("""COMPUTED_VALUE"""),"PRÓXIMO A UNIT")</f>
        <v>PRÓXIMO A UNIT</v>
      </c>
      <c r="P10" s="5" t="str">
        <f>IFERROR(__xludf.DUMMYFUNCTION("""COMPUTED_VALUE"""),"PRIORIDADE ALTA")</f>
        <v>PRIORIDADE ALTA</v>
      </c>
      <c r="Q10" s="5" t="str">
        <f>IFERROR(__xludf.DUMMYFUNCTION("""COMPUTED_VALUE"""),"PINTURA DA BAIA NO ASFALTO, ADEQUAÇÃO DA CALÇADA (RAMPA DE ACESSIBILIDADE E PISO TÁTIL)")</f>
        <v>PINTURA DA BAIA NO ASFALTO, ADEQUAÇÃO DA CALÇADA (RAMPA DE ACESSIBILIDADE E PISO TÁTIL)</v>
      </c>
      <c r="R10" s="5" t="str">
        <f>IFERROR(__xludf.DUMMYFUNCTION("""COMPUTED_VALUE"""),"NENHUMA DAS OPÇÕES")</f>
        <v>NENHUMA DAS OPÇÕES</v>
      </c>
      <c r="S10" s="7">
        <f>IFERROR(__xludf.DUMMYFUNCTION("""COMPUTED_VALUE"""),44572.0)</f>
        <v>44572</v>
      </c>
      <c r="T10" s="5"/>
      <c r="U10" s="7">
        <f>IFERROR(__xludf.DUMMYFUNCTION("""COMPUTED_VALUE"""),44572.0)</f>
        <v>44572</v>
      </c>
      <c r="V10" s="9" t="str">
        <f>IFERROR(__xludf.DUMMYFUNCTION("""COMPUTED_VALUE"""),"https://drive.google.com/uc?id=1xM7XRp6AcsUkxe8w-dv7Tp4Tm6-FvPS1")</f>
        <v>https://drive.google.com/uc?id=1xM7XRp6AcsUkxe8w-dv7Tp4Tm6-FvPS1</v>
      </c>
      <c r="W10" s="5" t="str">
        <f>IFERROR(__xludf.DUMMYFUNCTION("""COMPUTED_VALUE"""),"SIM")</f>
        <v>SIM</v>
      </c>
      <c r="X10" s="5" t="str">
        <f>IFERROR(__xludf.DUMMYFUNCTION("""COMPUTED_VALUE"""),"SIM")</f>
        <v>SIM</v>
      </c>
    </row>
    <row r="11">
      <c r="A11" s="5">
        <f>IFERROR(__xludf.DUMMYFUNCTION("""COMPUTED_VALUE"""),8.0)</f>
        <v>8</v>
      </c>
      <c r="B11" s="5" t="str">
        <f>IFERROR(__xludf.DUMMYFUNCTION("""COMPUTED_VALUE"""),"CA012")</f>
        <v>CA012</v>
      </c>
      <c r="C11" s="5" t="str">
        <f>IFERROR(__xludf.DUMMYFUNCTION("""COMPUTED_VALUE"""),"ABRIGO PERSONALIZADO")</f>
        <v>ABRIGO PERSONALIZADO</v>
      </c>
      <c r="D11" s="5" t="str">
        <f>IFERROR(__xludf.DUMMYFUNCTION("""COMPUTED_VALUE"""),"COM SUPORTE")</f>
        <v>COM SUPORTE</v>
      </c>
      <c r="E11" s="5" t="str">
        <f>IFERROR(__xludf.DUMMYFUNCTION("""COMPUTED_VALUE"""),"BAIA CONSTRUÍDA")</f>
        <v>BAIA CONSTRUÍDA</v>
      </c>
      <c r="F11" s="5" t="str">
        <f>IFERROR(__xludf.DUMMYFUNCTION("""COMPUTED_VALUE"""),"SIM")</f>
        <v>SIM</v>
      </c>
      <c r="G11" s="5" t="str">
        <f>IFERROR(__xludf.DUMMYFUNCTION("""COMPUTED_VALUE"""),"SIM")</f>
        <v>SIM</v>
      </c>
      <c r="H11" s="5" t="str">
        <f>IFERROR(__xludf.DUMMYFUNCTION("""COMPUTED_VALUE"""),"PAVIMENTADA")</f>
        <v>PAVIMENTADA</v>
      </c>
      <c r="I11" s="6" t="str">
        <f>IFERROR(__xludf.DUMMYFUNCTION("""COMPUTED_VALUE"""),"-9.634577")</f>
        <v>-9.634577</v>
      </c>
      <c r="J11" s="6" t="str">
        <f>IFERROR(__xludf.DUMMYFUNCTION("""COMPUTED_VALUE"""),"-35.702218")</f>
        <v>-35.702218</v>
      </c>
      <c r="K11" s="5" t="str">
        <f>IFERROR(__xludf.DUMMYFUNCTION("""COMPUTED_VALUE"""),"AV. COM. GUSTAVO PAIVA, 151")</f>
        <v>AV. COM. GUSTAVO PAIVA, 151</v>
      </c>
      <c r="L11" s="5" t="str">
        <f>IFERROR(__xludf.DUMMYFUNCTION("""COMPUTED_VALUE"""),"ARTERIAL ")</f>
        <v>ARTERIAL </v>
      </c>
      <c r="M11" s="5" t="str">
        <f>IFERROR(__xludf.DUMMYFUNCTION("""COMPUTED_VALUE"""),"CRUZ DAS ALMAS")</f>
        <v>CRUZ DAS ALMAS</v>
      </c>
      <c r="N11" s="5" t="str">
        <f>IFERROR(__xludf.DUMMYFUNCTION("""COMPUTED_VALUE"""),"BAIRRO - CENTRO")</f>
        <v>BAIRRO - CENTRO</v>
      </c>
      <c r="O11" s="5" t="str">
        <f>IFERROR(__xludf.DUMMYFUNCTION("""COMPUTED_VALUE"""),"EM FRENTE A UNIT")</f>
        <v>EM FRENTE A UNIT</v>
      </c>
      <c r="P11" s="5" t="str">
        <f>IFERROR(__xludf.DUMMYFUNCTION("""COMPUTED_VALUE"""),"PRIORIDADE ALTA")</f>
        <v>PRIORIDADE ALTA</v>
      </c>
      <c r="Q11" s="5" t="str">
        <f>IFERROR(__xludf.DUMMYFUNCTION("""COMPUTED_VALUE"""),"SUBSTITUIÇÃO DA PLACA E DO SUPORTE, PINTURA DA SINALIZAÇÃO DA BAIA NO ASFALTO")</f>
        <v>SUBSTITUIÇÃO DA PLACA E DO SUPORTE, PINTURA DA SINALIZAÇÃO DA BAIA NO ASFALTO</v>
      </c>
      <c r="R11" s="5" t="str">
        <f>IFERROR(__xludf.DUMMYFUNCTION("""COMPUTED_VALUE"""),"NENHUMA DAS OPÇÕES")</f>
        <v>NENHUMA DAS OPÇÕES</v>
      </c>
      <c r="S11" s="7">
        <f>IFERROR(__xludf.DUMMYFUNCTION("""COMPUTED_VALUE"""),44573.0)</f>
        <v>44573</v>
      </c>
      <c r="T11" s="5"/>
      <c r="U11" s="7">
        <f>IFERROR(__xludf.DUMMYFUNCTION("""COMPUTED_VALUE"""),44573.0)</f>
        <v>44573</v>
      </c>
      <c r="V11" s="9" t="str">
        <f>IFERROR(__xludf.DUMMYFUNCTION("""COMPUTED_VALUE"""),"https://drive.google.com/uc?id=122tDpLVR8pvkitImNvHnbikyQApe8ncj")</f>
        <v>https://drive.google.com/uc?id=122tDpLVR8pvkitImNvHnbikyQApe8ncj</v>
      </c>
      <c r="W11" s="5" t="str">
        <f>IFERROR(__xludf.DUMMYFUNCTION("""COMPUTED_VALUE"""),"NÃO")</f>
        <v>NÃO</v>
      </c>
      <c r="X11" s="5" t="str">
        <f>IFERROR(__xludf.DUMMYFUNCTION("""COMPUTED_VALUE"""),"NÃO SE APLICA")</f>
        <v>NÃO SE APLICA</v>
      </c>
    </row>
    <row r="12">
      <c r="A12" s="5">
        <f>IFERROR(__xludf.DUMMYFUNCTION("""COMPUTED_VALUE"""),8.0)</f>
        <v>8</v>
      </c>
      <c r="B12" s="5" t="str">
        <f>IFERROR(__xludf.DUMMYFUNCTION("""COMPUTED_VALUE"""),"CA013")</f>
        <v>CA013</v>
      </c>
      <c r="C12" s="5" t="str">
        <f>IFERROR(__xludf.DUMMYFUNCTION("""COMPUTED_VALUE"""),"ABRIGO METÁLICO PEQUENO PORTE")</f>
        <v>ABRIGO METÁLICO PEQUENO PORTE</v>
      </c>
      <c r="D12" s="5" t="str">
        <f>IFERROR(__xludf.DUMMYFUNCTION("""COMPUTED_VALUE"""),"SEM PLACA")</f>
        <v>SEM PLACA</v>
      </c>
      <c r="E12" s="5" t="str">
        <f>IFERROR(__xludf.DUMMYFUNCTION("""COMPUTED_VALUE"""),"SEM BAIA")</f>
        <v>SEM BAIA</v>
      </c>
      <c r="F12" s="5" t="str">
        <f>IFERROR(__xludf.DUMMYFUNCTION("""COMPUTED_VALUE"""),"SIM")</f>
        <v>SIM</v>
      </c>
      <c r="G12" s="5" t="str">
        <f>IFERROR(__xludf.DUMMYFUNCTION("""COMPUTED_VALUE"""),"SIM")</f>
        <v>SIM</v>
      </c>
      <c r="H12" s="5" t="str">
        <f>IFERROR(__xludf.DUMMYFUNCTION("""COMPUTED_VALUE"""),"PAVIMENTADA")</f>
        <v>PAVIMENTADA</v>
      </c>
      <c r="I12" s="6" t="str">
        <f>IFERROR(__xludf.DUMMYFUNCTION("""COMPUTED_VALUE"""),"-9.634384")</f>
        <v>-9.634384</v>
      </c>
      <c r="J12" s="6" t="str">
        <f>IFERROR(__xludf.DUMMYFUNCTION("""COMPUTED_VALUE"""),"-35.701811")</f>
        <v>-35.701811</v>
      </c>
      <c r="K12" s="5" t="str">
        <f>IFERROR(__xludf.DUMMYFUNCTION("""COMPUTED_VALUE"""),"AV. COM. GUSTAVO PAIVA, 151")</f>
        <v>AV. COM. GUSTAVO PAIVA, 151</v>
      </c>
      <c r="L12" s="5" t="str">
        <f>IFERROR(__xludf.DUMMYFUNCTION("""COMPUTED_VALUE"""),"ARTERIAL ")</f>
        <v>ARTERIAL </v>
      </c>
      <c r="M12" s="5" t="str">
        <f>IFERROR(__xludf.DUMMYFUNCTION("""COMPUTED_VALUE"""),"CRUZ DAS ALMAS")</f>
        <v>CRUZ DAS ALMAS</v>
      </c>
      <c r="N12" s="5" t="str">
        <f>IFERROR(__xludf.DUMMYFUNCTION("""COMPUTED_VALUE"""),"CENTRO - BAIRRO")</f>
        <v>CENTRO - BAIRRO</v>
      </c>
      <c r="O12" s="5" t="str">
        <f>IFERROR(__xludf.DUMMYFUNCTION("""COMPUTED_VALUE"""),"EM FRENTE A UNIT E A LOJA HAUS MOTORS")</f>
        <v>EM FRENTE A UNIT E A LOJA HAUS MOTORS</v>
      </c>
      <c r="P12" s="5" t="str">
        <f>IFERROR(__xludf.DUMMYFUNCTION("""COMPUTED_VALUE"""),"PRIORIDADE ALTA")</f>
        <v>PRIORIDADE ALTA</v>
      </c>
      <c r="Q12" s="5" t="str">
        <f>IFERROR(__xludf.DUMMYFUNCTION("""COMPUTED_VALUE"""),"VERIFICAR A ESTABILIDADE DO ABRIGO, ESTRUTURA DA COBERTA OXIDADA, VERIFICAR A POSSIBILIDADE DE REPAROS OU SUBSTITUIÇÃO, PINTURA DO ABRIGO; PINTURA DA BAIA NO ASFALTO; ")</f>
        <v>VERIFICAR A ESTABILIDADE DO ABRIGO, ESTRUTURA DA COBERTA OXIDADA, VERIFICAR A POSSIBILIDADE DE REPAROS OU SUBSTITUIÇÃO, PINTURA DO ABRIGO; PINTURA DA BAIA NO ASFALTO; </v>
      </c>
      <c r="R12" s="5" t="str">
        <f>IFERROR(__xludf.DUMMYFUNCTION("""COMPUTED_VALUE"""),"SUBSTITUIR ABRIGO")</f>
        <v>SUBSTITUIR ABRIGO</v>
      </c>
      <c r="S12" s="7">
        <f>IFERROR(__xludf.DUMMYFUNCTION("""COMPUTED_VALUE"""),44574.0)</f>
        <v>44574</v>
      </c>
      <c r="T12" s="5"/>
      <c r="U12" s="7">
        <f>IFERROR(__xludf.DUMMYFUNCTION("""COMPUTED_VALUE"""),44574.0)</f>
        <v>44574</v>
      </c>
      <c r="V12" s="9" t="str">
        <f>IFERROR(__xludf.DUMMYFUNCTION("""COMPUTED_VALUE"""),"https://drive.google.com/uc?id=1k66LIzPQLKFb2yOjPfv4_9ykXlYLgqQw")</f>
        <v>https://drive.google.com/uc?id=1k66LIzPQLKFb2yOjPfv4_9ykXlYLgqQw</v>
      </c>
      <c r="W12" s="5" t="str">
        <f>IFERROR(__xludf.DUMMYFUNCTION("""COMPUTED_VALUE"""),"NÃO")</f>
        <v>NÃO</v>
      </c>
      <c r="X12" s="5" t="str">
        <f>IFERROR(__xludf.DUMMYFUNCTION("""COMPUTED_VALUE"""),"SIM")</f>
        <v>SIM</v>
      </c>
    </row>
    <row r="13">
      <c r="A13" s="5">
        <f>IFERROR(__xludf.DUMMYFUNCTION("""COMPUTED_VALUE"""),8.0)</f>
        <v>8</v>
      </c>
      <c r="B13" s="5" t="str">
        <f>IFERROR(__xludf.DUMMYFUNCTION("""COMPUTED_VALUE"""),"CA014")</f>
        <v>CA014</v>
      </c>
      <c r="C13" s="5" t="str">
        <f>IFERROR(__xludf.DUMMYFUNCTION("""COMPUTED_VALUE"""),"ABRIGO METÁLICO PEQUENO PORTE")</f>
        <v>ABRIGO METÁLICO PEQUENO PORTE</v>
      </c>
      <c r="D13" s="5" t="str">
        <f>IFERROR(__xludf.DUMMYFUNCTION("""COMPUTED_VALUE"""),"SEM PLACA")</f>
        <v>SEM PLACA</v>
      </c>
      <c r="E13" s="5" t="str">
        <f>IFERROR(__xludf.DUMMYFUNCTION("""COMPUTED_VALUE"""),"BAIA CONSTRUÍDA")</f>
        <v>BAIA CONSTRUÍDA</v>
      </c>
      <c r="F13" s="5" t="str">
        <f>IFERROR(__xludf.DUMMYFUNCTION("""COMPUTED_VALUE"""),"SIM")</f>
        <v>SIM</v>
      </c>
      <c r="G13" s="5" t="str">
        <f>IFERROR(__xludf.DUMMYFUNCTION("""COMPUTED_VALUE"""),"NÃO")</f>
        <v>NÃO</v>
      </c>
      <c r="H13" s="5" t="str">
        <f>IFERROR(__xludf.DUMMYFUNCTION("""COMPUTED_VALUE"""),"PAVIMENTADA")</f>
        <v>PAVIMENTADA</v>
      </c>
      <c r="I13" s="6" t="str">
        <f>IFERROR(__xludf.DUMMYFUNCTION("""COMPUTED_VALUE"""),"-9.632578")</f>
        <v>-9.632578</v>
      </c>
      <c r="J13" s="6" t="str">
        <f>IFERROR(__xludf.DUMMYFUNCTION("""COMPUTED_VALUE"""),"-35.700833")</f>
        <v>-35.700833</v>
      </c>
      <c r="K13" s="5" t="str">
        <f>IFERROR(__xludf.DUMMYFUNCTION("""COMPUTED_VALUE"""),"AV. COM. GUSTAVO PAIVA, 31")</f>
        <v>AV. COM. GUSTAVO PAIVA, 31</v>
      </c>
      <c r="L13" s="5" t="str">
        <f>IFERROR(__xludf.DUMMYFUNCTION("""COMPUTED_VALUE"""),"ARTERIAL ")</f>
        <v>ARTERIAL </v>
      </c>
      <c r="M13" s="5" t="str">
        <f>IFERROR(__xludf.DUMMYFUNCTION("""COMPUTED_VALUE"""),"CRUZ DAS ALMAS")</f>
        <v>CRUZ DAS ALMAS</v>
      </c>
      <c r="N13" s="5" t="str">
        <f>IFERROR(__xludf.DUMMYFUNCTION("""COMPUTED_VALUE"""),"BAIRRO - CENTRO")</f>
        <v>BAIRRO - CENTRO</v>
      </c>
      <c r="O13" s="5" t="str">
        <f>IFERROR(__xludf.DUMMYFUNCTION("""COMPUTED_VALUE"""),"EM FRENTE AO POSTO DE SAÚDE DO 1º DISTRITO DE SAÚDE")</f>
        <v>EM FRENTE AO POSTO DE SAÚDE DO 1º DISTRITO DE SAÚDE</v>
      </c>
      <c r="P13" s="5" t="str">
        <f>IFERROR(__xludf.DUMMYFUNCTION("""COMPUTED_VALUE"""),"PRIORIDADE MÉDIA")</f>
        <v>PRIORIDADE MÉDIA</v>
      </c>
      <c r="Q13" s="5" t="str">
        <f>IFERROR(__xludf.DUMMYFUNCTION("""COMPUTED_VALUE"""),"PINTURA DO ABRIGO; IMPLANTAR PLACA COM SUPORTE; PINTURA DA BAIA NO ASFALTO; ADEQUAÇÃO DA CALÇADA (PISO TÁTIL)")</f>
        <v>PINTURA DO ABRIGO; IMPLANTAR PLACA COM SUPORTE; PINTURA DA BAIA NO ASFALTO; ADEQUAÇÃO DA CALÇADA (PISO TÁTIL)</v>
      </c>
      <c r="R13" s="5" t="str">
        <f>IFERROR(__xludf.DUMMYFUNCTION("""COMPUTED_VALUE"""),"NENHUMA DAS OPÇÕES")</f>
        <v>NENHUMA DAS OPÇÕES</v>
      </c>
      <c r="S13" s="7">
        <f>IFERROR(__xludf.DUMMYFUNCTION("""COMPUTED_VALUE"""),44575.0)</f>
        <v>44575</v>
      </c>
      <c r="T13" s="5"/>
      <c r="U13" s="7">
        <f>IFERROR(__xludf.DUMMYFUNCTION("""COMPUTED_VALUE"""),44575.0)</f>
        <v>44575</v>
      </c>
      <c r="V13" s="9" t="str">
        <f>IFERROR(__xludf.DUMMYFUNCTION("""COMPUTED_VALUE"""),"https://drive.google.com/uc?id=1hKKJVKCWmyOV_S4jnlz8CVsxqDLDrutI")</f>
        <v>https://drive.google.com/uc?id=1hKKJVKCWmyOV_S4jnlz8CVsxqDLDrutI</v>
      </c>
      <c r="W13" s="5" t="str">
        <f>IFERROR(__xludf.DUMMYFUNCTION("""COMPUTED_VALUE"""),"NÃO")</f>
        <v>NÃO</v>
      </c>
      <c r="X13" s="5" t="str">
        <f>IFERROR(__xludf.DUMMYFUNCTION("""COMPUTED_VALUE"""),"SIM")</f>
        <v>SIM</v>
      </c>
    </row>
    <row r="14">
      <c r="A14" s="5">
        <f>IFERROR(__xludf.DUMMYFUNCTION("""COMPUTED_VALUE"""),8.0)</f>
        <v>8</v>
      </c>
      <c r="B14" s="5" t="str">
        <f>IFERROR(__xludf.DUMMYFUNCTION("""COMPUTED_VALUE"""),"CA015")</f>
        <v>CA015</v>
      </c>
      <c r="C14" s="5" t="str">
        <f>IFERROR(__xludf.DUMMYFUNCTION("""COMPUTED_VALUE"""),"ABRIGO METÁLICO PEQUENO PORTE")</f>
        <v>ABRIGO METÁLICO PEQUENO PORTE</v>
      </c>
      <c r="D14" s="5" t="str">
        <f>IFERROR(__xludf.DUMMYFUNCTION("""COMPUTED_VALUE"""),"COM SUPORTE")</f>
        <v>COM SUPORTE</v>
      </c>
      <c r="E14" s="5" t="str">
        <f>IFERROR(__xludf.DUMMYFUNCTION("""COMPUTED_VALUE"""),"SEM BAIA")</f>
        <v>SEM BAIA</v>
      </c>
      <c r="F14" s="5" t="str">
        <f>IFERROR(__xludf.DUMMYFUNCTION("""COMPUTED_VALUE"""),"SIM")</f>
        <v>SIM</v>
      </c>
      <c r="G14" s="5" t="str">
        <f>IFERROR(__xludf.DUMMYFUNCTION("""COMPUTED_VALUE"""),"NÃO")</f>
        <v>NÃO</v>
      </c>
      <c r="H14" s="5" t="str">
        <f>IFERROR(__xludf.DUMMYFUNCTION("""COMPUTED_VALUE"""),"PAVIMENTADA")</f>
        <v>PAVIMENTADA</v>
      </c>
      <c r="I14" s="6" t="str">
        <f>IFERROR(__xludf.DUMMYFUNCTION("""COMPUTED_VALUE"""),"-9.632252")</f>
        <v>-9.632252</v>
      </c>
      <c r="J14" s="6" t="str">
        <f>IFERROR(__xludf.DUMMYFUNCTION("""COMPUTED_VALUE"""),"-35.700434")</f>
        <v>-35.700434</v>
      </c>
      <c r="K14" s="5" t="str">
        <f>IFERROR(__xludf.DUMMYFUNCTION("""COMPUTED_VALUE"""),"AV. COM. GUSTAVO PAIVA, 333")</f>
        <v>AV. COM. GUSTAVO PAIVA, 333</v>
      </c>
      <c r="L14" s="5" t="str">
        <f>IFERROR(__xludf.DUMMYFUNCTION("""COMPUTED_VALUE"""),"ARTERIAL ")</f>
        <v>ARTERIAL </v>
      </c>
      <c r="M14" s="5" t="str">
        <f>IFERROR(__xludf.DUMMYFUNCTION("""COMPUTED_VALUE"""),"CRUZ DAS ALMAS")</f>
        <v>CRUZ DAS ALMAS</v>
      </c>
      <c r="N14" s="5" t="str">
        <f>IFERROR(__xludf.DUMMYFUNCTION("""COMPUTED_VALUE"""),"CENTRO - BAIRRO")</f>
        <v>CENTRO - BAIRRO</v>
      </c>
      <c r="O14" s="5" t="str">
        <f>IFERROR(__xludf.DUMMYFUNCTION("""COMPUTED_VALUE"""),"EM FRENTE A FARMÁCIA DO TRABALHADOR")</f>
        <v>EM FRENTE A FARMÁCIA DO TRABALHADOR</v>
      </c>
      <c r="P14" s="5" t="str">
        <f>IFERROR(__xludf.DUMMYFUNCTION("""COMPUTED_VALUE"""),"PRIORIDADE ALTA")</f>
        <v>PRIORIDADE ALTA</v>
      </c>
      <c r="Q14" s="5" t="str">
        <f>IFERROR(__xludf.DUMMYFUNCTION("""COMPUTED_VALUE"""),"ALINHAMENTO E ESTABILIZAÇÃO DA PLACA COM SUPORTE; PINTURA DA BAIA NO ASFALTO; ADEQUAÇÃO DA CALÇADA (PISO TÁTIL)")</f>
        <v>ALINHAMENTO E ESTABILIZAÇÃO DA PLACA COM SUPORTE; PINTURA DA BAIA NO ASFALTO; ADEQUAÇÃO DA CALÇADA (PISO TÁTIL)</v>
      </c>
      <c r="R14" s="5" t="str">
        <f>IFERROR(__xludf.DUMMYFUNCTION("""COMPUTED_VALUE"""),"NENHUMA DAS OPÇÕES")</f>
        <v>NENHUMA DAS OPÇÕES</v>
      </c>
      <c r="S14" s="7">
        <f>IFERROR(__xludf.DUMMYFUNCTION("""COMPUTED_VALUE"""),44576.0)</f>
        <v>44576</v>
      </c>
      <c r="T14" s="5"/>
      <c r="U14" s="7">
        <f>IFERROR(__xludf.DUMMYFUNCTION("""COMPUTED_VALUE"""),44576.0)</f>
        <v>44576</v>
      </c>
      <c r="V14" s="9" t="str">
        <f>IFERROR(__xludf.DUMMYFUNCTION("""COMPUTED_VALUE"""),"https://drive.google.com/uc?id=1zNITJpzBo8KGEt8833QGeHGtnv1_SkUF")</f>
        <v>https://drive.google.com/uc?id=1zNITJpzBo8KGEt8833QGeHGtnv1_SkUF</v>
      </c>
      <c r="W14" s="5" t="str">
        <f>IFERROR(__xludf.DUMMYFUNCTION("""COMPUTED_VALUE"""),"NÃO")</f>
        <v>NÃO</v>
      </c>
      <c r="X14" s="5" t="str">
        <f>IFERROR(__xludf.DUMMYFUNCTION("""COMPUTED_VALUE"""),"SIM")</f>
        <v>SIM</v>
      </c>
    </row>
    <row r="15">
      <c r="A15" s="5">
        <f>IFERROR(__xludf.DUMMYFUNCTION("""COMPUTED_VALUE"""),8.0)</f>
        <v>8</v>
      </c>
      <c r="B15" s="5" t="str">
        <f>IFERROR(__xludf.DUMMYFUNCTION("""COMPUTED_VALUE"""),"CA016")</f>
        <v>CA016</v>
      </c>
      <c r="C15" s="5" t="str">
        <f>IFERROR(__xludf.DUMMYFUNCTION("""COMPUTED_VALUE"""),"ABRIGO METÁLICO GRANDE PORTE")</f>
        <v>ABRIGO METÁLICO GRANDE PORTE</v>
      </c>
      <c r="D15" s="5" t="str">
        <f>IFERROR(__xludf.DUMMYFUNCTION("""COMPUTED_VALUE"""),"SEM PLACA")</f>
        <v>SEM PLACA</v>
      </c>
      <c r="E15" s="5" t="str">
        <f>IFERROR(__xludf.DUMMYFUNCTION("""COMPUTED_VALUE"""),"SEM BAIA")</f>
        <v>SEM BAIA</v>
      </c>
      <c r="F15" s="5" t="str">
        <f>IFERROR(__xludf.DUMMYFUNCTION("""COMPUTED_VALUE"""),"SIM")</f>
        <v>SIM</v>
      </c>
      <c r="G15" s="5" t="str">
        <f>IFERROR(__xludf.DUMMYFUNCTION("""COMPUTED_VALUE"""),"SIM")</f>
        <v>SIM</v>
      </c>
      <c r="H15" s="5" t="str">
        <f>IFERROR(__xludf.DUMMYFUNCTION("""COMPUTED_VALUE"""),"PAVIMENTADA")</f>
        <v>PAVIMENTADA</v>
      </c>
      <c r="I15" s="6" t="str">
        <f>IFERROR(__xludf.DUMMYFUNCTION("""COMPUTED_VALUE"""),"-9.627607")</f>
        <v>-9.627607</v>
      </c>
      <c r="J15" s="6" t="str">
        <f>IFERROR(__xludf.DUMMYFUNCTION("""COMPUTED_VALUE"""),"-35.698125")</f>
        <v>-35.698125</v>
      </c>
      <c r="K15" s="5" t="str">
        <f>IFERROR(__xludf.DUMMYFUNCTION("""COMPUTED_VALUE"""),"AV. COM. GUSTAVO PAIVA, S/N")</f>
        <v>AV. COM. GUSTAVO PAIVA, S/N</v>
      </c>
      <c r="L15" s="5" t="str">
        <f>IFERROR(__xludf.DUMMYFUNCTION("""COMPUTED_VALUE"""),"ARTERIAL ")</f>
        <v>ARTERIAL </v>
      </c>
      <c r="M15" s="5" t="str">
        <f>IFERROR(__xludf.DUMMYFUNCTION("""COMPUTED_VALUE"""),"CRUZ DAS ALMAS")</f>
        <v>CRUZ DAS ALMAS</v>
      </c>
      <c r="N15" s="5" t="str">
        <f>IFERROR(__xludf.DUMMYFUNCTION("""COMPUTED_VALUE"""),"BAIRRO - CENTRO")</f>
        <v>BAIRRO - CENTRO</v>
      </c>
      <c r="O15" s="5" t="str">
        <f>IFERROR(__xludf.DUMMYFUNCTION("""COMPUTED_VALUE"""),"EM FRENTE AO PARQUE SHOPPING")</f>
        <v>EM FRENTE AO PARQUE SHOPPING</v>
      </c>
      <c r="P15" s="5" t="str">
        <f>IFERROR(__xludf.DUMMYFUNCTION("""COMPUTED_VALUE"""),"PRIORIDADE ALTA")</f>
        <v>PRIORIDADE ALTA</v>
      </c>
      <c r="Q15" s="5" t="str">
        <f>IFERROR(__xludf.DUMMYFUNCTION("""COMPUTED_VALUE"""),"SUBSTITUIR CALHA DO ABRIGO, PINTURA E IMPLANTAR ILUMINAÇÃO ARTIFICIAL; PINTURA DA SINALIZAÇÃO DA BAIA NO ASFALTO")</f>
        <v>SUBSTITUIR CALHA DO ABRIGO, PINTURA E IMPLANTAR ILUMINAÇÃO ARTIFICIAL; PINTURA DA SINALIZAÇÃO DA BAIA NO ASFALTO</v>
      </c>
      <c r="R15" s="5" t="str">
        <f>IFERROR(__xludf.DUMMYFUNCTION("""COMPUTED_VALUE"""),"NENHUMA DAS OPÇÕES")</f>
        <v>NENHUMA DAS OPÇÕES</v>
      </c>
      <c r="S15" s="7">
        <f>IFERROR(__xludf.DUMMYFUNCTION("""COMPUTED_VALUE"""),44577.0)</f>
        <v>44577</v>
      </c>
      <c r="T15" s="5"/>
      <c r="U15" s="7">
        <f>IFERROR(__xludf.DUMMYFUNCTION("""COMPUTED_VALUE"""),44577.0)</f>
        <v>44577</v>
      </c>
      <c r="V15" s="9" t="str">
        <f>IFERROR(__xludf.DUMMYFUNCTION("""COMPUTED_VALUE"""),"https://drive.google.com/uc?id=1MwPb81P51QxXGXCuQrn71cGh1iUnb34h")</f>
        <v>https://drive.google.com/uc?id=1MwPb81P51QxXGXCuQrn71cGh1iUnb34h</v>
      </c>
      <c r="W15" s="5" t="str">
        <f>IFERROR(__xludf.DUMMYFUNCTION("""COMPUTED_VALUE"""),"NÃO")</f>
        <v>NÃO</v>
      </c>
      <c r="X15" s="5" t="str">
        <f>IFERROR(__xludf.DUMMYFUNCTION("""COMPUTED_VALUE"""),"SIM")</f>
        <v>SIM</v>
      </c>
    </row>
    <row r="16">
      <c r="A16" s="5">
        <f>IFERROR(__xludf.DUMMYFUNCTION("""COMPUTED_VALUE"""),8.0)</f>
        <v>8</v>
      </c>
      <c r="B16" s="5" t="str">
        <f>IFERROR(__xludf.DUMMYFUNCTION("""COMPUTED_VALUE"""),"CA017")</f>
        <v>CA017</v>
      </c>
      <c r="C16" s="5" t="str">
        <f>IFERROR(__xludf.DUMMYFUNCTION("""COMPUTED_VALUE"""),"ABRIGO METÁLICO GRANDE PORTE")</f>
        <v>ABRIGO METÁLICO GRANDE PORTE</v>
      </c>
      <c r="D16" s="5" t="str">
        <f>IFERROR(__xludf.DUMMYFUNCTION("""COMPUTED_VALUE"""),"SEM PLACA")</f>
        <v>SEM PLACA</v>
      </c>
      <c r="E16" s="5" t="str">
        <f>IFERROR(__xludf.DUMMYFUNCTION("""COMPUTED_VALUE"""),"BAIA CONSTRUÍDA")</f>
        <v>BAIA CONSTRUÍDA</v>
      </c>
      <c r="F16" s="5" t="str">
        <f>IFERROR(__xludf.DUMMYFUNCTION("""COMPUTED_VALUE"""),"SIM")</f>
        <v>SIM</v>
      </c>
      <c r="G16" s="5" t="str">
        <f>IFERROR(__xludf.DUMMYFUNCTION("""COMPUTED_VALUE"""),"NÃO")</f>
        <v>NÃO</v>
      </c>
      <c r="H16" s="5" t="str">
        <f>IFERROR(__xludf.DUMMYFUNCTION("""COMPUTED_VALUE"""),"PAVIMENTADA")</f>
        <v>PAVIMENTADA</v>
      </c>
      <c r="I16" s="6" t="str">
        <f>IFERROR(__xludf.DUMMYFUNCTION("""COMPUTED_VALUE"""),"-9.627988")</f>
        <v>-9.627988</v>
      </c>
      <c r="J16" s="6" t="str">
        <f>IFERROR(__xludf.DUMMYFUNCTION("""COMPUTED_VALUE"""),"-35.697887")</f>
        <v>-35.697887</v>
      </c>
      <c r="K16" s="5" t="str">
        <f>IFERROR(__xludf.DUMMYFUNCTION("""COMPUTED_VALUE"""),"AV. COM. GUSTAVO PAIVA, S/N")</f>
        <v>AV. COM. GUSTAVO PAIVA, S/N</v>
      </c>
      <c r="L16" s="5" t="str">
        <f>IFERROR(__xludf.DUMMYFUNCTION("""COMPUTED_VALUE"""),"ARTERIAL ")</f>
        <v>ARTERIAL </v>
      </c>
      <c r="M16" s="5" t="str">
        <f>IFERROR(__xludf.DUMMYFUNCTION("""COMPUTED_VALUE"""),"CRUZ DAS ALMAS")</f>
        <v>CRUZ DAS ALMAS</v>
      </c>
      <c r="N16" s="5" t="str">
        <f>IFERROR(__xludf.DUMMYFUNCTION("""COMPUTED_VALUE"""),"CENTRO - BAIRRO")</f>
        <v>CENTRO - BAIRRO</v>
      </c>
      <c r="O16" s="5" t="str">
        <f>IFERROR(__xludf.DUMMYFUNCTION("""COMPUTED_VALUE"""),"EM FRENTE A LEROY MERLIN")</f>
        <v>EM FRENTE A LEROY MERLIN</v>
      </c>
      <c r="P16" s="5" t="str">
        <f>IFERROR(__xludf.DUMMYFUNCTION("""COMPUTED_VALUE"""),"PRIORIDADE ALTA")</f>
        <v>PRIORIDADE ALTA</v>
      </c>
      <c r="Q16" s="5" t="str">
        <f>IFERROR(__xludf.DUMMYFUNCTION("""COMPUTED_VALUE"""),"SUBSTITUIR CALHA DO ABRIGO, PINTURA E IMPLANTAR ILUMINAÇÃO ARTIFICIAL; PINTURA DA SINALIZAÇÃO DA BAIA NO ASFALTO")</f>
        <v>SUBSTITUIR CALHA DO ABRIGO, PINTURA E IMPLANTAR ILUMINAÇÃO ARTIFICIAL; PINTURA DA SINALIZAÇÃO DA BAIA NO ASFALTO</v>
      </c>
      <c r="R16" s="5" t="str">
        <f>IFERROR(__xludf.DUMMYFUNCTION("""COMPUTED_VALUE"""),"NENHUMA DAS OPÇÕES")</f>
        <v>NENHUMA DAS OPÇÕES</v>
      </c>
      <c r="S16" s="7">
        <f>IFERROR(__xludf.DUMMYFUNCTION("""COMPUTED_VALUE"""),44578.0)</f>
        <v>44578</v>
      </c>
      <c r="T16" s="5"/>
      <c r="U16" s="7">
        <f>IFERROR(__xludf.DUMMYFUNCTION("""COMPUTED_VALUE"""),44578.0)</f>
        <v>44578</v>
      </c>
      <c r="V16" s="9" t="str">
        <f>IFERROR(__xludf.DUMMYFUNCTION("""COMPUTED_VALUE"""),"https://drive.google.com/uc?id=1neyBjvsc5X_atcGqBj1Ipa-y0huVSXZr")</f>
        <v>https://drive.google.com/uc?id=1neyBjvsc5X_atcGqBj1Ipa-y0huVSXZr</v>
      </c>
      <c r="W16" s="5" t="str">
        <f>IFERROR(__xludf.DUMMYFUNCTION("""COMPUTED_VALUE"""),"NÃO")</f>
        <v>NÃO</v>
      </c>
      <c r="X16" s="5" t="str">
        <f>IFERROR(__xludf.DUMMYFUNCTION("""COMPUTED_VALUE"""),"SIM")</f>
        <v>SIM</v>
      </c>
    </row>
    <row r="17">
      <c r="A17" s="5">
        <f>IFERROR(__xludf.DUMMYFUNCTION("""COMPUTED_VALUE"""),8.0)</f>
        <v>8</v>
      </c>
      <c r="B17" s="5" t="str">
        <f>IFERROR(__xludf.DUMMYFUNCTION("""COMPUTED_VALUE"""),"CA018")</f>
        <v>CA018</v>
      </c>
      <c r="C17" s="5" t="str">
        <f>IFERROR(__xludf.DUMMYFUNCTION("""COMPUTED_VALUE"""),"ABRIGO METÁLICO PEQUENO PORTE")</f>
        <v>ABRIGO METÁLICO PEQUENO PORTE</v>
      </c>
      <c r="D17" s="5" t="str">
        <f>IFERROR(__xludf.DUMMYFUNCTION("""COMPUTED_VALUE"""),"SEM PLACA")</f>
        <v>SEM PLACA</v>
      </c>
      <c r="E17" s="5" t="str">
        <f>IFERROR(__xludf.DUMMYFUNCTION("""COMPUTED_VALUE"""),"BAIA CONSTRUÍDA")</f>
        <v>BAIA CONSTRUÍDA</v>
      </c>
      <c r="F17" s="5" t="str">
        <f>IFERROR(__xludf.DUMMYFUNCTION("""COMPUTED_VALUE"""),"SIM")</f>
        <v>SIM</v>
      </c>
      <c r="G17" s="5" t="str">
        <f>IFERROR(__xludf.DUMMYFUNCTION("""COMPUTED_VALUE"""),"NÃO")</f>
        <v>NÃO</v>
      </c>
      <c r="H17" s="5" t="str">
        <f>IFERROR(__xludf.DUMMYFUNCTION("""COMPUTED_VALUE"""),"PAVIMENTADA")</f>
        <v>PAVIMENTADA</v>
      </c>
      <c r="I17" s="6" t="str">
        <f>IFERROR(__xludf.DUMMYFUNCTION("""COMPUTED_VALUE"""),"-9.625963")</f>
        <v>-9.625963</v>
      </c>
      <c r="J17" s="6" t="str">
        <f>IFERROR(__xludf.DUMMYFUNCTION("""COMPUTED_VALUE"""),"-35.698299")</f>
        <v>-35.698299</v>
      </c>
      <c r="K17" s="5" t="str">
        <f>IFERROR(__xludf.DUMMYFUNCTION("""COMPUTED_VALUE"""),"AV. JOSEPHA DE MELO, S/N")</f>
        <v>AV. JOSEPHA DE MELO, S/N</v>
      </c>
      <c r="L17" s="5" t="str">
        <f>IFERROR(__xludf.DUMMYFUNCTION("""COMPUTED_VALUE"""),"ARTERIAL ")</f>
        <v>ARTERIAL </v>
      </c>
      <c r="M17" s="5" t="str">
        <f>IFERROR(__xludf.DUMMYFUNCTION("""COMPUTED_VALUE"""),"CRUZ DAS ALMAS")</f>
        <v>CRUZ DAS ALMAS</v>
      </c>
      <c r="N17" s="5" t="str">
        <f>IFERROR(__xludf.DUMMYFUNCTION("""COMPUTED_VALUE"""),"BAIRRO - CENTRO")</f>
        <v>BAIRRO - CENTRO</v>
      </c>
      <c r="O17" s="5" t="str">
        <f>IFERROR(__xludf.DUMMYFUNCTION("""COMPUTED_VALUE"""),"EM FRENTE AO PARQUE SHOPPING")</f>
        <v>EM FRENTE AO PARQUE SHOPPING</v>
      </c>
      <c r="P17" s="5" t="str">
        <f>IFERROR(__xludf.DUMMYFUNCTION("""COMPUTED_VALUE"""),"PRIORIDADE MÉDIA")</f>
        <v>PRIORIDADE MÉDIA</v>
      </c>
      <c r="Q17" s="5" t="str">
        <f>IFERROR(__xludf.DUMMYFUNCTION("""COMPUTED_VALUE"""),"PINTURA DO ABRIGO; IMPLANTAR PLACA COM SUPORTE; PINTURA DA SINALIZAÇÃO DA BAIA NO ASFALTO")</f>
        <v>PINTURA DO ABRIGO; IMPLANTAR PLACA COM SUPORTE; PINTURA DA SINALIZAÇÃO DA BAIA NO ASFALTO</v>
      </c>
      <c r="R17" s="5" t="str">
        <f>IFERROR(__xludf.DUMMYFUNCTION("""COMPUTED_VALUE"""),"NENHUMA DAS OPÇÕES")</f>
        <v>NENHUMA DAS OPÇÕES</v>
      </c>
      <c r="S17" s="7">
        <f>IFERROR(__xludf.DUMMYFUNCTION("""COMPUTED_VALUE"""),44579.0)</f>
        <v>44579</v>
      </c>
      <c r="T17" s="5"/>
      <c r="U17" s="7">
        <f>IFERROR(__xludf.DUMMYFUNCTION("""COMPUTED_VALUE"""),44579.0)</f>
        <v>44579</v>
      </c>
      <c r="V17" s="9" t="str">
        <f>IFERROR(__xludf.DUMMYFUNCTION("""COMPUTED_VALUE"""),"https://drive.google.com/uc?id=1_eclUzDxkhCE4j1bmfuKALMRKML4M92k")</f>
        <v>https://drive.google.com/uc?id=1_eclUzDxkhCE4j1bmfuKALMRKML4M92k</v>
      </c>
      <c r="W17" s="5" t="str">
        <f>IFERROR(__xludf.DUMMYFUNCTION("""COMPUTED_VALUE"""),"NÃO")</f>
        <v>NÃO</v>
      </c>
      <c r="X17" s="5" t="str">
        <f>IFERROR(__xludf.DUMMYFUNCTION("""COMPUTED_VALUE"""),"SIM")</f>
        <v>SIM</v>
      </c>
    </row>
    <row r="18">
      <c r="A18" s="5">
        <f>IFERROR(__xludf.DUMMYFUNCTION("""COMPUTED_VALUE"""),8.0)</f>
        <v>8</v>
      </c>
      <c r="B18" s="5" t="str">
        <f>IFERROR(__xludf.DUMMYFUNCTION("""COMPUTED_VALUE"""),"CA019")</f>
        <v>CA019</v>
      </c>
      <c r="C18" s="5" t="str">
        <f>IFERROR(__xludf.DUMMYFUNCTION("""COMPUTED_VALUE"""),"ABRIGO METÁLICO PEQUENO PORTE")</f>
        <v>ABRIGO METÁLICO PEQUENO PORTE</v>
      </c>
      <c r="D18" s="5" t="str">
        <f>IFERROR(__xludf.DUMMYFUNCTION("""COMPUTED_VALUE"""),"SEM PLACA")</f>
        <v>SEM PLACA</v>
      </c>
      <c r="E18" s="5" t="str">
        <f>IFERROR(__xludf.DUMMYFUNCTION("""COMPUTED_VALUE"""),"BAIA CONSTRUÍDA")</f>
        <v>BAIA CONSTRUÍDA</v>
      </c>
      <c r="F18" s="5" t="str">
        <f>IFERROR(__xludf.DUMMYFUNCTION("""COMPUTED_VALUE"""),"SIM")</f>
        <v>SIM</v>
      </c>
      <c r="G18" s="5" t="str">
        <f>IFERROR(__xludf.DUMMYFUNCTION("""COMPUTED_VALUE"""),"NÃO")</f>
        <v>NÃO</v>
      </c>
      <c r="H18" s="5" t="str">
        <f>IFERROR(__xludf.DUMMYFUNCTION("""COMPUTED_VALUE"""),"PAVIMENTADA")</f>
        <v>PAVIMENTADA</v>
      </c>
      <c r="I18" s="6" t="str">
        <f>IFERROR(__xludf.DUMMYFUNCTION("""COMPUTED_VALUE"""),"-9.625848")</f>
        <v>-9.625848</v>
      </c>
      <c r="J18" s="6" t="str">
        <f>IFERROR(__xludf.DUMMYFUNCTION("""COMPUTED_VALUE"""),"-35.703023")</f>
        <v>-35.703023</v>
      </c>
      <c r="K18" s="5" t="str">
        <f>IFERROR(__xludf.DUMMYFUNCTION("""COMPUTED_VALUE"""),"AV. JOSEPHA DE MELO, S/N")</f>
        <v>AV. JOSEPHA DE MELO, S/N</v>
      </c>
      <c r="L18" s="5" t="str">
        <f>IFERROR(__xludf.DUMMYFUNCTION("""COMPUTED_VALUE"""),"ARTERIAL ")</f>
        <v>ARTERIAL </v>
      </c>
      <c r="M18" s="5" t="str">
        <f>IFERROR(__xludf.DUMMYFUNCTION("""COMPUTED_VALUE"""),"CRUZ DAS ALMAS")</f>
        <v>CRUZ DAS ALMAS</v>
      </c>
      <c r="N18" s="5" t="str">
        <f>IFERROR(__xludf.DUMMYFUNCTION("""COMPUTED_VALUE"""),"BAIRRO - CENTRO")</f>
        <v>BAIRRO - CENTRO</v>
      </c>
      <c r="O18" s="5" t="str">
        <f>IFERROR(__xludf.DUMMYFUNCTION("""COMPUTED_VALUE"""),"EM FRENTE AO ATACADÃO")</f>
        <v>EM FRENTE AO ATACADÃO</v>
      </c>
      <c r="P18" s="5" t="str">
        <f>IFERROR(__xludf.DUMMYFUNCTION("""COMPUTED_VALUE"""),"PRIORIDADE MÉDIA")</f>
        <v>PRIORIDADE MÉDIA</v>
      </c>
      <c r="Q18" s="5" t="str">
        <f>IFERROR(__xludf.DUMMYFUNCTION("""COMPUTED_VALUE"""),"PINTURA DO ABRIGO; IMPLANTAR PLACA COM SUPORTE; PINTURA DA SINALIZAÇÃO DA BAIA NO ASFALTO")</f>
        <v>PINTURA DO ABRIGO; IMPLANTAR PLACA COM SUPORTE; PINTURA DA SINALIZAÇÃO DA BAIA NO ASFALTO</v>
      </c>
      <c r="R18" s="5" t="str">
        <f>IFERROR(__xludf.DUMMYFUNCTION("""COMPUTED_VALUE"""),"NENHUMA DAS OPÇÕES")</f>
        <v>NENHUMA DAS OPÇÕES</v>
      </c>
      <c r="S18" s="7">
        <f>IFERROR(__xludf.DUMMYFUNCTION("""COMPUTED_VALUE"""),44580.0)</f>
        <v>44580</v>
      </c>
      <c r="T18" s="5"/>
      <c r="U18" s="7">
        <f>IFERROR(__xludf.DUMMYFUNCTION("""COMPUTED_VALUE"""),44580.0)</f>
        <v>44580</v>
      </c>
      <c r="V18" s="9" t="str">
        <f>IFERROR(__xludf.DUMMYFUNCTION("""COMPUTED_VALUE"""),"https://drive.google.com/uc?id=1HaCLH2YGmqd4QYy3NM1fEFt-3okWOLuT")</f>
        <v>https://drive.google.com/uc?id=1HaCLH2YGmqd4QYy3NM1fEFt-3okWOLuT</v>
      </c>
      <c r="W18" s="5" t="str">
        <f>IFERROR(__xludf.DUMMYFUNCTION("""COMPUTED_VALUE"""),"NÃO")</f>
        <v>NÃO</v>
      </c>
      <c r="X18" s="5" t="str">
        <f>IFERROR(__xludf.DUMMYFUNCTION("""COMPUTED_VALUE"""),"NÃO")</f>
        <v>NÃO</v>
      </c>
    </row>
    <row r="19">
      <c r="A19" s="5">
        <f>IFERROR(__xludf.DUMMYFUNCTION("""COMPUTED_VALUE"""),8.0)</f>
        <v>8</v>
      </c>
      <c r="B19" s="5" t="str">
        <f>IFERROR(__xludf.DUMMYFUNCTION("""COMPUTED_VALUE"""),"CA020")</f>
        <v>CA020</v>
      </c>
      <c r="C19" s="5" t="str">
        <f>IFERROR(__xludf.DUMMYFUNCTION("""COMPUTED_VALUE"""),"ABRIGO METÁLICO PEQUENO PORTE")</f>
        <v>ABRIGO METÁLICO PEQUENO PORTE</v>
      </c>
      <c r="D19" s="5" t="str">
        <f>IFERROR(__xludf.DUMMYFUNCTION("""COMPUTED_VALUE"""),"SEM PLACA")</f>
        <v>SEM PLACA</v>
      </c>
      <c r="E19" s="5" t="str">
        <f>IFERROR(__xludf.DUMMYFUNCTION("""COMPUTED_VALUE"""),"SEM BAIA")</f>
        <v>SEM BAIA</v>
      </c>
      <c r="F19" s="5" t="str">
        <f>IFERROR(__xludf.DUMMYFUNCTION("""COMPUTED_VALUE"""),"SIM")</f>
        <v>SIM</v>
      </c>
      <c r="G19" s="5" t="str">
        <f>IFERROR(__xludf.DUMMYFUNCTION("""COMPUTED_VALUE"""),"NÃO")</f>
        <v>NÃO</v>
      </c>
      <c r="H19" s="5" t="str">
        <f>IFERROR(__xludf.DUMMYFUNCTION("""COMPUTED_VALUE"""),"PAVIMENTADA")</f>
        <v>PAVIMENTADA</v>
      </c>
      <c r="I19" s="6" t="str">
        <f>IFERROR(__xludf.DUMMYFUNCTION("""COMPUTED_VALUE"""),"-9.623345")</f>
        <v>-9.623345</v>
      </c>
      <c r="J19" s="6" t="str">
        <f>IFERROR(__xludf.DUMMYFUNCTION("""COMPUTED_VALUE"""),"-35.707668")</f>
        <v>-35.707668</v>
      </c>
      <c r="K19" s="5" t="str">
        <f>IFERROR(__xludf.DUMMYFUNCTION("""COMPUTED_VALUE"""),"AV. JOSEPHA DE MELO, 129")</f>
        <v>AV. JOSEPHA DE MELO, 129</v>
      </c>
      <c r="L19" s="5" t="str">
        <f>IFERROR(__xludf.DUMMYFUNCTION("""COMPUTED_VALUE"""),"ARTERIAL ")</f>
        <v>ARTERIAL </v>
      </c>
      <c r="M19" s="5" t="str">
        <f>IFERROR(__xludf.DUMMYFUNCTION("""COMPUTED_VALUE"""),"CRUZ DAS ALMAS")</f>
        <v>CRUZ DAS ALMAS</v>
      </c>
      <c r="N19" s="5" t="str">
        <f>IFERROR(__xludf.DUMMYFUNCTION("""COMPUTED_VALUE"""),"CENTRO - BAIRRO")</f>
        <v>CENTRO - BAIRRO</v>
      </c>
      <c r="O19" s="5" t="str">
        <f>IFERROR(__xludf.DUMMYFUNCTION("""COMPUTED_VALUE"""),"PRÓXIMO A DEDÉ ESQUADRIAS")</f>
        <v>PRÓXIMO A DEDÉ ESQUADRIAS</v>
      </c>
      <c r="P19" s="5" t="str">
        <f>IFERROR(__xludf.DUMMYFUNCTION("""COMPUTED_VALUE"""),"PRIORIDADE MÉDIA")</f>
        <v>PRIORIDADE MÉDIA</v>
      </c>
      <c r="Q19" s="5" t="str">
        <f>IFERROR(__xludf.DUMMYFUNCTION("""COMPUTED_VALUE"""),"IMPLANTAR PLACA COM SUPORTE, PINTURA DA SINALIZAÇÃO DA BAIA NO ASFALTO, ADEQUAÇÃO DA CALÇADA (PISO TÁTIL)")</f>
        <v>IMPLANTAR PLACA COM SUPORTE, PINTURA DA SINALIZAÇÃO DA BAIA NO ASFALTO, ADEQUAÇÃO DA CALÇADA (PISO TÁTIL)</v>
      </c>
      <c r="R19" s="5" t="str">
        <f>IFERROR(__xludf.DUMMYFUNCTION("""COMPUTED_VALUE"""),"NENHUMA DAS OPÇÕES")</f>
        <v>NENHUMA DAS OPÇÕES</v>
      </c>
      <c r="S19" s="7">
        <f>IFERROR(__xludf.DUMMYFUNCTION("""COMPUTED_VALUE"""),44581.0)</f>
        <v>44581</v>
      </c>
      <c r="T19" s="5"/>
      <c r="U19" s="7">
        <f>IFERROR(__xludf.DUMMYFUNCTION("""COMPUTED_VALUE"""),44581.0)</f>
        <v>44581</v>
      </c>
      <c r="V19" s="9" t="str">
        <f>IFERROR(__xludf.DUMMYFUNCTION("""COMPUTED_VALUE"""),"https://drive.google.com/uc?id=1GgLJi1l68ylsJStYLuftQYE2fM_nLVeM")</f>
        <v>https://drive.google.com/uc?id=1GgLJi1l68ylsJStYLuftQYE2fM_nLVeM</v>
      </c>
      <c r="W19" s="5" t="str">
        <f>IFERROR(__xludf.DUMMYFUNCTION("""COMPUTED_VALUE"""),"NÃO")</f>
        <v>NÃO</v>
      </c>
      <c r="X19" s="5" t="str">
        <f>IFERROR(__xludf.DUMMYFUNCTION("""COMPUTED_VALUE"""),"NÃO")</f>
        <v>NÃO</v>
      </c>
    </row>
    <row r="20">
      <c r="A20" s="5">
        <f>IFERROR(__xludf.DUMMYFUNCTION("""COMPUTED_VALUE"""),8.0)</f>
        <v>8</v>
      </c>
      <c r="B20" s="5" t="str">
        <f>IFERROR(__xludf.DUMMYFUNCTION("""COMPUTED_VALUE"""),"CA021")</f>
        <v>CA021</v>
      </c>
      <c r="C20" s="5" t="str">
        <f>IFERROR(__xludf.DUMMYFUNCTION("""COMPUTED_VALUE"""),"ABRIGO METÁLICO PEQUENO PORTE")</f>
        <v>ABRIGO METÁLICO PEQUENO PORTE</v>
      </c>
      <c r="D20" s="5" t="str">
        <f>IFERROR(__xludf.DUMMYFUNCTION("""COMPUTED_VALUE"""),"SEM PLACA")</f>
        <v>SEM PLACA</v>
      </c>
      <c r="E20" s="5" t="str">
        <f>IFERROR(__xludf.DUMMYFUNCTION("""COMPUTED_VALUE"""),"BAIA CONSTRUÍDA")</f>
        <v>BAIA CONSTRUÍDA</v>
      </c>
      <c r="F20" s="5" t="str">
        <f>IFERROR(__xludf.DUMMYFUNCTION("""COMPUTED_VALUE"""),"SIM")</f>
        <v>SIM</v>
      </c>
      <c r="G20" s="5" t="str">
        <f>IFERROR(__xludf.DUMMYFUNCTION("""COMPUTED_VALUE"""),"NÃO")</f>
        <v>NÃO</v>
      </c>
      <c r="H20" s="5" t="str">
        <f>IFERROR(__xludf.DUMMYFUNCTION("""COMPUTED_VALUE"""),"PAVIMENTADA")</f>
        <v>PAVIMENTADA</v>
      </c>
      <c r="I20" s="6" t="str">
        <f>IFERROR(__xludf.DUMMYFUNCTION("""COMPUTED_VALUE"""),"-9.623598")</f>
        <v>-9.623598</v>
      </c>
      <c r="J20" s="6" t="str">
        <f>IFERROR(__xludf.DUMMYFUNCTION("""COMPUTED_VALUE"""),"-35.707557")</f>
        <v>-35.707557</v>
      </c>
      <c r="K20" s="5" t="str">
        <f>IFERROR(__xludf.DUMMYFUNCTION("""COMPUTED_VALUE"""),"AV. JOSEPHA DE MELO, 129")</f>
        <v>AV. JOSEPHA DE MELO, 129</v>
      </c>
      <c r="L20" s="5" t="str">
        <f>IFERROR(__xludf.DUMMYFUNCTION("""COMPUTED_VALUE"""),"ARTERIAL ")</f>
        <v>ARTERIAL </v>
      </c>
      <c r="M20" s="5" t="str">
        <f>IFERROR(__xludf.DUMMYFUNCTION("""COMPUTED_VALUE"""),"CRUZ DAS ALMAS")</f>
        <v>CRUZ DAS ALMAS</v>
      </c>
      <c r="N20" s="5" t="str">
        <f>IFERROR(__xludf.DUMMYFUNCTION("""COMPUTED_VALUE"""),"BAIRRO - CENTRO")</f>
        <v>BAIRRO - CENTRO</v>
      </c>
      <c r="O20" s="5" t="str">
        <f>IFERROR(__xludf.DUMMYFUNCTION("""COMPUTED_VALUE"""),"PRÓXIMO A DEDÉ ESQUADRIAS")</f>
        <v>PRÓXIMO A DEDÉ ESQUADRIAS</v>
      </c>
      <c r="P20" s="5" t="str">
        <f>IFERROR(__xludf.DUMMYFUNCTION("""COMPUTED_VALUE"""),"PRIORIDADE MÉDIA")</f>
        <v>PRIORIDADE MÉDIA</v>
      </c>
      <c r="Q20" s="5" t="str">
        <f>IFERROR(__xludf.DUMMYFUNCTION("""COMPUTED_VALUE"""),"IMPLANTAR PLACA COM SUPORTE, PINTURA DA SINALIZAÇÃO DA BAIA NO ASFALTO, ADEQUAÇÃO DA CALÇADA (PISO TÁTIL)")</f>
        <v>IMPLANTAR PLACA COM SUPORTE, PINTURA DA SINALIZAÇÃO DA BAIA NO ASFALTO, ADEQUAÇÃO DA CALÇADA (PISO TÁTIL)</v>
      </c>
      <c r="R20" s="5" t="str">
        <f>IFERROR(__xludf.DUMMYFUNCTION("""COMPUTED_VALUE"""),"NENHUMA DAS OPÇÕES")</f>
        <v>NENHUMA DAS OPÇÕES</v>
      </c>
      <c r="S20" s="7">
        <f>IFERROR(__xludf.DUMMYFUNCTION("""COMPUTED_VALUE"""),44582.0)</f>
        <v>44582</v>
      </c>
      <c r="T20" s="5"/>
      <c r="U20" s="7">
        <f>IFERROR(__xludf.DUMMYFUNCTION("""COMPUTED_VALUE"""),44582.0)</f>
        <v>44582</v>
      </c>
      <c r="V20" s="9" t="str">
        <f>IFERROR(__xludf.DUMMYFUNCTION("""COMPUTED_VALUE"""),"https://drive.google.com/uc?id=1qR72ip0TnYihJBJihNYE0fgVWixMlLk0")</f>
        <v>https://drive.google.com/uc?id=1qR72ip0TnYihJBJihNYE0fgVWixMlLk0</v>
      </c>
      <c r="W20" s="5" t="str">
        <f>IFERROR(__xludf.DUMMYFUNCTION("""COMPUTED_VALUE"""),"NÃO")</f>
        <v>NÃO</v>
      </c>
      <c r="X20" s="5" t="str">
        <f>IFERROR(__xludf.DUMMYFUNCTION("""COMPUTED_VALUE"""),"NÃO")</f>
        <v>NÃO</v>
      </c>
    </row>
    <row r="21">
      <c r="A21" s="5">
        <f>IFERROR(__xludf.DUMMYFUNCTION("""COMPUTED_VALUE"""),8.0)</f>
        <v>8</v>
      </c>
      <c r="B21" s="5" t="str">
        <f>IFERROR(__xludf.DUMMYFUNCTION("""COMPUTED_VALUE"""),"CA022")</f>
        <v>CA022</v>
      </c>
      <c r="C21" s="5" t="str">
        <f>IFERROR(__xludf.DUMMYFUNCTION("""COMPUTED_VALUE"""),"ABRIGO CONCRETO")</f>
        <v>ABRIGO CONCRETO</v>
      </c>
      <c r="D21" s="5" t="str">
        <f>IFERROR(__xludf.DUMMYFUNCTION("""COMPUTED_VALUE"""),"SEM PLACA")</f>
        <v>SEM PLACA</v>
      </c>
      <c r="E21" s="5" t="str">
        <f>IFERROR(__xludf.DUMMYFUNCTION("""COMPUTED_VALUE"""),"SEM BAIA")</f>
        <v>SEM BAIA</v>
      </c>
      <c r="F21" s="5" t="str">
        <f>IFERROR(__xludf.DUMMYFUNCTION("""COMPUTED_VALUE"""),"NÃO")</f>
        <v>NÃO</v>
      </c>
      <c r="G21" s="5" t="str">
        <f>IFERROR(__xludf.DUMMYFUNCTION("""COMPUTED_VALUE"""),"NÃO")</f>
        <v>NÃO</v>
      </c>
      <c r="H21" s="5" t="str">
        <f>IFERROR(__xludf.DUMMYFUNCTION("""COMPUTED_VALUE"""),"PAVIMENTADA")</f>
        <v>PAVIMENTADA</v>
      </c>
      <c r="I21" s="6" t="str">
        <f>IFERROR(__xludf.DUMMYFUNCTION("""COMPUTED_VALUE"""),"-9.634796")</f>
        <v>-9.634796</v>
      </c>
      <c r="J21" s="6" t="str">
        <f>IFERROR(__xludf.DUMMYFUNCTION("""COMPUTED_VALUE""")," -35.703999")</f>
        <v> -35.703999</v>
      </c>
      <c r="K21" s="5" t="str">
        <f>IFERROR(__xludf.DUMMYFUNCTION("""COMPUTED_VALUE"""),"AV. JUCA SAMPAIO, 157")</f>
        <v>AV. JUCA SAMPAIO, 157</v>
      </c>
      <c r="L21" s="5" t="str">
        <f>IFERROR(__xludf.DUMMYFUNCTION("""COMPUTED_VALUE"""),"ARTERIAL ")</f>
        <v>ARTERIAL </v>
      </c>
      <c r="M21" s="5" t="str">
        <f>IFERROR(__xludf.DUMMYFUNCTION("""COMPUTED_VALUE"""),"CRUZ DAS ALMAS")</f>
        <v>CRUZ DAS ALMAS</v>
      </c>
      <c r="N21" s="5" t="str">
        <f>IFERROR(__xludf.DUMMYFUNCTION("""COMPUTED_VALUE"""),"CENTRO - BAIRRO")</f>
        <v>CENTRO - BAIRRO</v>
      </c>
      <c r="O21" s="5" t="str">
        <f>IFERROR(__xludf.DUMMYFUNCTION("""COMPUTED_VALUE"""),"LADEIRA DO ÓLEO – PRÓXIMO A UPA")</f>
        <v>LADEIRA DO ÓLEO – PRÓXIMO A UPA</v>
      </c>
      <c r="P21" s="5" t="str">
        <f>IFERROR(__xludf.DUMMYFUNCTION("""COMPUTED_VALUE"""),"PRIORIDADE ALTA")</f>
        <v>PRIORIDADE ALTA</v>
      </c>
      <c r="Q21" s="5" t="str">
        <f>IFERROR(__xludf.DUMMYFUNCTION("""COMPUTED_VALUE"""),"IMPLANTAR PLACA COM SUPORTE; PINTURA DA BAIA NO ASFALTO; REPAROS NA PAVIMENTAÇÃO DA CALÇADA E ADEQUAÇÃO (RAMPA DE ACESSIBILIDADE E PISO TÁTIL)")</f>
        <v>IMPLANTAR PLACA COM SUPORTE; PINTURA DA BAIA NO ASFALTO; REPAROS NA PAVIMENTAÇÃO DA CALÇADA E ADEQUAÇÃO (RAMPA DE ACESSIBILIDADE E PISO TÁTIL)</v>
      </c>
      <c r="R21" s="5" t="str">
        <f>IFERROR(__xludf.DUMMYFUNCTION("""COMPUTED_VALUE"""),"SUBSTITUIR ABRIGO")</f>
        <v>SUBSTITUIR ABRIGO</v>
      </c>
      <c r="S21" s="7">
        <f>IFERROR(__xludf.DUMMYFUNCTION("""COMPUTED_VALUE"""),44587.0)</f>
        <v>44587</v>
      </c>
      <c r="T21" s="5"/>
      <c r="U21" s="7">
        <f>IFERROR(__xludf.DUMMYFUNCTION("""COMPUTED_VALUE"""),44587.0)</f>
        <v>44587</v>
      </c>
      <c r="V21" s="9" t="str">
        <f>IFERROR(__xludf.DUMMYFUNCTION("""COMPUTED_VALUE"""),"https://drive.google.com/uc?id=14oyyN4xIr0bG0xv-6R3o1x-2njjgWxYQ")</f>
        <v>https://drive.google.com/uc?id=14oyyN4xIr0bG0xv-6R3o1x-2njjgWxYQ</v>
      </c>
      <c r="W21" s="5" t="str">
        <f>IFERROR(__xludf.DUMMYFUNCTION("""COMPUTED_VALUE"""),"NÃO")</f>
        <v>NÃO</v>
      </c>
      <c r="X21" s="5" t="str">
        <f>IFERROR(__xludf.DUMMYFUNCTION("""COMPUTED_VALUE"""),"NÃO SE APLICA")</f>
        <v>NÃO SE APLICA</v>
      </c>
    </row>
    <row r="22" hidden="1">
      <c r="A22" s="5">
        <f>IFERROR(__xludf.DUMMYFUNCTION("""COMPUTED_VALUE"""),8.0)</f>
        <v>8</v>
      </c>
      <c r="B22" s="5" t="str">
        <f>IFERROR(__xludf.DUMMYFUNCTION("""COMPUTED_VALUE"""),"CA023")</f>
        <v>CA023</v>
      </c>
      <c r="C22" s="5" t="str">
        <f>IFERROR(__xludf.DUMMYFUNCTION("""COMPUTED_VALUE"""),"NÃO POSSUI")</f>
        <v>NÃO POSSUI</v>
      </c>
      <c r="D22" s="5" t="str">
        <f>IFERROR(__xludf.DUMMYFUNCTION("""COMPUTED_VALUE"""),"SEM PLACA")</f>
        <v>SEM PLACA</v>
      </c>
      <c r="E22" s="5" t="str">
        <f>IFERROR(__xludf.DUMMYFUNCTION("""COMPUTED_VALUE"""),"SEM BAIA")</f>
        <v>SEM BAIA</v>
      </c>
      <c r="F22" s="5" t="str">
        <f>IFERROR(__xludf.DUMMYFUNCTION("""COMPUTED_VALUE"""),"NÃO")</f>
        <v>NÃO</v>
      </c>
      <c r="G22" s="5" t="str">
        <f>IFERROR(__xludf.DUMMYFUNCTION("""COMPUTED_VALUE"""),"NÃO")</f>
        <v>NÃO</v>
      </c>
      <c r="H22" s="5" t="str">
        <f>IFERROR(__xludf.DUMMYFUNCTION("""COMPUTED_VALUE"""),"PAVIMENTADA")</f>
        <v>PAVIMENTADA</v>
      </c>
      <c r="I22" s="6" t="str">
        <f>IFERROR(__xludf.DUMMYFUNCTION("""COMPUTED_VALUE"""),"-9.62678")</f>
        <v>-9.62678</v>
      </c>
      <c r="J22" s="6" t="str">
        <f>IFERROR(__xludf.DUMMYFUNCTION("""COMPUTED_VALUE"""),"-35.69447")</f>
        <v>-35.69447</v>
      </c>
      <c r="K22" s="5" t="str">
        <f>IFERROR(__xludf.DUMMYFUNCTION("""COMPUTED_VALUE"""),"AV. BRIGADEIRO EDUARDO GOMES DE BRITO, S/N")</f>
        <v>AV. BRIGADEIRO EDUARDO GOMES DE BRITO, S/N</v>
      </c>
      <c r="L22" s="5" t="str">
        <f>IFERROR(__xludf.DUMMYFUNCTION("""COMPUTED_VALUE"""),"ARTERIAL ")</f>
        <v>ARTERIAL </v>
      </c>
      <c r="M22" s="5" t="str">
        <f>IFERROR(__xludf.DUMMYFUNCTION("""COMPUTED_VALUE"""),"CRUZ DAS ALMAS")</f>
        <v>CRUZ DAS ALMAS</v>
      </c>
      <c r="N22" s="5" t="str">
        <f>IFERROR(__xludf.DUMMYFUNCTION("""COMPUTED_VALUE"""),"BAIRRO - CENTRO")</f>
        <v>BAIRRO - CENTRO</v>
      </c>
      <c r="O22" s="5" t="str">
        <f>IFERROR(__xludf.DUMMYFUNCTION("""COMPUTED_VALUE"""),"APÓS A LEROY MERLIN")</f>
        <v>APÓS A LEROY MERLIN</v>
      </c>
      <c r="P22" s="5" t="str">
        <f>IFERROR(__xludf.DUMMYFUNCTION("""COMPUTED_VALUE"""),"PRIORIDADE ALTA")</f>
        <v>PRIORIDADE ALTA</v>
      </c>
      <c r="Q22" s="5" t="str">
        <f>IFERROR(__xludf.DUMMYFUNCTION("""COMPUTED_VALUE"""),"IMPLANTAR PLACA EM POSTE METÁLICO EXISTENTE, PINTURA DA BAÍA EXISTENTE NO ASFALTO, ADEQUAÇÃO DA CALÇADA (PISO TÁTIL)")</f>
        <v>IMPLANTAR PLACA EM POSTE METÁLICO EXISTENTE, PINTURA DA BAÍA EXISTENTE NO ASFALTO, ADEQUAÇÃO DA CALÇADA (PISO TÁTIL)</v>
      </c>
      <c r="R22" s="5" t="str">
        <f>IFERROR(__xludf.DUMMYFUNCTION("""COMPUTED_VALUE"""),"SUBSTITUIR ABRIGO")</f>
        <v>SUBSTITUIR ABRIGO</v>
      </c>
      <c r="S22" s="7">
        <f>IFERROR(__xludf.DUMMYFUNCTION("""COMPUTED_VALUE"""),44749.0)</f>
        <v>44749</v>
      </c>
      <c r="T22" s="5"/>
      <c r="U22" s="7">
        <f>IFERROR(__xludf.DUMMYFUNCTION("""COMPUTED_VALUE"""),44749.0)</f>
        <v>44749</v>
      </c>
      <c r="V22" s="9" t="str">
        <f>IFERROR(__xludf.DUMMYFUNCTION("""COMPUTED_VALUE"""),"https://drive.google.com/uc?id=1BtOSN4OPQdY0uoDtvOSE4GT0mPGZdioE")</f>
        <v>https://drive.google.com/uc?id=1BtOSN4OPQdY0uoDtvOSE4GT0mPGZdioE</v>
      </c>
      <c r="W22" s="5" t="str">
        <f>IFERROR(__xludf.DUMMYFUNCTION("""COMPUTED_VALUE"""),"NÃO")</f>
        <v>NÃO</v>
      </c>
      <c r="X22" s="5" t="str">
        <f>IFERROR(__xludf.DUMMYFUNCTION("""COMPUTED_VALUE"""),"NÃO SE APLICA")</f>
        <v>NÃO SE APLICA</v>
      </c>
    </row>
    <row r="23" hidden="1">
      <c r="A23" s="5">
        <f>IFERROR(__xludf.DUMMYFUNCTION("""COMPUTED_VALUE"""),8.0)</f>
        <v>8</v>
      </c>
      <c r="B23" s="5" t="str">
        <f>IFERROR(__xludf.DUMMYFUNCTION("""COMPUTED_VALUE"""),"CA024")</f>
        <v>CA024</v>
      </c>
      <c r="C23" s="5" t="str">
        <f>IFERROR(__xludf.DUMMYFUNCTION("""COMPUTED_VALUE"""),"NÃO POSSUI")</f>
        <v>NÃO POSSUI</v>
      </c>
      <c r="D23" s="5" t="str">
        <f>IFERROR(__xludf.DUMMYFUNCTION("""COMPUTED_VALUE"""),"SEM PLACA")</f>
        <v>SEM PLACA</v>
      </c>
      <c r="E23" s="5" t="str">
        <f>IFERROR(__xludf.DUMMYFUNCTION("""COMPUTED_VALUE"""),"SEM BAIA")</f>
        <v>SEM BAIA</v>
      </c>
      <c r="F23" s="5" t="str">
        <f>IFERROR(__xludf.DUMMYFUNCTION("""COMPUTED_VALUE"""),"NÃO")</f>
        <v>NÃO</v>
      </c>
      <c r="G23" s="5" t="str">
        <f>IFERROR(__xludf.DUMMYFUNCTION("""COMPUTED_VALUE"""),"NÃO")</f>
        <v>NÃO</v>
      </c>
      <c r="H23" s="5" t="str">
        <f>IFERROR(__xludf.DUMMYFUNCTION("""COMPUTED_VALUE"""),"PAVIMENTADA")</f>
        <v>PAVIMENTADA</v>
      </c>
      <c r="I23" s="6" t="str">
        <f>IFERROR(__xludf.DUMMYFUNCTION("""COMPUTED_VALUE"""),"-9.62205")</f>
        <v>-9.62205</v>
      </c>
      <c r="J23" s="6" t="str">
        <f>IFERROR(__xludf.DUMMYFUNCTION("""COMPUTED_VALUE"""),"-35.69255")</f>
        <v>-35.69255</v>
      </c>
      <c r="K23" s="5" t="str">
        <f>IFERROR(__xludf.DUMMYFUNCTION("""COMPUTED_VALUE"""),"AV. BRIGADEIRO EDUARDO GOMES DE BRITO, S/N")</f>
        <v>AV. BRIGADEIRO EDUARDO GOMES DE BRITO, S/N</v>
      </c>
      <c r="L23" s="5" t="str">
        <f>IFERROR(__xludf.DUMMYFUNCTION("""COMPUTED_VALUE"""),"ARTERIAL ")</f>
        <v>ARTERIAL </v>
      </c>
      <c r="M23" s="5" t="str">
        <f>IFERROR(__xludf.DUMMYFUNCTION("""COMPUTED_VALUE"""),"CRUZ DAS ALMAS")</f>
        <v>CRUZ DAS ALMAS</v>
      </c>
      <c r="N23" s="5" t="str">
        <f>IFERROR(__xludf.DUMMYFUNCTION("""COMPUTED_VALUE"""),"BAIRRO - CENTRO")</f>
        <v>BAIRRO - CENTRO</v>
      </c>
      <c r="O23" s="5" t="str">
        <f>IFERROR(__xludf.DUMMYFUNCTION("""COMPUTED_VALUE"""),"APÓS A ENTRADA DO SUMMER BEACH CLUB")</f>
        <v>APÓS A ENTRADA DO SUMMER BEACH CLUB</v>
      </c>
      <c r="P23" s="5" t="str">
        <f>IFERROR(__xludf.DUMMYFUNCTION("""COMPUTED_VALUE"""),"PRIORIDADE ALTA")</f>
        <v>PRIORIDADE ALTA</v>
      </c>
      <c r="Q23" s="5" t="str">
        <f>IFERROR(__xludf.DUMMYFUNCTION("""COMPUTED_VALUE"""),"IMPLANTAR PLACA EM POSTE METÁLICO EXISTENTE, PINTURA DA BAÍA EXISTENTE NO ASFALTO, ADEQUAÇÃO DA CALÇADA (PISO TÁTIL)")</f>
        <v>IMPLANTAR PLACA EM POSTE METÁLICO EXISTENTE, PINTURA DA BAÍA EXISTENTE NO ASFALTO, ADEQUAÇÃO DA CALÇADA (PISO TÁTIL)</v>
      </c>
      <c r="R23" s="5" t="str">
        <f>IFERROR(__xludf.DUMMYFUNCTION("""COMPUTED_VALUE"""),"NENHUMA DAS OPÇÕES")</f>
        <v>NENHUMA DAS OPÇÕES</v>
      </c>
      <c r="S23" s="7">
        <f>IFERROR(__xludf.DUMMYFUNCTION("""COMPUTED_VALUE"""),44749.0)</f>
        <v>44749</v>
      </c>
      <c r="T23" s="5"/>
      <c r="U23" s="7">
        <f>IFERROR(__xludf.DUMMYFUNCTION("""COMPUTED_VALUE"""),44749.0)</f>
        <v>44749</v>
      </c>
      <c r="V23" s="9" t="str">
        <f>IFERROR(__xludf.DUMMYFUNCTION("""COMPUTED_VALUE"""),"https://drive.google.com/uc?id=1A0ApYrI-WZ1HTqfAy-BYbtUdA4KKwXTh")</f>
        <v>https://drive.google.com/uc?id=1A0ApYrI-WZ1HTqfAy-BYbtUdA4KKwXTh</v>
      </c>
      <c r="W23" s="5" t="str">
        <f>IFERROR(__xludf.DUMMYFUNCTION("""COMPUTED_VALUE"""),"NÃO")</f>
        <v>NÃO</v>
      </c>
      <c r="X23" s="5" t="str">
        <f>IFERROR(__xludf.DUMMYFUNCTION("""COMPUTED_VALUE"""),"NÃO SE APLICA")</f>
        <v>NÃO SE APLICA</v>
      </c>
    </row>
    <row r="24" hidden="1">
      <c r="A24" s="5">
        <f>IFERROR(__xludf.DUMMYFUNCTION("""COMPUTED_VALUE"""),8.0)</f>
        <v>8</v>
      </c>
      <c r="B24" s="5" t="str">
        <f>IFERROR(__xludf.DUMMYFUNCTION("""COMPUTED_VALUE"""),"CA025")</f>
        <v>CA025</v>
      </c>
      <c r="C24" s="5" t="str">
        <f>IFERROR(__xludf.DUMMYFUNCTION("""COMPUTED_VALUE"""),"NÃO POSSUI")</f>
        <v>NÃO POSSUI</v>
      </c>
      <c r="D24" s="5" t="str">
        <f>IFERROR(__xludf.DUMMYFUNCTION("""COMPUTED_VALUE"""),"SEM PLACA")</f>
        <v>SEM PLACA</v>
      </c>
      <c r="E24" s="5" t="str">
        <f>IFERROR(__xludf.DUMMYFUNCTION("""COMPUTED_VALUE"""),"SEM BAIA")</f>
        <v>SEM BAIA</v>
      </c>
      <c r="F24" s="5" t="str">
        <f>IFERROR(__xludf.DUMMYFUNCTION("""COMPUTED_VALUE"""),"NÃO")</f>
        <v>NÃO</v>
      </c>
      <c r="G24" s="5" t="str">
        <f>IFERROR(__xludf.DUMMYFUNCTION("""COMPUTED_VALUE"""),"NÃO")</f>
        <v>NÃO</v>
      </c>
      <c r="H24" s="5" t="str">
        <f>IFERROR(__xludf.DUMMYFUNCTION("""COMPUTED_VALUE"""),"PAVIMENTADA")</f>
        <v>PAVIMENTADA</v>
      </c>
      <c r="I24" s="6" t="str">
        <f>IFERROR(__xludf.DUMMYFUNCTION("""COMPUTED_VALUE"""),"-9.61947")</f>
        <v>-9.61947</v>
      </c>
      <c r="J24" s="6" t="str">
        <f>IFERROR(__xludf.DUMMYFUNCTION("""COMPUTED_VALUE"""),"-35.69124")</f>
        <v>-35.69124</v>
      </c>
      <c r="K24" s="5" t="str">
        <f>IFERROR(__xludf.DUMMYFUNCTION("""COMPUTED_VALUE"""),"AV. BRIGADEIRO EDUARDO GOMES DE BRITO, S/N")</f>
        <v>AV. BRIGADEIRO EDUARDO GOMES DE BRITO, S/N</v>
      </c>
      <c r="L24" s="5" t="str">
        <f>IFERROR(__xludf.DUMMYFUNCTION("""COMPUTED_VALUE"""),"ARTERIAL ")</f>
        <v>ARTERIAL </v>
      </c>
      <c r="M24" s="5" t="str">
        <f>IFERROR(__xludf.DUMMYFUNCTION("""COMPUTED_VALUE"""),"CRUZ DAS ALMAS")</f>
        <v>CRUZ DAS ALMAS</v>
      </c>
      <c r="N24" s="5" t="str">
        <f>IFERROR(__xludf.DUMMYFUNCTION("""COMPUTED_VALUE"""),"BAIRRO - CENTRO")</f>
        <v>BAIRRO - CENTRO</v>
      </c>
      <c r="O24" s="5" t="str">
        <f>IFERROR(__xludf.DUMMYFUNCTION("""COMPUTED_VALUE"""),"ANTES DA ENTRADA DA OAB")</f>
        <v>ANTES DA ENTRADA DA OAB</v>
      </c>
      <c r="P24" s="5" t="str">
        <f>IFERROR(__xludf.DUMMYFUNCTION("""COMPUTED_VALUE"""),"PRIORIDADE ALTA")</f>
        <v>PRIORIDADE ALTA</v>
      </c>
      <c r="Q24" s="5" t="str">
        <f>IFERROR(__xludf.DUMMYFUNCTION("""COMPUTED_VALUE"""),"IMPLANTAR PLACA EM POSTE METÁLICO EXISTENTE, PINTURA DA BAÍA EXISTENTE NO ASFALTO, ADEQUAÇÃO DA CALÇADA (PISO TÁTIL)")</f>
        <v>IMPLANTAR PLACA EM POSTE METÁLICO EXISTENTE, PINTURA DA BAÍA EXISTENTE NO ASFALTO, ADEQUAÇÃO DA CALÇADA (PISO TÁTIL)</v>
      </c>
      <c r="R24" s="5" t="str">
        <f>IFERROR(__xludf.DUMMYFUNCTION("""COMPUTED_VALUE"""),"SUBSTITUIR ABRIGO")</f>
        <v>SUBSTITUIR ABRIGO</v>
      </c>
      <c r="S24" s="7">
        <f>IFERROR(__xludf.DUMMYFUNCTION("""COMPUTED_VALUE"""),44749.0)</f>
        <v>44749</v>
      </c>
      <c r="T24" s="5"/>
      <c r="U24" s="7">
        <f>IFERROR(__xludf.DUMMYFUNCTION("""COMPUTED_VALUE"""),44749.0)</f>
        <v>44749</v>
      </c>
      <c r="V24" s="9" t="str">
        <f>IFERROR(__xludf.DUMMYFUNCTION("""COMPUTED_VALUE"""),"https://drive.google.com/uc?id=1JP6ZfQj9CPDvJEkmwVpnTVLeOvwtMNM2")</f>
        <v>https://drive.google.com/uc?id=1JP6ZfQj9CPDvJEkmwVpnTVLeOvwtMNM2</v>
      </c>
      <c r="W24" s="5" t="str">
        <f>IFERROR(__xludf.DUMMYFUNCTION("""COMPUTED_VALUE"""),"NÃO")</f>
        <v>NÃO</v>
      </c>
      <c r="X24" s="5" t="str">
        <f>IFERROR(__xludf.DUMMYFUNCTION("""COMPUTED_VALUE"""),"NÃO SE APLICA")</f>
        <v>NÃO SE APLICA</v>
      </c>
    </row>
    <row r="25" hidden="1">
      <c r="A25" s="5">
        <f>IFERROR(__xludf.DUMMYFUNCTION("""COMPUTED_VALUE"""),8.0)</f>
        <v>8</v>
      </c>
      <c r="B25" s="5" t="str">
        <f>IFERROR(__xludf.DUMMYFUNCTION("""COMPUTED_VALUE"""),"CA026")</f>
        <v>CA026</v>
      </c>
      <c r="C25" s="5" t="str">
        <f>IFERROR(__xludf.DUMMYFUNCTION("""COMPUTED_VALUE"""),"NÃO POSSUI")</f>
        <v>NÃO POSSUI</v>
      </c>
      <c r="D25" s="5" t="str">
        <f>IFERROR(__xludf.DUMMYFUNCTION("""COMPUTED_VALUE"""),"SEM PLACA")</f>
        <v>SEM PLACA</v>
      </c>
      <c r="E25" s="5" t="str">
        <f>IFERROR(__xludf.DUMMYFUNCTION("""COMPUTED_VALUE"""),"SEM BAIA")</f>
        <v>SEM BAIA</v>
      </c>
      <c r="F25" s="5" t="str">
        <f>IFERROR(__xludf.DUMMYFUNCTION("""COMPUTED_VALUE"""),"NÃO")</f>
        <v>NÃO</v>
      </c>
      <c r="G25" s="5" t="str">
        <f>IFERROR(__xludf.DUMMYFUNCTION("""COMPUTED_VALUE"""),"NÃO")</f>
        <v>NÃO</v>
      </c>
      <c r="H25" s="5" t="str">
        <f>IFERROR(__xludf.DUMMYFUNCTION("""COMPUTED_VALUE"""),"PAVIMENTADA")</f>
        <v>PAVIMENTADA</v>
      </c>
      <c r="I25" s="6" t="str">
        <f>IFERROR(__xludf.DUMMYFUNCTION("""COMPUTED_VALUE"""),"-9.61554")</f>
        <v>-9.61554</v>
      </c>
      <c r="J25" s="6" t="str">
        <f>IFERROR(__xludf.DUMMYFUNCTION("""COMPUTED_VALUE"""),"-35.68848")</f>
        <v>-35.68848</v>
      </c>
      <c r="K25" s="5" t="str">
        <f>IFERROR(__xludf.DUMMYFUNCTION("""COMPUTED_VALUE"""),"AV. BRIGADEIRO EDUARDO GOMES DE BRITO, S/N")</f>
        <v>AV. BRIGADEIRO EDUARDO GOMES DE BRITO, S/N</v>
      </c>
      <c r="L25" s="5" t="str">
        <f>IFERROR(__xludf.DUMMYFUNCTION("""COMPUTED_VALUE"""),"ARTERIAL ")</f>
        <v>ARTERIAL </v>
      </c>
      <c r="M25" s="5" t="str">
        <f>IFERROR(__xludf.DUMMYFUNCTION("""COMPUTED_VALUE"""),"CRUZ DAS ALMAS")</f>
        <v>CRUZ DAS ALMAS</v>
      </c>
      <c r="N25" s="5" t="str">
        <f>IFERROR(__xludf.DUMMYFUNCTION("""COMPUTED_VALUE"""),"BAIRRO - CENTRO")</f>
        <v>BAIRRO - CENTRO</v>
      </c>
      <c r="O25" s="5" t="str">
        <f>IFERROR(__xludf.DUMMYFUNCTION("""COMPUTED_VALUE"""),"EM FRENTE A POUSADA ROSSKAMP")</f>
        <v>EM FRENTE A POUSADA ROSSKAMP</v>
      </c>
      <c r="P25" s="5" t="str">
        <f>IFERROR(__xludf.DUMMYFUNCTION("""COMPUTED_VALUE"""),"PRIORIDADE ALTA")</f>
        <v>PRIORIDADE ALTA</v>
      </c>
      <c r="Q25" s="5" t="str">
        <f>IFERROR(__xludf.DUMMYFUNCTION("""COMPUTED_VALUE"""),"IMPLANTAR PLACA EM POSTE METÁLICO EXISTENTE, PINTURA DA BAÍA EXISTENTE NO ASFALTO, ADEQUAÇÃO DA CALÇADA (PISO TÁTIL)")</f>
        <v>IMPLANTAR PLACA EM POSTE METÁLICO EXISTENTE, PINTURA DA BAÍA EXISTENTE NO ASFALTO, ADEQUAÇÃO DA CALÇADA (PISO TÁTIL)</v>
      </c>
      <c r="R25" s="5" t="str">
        <f>IFERROR(__xludf.DUMMYFUNCTION("""COMPUTED_VALUE"""),"SUBSTITUIR ABRIGO")</f>
        <v>SUBSTITUIR ABRIGO</v>
      </c>
      <c r="S25" s="5"/>
      <c r="T25" s="5"/>
      <c r="U25" s="7">
        <f>IFERROR(__xludf.DUMMYFUNCTION("""COMPUTED_VALUE"""),44749.0)</f>
        <v>44749</v>
      </c>
      <c r="V25" s="9" t="str">
        <f>IFERROR(__xludf.DUMMYFUNCTION("""COMPUTED_VALUE"""),"https://drive.google.com/uc?id=14oyyN4xIr0bG0xv-6R3o1x-2njjgWxYQ")</f>
        <v>https://drive.google.com/uc?id=14oyyN4xIr0bG0xv-6R3o1x-2njjgWxYQ</v>
      </c>
      <c r="W25" s="5" t="str">
        <f>IFERROR(__xludf.DUMMYFUNCTION("""COMPUTED_VALUE"""),"NÃO")</f>
        <v>NÃO</v>
      </c>
      <c r="X25" s="5" t="str">
        <f>IFERROR(__xludf.DUMMYFUNCTION("""COMPUTED_VALUE"""),"NÃO SE APLICA")</f>
        <v>NÃO SE APLICA</v>
      </c>
    </row>
    <row r="26" hidden="1">
      <c r="A26" s="5">
        <f>IFERROR(__xludf.DUMMYFUNCTION("""COMPUTED_VALUE"""),8.0)</f>
        <v>8</v>
      </c>
      <c r="B26" s="5" t="str">
        <f>IFERROR(__xludf.DUMMYFUNCTION("""COMPUTED_VALUE"""),"CA027")</f>
        <v>CA027</v>
      </c>
      <c r="C26" s="5" t="str">
        <f>IFERROR(__xludf.DUMMYFUNCTION("""COMPUTED_VALUE"""),"NÃO POSSUI")</f>
        <v>NÃO POSSUI</v>
      </c>
      <c r="D26" s="5" t="str">
        <f>IFERROR(__xludf.DUMMYFUNCTION("""COMPUTED_VALUE"""),"COM SUPORTE")</f>
        <v>COM SUPORTE</v>
      </c>
      <c r="E26" s="5" t="str">
        <f>IFERROR(__xludf.DUMMYFUNCTION("""COMPUTED_VALUE"""),"SEM BAIA")</f>
        <v>SEM BAIA</v>
      </c>
      <c r="F26" s="5" t="str">
        <f>IFERROR(__xludf.DUMMYFUNCTION("""COMPUTED_VALUE"""),"NÃO")</f>
        <v>NÃO</v>
      </c>
      <c r="G26" s="5" t="str">
        <f>IFERROR(__xludf.DUMMYFUNCTION("""COMPUTED_VALUE"""),"NÃO")</f>
        <v>NÃO</v>
      </c>
      <c r="H26" s="5" t="str">
        <f>IFERROR(__xludf.DUMMYFUNCTION("""COMPUTED_VALUE"""),"PAVIMENTADA")</f>
        <v>PAVIMENTADA</v>
      </c>
      <c r="I26" s="6" t="str">
        <f>IFERROR(__xludf.DUMMYFUNCTION("""COMPUTED_VALUE"""),"-9.633288")</f>
        <v>-9.633288</v>
      </c>
      <c r="J26" s="6" t="str">
        <f>IFERROR(__xludf.DUMMYFUNCTION("""COMPUTED_VALUE"""),"-35.697019")</f>
        <v>-35.697019</v>
      </c>
      <c r="K26" s="5" t="str">
        <f>IFERROR(__xludf.DUMMYFUNCTION("""COMPUTED_VALUE"""),"AV. BRIGADEIRO EDUARDO GOMES DE BRITO, 329")</f>
        <v>AV. BRIGADEIRO EDUARDO GOMES DE BRITO, 329</v>
      </c>
      <c r="L26" s="5" t="str">
        <f>IFERROR(__xludf.DUMMYFUNCTION("""COMPUTED_VALUE"""),"ARTERIAL ")</f>
        <v>ARTERIAL </v>
      </c>
      <c r="M26" s="5" t="str">
        <f>IFERROR(__xludf.DUMMYFUNCTION("""COMPUTED_VALUE"""),"CRUZ DAS ALMAS")</f>
        <v>CRUZ DAS ALMAS</v>
      </c>
      <c r="N26" s="5" t="str">
        <f>IFERROR(__xludf.DUMMYFUNCTION("""COMPUTED_VALUE"""),"CENTRO - BAIRRO")</f>
        <v>CENTRO - BAIRRO</v>
      </c>
      <c r="O26" s="5" t="str">
        <f>IFERROR(__xludf.DUMMYFUNCTION("""COMPUTED_VALUE"""),"EM FRENTE A POUSADA REYMAR")</f>
        <v>EM FRENTE A POUSADA REYMAR</v>
      </c>
      <c r="P26" s="5" t="str">
        <f>IFERROR(__xludf.DUMMYFUNCTION("""COMPUTED_VALUE"""),"PRIORIDADE BAIXA")</f>
        <v>PRIORIDADE BAIXA</v>
      </c>
      <c r="Q26" s="5" t="str">
        <f>IFERROR(__xludf.DUMMYFUNCTION("""COMPUTED_VALUE"""),"PINTURA DE BAIA NO ASFALTO")</f>
        <v>PINTURA DE BAIA NO ASFALTO</v>
      </c>
      <c r="R26" s="5" t="str">
        <f>IFERROR(__xludf.DUMMYFUNCTION("""COMPUTED_VALUE"""),"NENHUMA DAS OPÇÕES")</f>
        <v>NENHUMA DAS OPÇÕES</v>
      </c>
      <c r="S26" s="7">
        <f>IFERROR(__xludf.DUMMYFUNCTION("""COMPUTED_VALUE"""),44749.0)</f>
        <v>44749</v>
      </c>
      <c r="T26" s="5"/>
      <c r="U26" s="7">
        <f>IFERROR(__xludf.DUMMYFUNCTION("""COMPUTED_VALUE"""),44882.0)</f>
        <v>44882</v>
      </c>
      <c r="V26" s="5"/>
      <c r="W26" s="5" t="str">
        <f>IFERROR(__xludf.DUMMYFUNCTION("""COMPUTED_VALUE"""),"NÃO")</f>
        <v>NÃO</v>
      </c>
      <c r="X26" s="5" t="str">
        <f>IFERROR(__xludf.DUMMYFUNCTION("""COMPUTED_VALUE"""),"NÃO SE APLICA")</f>
        <v>NÃO SE APLICA</v>
      </c>
    </row>
    <row r="27" hidden="1">
      <c r="A27" s="5">
        <f>IFERROR(__xludf.DUMMYFUNCTION("""COMPUTED_VALUE"""),8.0)</f>
        <v>8</v>
      </c>
      <c r="B27" s="5" t="str">
        <f>IFERROR(__xludf.DUMMYFUNCTION("""COMPUTED_VALUE"""),"CA028")</f>
        <v>CA028</v>
      </c>
      <c r="C27" s="5" t="str">
        <f>IFERROR(__xludf.DUMMYFUNCTION("""COMPUTED_VALUE"""),"NÃO POSSUI")</f>
        <v>NÃO POSSUI</v>
      </c>
      <c r="D27" s="5" t="str">
        <f>IFERROR(__xludf.DUMMYFUNCTION("""COMPUTED_VALUE"""),"FIXADA EM POSTE")</f>
        <v>FIXADA EM POSTE</v>
      </c>
      <c r="E27" s="5" t="str">
        <f>IFERROR(__xludf.DUMMYFUNCTION("""COMPUTED_VALUE"""),"SEM BAIA")</f>
        <v>SEM BAIA</v>
      </c>
      <c r="F27" s="5" t="str">
        <f>IFERROR(__xludf.DUMMYFUNCTION("""COMPUTED_VALUE"""),"NÃO")</f>
        <v>NÃO</v>
      </c>
      <c r="G27" s="5" t="str">
        <f>IFERROR(__xludf.DUMMYFUNCTION("""COMPUTED_VALUE"""),"NÃO")</f>
        <v>NÃO</v>
      </c>
      <c r="H27" s="5" t="str">
        <f>IFERROR(__xludf.DUMMYFUNCTION("""COMPUTED_VALUE"""),"PAVIMENTADA")</f>
        <v>PAVIMENTADA</v>
      </c>
      <c r="I27" s="6" t="str">
        <f>IFERROR(__xludf.DUMMYFUNCTION("""COMPUTED_VALUE"""),"-9.627669")</f>
        <v>-9.627669</v>
      </c>
      <c r="J27" s="6" t="str">
        <f>IFERROR(__xludf.DUMMYFUNCTION("""COMPUTED_VALUE"""),"-35.707986")</f>
        <v>-35.707986</v>
      </c>
      <c r="K27" s="5" t="str">
        <f>IFERROR(__xludf.DUMMYFUNCTION("""COMPUTED_VALUE"""),"AV. RUI BARBOSA, 18.")</f>
        <v>AV. RUI BARBOSA, 18.</v>
      </c>
      <c r="L27" s="5" t="str">
        <f>IFERROR(__xludf.DUMMYFUNCTION("""COMPUTED_VALUE"""),"COLETORA")</f>
        <v>COLETORA</v>
      </c>
      <c r="M27" s="5" t="str">
        <f>IFERROR(__xludf.DUMMYFUNCTION("""COMPUTED_VALUE"""),"CRUZ DAS ALMAS")</f>
        <v>CRUZ DAS ALMAS</v>
      </c>
      <c r="N27" s="5" t="str">
        <f>IFERROR(__xludf.DUMMYFUNCTION("""COMPUTED_VALUE"""),"CENTRO - BAIRRO")</f>
        <v>CENTRO - BAIRRO</v>
      </c>
      <c r="O27" s="5" t="str">
        <f>IFERROR(__xludf.DUMMYFUNCTION("""COMPUTED_VALUE"""),"CASA 18")</f>
        <v>CASA 18</v>
      </c>
      <c r="P27" s="5" t="str">
        <f>IFERROR(__xludf.DUMMYFUNCTION("""COMPUTED_VALUE"""),"PRIORIDADE BAIXA")</f>
        <v>PRIORIDADE BAIXA</v>
      </c>
      <c r="Q27" s="5" t="str">
        <f>IFERROR(__xludf.DUMMYFUNCTION("""COMPUTED_VALUE"""),"PINTURA DE BAIA NO ASFALTO")</f>
        <v>PINTURA DE BAIA NO ASFALTO</v>
      </c>
      <c r="R27" s="5" t="str">
        <f>IFERROR(__xludf.DUMMYFUNCTION("""COMPUTED_VALUE"""),"NENHUMA DAS OPÇÕES")</f>
        <v>NENHUMA DAS OPÇÕES</v>
      </c>
      <c r="S27" s="5"/>
      <c r="T27" s="5"/>
      <c r="U27" s="5"/>
      <c r="V27" s="5"/>
      <c r="W27" s="5" t="str">
        <f>IFERROR(__xludf.DUMMYFUNCTION("""COMPUTED_VALUE"""),"NÃO")</f>
        <v>NÃO</v>
      </c>
      <c r="X27" s="5" t="str">
        <f>IFERROR(__xludf.DUMMYFUNCTION("""COMPUTED_VALUE"""),"NÃO SE APLICA")</f>
        <v>NÃO SE APLICA</v>
      </c>
    </row>
    <row r="28">
      <c r="A28" s="5">
        <f>IFERROR(__xludf.DUMMYFUNCTION("""COMPUTED_VALUE"""),8.0)</f>
        <v>8</v>
      </c>
      <c r="B28" s="5" t="str">
        <f>IFERROR(__xludf.DUMMYFUNCTION("""COMPUTED_VALUE"""),"CA029")</f>
        <v>CA029</v>
      </c>
      <c r="C28" s="11" t="str">
        <f>IFERROR(__xludf.DUMMYFUNCTION("""COMPUTED_VALUE"""),"ABRIGO CONCRETO ")</f>
        <v>ABRIGO CONCRETO </v>
      </c>
      <c r="D28" s="5" t="str">
        <f>IFERROR(__xludf.DUMMYFUNCTION("""COMPUTED_VALUE"""),"SEM PLACA")</f>
        <v>SEM PLACA</v>
      </c>
      <c r="E28" s="5" t="str">
        <f>IFERROR(__xludf.DUMMYFUNCTION("""COMPUTED_VALUE"""),"SEM BAIA")</f>
        <v>SEM BAIA</v>
      </c>
      <c r="F28" s="5" t="str">
        <f>IFERROR(__xludf.DUMMYFUNCTION("""COMPUTED_VALUE"""),"NÃO")</f>
        <v>NÃO</v>
      </c>
      <c r="G28" s="5" t="str">
        <f>IFERROR(__xludf.DUMMYFUNCTION("""COMPUTED_VALUE"""),"NÃO")</f>
        <v>NÃO</v>
      </c>
      <c r="H28" s="5" t="str">
        <f>IFERROR(__xludf.DUMMYFUNCTION("""COMPUTED_VALUE"""),"NÃO PAVIMENTADA")</f>
        <v>NÃO PAVIMENTADA</v>
      </c>
      <c r="I28" s="6" t="str">
        <f>IFERROR(__xludf.DUMMYFUNCTION("""COMPUTED_VALUE"""),"-9.625615")</f>
        <v>-9.625615</v>
      </c>
      <c r="J28" s="6" t="str">
        <f>IFERROR(__xludf.DUMMYFUNCTION("""COMPUTED_VALUE"""),"-35.708137")</f>
        <v>-35.708137</v>
      </c>
      <c r="K28" s="5" t="str">
        <f>IFERROR(__xludf.DUMMYFUNCTION("""COMPUTED_VALUE"""),"AV. RUI BARBOSA, 111.")</f>
        <v>AV. RUI BARBOSA, 111.</v>
      </c>
      <c r="L28" s="5" t="str">
        <f>IFERROR(__xludf.DUMMYFUNCTION("""COMPUTED_VALUE"""),"COLETORA")</f>
        <v>COLETORA</v>
      </c>
      <c r="M28" s="5" t="str">
        <f>IFERROR(__xludf.DUMMYFUNCTION("""COMPUTED_VALUE"""),"CRUZ DAS ALMAS")</f>
        <v>CRUZ DAS ALMAS</v>
      </c>
      <c r="N28" s="5" t="str">
        <f>IFERROR(__xludf.DUMMYFUNCTION("""COMPUTED_VALUE"""),"CENTRO - BAIRRO")</f>
        <v>CENTRO - BAIRRO</v>
      </c>
      <c r="O28" s="5" t="str">
        <f>IFERROR(__xludf.DUMMYFUNCTION("""COMPUTED_VALUE"""),"CASA 111")</f>
        <v>CASA 111</v>
      </c>
      <c r="P28" s="5" t="str">
        <f>IFERROR(__xludf.DUMMYFUNCTION("""COMPUTED_VALUE"""),"PRIORIDADE BAIXA")</f>
        <v>PRIORIDADE BAIXA</v>
      </c>
      <c r="Q28" s="5" t="str">
        <f>IFERROR(__xludf.DUMMYFUNCTION("""COMPUTED_VALUE"""),"PINTURA DE BAIA NO ASFALTO, PAVIMENTAÇÃO DA CALÇADA")</f>
        <v>PINTURA DE BAIA NO ASFALTO, PAVIMENTAÇÃO DA CALÇADA</v>
      </c>
      <c r="R28" s="5" t="str">
        <f>IFERROR(__xludf.DUMMYFUNCTION("""COMPUTED_VALUE"""),"SUBSTITUIR ABRIGO")</f>
        <v>SUBSTITUIR ABRIGO</v>
      </c>
      <c r="S28" s="5"/>
      <c r="T28" s="5"/>
      <c r="U28" s="5"/>
      <c r="V28" s="5"/>
      <c r="W28" s="5" t="str">
        <f>IFERROR(__xludf.DUMMYFUNCTION("""COMPUTED_VALUE"""),"NÃO")</f>
        <v>NÃO</v>
      </c>
      <c r="X28" s="5" t="str">
        <f>IFERROR(__xludf.DUMMYFUNCTION("""COMPUTED_VALUE"""),"NÃO SE APLICA")</f>
        <v>NÃO SE APLICA</v>
      </c>
    </row>
    <row r="29">
      <c r="A29" s="5">
        <f>IFERROR(__xludf.DUMMYFUNCTION("IMPORTRANGE(""https://docs.google.com/spreadsheets/d/11Xf8ueyQm_IkJIrLjE_knan7jqO4kbHyGCgwn2elcQA/edit#gid=1469864628"", ""GARÇA TORTA!A3:X12"")"),8.0)</f>
        <v>8</v>
      </c>
      <c r="B29" s="5" t="str">
        <f>IFERROR(__xludf.DUMMYFUNCTION("""COMPUTED_VALUE"""),"GT001")</f>
        <v>GT001</v>
      </c>
      <c r="C29" s="5" t="str">
        <f>IFERROR(__xludf.DUMMYFUNCTION("""COMPUTED_VALUE"""),"ABRIGO MADEIRA PERSONALIZADO")</f>
        <v>ABRIGO MADEIRA PERSONALIZADO</v>
      </c>
      <c r="D29" s="5" t="str">
        <f>IFERROR(__xludf.DUMMYFUNCTION("""COMPUTED_VALUE"""),"SEM PLACA")</f>
        <v>SEM PLACA</v>
      </c>
      <c r="E29" s="5" t="str">
        <f>IFERROR(__xludf.DUMMYFUNCTION("""COMPUTED_VALUE"""),"SEM BAIA")</f>
        <v>SEM BAIA</v>
      </c>
      <c r="F29" s="5" t="str">
        <f>IFERROR(__xludf.DUMMYFUNCTION("""COMPUTED_VALUE"""),"NÃO")</f>
        <v>NÃO</v>
      </c>
      <c r="G29" s="5" t="str">
        <f>IFERROR(__xludf.DUMMYFUNCTION("""COMPUTED_VALUE"""),"NÃO")</f>
        <v>NÃO</v>
      </c>
      <c r="H29" s="5" t="str">
        <f>IFERROR(__xludf.DUMMYFUNCTION("""COMPUTED_VALUE"""),"NÃO PAVIMENTADA")</f>
        <v>NÃO PAVIMENTADA</v>
      </c>
      <c r="I29" s="6" t="str">
        <f>IFERROR(__xludf.DUMMYFUNCTION("""COMPUTED_VALUE"""),"-9.586032")</f>
        <v>-9.586032</v>
      </c>
      <c r="J29" s="6" t="str">
        <f>IFERROR(__xludf.DUMMYFUNCTION("""COMPUTED_VALUE"""),"-35.666339")</f>
        <v>-35.666339</v>
      </c>
      <c r="K29" s="5" t="str">
        <f>IFERROR(__xludf.DUMMYFUNCTION("""COMPUTED_VALUE"""),"AV. GEN. LUIZ DE FRANÇA ALBUQUERQUE – RODOVIA AL-101 NORTE, S/N")</f>
        <v>AV. GEN. LUIZ DE FRANÇA ALBUQUERQUE – RODOVIA AL-101 NORTE, S/N</v>
      </c>
      <c r="L29" s="5" t="str">
        <f>IFERROR(__xludf.DUMMYFUNCTION("""COMPUTED_VALUE"""),"RODOVIAS")</f>
        <v>RODOVIAS</v>
      </c>
      <c r="M29" s="5" t="str">
        <f>IFERROR(__xludf.DUMMYFUNCTION("""COMPUTED_VALUE"""),"GARÇA TORTA")</f>
        <v>GARÇA TORTA</v>
      </c>
      <c r="N29" s="5" t="str">
        <f>IFERROR(__xludf.DUMMYFUNCTION("""COMPUTED_VALUE"""),"BAIRRO - CENTRO")</f>
        <v>BAIRRO - CENTRO</v>
      </c>
      <c r="O29" s="5" t="str">
        <f>IFERROR(__xludf.DUMMYFUNCTION("""COMPUTED_VALUE"""),"EM FRENTE AO CONDOMÍNIO MORADA DA GARÇA")</f>
        <v>EM FRENTE AO CONDOMÍNIO MORADA DA GARÇA</v>
      </c>
      <c r="P29" s="5" t="str">
        <f>IFERROR(__xludf.DUMMYFUNCTION("""COMPUTED_VALUE"""),"URGENTE")</f>
        <v>URGENTE</v>
      </c>
      <c r="Q29" s="5" t="str">
        <f>IFERROR(__xludf.DUMMYFUNCTION("""COMPUTED_VALUE"""),"SUBSTITUIR ABRIGO E IMPLANTAR PLACA COM SUPORTE, PINTURA DA BAIA NO ASFALTO, ADEQUAR CALÇADA (RAMPA DE ACESSIBILIDADE E PISO TÁTIL), LIMPEZA DA VEGETAÇÃO")</f>
        <v>SUBSTITUIR ABRIGO E IMPLANTAR PLACA COM SUPORTE, PINTURA DA BAIA NO ASFALTO, ADEQUAR CALÇADA (RAMPA DE ACESSIBILIDADE E PISO TÁTIL), LIMPEZA DA VEGETAÇÃO</v>
      </c>
      <c r="R29" s="5" t="str">
        <f>IFERROR(__xludf.DUMMYFUNCTION("""COMPUTED_VALUE"""),"SUBSTITUIR ABRIGO")</f>
        <v>SUBSTITUIR ABRIGO</v>
      </c>
      <c r="S29" s="7">
        <f>IFERROR(__xludf.DUMMYFUNCTION("""COMPUTED_VALUE"""),44562.0)</f>
        <v>44562</v>
      </c>
      <c r="T29" s="5"/>
      <c r="U29" s="7">
        <f>IFERROR(__xludf.DUMMYFUNCTION("""COMPUTED_VALUE"""),44562.0)</f>
        <v>44562</v>
      </c>
      <c r="V29" s="9" t="str">
        <f>IFERROR(__xludf.DUMMYFUNCTION("""COMPUTED_VALUE"""),"https://drive.google.com/uc?id=1UIjIkAet-1XGk-gGx_zK8uIzePhn7sDU
")</f>
        <v>https://drive.google.com/uc?id=1UIjIkAet-1XGk-gGx_zK8uIzePhn7sDU
</v>
      </c>
      <c r="W29" s="5" t="str">
        <f>IFERROR(__xludf.DUMMYFUNCTION("""COMPUTED_VALUE"""),"NÃO")</f>
        <v>NÃO</v>
      </c>
      <c r="X29" s="5" t="str">
        <f>IFERROR(__xludf.DUMMYFUNCTION("""COMPUTED_VALUE"""),"NÃO SE APLICA")</f>
        <v>NÃO SE APLICA</v>
      </c>
    </row>
    <row r="30" hidden="1">
      <c r="A30" s="5">
        <f>IFERROR(__xludf.DUMMYFUNCTION("""COMPUTED_VALUE"""),8.0)</f>
        <v>8</v>
      </c>
      <c r="B30" s="5" t="str">
        <f>IFERROR(__xludf.DUMMYFUNCTION("""COMPUTED_VALUE"""),"GT002")</f>
        <v>GT002</v>
      </c>
      <c r="C30" s="5" t="str">
        <f>IFERROR(__xludf.DUMMYFUNCTION("""COMPUTED_VALUE"""),"NÃO POSSUI")</f>
        <v>NÃO POSSUI</v>
      </c>
      <c r="D30" s="5" t="str">
        <f>IFERROR(__xludf.DUMMYFUNCTION("""COMPUTED_VALUE"""),"FIXADA EM POSTE")</f>
        <v>FIXADA EM POSTE</v>
      </c>
      <c r="E30" s="5" t="str">
        <f>IFERROR(__xludf.DUMMYFUNCTION("""COMPUTED_VALUE"""),"SEM BAIA")</f>
        <v>SEM BAIA</v>
      </c>
      <c r="F30" s="5" t="str">
        <f>IFERROR(__xludf.DUMMYFUNCTION("""COMPUTED_VALUE"""),"NÃO")</f>
        <v>NÃO</v>
      </c>
      <c r="G30" s="5" t="str">
        <f>IFERROR(__xludf.DUMMYFUNCTION("""COMPUTED_VALUE"""),"NÃO")</f>
        <v>NÃO</v>
      </c>
      <c r="H30" s="5" t="str">
        <f>IFERROR(__xludf.DUMMYFUNCTION("""COMPUTED_VALUE"""),"PAVIMENTADA")</f>
        <v>PAVIMENTADA</v>
      </c>
      <c r="I30" s="6" t="str">
        <f>IFERROR(__xludf.DUMMYFUNCTION("""COMPUTED_VALUE"""),"-9.585914")</f>
        <v>-9.585914</v>
      </c>
      <c r="J30" s="6" t="str">
        <f>IFERROR(__xludf.DUMMYFUNCTION("""COMPUTED_VALUE"""),"-35.665866")</f>
        <v>-35.665866</v>
      </c>
      <c r="K30" s="5" t="str">
        <f>IFERROR(__xludf.DUMMYFUNCTION("""COMPUTED_VALUE"""),"AV. GEN. LUIZ DE FRANÇA ALBUQUERQUE – RODOVIA AL-101 NORTE, 97/2010")</f>
        <v>AV. GEN. LUIZ DE FRANÇA ALBUQUERQUE – RODOVIA AL-101 NORTE, 97/2010</v>
      </c>
      <c r="L30" s="5" t="str">
        <f>IFERROR(__xludf.DUMMYFUNCTION("""COMPUTED_VALUE"""),"RODOVIAS")</f>
        <v>RODOVIAS</v>
      </c>
      <c r="M30" s="5" t="str">
        <f>IFERROR(__xludf.DUMMYFUNCTION("""COMPUTED_VALUE"""),"GARÇA TORTA")</f>
        <v>GARÇA TORTA</v>
      </c>
      <c r="N30" s="5" t="str">
        <f>IFERROR(__xludf.DUMMYFUNCTION("""COMPUTED_VALUE"""),"CENTRO - BAIRRO")</f>
        <v>CENTRO - BAIRRO</v>
      </c>
      <c r="O30" s="5" t="str">
        <f>IFERROR(__xludf.DUMMYFUNCTION("""COMPUTED_VALUE"""),"AO LADO DO CONDOMÍNIO MORADA DA GARÇA")</f>
        <v>AO LADO DO CONDOMÍNIO MORADA DA GARÇA</v>
      </c>
      <c r="P30" s="5" t="str">
        <f>IFERROR(__xludf.DUMMYFUNCTION("""COMPUTED_VALUE"""),"PRIORIDADE ALTA")</f>
        <v>PRIORIDADE ALTA</v>
      </c>
      <c r="Q30" s="5" t="str">
        <f>IFERROR(__xludf.DUMMYFUNCTION("""COMPUTED_VALUE"""),"PINTURA DA BAIA NO ASFALTO, UNIFORMIZAÇÃO E ADEQUAÇÃO DA CALÇADA (RAMPA DE ACESSIBILIDADE E PISO TÁTIL), LIMPEZA DO ESGOTO QUE PASSA NA CALÇADA/ACOSTAMENTO")</f>
        <v>PINTURA DA BAIA NO ASFALTO, UNIFORMIZAÇÃO E ADEQUAÇÃO DA CALÇADA (RAMPA DE ACESSIBILIDADE E PISO TÁTIL), LIMPEZA DO ESGOTO QUE PASSA NA CALÇADA/ACOSTAMENTO</v>
      </c>
      <c r="R30" s="5" t="str">
        <f>IFERROR(__xludf.DUMMYFUNCTION("""COMPUTED_VALUE"""),"NENHUMA DAS OPÇÕES")</f>
        <v>NENHUMA DAS OPÇÕES</v>
      </c>
      <c r="S30" s="7">
        <f>IFERROR(__xludf.DUMMYFUNCTION("""COMPUTED_VALUE"""),44563.0)</f>
        <v>44563</v>
      </c>
      <c r="T30" s="5"/>
      <c r="U30" s="7">
        <f>IFERROR(__xludf.DUMMYFUNCTION("""COMPUTED_VALUE"""),44563.0)</f>
        <v>44563</v>
      </c>
      <c r="V30" s="9" t="str">
        <f>IFERROR(__xludf.DUMMYFUNCTION("""COMPUTED_VALUE"""),"https://drive.google.com/uc?id=1VeTXonc3YoboqhfA_hCCBuWoDp63CklR")</f>
        <v>https://drive.google.com/uc?id=1VeTXonc3YoboqhfA_hCCBuWoDp63CklR</v>
      </c>
      <c r="W30" s="5" t="str">
        <f>IFERROR(__xludf.DUMMYFUNCTION("""COMPUTED_VALUE"""),"NÃO")</f>
        <v>NÃO</v>
      </c>
      <c r="X30" s="5" t="str">
        <f>IFERROR(__xludf.DUMMYFUNCTION("""COMPUTED_VALUE"""),"NÃO SE APLICA")</f>
        <v>NÃO SE APLICA</v>
      </c>
    </row>
    <row r="31">
      <c r="A31" s="5">
        <f>IFERROR(__xludf.DUMMYFUNCTION("""COMPUTED_VALUE"""),8.0)</f>
        <v>8</v>
      </c>
      <c r="B31" s="5" t="str">
        <f>IFERROR(__xludf.DUMMYFUNCTION("""COMPUTED_VALUE"""),"GT003")</f>
        <v>GT003</v>
      </c>
      <c r="C31" s="5" t="str">
        <f>IFERROR(__xludf.DUMMYFUNCTION("""COMPUTED_VALUE"""),"ABRIGO CONCRETO")</f>
        <v>ABRIGO CONCRETO</v>
      </c>
      <c r="D31" s="5" t="str">
        <f>IFERROR(__xludf.DUMMYFUNCTION("""COMPUTED_VALUE"""),"SEM PLACA")</f>
        <v>SEM PLACA</v>
      </c>
      <c r="E31" s="5" t="str">
        <f>IFERROR(__xludf.DUMMYFUNCTION("""COMPUTED_VALUE"""),"SEM BAIA")</f>
        <v>SEM BAIA</v>
      </c>
      <c r="F31" s="5" t="str">
        <f>IFERROR(__xludf.DUMMYFUNCTION("""COMPUTED_VALUE"""),"NÃO")</f>
        <v>NÃO</v>
      </c>
      <c r="G31" s="5" t="str">
        <f>IFERROR(__xludf.DUMMYFUNCTION("""COMPUTED_VALUE"""),"NÃO")</f>
        <v>NÃO</v>
      </c>
      <c r="H31" s="5" t="str">
        <f>IFERROR(__xludf.DUMMYFUNCTION("""COMPUTED_VALUE"""),"PAVIMENTADA")</f>
        <v>PAVIMENTADA</v>
      </c>
      <c r="I31" s="6" t="str">
        <f>IFERROR(__xludf.DUMMYFUNCTION("""COMPUTED_VALUE"""),"-9.585115")</f>
        <v>-9.585115</v>
      </c>
      <c r="J31" s="6" t="str">
        <f>IFERROR(__xludf.DUMMYFUNCTION("""COMPUTED_VALUE"""),"-35.664211")</f>
        <v>-35.664211</v>
      </c>
      <c r="K31" s="5" t="str">
        <f>IFERROR(__xludf.DUMMYFUNCTION("""COMPUTED_VALUE"""),"AV. GEN. LUIZ DE FRANÇA ALBUQUERQUE – RODOVIA AL-101 NORTE, 290")</f>
        <v>AV. GEN. LUIZ DE FRANÇA ALBUQUERQUE – RODOVIA AL-101 NORTE, 290</v>
      </c>
      <c r="L31" s="5" t="str">
        <f>IFERROR(__xludf.DUMMYFUNCTION("""COMPUTED_VALUE"""),"RODOVIAS")</f>
        <v>RODOVIAS</v>
      </c>
      <c r="M31" s="5" t="str">
        <f>IFERROR(__xludf.DUMMYFUNCTION("""COMPUTED_VALUE"""),"GARÇA TORTA")</f>
        <v>GARÇA TORTA</v>
      </c>
      <c r="N31" s="5" t="str">
        <f>IFERROR(__xludf.DUMMYFUNCTION("""COMPUTED_VALUE"""),"BAIRRO - CENTRO")</f>
        <v>BAIRRO - CENTRO</v>
      </c>
      <c r="O31" s="5" t="str">
        <f>IFERROR(__xludf.DUMMYFUNCTION("""COMPUTED_VALUE"""),"AO LADO DO CONDOMÍNIO ATLÂNTIS")</f>
        <v>AO LADO DO CONDOMÍNIO ATLÂNTIS</v>
      </c>
      <c r="P31" s="5" t="str">
        <f>IFERROR(__xludf.DUMMYFUNCTION("""COMPUTED_VALUE"""),"PRIORIDADE ALTA")</f>
        <v>PRIORIDADE ALTA</v>
      </c>
      <c r="Q31" s="5" t="str">
        <f>IFERROR(__xludf.DUMMYFUNCTION("""COMPUTED_VALUE"""),"ADEQUAÇÃO DA CALÇADA (RAMPA DE ACESSIBILIDADE E PISO TÁTIL)")</f>
        <v>ADEQUAÇÃO DA CALÇADA (RAMPA DE ACESSIBILIDADE E PISO TÁTIL)</v>
      </c>
      <c r="R31" s="5" t="str">
        <f>IFERROR(__xludf.DUMMYFUNCTION("""COMPUTED_VALUE"""),"SUBSTITUIR ABRIGO")</f>
        <v>SUBSTITUIR ABRIGO</v>
      </c>
      <c r="S31" s="7">
        <f>IFERROR(__xludf.DUMMYFUNCTION("""COMPUTED_VALUE"""),44564.0)</f>
        <v>44564</v>
      </c>
      <c r="T31" s="5"/>
      <c r="U31" s="7">
        <f>IFERROR(__xludf.DUMMYFUNCTION("""COMPUTED_VALUE"""),44564.0)</f>
        <v>44564</v>
      </c>
      <c r="V31" s="9" t="str">
        <f>IFERROR(__xludf.DUMMYFUNCTION("""COMPUTED_VALUE"""),"https://drive.google.com/uc?id=1l8tQ3ycVv0YTcyANXNYFkgUfrUzxqKuI")</f>
        <v>https://drive.google.com/uc?id=1l8tQ3ycVv0YTcyANXNYFkgUfrUzxqKuI</v>
      </c>
      <c r="W31" s="5" t="str">
        <f>IFERROR(__xludf.DUMMYFUNCTION("""COMPUTED_VALUE"""),"NÃO")</f>
        <v>NÃO</v>
      </c>
      <c r="X31" s="5" t="str">
        <f>IFERROR(__xludf.DUMMYFUNCTION("""COMPUTED_VALUE"""),"NÃO SE APLICA")</f>
        <v>NÃO SE APLICA</v>
      </c>
    </row>
    <row r="32" hidden="1">
      <c r="A32" s="5">
        <f>IFERROR(__xludf.DUMMYFUNCTION("""COMPUTED_VALUE"""),8.0)</f>
        <v>8</v>
      </c>
      <c r="B32" s="5" t="str">
        <f>IFERROR(__xludf.DUMMYFUNCTION("""COMPUTED_VALUE"""),"GT004")</f>
        <v>GT004</v>
      </c>
      <c r="C32" s="5" t="str">
        <f>IFERROR(__xludf.DUMMYFUNCTION("""COMPUTED_VALUE"""),"NÃO POSSUI")</f>
        <v>NÃO POSSUI</v>
      </c>
      <c r="D32" s="5" t="str">
        <f>IFERROR(__xludf.DUMMYFUNCTION("""COMPUTED_VALUE"""),"COM SUPORTE")</f>
        <v>COM SUPORTE</v>
      </c>
      <c r="E32" s="5" t="str">
        <f>IFERROR(__xludf.DUMMYFUNCTION("""COMPUTED_VALUE"""),"SEM BAIA")</f>
        <v>SEM BAIA</v>
      </c>
      <c r="F32" s="5" t="str">
        <f>IFERROR(__xludf.DUMMYFUNCTION("""COMPUTED_VALUE"""),"NÃO")</f>
        <v>NÃO</v>
      </c>
      <c r="G32" s="5" t="str">
        <f>IFERROR(__xludf.DUMMYFUNCTION("""COMPUTED_VALUE"""),"NÃO")</f>
        <v>NÃO</v>
      </c>
      <c r="H32" s="5" t="str">
        <f>IFERROR(__xludf.DUMMYFUNCTION("""COMPUTED_VALUE"""),"PAVIMENTADA")</f>
        <v>PAVIMENTADA</v>
      </c>
      <c r="I32" s="6" t="str">
        <f>IFERROR(__xludf.DUMMYFUNCTION("""COMPUTED_VALUE"""),"-9.585263")</f>
        <v>-9.585263</v>
      </c>
      <c r="J32" s="6" t="str">
        <f>IFERROR(__xludf.DUMMYFUNCTION("""COMPUTED_VALUE"""),"-35.664264")</f>
        <v>-35.664264</v>
      </c>
      <c r="K32" s="5" t="str">
        <f>IFERROR(__xludf.DUMMYFUNCTION("""COMPUTED_VALUE"""),"AV. GEN. LUIZ DE FRANÇA ALBUQUERQUE – RODOVIA AL-101 NORTE, 270")</f>
        <v>AV. GEN. LUIZ DE FRANÇA ALBUQUERQUE – RODOVIA AL-101 NORTE, 270</v>
      </c>
      <c r="L32" s="5" t="str">
        <f>IFERROR(__xludf.DUMMYFUNCTION("""COMPUTED_VALUE"""),"RODOVIAS")</f>
        <v>RODOVIAS</v>
      </c>
      <c r="M32" s="5" t="str">
        <f>IFERROR(__xludf.DUMMYFUNCTION("""COMPUTED_VALUE"""),"GARÇA TORTA")</f>
        <v>GARÇA TORTA</v>
      </c>
      <c r="N32" s="5" t="str">
        <f>IFERROR(__xludf.DUMMYFUNCTION("""COMPUTED_VALUE"""),"CENTRO - BAIRRO")</f>
        <v>CENTRO - BAIRRO</v>
      </c>
      <c r="O32" s="5" t="str">
        <f>IFERROR(__xludf.DUMMYFUNCTION("""COMPUTED_VALUE"""),"DEPOIS DA ENTRADA DO CONDOMÍNIO ATLÂNTIS")</f>
        <v>DEPOIS DA ENTRADA DO CONDOMÍNIO ATLÂNTIS</v>
      </c>
      <c r="P32" s="5" t="str">
        <f>IFERROR(__xludf.DUMMYFUNCTION("""COMPUTED_VALUE"""),"PRIORIDADE ALTA")</f>
        <v>PRIORIDADE ALTA</v>
      </c>
      <c r="Q32" s="5" t="str">
        <f>IFERROR(__xludf.DUMMYFUNCTION("""COMPUTED_VALUE"""),"PAVIMENTAÇÃO E ADEQUAÇÃO DA CALÇADA (RAMPA DE ACESSIBILIDADE E PISO TÁTIL)")</f>
        <v>PAVIMENTAÇÃO E ADEQUAÇÃO DA CALÇADA (RAMPA DE ACESSIBILIDADE E PISO TÁTIL)</v>
      </c>
      <c r="R32" s="5" t="str">
        <f>IFERROR(__xludf.DUMMYFUNCTION("""COMPUTED_VALUE"""),"NENHUMA DAS OPÇÕES")</f>
        <v>NENHUMA DAS OPÇÕES</v>
      </c>
      <c r="S32" s="7">
        <f>IFERROR(__xludf.DUMMYFUNCTION("""COMPUTED_VALUE"""),44565.0)</f>
        <v>44565</v>
      </c>
      <c r="T32" s="5"/>
      <c r="U32" s="7">
        <f>IFERROR(__xludf.DUMMYFUNCTION("""COMPUTED_VALUE"""),44565.0)</f>
        <v>44565</v>
      </c>
      <c r="V32" s="9" t="str">
        <f>IFERROR(__xludf.DUMMYFUNCTION("""COMPUTED_VALUE"""),"https://drive.google.com/uc?id=13rDX0iVx4C7xXWcktIv_gzuiMePDia3b")</f>
        <v>https://drive.google.com/uc?id=13rDX0iVx4C7xXWcktIv_gzuiMePDia3b</v>
      </c>
      <c r="W32" s="5" t="str">
        <f>IFERROR(__xludf.DUMMYFUNCTION("""COMPUTED_VALUE"""),"NÃO")</f>
        <v>NÃO</v>
      </c>
      <c r="X32" s="5" t="str">
        <f>IFERROR(__xludf.DUMMYFUNCTION("""COMPUTED_VALUE"""),"NÃO SE APLICA")</f>
        <v>NÃO SE APLICA</v>
      </c>
    </row>
    <row r="33" hidden="1">
      <c r="A33" s="5">
        <f>IFERROR(__xludf.DUMMYFUNCTION("""COMPUTED_VALUE"""),8.0)</f>
        <v>8</v>
      </c>
      <c r="B33" s="5" t="str">
        <f>IFERROR(__xludf.DUMMYFUNCTION("""COMPUTED_VALUE"""),"GT005")</f>
        <v>GT005</v>
      </c>
      <c r="C33" s="5" t="str">
        <f>IFERROR(__xludf.DUMMYFUNCTION("""COMPUTED_VALUE"""),"NÃO POSSUI")</f>
        <v>NÃO POSSUI</v>
      </c>
      <c r="D33" s="5" t="str">
        <f>IFERROR(__xludf.DUMMYFUNCTION("""COMPUTED_VALUE"""),"FIXADA EM POSTE")</f>
        <v>FIXADA EM POSTE</v>
      </c>
      <c r="E33" s="5" t="str">
        <f>IFERROR(__xludf.DUMMYFUNCTION("""COMPUTED_VALUE"""),"SEM BAIA")</f>
        <v>SEM BAIA</v>
      </c>
      <c r="F33" s="5" t="str">
        <f>IFERROR(__xludf.DUMMYFUNCTION("""COMPUTED_VALUE"""),"NÃO")</f>
        <v>NÃO</v>
      </c>
      <c r="G33" s="5" t="str">
        <f>IFERROR(__xludf.DUMMYFUNCTION("""COMPUTED_VALUE"""),"NÃO")</f>
        <v>NÃO</v>
      </c>
      <c r="H33" s="5" t="str">
        <f>IFERROR(__xludf.DUMMYFUNCTION("""COMPUTED_VALUE"""),"PAVIMENTADA COM AVARIAS")</f>
        <v>PAVIMENTADA COM AVARIAS</v>
      </c>
      <c r="I33" s="6" t="str">
        <f>IFERROR(__xludf.DUMMYFUNCTION("""COMPUTED_VALUE"""),"-9.584122")</f>
        <v>-9.584122</v>
      </c>
      <c r="J33" s="6" t="str">
        <f>IFERROR(__xludf.DUMMYFUNCTION("""COMPUTED_VALUE"""),"-35.662327")</f>
        <v>-35.662327</v>
      </c>
      <c r="K33" s="5" t="str">
        <f>IFERROR(__xludf.DUMMYFUNCTION("""COMPUTED_VALUE"""),"AV. GEN. LUIZ DE FRANÇA ALBUQUERQUE – RODOVIA AL-101 NORTE, 11900")</f>
        <v>AV. GEN. LUIZ DE FRANÇA ALBUQUERQUE – RODOVIA AL-101 NORTE, 11900</v>
      </c>
      <c r="L33" s="5" t="str">
        <f>IFERROR(__xludf.DUMMYFUNCTION("""COMPUTED_VALUE"""),"RODOVIAS")</f>
        <v>RODOVIAS</v>
      </c>
      <c r="M33" s="5" t="str">
        <f>IFERROR(__xludf.DUMMYFUNCTION("""COMPUTED_VALUE"""),"GARÇA TORTA")</f>
        <v>GARÇA TORTA</v>
      </c>
      <c r="N33" s="5" t="str">
        <f>IFERROR(__xludf.DUMMYFUNCTION("""COMPUTED_VALUE"""),"CENTRO - BAIRRO")</f>
        <v>CENTRO - BAIRRO</v>
      </c>
      <c r="O33" s="5"/>
      <c r="P33" s="5" t="str">
        <f>IFERROR(__xludf.DUMMYFUNCTION("""COMPUTED_VALUE"""),"PRIORIDADE ALTA")</f>
        <v>PRIORIDADE ALTA</v>
      </c>
      <c r="Q33" s="5" t="str">
        <f>IFERROR(__xludf.DUMMYFUNCTION("""COMPUTED_VALUE"""),"REALOCAÇÃO DA PLACA FIXADA EM POSTE, PAVIMENTAÇÃO E ADEQUAÇÃO DA CALÇADA (RAMPA DE ACESSIBILIDADE E PISO TÁTIL) ")</f>
        <v>REALOCAÇÃO DA PLACA FIXADA EM POSTE, PAVIMENTAÇÃO E ADEQUAÇÃO DA CALÇADA (RAMPA DE ACESSIBILIDADE E PISO TÁTIL) </v>
      </c>
      <c r="R33" s="5" t="str">
        <f>IFERROR(__xludf.DUMMYFUNCTION("""COMPUTED_VALUE"""),"IMPLANTAR ABRIGO")</f>
        <v>IMPLANTAR ABRIGO</v>
      </c>
      <c r="S33" s="7">
        <f>IFERROR(__xludf.DUMMYFUNCTION("""COMPUTED_VALUE"""),44566.0)</f>
        <v>44566</v>
      </c>
      <c r="T33" s="5"/>
      <c r="U33" s="7">
        <f>IFERROR(__xludf.DUMMYFUNCTION("""COMPUTED_VALUE"""),44566.0)</f>
        <v>44566</v>
      </c>
      <c r="V33" s="9" t="str">
        <f>IFERROR(__xludf.DUMMYFUNCTION("""COMPUTED_VALUE"""),"https://drive.google.com/uc?id=1fTQhgjJKxHK9orhayU74btFHvd1P_IHp ")</f>
        <v>https://drive.google.com/uc?id=1fTQhgjJKxHK9orhayU74btFHvd1P_IHp </v>
      </c>
      <c r="W33" s="5" t="str">
        <f>IFERROR(__xludf.DUMMYFUNCTION("""COMPUTED_VALUE"""),"NÃO")</f>
        <v>NÃO</v>
      </c>
      <c r="X33" s="5" t="str">
        <f>IFERROR(__xludf.DUMMYFUNCTION("""COMPUTED_VALUE"""),"NÃO SE APLICA")</f>
        <v>NÃO SE APLICA</v>
      </c>
    </row>
    <row r="34" hidden="1">
      <c r="A34" s="5">
        <f>IFERROR(__xludf.DUMMYFUNCTION("""COMPUTED_VALUE"""),8.0)</f>
        <v>8</v>
      </c>
      <c r="B34" s="5" t="str">
        <f>IFERROR(__xludf.DUMMYFUNCTION("""COMPUTED_VALUE"""),"GT006")</f>
        <v>GT006</v>
      </c>
      <c r="C34" s="5" t="str">
        <f>IFERROR(__xludf.DUMMYFUNCTION("""COMPUTED_VALUE"""),"NÃO POSSUI")</f>
        <v>NÃO POSSUI</v>
      </c>
      <c r="D34" s="5" t="str">
        <f>IFERROR(__xludf.DUMMYFUNCTION("""COMPUTED_VALUE"""),"FIXADA EM POSTE")</f>
        <v>FIXADA EM POSTE</v>
      </c>
      <c r="E34" s="5" t="str">
        <f>IFERROR(__xludf.DUMMYFUNCTION("""COMPUTED_VALUE"""),"SEM BAIA")</f>
        <v>SEM BAIA</v>
      </c>
      <c r="F34" s="5" t="str">
        <f>IFERROR(__xludf.DUMMYFUNCTION("""COMPUTED_VALUE"""),"NÃO")</f>
        <v>NÃO</v>
      </c>
      <c r="G34" s="5" t="str">
        <f>IFERROR(__xludf.DUMMYFUNCTION("""COMPUTED_VALUE"""),"NÃO")</f>
        <v>NÃO</v>
      </c>
      <c r="H34" s="5" t="str">
        <f>IFERROR(__xludf.DUMMYFUNCTION("""COMPUTED_VALUE"""),"PAVIMENTADA")</f>
        <v>PAVIMENTADA</v>
      </c>
      <c r="I34" s="6" t="str">
        <f>IFERROR(__xludf.DUMMYFUNCTION("""COMPUTED_VALUE"""),"-9.584337")</f>
        <v>-9.584337</v>
      </c>
      <c r="J34" s="6" t="str">
        <f>IFERROR(__xludf.DUMMYFUNCTION("""COMPUTED_VALUE"""),"-35.662705")</f>
        <v>-35.662705</v>
      </c>
      <c r="K34" s="5" t="str">
        <f>IFERROR(__xludf.DUMMYFUNCTION("""COMPUTED_VALUE"""),"AV. GEN. LUIZ DE FRANÇA ALBUQUERQUE – RODOVIA AL-101 NORTE, 5915")</f>
        <v>AV. GEN. LUIZ DE FRANÇA ALBUQUERQUE – RODOVIA AL-101 NORTE, 5915</v>
      </c>
      <c r="L34" s="5" t="str">
        <f>IFERROR(__xludf.DUMMYFUNCTION("""COMPUTED_VALUE"""),"RODOVIAS")</f>
        <v>RODOVIAS</v>
      </c>
      <c r="M34" s="5" t="str">
        <f>IFERROR(__xludf.DUMMYFUNCTION("""COMPUTED_VALUE"""),"GARÇA TORTA")</f>
        <v>GARÇA TORTA</v>
      </c>
      <c r="N34" s="5" t="str">
        <f>IFERROR(__xludf.DUMMYFUNCTION("""COMPUTED_VALUE"""),"BAIRRO - CENTRO")</f>
        <v>BAIRRO - CENTRO</v>
      </c>
      <c r="O34" s="5" t="str">
        <f>IFERROR(__xludf.DUMMYFUNCTION("""COMPUTED_VALUE"""),"PRÓXIMO A IGREJA EVANGÉLICA DEUS SUPREMO")</f>
        <v>PRÓXIMO A IGREJA EVANGÉLICA DEUS SUPREMO</v>
      </c>
      <c r="P34" s="5" t="str">
        <f>IFERROR(__xludf.DUMMYFUNCTION("""COMPUTED_VALUE"""),"PRIORIDADE ALTA")</f>
        <v>PRIORIDADE ALTA</v>
      </c>
      <c r="Q34" s="5" t="str">
        <f>IFERROR(__xludf.DUMMYFUNCTION("""COMPUTED_VALUE"""),"REALOCAÇÃO DA PLACA FIXADA EM POSTE, ADEQUAÇÃO DA CALÇADA (RAMPA DE ACESSIBILIDADE E PISO TÁTIL) ")</f>
        <v>REALOCAÇÃO DA PLACA FIXADA EM POSTE, ADEQUAÇÃO DA CALÇADA (RAMPA DE ACESSIBILIDADE E PISO TÁTIL) </v>
      </c>
      <c r="R34" s="5" t="str">
        <f>IFERROR(__xludf.DUMMYFUNCTION("""COMPUTED_VALUE"""),"NENHUMA DAS OPÇÕES")</f>
        <v>NENHUMA DAS OPÇÕES</v>
      </c>
      <c r="S34" s="7">
        <f>IFERROR(__xludf.DUMMYFUNCTION("""COMPUTED_VALUE"""),44567.0)</f>
        <v>44567</v>
      </c>
      <c r="T34" s="5"/>
      <c r="U34" s="7">
        <f>IFERROR(__xludf.DUMMYFUNCTION("""COMPUTED_VALUE"""),44567.0)</f>
        <v>44567</v>
      </c>
      <c r="V34" s="9" t="str">
        <f>IFERROR(__xludf.DUMMYFUNCTION("""COMPUTED_VALUE"""),"https://drive.google.com/uc?id=160rEQUK4R3ClTYybkReiqwqjpBuawjMA ")</f>
        <v>https://drive.google.com/uc?id=160rEQUK4R3ClTYybkReiqwqjpBuawjMA </v>
      </c>
      <c r="W34" s="5" t="str">
        <f>IFERROR(__xludf.DUMMYFUNCTION("""COMPUTED_VALUE"""),"NÃO")</f>
        <v>NÃO</v>
      </c>
      <c r="X34" s="5" t="str">
        <f>IFERROR(__xludf.DUMMYFUNCTION("""COMPUTED_VALUE"""),"NÃO SE APLICA")</f>
        <v>NÃO SE APLICA</v>
      </c>
    </row>
    <row r="35" hidden="1">
      <c r="A35" s="5">
        <f>IFERROR(__xludf.DUMMYFUNCTION("""COMPUTED_VALUE"""),8.0)</f>
        <v>8</v>
      </c>
      <c r="B35" s="5" t="str">
        <f>IFERROR(__xludf.DUMMYFUNCTION("""COMPUTED_VALUE"""),"GT007")</f>
        <v>GT007</v>
      </c>
      <c r="C35" s="5" t="str">
        <f>IFERROR(__xludf.DUMMYFUNCTION("""COMPUTED_VALUE"""),"NÃO POSSUI")</f>
        <v>NÃO POSSUI</v>
      </c>
      <c r="D35" s="5" t="str">
        <f>IFERROR(__xludf.DUMMYFUNCTION("""COMPUTED_VALUE"""),"FIXADA EM POSTE")</f>
        <v>FIXADA EM POSTE</v>
      </c>
      <c r="E35" s="5" t="str">
        <f>IFERROR(__xludf.DUMMYFUNCTION("""COMPUTED_VALUE"""),"SEM BAIA")</f>
        <v>SEM BAIA</v>
      </c>
      <c r="F35" s="5" t="str">
        <f>IFERROR(__xludf.DUMMYFUNCTION("""COMPUTED_VALUE"""),"NÃO")</f>
        <v>NÃO</v>
      </c>
      <c r="G35" s="5" t="str">
        <f>IFERROR(__xludf.DUMMYFUNCTION("""COMPUTED_VALUE"""),"NÃO")</f>
        <v>NÃO</v>
      </c>
      <c r="H35" s="5" t="str">
        <f>IFERROR(__xludf.DUMMYFUNCTION("""COMPUTED_VALUE"""),"PAVIMENTADA")</f>
        <v>PAVIMENTADA</v>
      </c>
      <c r="I35" s="6" t="str">
        <f>IFERROR(__xludf.DUMMYFUNCTION("""COMPUTED_VALUE"""),"-9.582687")</f>
        <v>-9.582687</v>
      </c>
      <c r="J35" s="6" t="str">
        <f>IFERROR(__xludf.DUMMYFUNCTION("""COMPUTED_VALUE"""),"-35.661021")</f>
        <v>-35.661021</v>
      </c>
      <c r="K35" s="5" t="str">
        <f>IFERROR(__xludf.DUMMYFUNCTION("""COMPUTED_VALUE"""),"AV. GEN. LUIZ DE FRANÇA ALBUQUERQUE – RODOVIA AL-101 NORTE, 250")</f>
        <v>AV. GEN. LUIZ DE FRANÇA ALBUQUERQUE – RODOVIA AL-101 NORTE, 250</v>
      </c>
      <c r="L35" s="5" t="str">
        <f>IFERROR(__xludf.DUMMYFUNCTION("""COMPUTED_VALUE"""),"RODOVIAS")</f>
        <v>RODOVIAS</v>
      </c>
      <c r="M35" s="5" t="str">
        <f>IFERROR(__xludf.DUMMYFUNCTION("""COMPUTED_VALUE"""),"GARÇA TORTA")</f>
        <v>GARÇA TORTA</v>
      </c>
      <c r="N35" s="5" t="str">
        <f>IFERROR(__xludf.DUMMYFUNCTION("""COMPUTED_VALUE"""),"CENTRO - BAIRRO")</f>
        <v>CENTRO - BAIRRO</v>
      </c>
      <c r="O35" s="5" t="str">
        <f>IFERROR(__xludf.DUMMYFUNCTION("""COMPUTED_VALUE"""),"EM FRENTE A ASSOCIAÇÃO DO PESSOAL DA CAIXA ECONÔMICA FEDERAL")</f>
        <v>EM FRENTE A ASSOCIAÇÃO DO PESSOAL DA CAIXA ECONÔMICA FEDERAL</v>
      </c>
      <c r="P35" s="5" t="str">
        <f>IFERROR(__xludf.DUMMYFUNCTION("""COMPUTED_VALUE"""),"PRIORIDADE ALTA")</f>
        <v>PRIORIDADE ALTA</v>
      </c>
      <c r="Q35" s="5" t="str">
        <f>IFERROR(__xludf.DUMMYFUNCTION("""COMPUTED_VALUE"""),"REALOCAÇÃO DA PLACA FIXADA EM POSTE PARA LOCAL QUE PRECISARÁ DE SUPORTE, ADEQUAÇÃO DA CALÇADA (RAMPA DE ACESSIBILIDADE E PISO TÁTIL) ")</f>
        <v>REALOCAÇÃO DA PLACA FIXADA EM POSTE PARA LOCAL QUE PRECISARÁ DE SUPORTE, ADEQUAÇÃO DA CALÇADA (RAMPA DE ACESSIBILIDADE E PISO TÁTIL) </v>
      </c>
      <c r="R35" s="5" t="str">
        <f>IFERROR(__xludf.DUMMYFUNCTION("""COMPUTED_VALUE"""),"NENHUMA DAS OPÇÕES")</f>
        <v>NENHUMA DAS OPÇÕES</v>
      </c>
      <c r="S35" s="7">
        <f>IFERROR(__xludf.DUMMYFUNCTION("""COMPUTED_VALUE"""),44568.0)</f>
        <v>44568</v>
      </c>
      <c r="T35" s="5"/>
      <c r="U35" s="7">
        <f>IFERROR(__xludf.DUMMYFUNCTION("""COMPUTED_VALUE"""),44568.0)</f>
        <v>44568</v>
      </c>
      <c r="V35" s="9" t="str">
        <f>IFERROR(__xludf.DUMMYFUNCTION("""COMPUTED_VALUE"""),"https://drive.google.com/uc?id=1JuWPuWn8nX_rxU_9YqH0KBn8-fHg0H3u  ")</f>
        <v>https://drive.google.com/uc?id=1JuWPuWn8nX_rxU_9YqH0KBn8-fHg0H3u  </v>
      </c>
      <c r="W35" s="5" t="str">
        <f>IFERROR(__xludf.DUMMYFUNCTION("""COMPUTED_VALUE"""),"NÃO")</f>
        <v>NÃO</v>
      </c>
      <c r="X35" s="5" t="str">
        <f>IFERROR(__xludf.DUMMYFUNCTION("""COMPUTED_VALUE"""),"NÃO SE APLICA")</f>
        <v>NÃO SE APLICA</v>
      </c>
    </row>
    <row r="36" hidden="1">
      <c r="A36" s="5">
        <f>IFERROR(__xludf.DUMMYFUNCTION("""COMPUTED_VALUE"""),8.0)</f>
        <v>8</v>
      </c>
      <c r="B36" s="5" t="str">
        <f>IFERROR(__xludf.DUMMYFUNCTION("""COMPUTED_VALUE"""),"GT008")</f>
        <v>GT008</v>
      </c>
      <c r="C36" s="5" t="str">
        <f>IFERROR(__xludf.DUMMYFUNCTION("""COMPUTED_VALUE"""),"NÃO POSSUI")</f>
        <v>NÃO POSSUI</v>
      </c>
      <c r="D36" s="5" t="str">
        <f>IFERROR(__xludf.DUMMYFUNCTION("""COMPUTED_VALUE"""),"FIXADA EM POSTE")</f>
        <v>FIXADA EM POSTE</v>
      </c>
      <c r="E36" s="5" t="str">
        <f>IFERROR(__xludf.DUMMYFUNCTION("""COMPUTED_VALUE"""),"SEM BAIA")</f>
        <v>SEM BAIA</v>
      </c>
      <c r="F36" s="5" t="str">
        <f>IFERROR(__xludf.DUMMYFUNCTION("""COMPUTED_VALUE"""),"NÃO")</f>
        <v>NÃO</v>
      </c>
      <c r="G36" s="5" t="str">
        <f>IFERROR(__xludf.DUMMYFUNCTION("""COMPUTED_VALUE"""),"NÃO")</f>
        <v>NÃO</v>
      </c>
      <c r="H36" s="5" t="str">
        <f>IFERROR(__xludf.DUMMYFUNCTION("""COMPUTED_VALUE"""),"PAVIMENTADA")</f>
        <v>PAVIMENTADA</v>
      </c>
      <c r="I36" s="6" t="str">
        <f>IFERROR(__xludf.DUMMYFUNCTION("""COMPUTED_VALUE"""),"-9.582540")</f>
        <v>-9.582540</v>
      </c>
      <c r="J36" s="6" t="str">
        <f>IFERROR(__xludf.DUMMYFUNCTION("""COMPUTED_VALUE"""),"-35.661009")</f>
        <v>-35.661009</v>
      </c>
      <c r="K36" s="5" t="str">
        <f>IFERROR(__xludf.DUMMYFUNCTION("""COMPUTED_VALUE"""),"AV. GEN. LUIZ DE FRANÇA ALBUQUERQUE – RODOVIA AL-101 NORTE, S/N")</f>
        <v>AV. GEN. LUIZ DE FRANÇA ALBUQUERQUE – RODOVIA AL-101 NORTE, S/N</v>
      </c>
      <c r="L36" s="5" t="str">
        <f>IFERROR(__xludf.DUMMYFUNCTION("""COMPUTED_VALUE"""),"RODOVIAS")</f>
        <v>RODOVIAS</v>
      </c>
      <c r="M36" s="5" t="str">
        <f>IFERROR(__xludf.DUMMYFUNCTION("""COMPUTED_VALUE"""),"GARÇA TORTA")</f>
        <v>GARÇA TORTA</v>
      </c>
      <c r="N36" s="5" t="str">
        <f>IFERROR(__xludf.DUMMYFUNCTION("""COMPUTED_VALUE"""),"BAIRRO - CENTRO")</f>
        <v>BAIRRO - CENTRO</v>
      </c>
      <c r="O36" s="5" t="str">
        <f>IFERROR(__xludf.DUMMYFUNCTION("""COMPUTED_VALUE"""),"EM FRENTE A ASSOCIAÇÃO DO PESSOAL DA CAIXA ECONÔMICA FEDERAL")</f>
        <v>EM FRENTE A ASSOCIAÇÃO DO PESSOAL DA CAIXA ECONÔMICA FEDERAL</v>
      </c>
      <c r="P36" s="5" t="str">
        <f>IFERROR(__xludf.DUMMYFUNCTION("""COMPUTED_VALUE"""),"PRIORIDADE ALTA")</f>
        <v>PRIORIDADE ALTA</v>
      </c>
      <c r="Q36" s="5" t="str">
        <f>IFERROR(__xludf.DUMMYFUNCTION("""COMPUTED_VALUE"""),"IMPLANTAR ABRIGO, PAVIMENTAÇÃO E ADEQUAÇÃO DA CALÇADA (RAMPA DE ACESSIBILIDADE E PISO TÁTIL), LIMPEZA DA VEGETAÇÃO")</f>
        <v>IMPLANTAR ABRIGO, PAVIMENTAÇÃO E ADEQUAÇÃO DA CALÇADA (RAMPA DE ACESSIBILIDADE E PISO TÁTIL), LIMPEZA DA VEGETAÇÃO</v>
      </c>
      <c r="R36" s="5" t="str">
        <f>IFERROR(__xludf.DUMMYFUNCTION("""COMPUTED_VALUE"""),"NENHUMA DAS OPÇÕES")</f>
        <v>NENHUMA DAS OPÇÕES</v>
      </c>
      <c r="S36" s="7">
        <f>IFERROR(__xludf.DUMMYFUNCTION("""COMPUTED_VALUE"""),44569.0)</f>
        <v>44569</v>
      </c>
      <c r="T36" s="5"/>
      <c r="U36" s="7">
        <f>IFERROR(__xludf.DUMMYFUNCTION("""COMPUTED_VALUE"""),44569.0)</f>
        <v>44569</v>
      </c>
      <c r="V36" s="9" t="str">
        <f>IFERROR(__xludf.DUMMYFUNCTION("""COMPUTED_VALUE"""),"https://drive.google.com/uc?id=1zIrtIDwl18MnkgkRX0SDIoGjn8DfvQeG")</f>
        <v>https://drive.google.com/uc?id=1zIrtIDwl18MnkgkRX0SDIoGjn8DfvQeG</v>
      </c>
      <c r="W36" s="5" t="str">
        <f>IFERROR(__xludf.DUMMYFUNCTION("""COMPUTED_VALUE"""),"NÃO")</f>
        <v>NÃO</v>
      </c>
      <c r="X36" s="5" t="str">
        <f>IFERROR(__xludf.DUMMYFUNCTION("""COMPUTED_VALUE"""),"NÃO SE APLICA")</f>
        <v>NÃO SE APLICA</v>
      </c>
    </row>
    <row r="37">
      <c r="A37" s="5">
        <f>IFERROR(__xludf.DUMMYFUNCTION("""COMPUTED_VALUE"""),8.0)</f>
        <v>8</v>
      </c>
      <c r="B37" s="5" t="str">
        <f>IFERROR(__xludf.DUMMYFUNCTION("""COMPUTED_VALUE"""),"GT009")</f>
        <v>GT009</v>
      </c>
      <c r="C37" s="5" t="str">
        <f>IFERROR(__xludf.DUMMYFUNCTION("""COMPUTED_VALUE"""),"ABRIGO CONCRETO")</f>
        <v>ABRIGO CONCRETO</v>
      </c>
      <c r="D37" s="5" t="str">
        <f>IFERROR(__xludf.DUMMYFUNCTION("""COMPUTED_VALUE"""),"SEM PLACA")</f>
        <v>SEM PLACA</v>
      </c>
      <c r="E37" s="5" t="str">
        <f>IFERROR(__xludf.DUMMYFUNCTION("""COMPUTED_VALUE"""),"SEM BAIA")</f>
        <v>SEM BAIA</v>
      </c>
      <c r="F37" s="5" t="str">
        <f>IFERROR(__xludf.DUMMYFUNCTION("""COMPUTED_VALUE"""),"NÃO")</f>
        <v>NÃO</v>
      </c>
      <c r="G37" s="5" t="str">
        <f>IFERROR(__xludf.DUMMYFUNCTION("""COMPUTED_VALUE"""),"NÃO")</f>
        <v>NÃO</v>
      </c>
      <c r="H37" s="5" t="str">
        <f>IFERROR(__xludf.DUMMYFUNCTION("""COMPUTED_VALUE"""),"NÃO PAVIMENTADA")</f>
        <v>NÃO PAVIMENTADA</v>
      </c>
      <c r="I37" s="6" t="str">
        <f>IFERROR(__xludf.DUMMYFUNCTION("""COMPUTED_VALUE"""),"-9.580990")</f>
        <v>-9.580990</v>
      </c>
      <c r="J37" s="6" t="str">
        <f>IFERROR(__xludf.DUMMYFUNCTION("""COMPUTED_VALUE"""),"-35.659517")</f>
        <v>-35.659517</v>
      </c>
      <c r="K37" s="5" t="str">
        <f>IFERROR(__xludf.DUMMYFUNCTION("""COMPUTED_VALUE"""),"AV. GEN. LUIZ DE FRANÇA ALBUQUERQUE – RODOVIA AL-101 NORTE, 39")</f>
        <v>AV. GEN. LUIZ DE FRANÇA ALBUQUERQUE – RODOVIA AL-101 NORTE, 39</v>
      </c>
      <c r="L37" s="5" t="str">
        <f>IFERROR(__xludf.DUMMYFUNCTION("""COMPUTED_VALUE"""),"RODOVIAS")</f>
        <v>RODOVIAS</v>
      </c>
      <c r="M37" s="5" t="str">
        <f>IFERROR(__xludf.DUMMYFUNCTION("""COMPUTED_VALUE"""),"GARÇA TORTA")</f>
        <v>GARÇA TORTA</v>
      </c>
      <c r="N37" s="5" t="str">
        <f>IFERROR(__xludf.DUMMYFUNCTION("""COMPUTED_VALUE"""),"BAIRRO - CENTRO")</f>
        <v>BAIRRO - CENTRO</v>
      </c>
      <c r="O37" s="5" t="str">
        <f>IFERROR(__xludf.DUMMYFUNCTION("""COMPUTED_VALUE"""),"EM FRENTE AO EMPREENDIMENTO MULTIRESIDENCE")</f>
        <v>EM FRENTE AO EMPREENDIMENTO MULTIRESIDENCE</v>
      </c>
      <c r="P37" s="5" t="str">
        <f>IFERROR(__xludf.DUMMYFUNCTION("""COMPUTED_VALUE"""),"PRIORIDADE ALTA")</f>
        <v>PRIORIDADE ALTA</v>
      </c>
      <c r="Q37" s="5" t="str">
        <f>IFERROR(__xludf.DUMMYFUNCTION("""COMPUTED_VALUE"""),"PAVIEMNTAÇÃO E ADEQUAÇÃO DA CALÇADA (RAMPA DE ACESSIBILIDADE E PISO TÁTIL)")</f>
        <v>PAVIEMNTAÇÃO E ADEQUAÇÃO DA CALÇADA (RAMPA DE ACESSIBILIDADE E PISO TÁTIL)</v>
      </c>
      <c r="R37" s="5" t="str">
        <f>IFERROR(__xludf.DUMMYFUNCTION("""COMPUTED_VALUE"""),"SUBSTITUIR ABRIGO")</f>
        <v>SUBSTITUIR ABRIGO</v>
      </c>
      <c r="S37" s="7">
        <f>IFERROR(__xludf.DUMMYFUNCTION("""COMPUTED_VALUE"""),44570.0)</f>
        <v>44570</v>
      </c>
      <c r="T37" s="5"/>
      <c r="U37" s="7">
        <f>IFERROR(__xludf.DUMMYFUNCTION("""COMPUTED_VALUE"""),44570.0)</f>
        <v>44570</v>
      </c>
      <c r="V37" s="9" t="str">
        <f>IFERROR(__xludf.DUMMYFUNCTION("""COMPUTED_VALUE"""),"https://drive.google.com/uc?id=1FRYiJevVzqA1hcF6tehx5yHHSHv4WeLg")</f>
        <v>https://drive.google.com/uc?id=1FRYiJevVzqA1hcF6tehx5yHHSHv4WeLg</v>
      </c>
      <c r="W37" s="5" t="str">
        <f>IFERROR(__xludf.DUMMYFUNCTION("""COMPUTED_VALUE"""),"NÃO")</f>
        <v>NÃO</v>
      </c>
      <c r="X37" s="5" t="str">
        <f>IFERROR(__xludf.DUMMYFUNCTION("""COMPUTED_VALUE"""),"NÃO SE APLICA")</f>
        <v>NÃO SE APLICA</v>
      </c>
    </row>
    <row r="38" hidden="1">
      <c r="A38" s="5">
        <f>IFERROR(__xludf.DUMMYFUNCTION("""COMPUTED_VALUE"""),8.0)</f>
        <v>8</v>
      </c>
      <c r="B38" s="5" t="str">
        <f>IFERROR(__xludf.DUMMYFUNCTION("""COMPUTED_VALUE"""),"GT010")</f>
        <v>GT010</v>
      </c>
      <c r="C38" s="5" t="str">
        <f>IFERROR(__xludf.DUMMYFUNCTION("""COMPUTED_VALUE"""),"NÃO POSSUI")</f>
        <v>NÃO POSSUI</v>
      </c>
      <c r="D38" s="5" t="str">
        <f>IFERROR(__xludf.DUMMYFUNCTION("""COMPUTED_VALUE"""),"SEM PLACA")</f>
        <v>SEM PLACA</v>
      </c>
      <c r="E38" s="5" t="str">
        <f>IFERROR(__xludf.DUMMYFUNCTION("""COMPUTED_VALUE"""),"SEM BAIA")</f>
        <v>SEM BAIA</v>
      </c>
      <c r="F38" s="5" t="str">
        <f>IFERROR(__xludf.DUMMYFUNCTION("""COMPUTED_VALUE"""),"NÃO")</f>
        <v>NÃO</v>
      </c>
      <c r="G38" s="5" t="str">
        <f>IFERROR(__xludf.DUMMYFUNCTION("""COMPUTED_VALUE"""),"NÃO")</f>
        <v>NÃO</v>
      </c>
      <c r="H38" s="5" t="str">
        <f>IFERROR(__xludf.DUMMYFUNCTION("""COMPUTED_VALUE"""),"NÃO PAVIMENTADA")</f>
        <v>NÃO PAVIMENTADA</v>
      </c>
      <c r="I38" s="6" t="str">
        <f>IFERROR(__xludf.DUMMYFUNCTION("""COMPUTED_VALUE"""),"-9.58110")</f>
        <v>-9.58110</v>
      </c>
      <c r="J38" s="6" t="str">
        <f>IFERROR(__xludf.DUMMYFUNCTION("""COMPUTED_VALUE"""),"-35.65947")</f>
        <v>-35.65947</v>
      </c>
      <c r="K38" s="5" t="str">
        <f>IFERROR(__xludf.DUMMYFUNCTION("""COMPUTED_VALUE"""),"AV. GEN. LUIZ DE FRANÇA ALBUQUERQUE – RODOVIA AL-101 NORTE, 39")</f>
        <v>AV. GEN. LUIZ DE FRANÇA ALBUQUERQUE – RODOVIA AL-101 NORTE, 39</v>
      </c>
      <c r="L38" s="5" t="str">
        <f>IFERROR(__xludf.DUMMYFUNCTION("""COMPUTED_VALUE"""),"RODOVIAS")</f>
        <v>RODOVIAS</v>
      </c>
      <c r="M38" s="5" t="str">
        <f>IFERROR(__xludf.DUMMYFUNCTION("""COMPUTED_VALUE"""),"GARÇA TORTA")</f>
        <v>GARÇA TORTA</v>
      </c>
      <c r="N38" s="5" t="str">
        <f>IFERROR(__xludf.DUMMYFUNCTION("""COMPUTED_VALUE"""),"CENTRO - BAIRRO")</f>
        <v>CENTRO - BAIRRO</v>
      </c>
      <c r="O38" s="5" t="str">
        <f>IFERROR(__xludf.DUMMYFUNCTION("""COMPUTED_VALUE"""),"AO LADO DO GARÇA RESIDENCE")</f>
        <v>AO LADO DO GARÇA RESIDENCE</v>
      </c>
      <c r="P38" s="5" t="str">
        <f>IFERROR(__xludf.DUMMYFUNCTION("""COMPUTED_VALUE"""),"PRIORIDADE ALTA")</f>
        <v>PRIORIDADE ALTA</v>
      </c>
      <c r="Q38" s="5" t="str">
        <f>IFERROR(__xludf.DUMMYFUNCTION("""COMPUTED_VALUE"""),"IMPLANTAR ABRIGO, PAVIMENTAÇÃO E ADEQUAÇÃO DA CALÇADA (RAMPA DE ACESSIBILIDADE E PISO TÁTIL), LIMPEZA DA VEGETAÇÃO")</f>
        <v>IMPLANTAR ABRIGO, PAVIMENTAÇÃO E ADEQUAÇÃO DA CALÇADA (RAMPA DE ACESSIBILIDADE E PISO TÁTIL), LIMPEZA DA VEGETAÇÃO</v>
      </c>
      <c r="R38" s="5" t="str">
        <f>IFERROR(__xludf.DUMMYFUNCTION("""COMPUTED_VALUE"""),"SUBSTITUIR ABRIGO")</f>
        <v>SUBSTITUIR ABRIGO</v>
      </c>
      <c r="S38" s="5"/>
      <c r="T38" s="5"/>
      <c r="U38" s="5"/>
      <c r="V38" s="5"/>
      <c r="W38" s="5" t="str">
        <f>IFERROR(__xludf.DUMMYFUNCTION("""COMPUTED_VALUE"""),"NÃO")</f>
        <v>NÃO</v>
      </c>
      <c r="X38" s="5" t="str">
        <f>IFERROR(__xludf.DUMMYFUNCTION("""COMPUTED_VALUE"""),"NÃO SE APLICA")</f>
        <v>NÃO SE APLICA</v>
      </c>
    </row>
    <row r="39" hidden="1">
      <c r="A39" s="5">
        <f>IFERROR(__xludf.DUMMYFUNCTION("IMPORTRANGE(""https://docs.google.com/spreadsheets/d/11Xf8ueyQm_IkJIrLjE_knan7jqO4kbHyGCgwn2elcQA/edit#gid=1612198575"", ""GUAXUMA!A3:X36"")"),8.0)</f>
        <v>8</v>
      </c>
      <c r="B39" s="5" t="str">
        <f>IFERROR(__xludf.DUMMYFUNCTION("""COMPUTED_VALUE"""),"GX001")</f>
        <v>GX001</v>
      </c>
      <c r="C39" s="5" t="str">
        <f>IFERROR(__xludf.DUMMYFUNCTION("""COMPUTED_VALUE"""),"NÃO POSSUI")</f>
        <v>NÃO POSSUI</v>
      </c>
      <c r="D39" s="5" t="str">
        <f>IFERROR(__xludf.DUMMYFUNCTION("""COMPUTED_VALUE"""),"FIXADA EM POSTE")</f>
        <v>FIXADA EM POSTE</v>
      </c>
      <c r="E39" s="5" t="str">
        <f>IFERROR(__xludf.DUMMYFUNCTION("""COMPUTED_VALUE"""),"SEM BAIA")</f>
        <v>SEM BAIA</v>
      </c>
      <c r="F39" s="5" t="str">
        <f>IFERROR(__xludf.DUMMYFUNCTION("""COMPUTED_VALUE"""),"NÃO")</f>
        <v>NÃO</v>
      </c>
      <c r="G39" s="5" t="str">
        <f>IFERROR(__xludf.DUMMYFUNCTION("""COMPUTED_VALUE"""),"NÃO")</f>
        <v>NÃO</v>
      </c>
      <c r="H39" s="5" t="str">
        <f>IFERROR(__xludf.DUMMYFUNCTION("""COMPUTED_VALUE"""),"NÃO PAVIMENTADA")</f>
        <v>NÃO PAVIMENTADA</v>
      </c>
      <c r="I39" s="6" t="str">
        <f>IFERROR(__xludf.DUMMYFUNCTION("""COMPUTED_VALUE"""),"-9.597558")</f>
        <v>-9.597558</v>
      </c>
      <c r="J39" s="6" t="str">
        <f>IFERROR(__xludf.DUMMYFUNCTION("""COMPUTED_VALUE"""),"-35.679468")</f>
        <v>-35.679468</v>
      </c>
      <c r="K39" s="5" t="str">
        <f>IFERROR(__xludf.DUMMYFUNCTION("""COMPUTED_VALUE"""),"AV. ROTA DO MAR")</f>
        <v>AV. ROTA DO MAR</v>
      </c>
      <c r="L39" s="5" t="str">
        <f>IFERROR(__xludf.DUMMYFUNCTION("""COMPUTED_VALUE"""),"ARTERIAL ")</f>
        <v>ARTERIAL </v>
      </c>
      <c r="M39" s="5" t="str">
        <f>IFERROR(__xludf.DUMMYFUNCTION("""COMPUTED_VALUE"""),"GUAXUMA")</f>
        <v>GUAXUMA</v>
      </c>
      <c r="N39" s="5" t="str">
        <f>IFERROR(__xludf.DUMMYFUNCTION("""COMPUTED_VALUE"""),"BAIRRO - CENTRO")</f>
        <v>BAIRRO - CENTRO</v>
      </c>
      <c r="O39" s="5"/>
      <c r="P39" s="5"/>
      <c r="Q39" s="5"/>
      <c r="R39" s="5" t="str">
        <f>IFERROR(__xludf.DUMMYFUNCTION("""COMPUTED_VALUE"""),"NENHUMA DAS OPÇÕES")</f>
        <v>NENHUMA DAS OPÇÕES</v>
      </c>
      <c r="S39" s="5"/>
      <c r="T39" s="5"/>
      <c r="U39" s="5"/>
      <c r="V39" s="9" t="str">
        <f>IFERROR(__xludf.DUMMYFUNCTION("""COMPUTED_VALUE"""),"https://drive.google.com/uc?id=1zO7XA_AQIFwrQUj5Oerc0fDWio4uoVzp")</f>
        <v>https://drive.google.com/uc?id=1zO7XA_AQIFwrQUj5Oerc0fDWio4uoVzp</v>
      </c>
      <c r="W39" s="5" t="str">
        <f>IFERROR(__xludf.DUMMYFUNCTION("""COMPUTED_VALUE"""),"NÃO")</f>
        <v>NÃO</v>
      </c>
      <c r="X39" s="5" t="str">
        <f>IFERROR(__xludf.DUMMYFUNCTION("""COMPUTED_VALUE"""),"NÃO SE APLICA")</f>
        <v>NÃO SE APLICA</v>
      </c>
    </row>
    <row r="40" hidden="1">
      <c r="A40" s="5">
        <f>IFERROR(__xludf.DUMMYFUNCTION("""COMPUTED_VALUE"""),8.0)</f>
        <v>8</v>
      </c>
      <c r="B40" s="5" t="str">
        <f>IFERROR(__xludf.DUMMYFUNCTION("""COMPUTED_VALUE"""),"GX002")</f>
        <v>GX002</v>
      </c>
      <c r="C40" s="5" t="str">
        <f>IFERROR(__xludf.DUMMYFUNCTION("""COMPUTED_VALUE"""),"NÃO POSSUI")</f>
        <v>NÃO POSSUI</v>
      </c>
      <c r="D40" s="5" t="str">
        <f>IFERROR(__xludf.DUMMYFUNCTION("""COMPUTED_VALUE"""),"FIXADA EM POSTE")</f>
        <v>FIXADA EM POSTE</v>
      </c>
      <c r="E40" s="5" t="str">
        <f>IFERROR(__xludf.DUMMYFUNCTION("""COMPUTED_VALUE"""),"SEM BAIA")</f>
        <v>SEM BAIA</v>
      </c>
      <c r="F40" s="5" t="str">
        <f>IFERROR(__xludf.DUMMYFUNCTION("""COMPUTED_VALUE"""),"SIM")</f>
        <v>SIM</v>
      </c>
      <c r="G40" s="5" t="str">
        <f>IFERROR(__xludf.DUMMYFUNCTION("""COMPUTED_VALUE"""),"SIM")</f>
        <v>SIM</v>
      </c>
      <c r="H40" s="5" t="str">
        <f>IFERROR(__xludf.DUMMYFUNCTION("""COMPUTED_VALUE"""),"PAVIMENTADA")</f>
        <v>PAVIMENTADA</v>
      </c>
      <c r="I40" s="6" t="str">
        <f>IFERROR(__xludf.DUMMYFUNCTION("""COMPUTED_VALUE"""),"-9.599616")</f>
        <v>-9.599616</v>
      </c>
      <c r="J40" s="6" t="str">
        <f>IFERROR(__xludf.DUMMYFUNCTION("""COMPUTED_VALUE"""),"-35.678898")</f>
        <v>-35.678898</v>
      </c>
      <c r="K40" s="5" t="str">
        <f>IFERROR(__xludf.DUMMYFUNCTION("""COMPUTED_VALUE"""),"AV. GEN. LUIZ DE FRANÇA ALBUQUERQUE – RODOVIA AL-101 NORTE, 9640")</f>
        <v>AV. GEN. LUIZ DE FRANÇA ALBUQUERQUE – RODOVIA AL-101 NORTE, 9640</v>
      </c>
      <c r="L40" s="5" t="str">
        <f>IFERROR(__xludf.DUMMYFUNCTION("""COMPUTED_VALUE"""),"RODOVIAS")</f>
        <v>RODOVIAS</v>
      </c>
      <c r="M40" s="5" t="str">
        <f>IFERROR(__xludf.DUMMYFUNCTION("""COMPUTED_VALUE"""),"GUAXUMA")</f>
        <v>GUAXUMA</v>
      </c>
      <c r="N40" s="5" t="str">
        <f>IFERROR(__xludf.DUMMYFUNCTION("""COMPUTED_VALUE"""),"BAIRRO - CENTRO")</f>
        <v>BAIRRO - CENTRO</v>
      </c>
      <c r="O40" s="5" t="str">
        <f>IFERROR(__xludf.DUMMYFUNCTION("""COMPUTED_VALUE"""),"NA FRENTE DOCOLÉGIO SOL E LUA")</f>
        <v>NA FRENTE DOCOLÉGIO SOL E LUA</v>
      </c>
      <c r="P40" s="5" t="str">
        <f>IFERROR(__xludf.DUMMYFUNCTION("""COMPUTED_VALUE"""),"PRIORIDADE ALTA")</f>
        <v>PRIORIDADE ALTA</v>
      </c>
      <c r="Q40" s="5" t="str">
        <f>IFERROR(__xludf.DUMMYFUNCTION("""COMPUTED_VALUE"""),"IMPLANTAR ABRIGO E PLACA FIXADA NO POSTE, PINTURA DA BAIA NO ASFALTO")</f>
        <v>IMPLANTAR ABRIGO E PLACA FIXADA NO POSTE, PINTURA DA BAIA NO ASFALTO</v>
      </c>
      <c r="R40" s="5" t="str">
        <f>IFERROR(__xludf.DUMMYFUNCTION("""COMPUTED_VALUE"""),"IMPLANTAR ABRIGO")</f>
        <v>IMPLANTAR ABRIGO</v>
      </c>
      <c r="S40" s="7">
        <f>IFERROR(__xludf.DUMMYFUNCTION("""COMPUTED_VALUE"""),44563.0)</f>
        <v>44563</v>
      </c>
      <c r="T40" s="5"/>
      <c r="U40" s="7">
        <f>IFERROR(__xludf.DUMMYFUNCTION("""COMPUTED_VALUE"""),44563.0)</f>
        <v>44563</v>
      </c>
      <c r="V40" s="9" t="str">
        <f>IFERROR(__xludf.DUMMYFUNCTION("""COMPUTED_VALUE"""),"https://drive.google.com/uc?id=1UZfYuFvcPIBxWR-_feyu0amyJrTBpWAt")</f>
        <v>https://drive.google.com/uc?id=1UZfYuFvcPIBxWR-_feyu0amyJrTBpWAt</v>
      </c>
      <c r="W40" s="5" t="str">
        <f>IFERROR(__xludf.DUMMYFUNCTION("""COMPUTED_VALUE"""),"NÃO")</f>
        <v>NÃO</v>
      </c>
      <c r="X40" s="5" t="str">
        <f>IFERROR(__xludf.DUMMYFUNCTION("""COMPUTED_VALUE"""),"NÃO SE APLICA")</f>
        <v>NÃO SE APLICA</v>
      </c>
    </row>
    <row r="41" hidden="1">
      <c r="A41" s="5">
        <f>IFERROR(__xludf.DUMMYFUNCTION("""COMPUTED_VALUE"""),8.0)</f>
        <v>8</v>
      </c>
      <c r="B41" s="5" t="str">
        <f>IFERROR(__xludf.DUMMYFUNCTION("""COMPUTED_VALUE"""),"GX003")</f>
        <v>GX003</v>
      </c>
      <c r="C41" s="5" t="str">
        <f>IFERROR(__xludf.DUMMYFUNCTION("""COMPUTED_VALUE"""),"NÃO POSSUI")</f>
        <v>NÃO POSSUI</v>
      </c>
      <c r="D41" s="5" t="str">
        <f>IFERROR(__xludf.DUMMYFUNCTION("""COMPUTED_VALUE"""),"FIXADA EM POSTE")</f>
        <v>FIXADA EM POSTE</v>
      </c>
      <c r="E41" s="5" t="str">
        <f>IFERROR(__xludf.DUMMYFUNCTION("""COMPUTED_VALUE"""),"SEM BAIA")</f>
        <v>SEM BAIA</v>
      </c>
      <c r="F41" s="5" t="str">
        <f>IFERROR(__xludf.DUMMYFUNCTION("""COMPUTED_VALUE"""),"SIM")</f>
        <v>SIM</v>
      </c>
      <c r="G41" s="5" t="str">
        <f>IFERROR(__xludf.DUMMYFUNCTION("""COMPUTED_VALUE"""),"SIM")</f>
        <v>SIM</v>
      </c>
      <c r="H41" s="5" t="str">
        <f>IFERROR(__xludf.DUMMYFUNCTION("""COMPUTED_VALUE"""),"PAVIMENTADA")</f>
        <v>PAVIMENTADA</v>
      </c>
      <c r="I41" s="6" t="str">
        <f>IFERROR(__xludf.DUMMYFUNCTION("""COMPUTED_VALUE"""),"-9.597077")</f>
        <v>-9.597077</v>
      </c>
      <c r="J41" s="6" t="str">
        <f>IFERROR(__xludf.DUMMYFUNCTION("""COMPUTED_VALUE"""),"-35.676599")</f>
        <v>-35.676599</v>
      </c>
      <c r="K41" s="5" t="str">
        <f>IFERROR(__xludf.DUMMYFUNCTION("""COMPUTED_VALUE"""),"AV. GEN. LUIZ DE FRANÇA ALBUQUERQUE – RODOVIA AL-101 NORTE, 10300")</f>
        <v>AV. GEN. LUIZ DE FRANÇA ALBUQUERQUE – RODOVIA AL-101 NORTE, 10300</v>
      </c>
      <c r="L41" s="5" t="str">
        <f>IFERROR(__xludf.DUMMYFUNCTION("""COMPUTED_VALUE"""),"RODOVIAS")</f>
        <v>RODOVIAS</v>
      </c>
      <c r="M41" s="5" t="str">
        <f>IFERROR(__xludf.DUMMYFUNCTION("""COMPUTED_VALUE"""),"GUAXUMA")</f>
        <v>GUAXUMA</v>
      </c>
      <c r="N41" s="5" t="str">
        <f>IFERROR(__xludf.DUMMYFUNCTION("""COMPUTED_VALUE"""),"CENTRO - BAIRRO")</f>
        <v>CENTRO - BAIRRO</v>
      </c>
      <c r="O41" s="5" t="str">
        <f>IFERROR(__xludf.DUMMYFUNCTION("""COMPUTED_VALUE"""),"NA FRENTE DO CONDOMÍNIO GRAN MARINE")</f>
        <v>NA FRENTE DO CONDOMÍNIO GRAN MARINE</v>
      </c>
      <c r="P41" s="5" t="str">
        <f>IFERROR(__xludf.DUMMYFUNCTION("""COMPUTED_VALUE"""),"PRIORIDADE ALTA")</f>
        <v>PRIORIDADE ALTA</v>
      </c>
      <c r="Q41" s="5" t="str">
        <f>IFERROR(__xludf.DUMMYFUNCTION("""COMPUTED_VALUE"""),"IMPLANTAR ABRIGO E PLACA FIXADA NO POSTE, PINTURA DA BAIA NO ASFALTO")</f>
        <v>IMPLANTAR ABRIGO E PLACA FIXADA NO POSTE, PINTURA DA BAIA NO ASFALTO</v>
      </c>
      <c r="R41" s="5" t="str">
        <f>IFERROR(__xludf.DUMMYFUNCTION("""COMPUTED_VALUE"""),"IMPLANTAR ABRIGO")</f>
        <v>IMPLANTAR ABRIGO</v>
      </c>
      <c r="S41" s="7">
        <f>IFERROR(__xludf.DUMMYFUNCTION("""COMPUTED_VALUE"""),44564.0)</f>
        <v>44564</v>
      </c>
      <c r="T41" s="5"/>
      <c r="U41" s="7">
        <f>IFERROR(__xludf.DUMMYFUNCTION("""COMPUTED_VALUE"""),44564.0)</f>
        <v>44564</v>
      </c>
      <c r="V41" s="9" t="str">
        <f>IFERROR(__xludf.DUMMYFUNCTION("""COMPUTED_VALUE"""),"https://drive.google.com/uc?id=1ZoJBT-FkRI3sgOzwSJP4tn2yAYvfpkUb")</f>
        <v>https://drive.google.com/uc?id=1ZoJBT-FkRI3sgOzwSJP4tn2yAYvfpkUb</v>
      </c>
      <c r="W41" s="5" t="str">
        <f>IFERROR(__xludf.DUMMYFUNCTION("""COMPUTED_VALUE"""),"NÃO")</f>
        <v>NÃO</v>
      </c>
      <c r="X41" s="5" t="str">
        <f>IFERROR(__xludf.DUMMYFUNCTION("""COMPUTED_VALUE"""),"NÃO SE APLICA")</f>
        <v>NÃO SE APLICA</v>
      </c>
    </row>
    <row r="42">
      <c r="A42" s="5">
        <f>IFERROR(__xludf.DUMMYFUNCTION("""COMPUTED_VALUE"""),8.0)</f>
        <v>8</v>
      </c>
      <c r="B42" s="5" t="str">
        <f>IFERROR(__xludf.DUMMYFUNCTION("""COMPUTED_VALUE"""),"GX004")</f>
        <v>GX004</v>
      </c>
      <c r="C42" s="5" t="str">
        <f>IFERROR(__xludf.DUMMYFUNCTION("""COMPUTED_VALUE"""),"ABRIGO MADEIRA PERSONALIZADO")</f>
        <v>ABRIGO MADEIRA PERSONALIZADO</v>
      </c>
      <c r="D42" s="5" t="str">
        <f>IFERROR(__xludf.DUMMYFUNCTION("""COMPUTED_VALUE"""),"FIXADA EM POSTE")</f>
        <v>FIXADA EM POSTE</v>
      </c>
      <c r="E42" s="5" t="str">
        <f>IFERROR(__xludf.DUMMYFUNCTION("""COMPUTED_VALUE"""),"SEM BAIA")</f>
        <v>SEM BAIA</v>
      </c>
      <c r="F42" s="5" t="str">
        <f>IFERROR(__xludf.DUMMYFUNCTION("""COMPUTED_VALUE"""),"SIM")</f>
        <v>SIM</v>
      </c>
      <c r="G42" s="5" t="str">
        <f>IFERROR(__xludf.DUMMYFUNCTION("""COMPUTED_VALUE"""),"SIM")</f>
        <v>SIM</v>
      </c>
      <c r="H42" s="5" t="str">
        <f>IFERROR(__xludf.DUMMYFUNCTION("""COMPUTED_VALUE"""),"PAVIMENTADA")</f>
        <v>PAVIMENTADA</v>
      </c>
      <c r="I42" s="6" t="str">
        <f>IFERROR(__xludf.DUMMYFUNCTION("""COMPUTED_VALUE"""),"-9.597106")</f>
        <v>-9.597106</v>
      </c>
      <c r="J42" s="6" t="str">
        <f>IFERROR(__xludf.DUMMYFUNCTION("""COMPUTED_VALUE"""),"-35.676745")</f>
        <v>-35.676745</v>
      </c>
      <c r="K42" s="5" t="str">
        <f>IFERROR(__xludf.DUMMYFUNCTION("""COMPUTED_VALUE"""),"AV. GEN. LUIZ DE FRANÇA ALBUQUERQUE – RODOVIA AL-101 NORTE, 32")</f>
        <v>AV. GEN. LUIZ DE FRANÇA ALBUQUERQUE – RODOVIA AL-101 NORTE, 32</v>
      </c>
      <c r="L42" s="5" t="str">
        <f>IFERROR(__xludf.DUMMYFUNCTION("""COMPUTED_VALUE"""),"RODOVIAS")</f>
        <v>RODOVIAS</v>
      </c>
      <c r="M42" s="5" t="str">
        <f>IFERROR(__xludf.DUMMYFUNCTION("""COMPUTED_VALUE"""),"GUAXUMA")</f>
        <v>GUAXUMA</v>
      </c>
      <c r="N42" s="5" t="str">
        <f>IFERROR(__xludf.DUMMYFUNCTION("""COMPUTED_VALUE"""),"BAIRRO - CENTRO")</f>
        <v>BAIRRO - CENTRO</v>
      </c>
      <c r="O42" s="5" t="str">
        <f>IFERROR(__xludf.DUMMYFUNCTION("""COMPUTED_VALUE"""),"NA FRENTE DO CONDOMÍNIO GRAN MARINE E QUENTINHA DA VOVÓ")</f>
        <v>NA FRENTE DO CONDOMÍNIO GRAN MARINE E QUENTINHA DA VOVÓ</v>
      </c>
      <c r="P42" s="5" t="str">
        <f>IFERROR(__xludf.DUMMYFUNCTION("""COMPUTED_VALUE"""),"URGENTE")</f>
        <v>URGENTE</v>
      </c>
      <c r="Q42" s="5" t="str">
        <f>IFERROR(__xludf.DUMMYFUNCTION("""COMPUTED_VALUE"""),"IMPLANTAR PLACA COM SUPORTE PRÓXIMO AO ABRIGO, PINTURA DA BAIA NO ASFALTO")</f>
        <v>IMPLANTAR PLACA COM SUPORTE PRÓXIMO AO ABRIGO, PINTURA DA BAIA NO ASFALTO</v>
      </c>
      <c r="R42" s="5" t="str">
        <f>IFERROR(__xludf.DUMMYFUNCTION("""COMPUTED_VALUE"""),"NENHUMA DAS OPÇÕES")</f>
        <v>NENHUMA DAS OPÇÕES</v>
      </c>
      <c r="S42" s="7">
        <f>IFERROR(__xludf.DUMMYFUNCTION("""COMPUTED_VALUE"""),44565.0)</f>
        <v>44565</v>
      </c>
      <c r="T42" s="5"/>
      <c r="U42" s="7">
        <f>IFERROR(__xludf.DUMMYFUNCTION("""COMPUTED_VALUE"""),44565.0)</f>
        <v>44565</v>
      </c>
      <c r="V42" s="9" t="str">
        <f>IFERROR(__xludf.DUMMYFUNCTION("""COMPUTED_VALUE"""),"https://drive.google.com/uc?id=1VakfVPMD3_girJTvyPl5O1sAdHP0K3ij")</f>
        <v>https://drive.google.com/uc?id=1VakfVPMD3_girJTvyPl5O1sAdHP0K3ij</v>
      </c>
      <c r="W42" s="5" t="str">
        <f>IFERROR(__xludf.DUMMYFUNCTION("""COMPUTED_VALUE"""),"NÃO")</f>
        <v>NÃO</v>
      </c>
      <c r="X42" s="5" t="str">
        <f>IFERROR(__xludf.DUMMYFUNCTION("""COMPUTED_VALUE"""),"NÃO SE APLICA")</f>
        <v>NÃO SE APLICA</v>
      </c>
    </row>
    <row r="43" hidden="1">
      <c r="A43" s="5">
        <f>IFERROR(__xludf.DUMMYFUNCTION("""COMPUTED_VALUE"""),8.0)</f>
        <v>8</v>
      </c>
      <c r="B43" s="5" t="str">
        <f>IFERROR(__xludf.DUMMYFUNCTION("""COMPUTED_VALUE"""),"GX005")</f>
        <v>GX005</v>
      </c>
      <c r="C43" s="5" t="str">
        <f>IFERROR(__xludf.DUMMYFUNCTION("""COMPUTED_VALUE"""),"NÃO POSSUI")</f>
        <v>NÃO POSSUI</v>
      </c>
      <c r="D43" s="5" t="str">
        <f>IFERROR(__xludf.DUMMYFUNCTION("""COMPUTED_VALUE"""),"FIXADA EM POSTE")</f>
        <v>FIXADA EM POSTE</v>
      </c>
      <c r="E43" s="5" t="str">
        <f>IFERROR(__xludf.DUMMYFUNCTION("""COMPUTED_VALUE"""),"SEM BAIA")</f>
        <v>SEM BAIA</v>
      </c>
      <c r="F43" s="5" t="str">
        <f>IFERROR(__xludf.DUMMYFUNCTION("""COMPUTED_VALUE"""),"NÃO")</f>
        <v>NÃO</v>
      </c>
      <c r="G43" s="5" t="str">
        <f>IFERROR(__xludf.DUMMYFUNCTION("""COMPUTED_VALUE"""),"NÃO")</f>
        <v>NÃO</v>
      </c>
      <c r="H43" s="5" t="str">
        <f>IFERROR(__xludf.DUMMYFUNCTION("""COMPUTED_VALUE"""),"PAVIMENTADA")</f>
        <v>PAVIMENTADA</v>
      </c>
      <c r="I43" s="6" t="str">
        <f>IFERROR(__xludf.DUMMYFUNCTION("""COMPUTED_VALUE"""),"-9.596019")</f>
        <v>-9.596019</v>
      </c>
      <c r="J43" s="6" t="str">
        <f>IFERROR(__xludf.DUMMYFUNCTION("""COMPUTED_VALUE"""),"-35.677268")</f>
        <v>-35.677268</v>
      </c>
      <c r="K43" s="5" t="str">
        <f>IFERROR(__xludf.DUMMYFUNCTION("""COMPUTED_VALUE"""),"RUA ALTO DA  BOA VISTA, S/N")</f>
        <v>RUA ALTO DA  BOA VISTA, S/N</v>
      </c>
      <c r="L43" s="5" t="str">
        <f>IFERROR(__xludf.DUMMYFUNCTION("""COMPUTED_VALUE"""),"COLETORA")</f>
        <v>COLETORA</v>
      </c>
      <c r="M43" s="5" t="str">
        <f>IFERROR(__xludf.DUMMYFUNCTION("""COMPUTED_VALUE"""),"GUAXUMA")</f>
        <v>GUAXUMA</v>
      </c>
      <c r="N43" s="5" t="str">
        <f>IFERROR(__xludf.DUMMYFUNCTION("""COMPUTED_VALUE"""),"CENTRO - BAIRRO")</f>
        <v>CENTRO - BAIRRO</v>
      </c>
      <c r="O43" s="5" t="str">
        <f>IFERROR(__xludf.DUMMYFUNCTION("""COMPUTED_VALUE"""),"EM FRENTE A UNIDADE DE SAÚDE DA FAMÍLIA - CONJ. ELIAS BONFIM")</f>
        <v>EM FRENTE A UNIDADE DE SAÚDE DA FAMÍLIA - CONJ. ELIAS BONFIM</v>
      </c>
      <c r="P43" s="5" t="str">
        <f>IFERROR(__xludf.DUMMYFUNCTION("""COMPUTED_VALUE"""),"PRIORIDADE ALTA")</f>
        <v>PRIORIDADE ALTA</v>
      </c>
      <c r="Q43" s="5" t="str">
        <f>IFERROR(__xludf.DUMMYFUNCTION("""COMPUTED_VALUE"""),"PINTURA DA BAIA NO ASFALTO, ADEQUAÇÃO DA CALÇADA (NIVELAMENTO, RAMPA DE ACESSIBILIDADE E PISO TÁTIL).")</f>
        <v>PINTURA DA BAIA NO ASFALTO, ADEQUAÇÃO DA CALÇADA (NIVELAMENTO, RAMPA DE ACESSIBILIDADE E PISO TÁTIL).</v>
      </c>
      <c r="R43" s="5" t="str">
        <f>IFERROR(__xludf.DUMMYFUNCTION("""COMPUTED_VALUE"""),"NENHUMA DAS OPÇÕES")</f>
        <v>NENHUMA DAS OPÇÕES</v>
      </c>
      <c r="S43" s="7">
        <f>IFERROR(__xludf.DUMMYFUNCTION("""COMPUTED_VALUE"""),44566.0)</f>
        <v>44566</v>
      </c>
      <c r="T43" s="5"/>
      <c r="U43" s="7">
        <f>IFERROR(__xludf.DUMMYFUNCTION("""COMPUTED_VALUE"""),44566.0)</f>
        <v>44566</v>
      </c>
      <c r="V43" s="9" t="str">
        <f>IFERROR(__xludf.DUMMYFUNCTION("""COMPUTED_VALUE"""),"https://drive.google.com/uc?id=1FTDP1oum-VguPK8yDiQ_uRm3PaXy-MYB")</f>
        <v>https://drive.google.com/uc?id=1FTDP1oum-VguPK8yDiQ_uRm3PaXy-MYB</v>
      </c>
      <c r="W43" s="5" t="str">
        <f>IFERROR(__xludf.DUMMYFUNCTION("""COMPUTED_VALUE"""),"NÃO")</f>
        <v>NÃO</v>
      </c>
      <c r="X43" s="5" t="str">
        <f>IFERROR(__xludf.DUMMYFUNCTION("""COMPUTED_VALUE"""),"NÃO SE APLICA")</f>
        <v>NÃO SE APLICA</v>
      </c>
    </row>
    <row r="44" hidden="1">
      <c r="A44" s="5">
        <f>IFERROR(__xludf.DUMMYFUNCTION("""COMPUTED_VALUE"""),8.0)</f>
        <v>8</v>
      </c>
      <c r="B44" s="5" t="str">
        <f>IFERROR(__xludf.DUMMYFUNCTION("""COMPUTED_VALUE"""),"GX006")</f>
        <v>GX006</v>
      </c>
      <c r="C44" s="5" t="str">
        <f>IFERROR(__xludf.DUMMYFUNCTION("""COMPUTED_VALUE"""),"NÃO POSSUI")</f>
        <v>NÃO POSSUI</v>
      </c>
      <c r="D44" s="5" t="str">
        <f>IFERROR(__xludf.DUMMYFUNCTION("""COMPUTED_VALUE"""),"FIXADA EM POSTE")</f>
        <v>FIXADA EM POSTE</v>
      </c>
      <c r="E44" s="5" t="str">
        <f>IFERROR(__xludf.DUMMYFUNCTION("""COMPUTED_VALUE"""),"SEM BAIA")</f>
        <v>SEM BAIA</v>
      </c>
      <c r="F44" s="5" t="str">
        <f>IFERROR(__xludf.DUMMYFUNCTION("""COMPUTED_VALUE"""),"NÃO")</f>
        <v>NÃO</v>
      </c>
      <c r="G44" s="5" t="str">
        <f>IFERROR(__xludf.DUMMYFUNCTION("""COMPUTED_VALUE"""),"NÃO")</f>
        <v>NÃO</v>
      </c>
      <c r="H44" s="5" t="str">
        <f>IFERROR(__xludf.DUMMYFUNCTION("""COMPUTED_VALUE"""),"PAVIMENTADA")</f>
        <v>PAVIMENTADA</v>
      </c>
      <c r="I44" s="6" t="str">
        <f>IFERROR(__xludf.DUMMYFUNCTION("""COMPUTED_VALUE"""),"-9.595612")</f>
        <v>-9.595612</v>
      </c>
      <c r="J44" s="6" t="str">
        <f>IFERROR(__xludf.DUMMYFUNCTION("""COMPUTED_VALUE"""),"-35.677342")</f>
        <v>-35.677342</v>
      </c>
      <c r="K44" s="5" t="str">
        <f>IFERROR(__xludf.DUMMYFUNCTION("""COMPUTED_VALUE"""),"RUA ALTO DA  BOA VISTA, S/N")</f>
        <v>RUA ALTO DA  BOA VISTA, S/N</v>
      </c>
      <c r="L44" s="5" t="str">
        <f>IFERROR(__xludf.DUMMYFUNCTION("""COMPUTED_VALUE"""),"COLETORA")</f>
        <v>COLETORA</v>
      </c>
      <c r="M44" s="5" t="str">
        <f>IFERROR(__xludf.DUMMYFUNCTION("""COMPUTED_VALUE"""),"GUAXUMA")</f>
        <v>GUAXUMA</v>
      </c>
      <c r="N44" s="5" t="str">
        <f>IFERROR(__xludf.DUMMYFUNCTION("""COMPUTED_VALUE"""),"CENTRO - BAIRRO")</f>
        <v>CENTRO - BAIRRO</v>
      </c>
      <c r="O44" s="5" t="str">
        <f>IFERROR(__xludf.DUMMYFUNCTION("""COMPUTED_VALUE"""),"NA FRENTE A SEDE DOS ALCOÓLICOS E ANÔNIMOS")</f>
        <v>NA FRENTE A SEDE DOS ALCOÓLICOS E ANÔNIMOS</v>
      </c>
      <c r="P44" s="5" t="str">
        <f>IFERROR(__xludf.DUMMYFUNCTION("""COMPUTED_VALUE"""),"PRIORIDADE ALTA")</f>
        <v>PRIORIDADE ALTA</v>
      </c>
      <c r="Q44" s="5" t="str">
        <f>IFERROR(__xludf.DUMMYFUNCTION("""COMPUTED_VALUE"""),"IMPLANTAR ABRIGO, PINTURA DA BAIA NO ASFALTO, ADEQUAÇÃO DA CALÇADA (RAMPA DE ACESSIBILIDADE E PISO TÁTIL).")</f>
        <v>IMPLANTAR ABRIGO, PINTURA DA BAIA NO ASFALTO, ADEQUAÇÃO DA CALÇADA (RAMPA DE ACESSIBILIDADE E PISO TÁTIL).</v>
      </c>
      <c r="R44" s="5" t="str">
        <f>IFERROR(__xludf.DUMMYFUNCTION("""COMPUTED_VALUE"""),"IMPLANTAR ABRIGO")</f>
        <v>IMPLANTAR ABRIGO</v>
      </c>
      <c r="S44" s="7">
        <f>IFERROR(__xludf.DUMMYFUNCTION("""COMPUTED_VALUE"""),44567.0)</f>
        <v>44567</v>
      </c>
      <c r="T44" s="5"/>
      <c r="U44" s="7">
        <f>IFERROR(__xludf.DUMMYFUNCTION("""COMPUTED_VALUE"""),44567.0)</f>
        <v>44567</v>
      </c>
      <c r="V44" s="9" t="str">
        <f>IFERROR(__xludf.DUMMYFUNCTION("""COMPUTED_VALUE"""),"https://drive.google.com/uc?id=1xDj9YP-hActe-JYZ_cXw1RxD2bWTIaWx")</f>
        <v>https://drive.google.com/uc?id=1xDj9YP-hActe-JYZ_cXw1RxD2bWTIaWx</v>
      </c>
      <c r="W44" s="5" t="str">
        <f>IFERROR(__xludf.DUMMYFUNCTION("""COMPUTED_VALUE"""),"NÃO")</f>
        <v>NÃO</v>
      </c>
      <c r="X44" s="5" t="str">
        <f>IFERROR(__xludf.DUMMYFUNCTION("""COMPUTED_VALUE"""),"NÃO SE APLICA")</f>
        <v>NÃO SE APLICA</v>
      </c>
    </row>
    <row r="45">
      <c r="A45" s="5">
        <f>IFERROR(__xludf.DUMMYFUNCTION("""COMPUTED_VALUE"""),8.0)</f>
        <v>8</v>
      </c>
      <c r="B45" s="5" t="str">
        <f>IFERROR(__xludf.DUMMYFUNCTION("""COMPUTED_VALUE"""),"GX007")</f>
        <v>GX007</v>
      </c>
      <c r="C45" s="5" t="str">
        <f>IFERROR(__xludf.DUMMYFUNCTION("""COMPUTED_VALUE"""),"ABRIGO CONCRETO")</f>
        <v>ABRIGO CONCRETO</v>
      </c>
      <c r="D45" s="5" t="str">
        <f>IFERROR(__xludf.DUMMYFUNCTION("""COMPUTED_VALUE"""),"SEM PLACA")</f>
        <v>SEM PLACA</v>
      </c>
      <c r="E45" s="5" t="str">
        <f>IFERROR(__xludf.DUMMYFUNCTION("""COMPUTED_VALUE"""),"SEM BAIA")</f>
        <v>SEM BAIA</v>
      </c>
      <c r="F45" s="5" t="str">
        <f>IFERROR(__xludf.DUMMYFUNCTION("""COMPUTED_VALUE"""),"NÃO")</f>
        <v>NÃO</v>
      </c>
      <c r="G45" s="5" t="str">
        <f>IFERROR(__xludf.DUMMYFUNCTION("""COMPUTED_VALUE"""),"NÃO")</f>
        <v>NÃO</v>
      </c>
      <c r="H45" s="5" t="str">
        <f>IFERROR(__xludf.DUMMYFUNCTION("""COMPUTED_VALUE"""),"NÃO PAVIMENTADA")</f>
        <v>NÃO PAVIMENTADA</v>
      </c>
      <c r="I45" s="6" t="str">
        <f>IFERROR(__xludf.DUMMYFUNCTION("""COMPUTED_VALUE"""),"-9.594742")</f>
        <v>-9.594742</v>
      </c>
      <c r="J45" s="6" t="str">
        <f>IFERROR(__xludf.DUMMYFUNCTION("""COMPUTED_VALUE"""),"-35.679658")</f>
        <v>-35.679658</v>
      </c>
      <c r="K45" s="5" t="str">
        <f>IFERROR(__xludf.DUMMYFUNCTION("""COMPUTED_VALUE"""),"RUA ALTO DA  BOA VISTA, S/N")</f>
        <v>RUA ALTO DA  BOA VISTA, S/N</v>
      </c>
      <c r="L45" s="5" t="str">
        <f>IFERROR(__xludf.DUMMYFUNCTION("""COMPUTED_VALUE"""),"COLETORA")</f>
        <v>COLETORA</v>
      </c>
      <c r="M45" s="5" t="str">
        <f>IFERROR(__xludf.DUMMYFUNCTION("""COMPUTED_VALUE"""),"GUAXUMA")</f>
        <v>GUAXUMA</v>
      </c>
      <c r="N45" s="5" t="str">
        <f>IFERROR(__xludf.DUMMYFUNCTION("""COMPUTED_VALUE"""),"CENTRO - BAIRRO")</f>
        <v>CENTRO - BAIRRO</v>
      </c>
      <c r="O45" s="5" t="str">
        <f>IFERROR(__xludf.DUMMYFUNCTION("""COMPUTED_VALUE"""),"EM FRENTE AO CAMPO DO BAIRRO")</f>
        <v>EM FRENTE AO CAMPO DO BAIRRO</v>
      </c>
      <c r="P45" s="5" t="str">
        <f>IFERROR(__xludf.DUMMYFUNCTION("""COMPUTED_VALUE"""),"PRIORIDADE ALTA")</f>
        <v>PRIORIDADE ALTA</v>
      </c>
      <c r="Q45" s="5" t="str">
        <f>IFERROR(__xludf.DUMMYFUNCTION("""COMPUTED_VALUE"""),"PINTURA DA BAIA NO ASFALTO, ADEQUAÇÃO DA CALÇADA (RAMPA DE ACESSIBILIDADE E PISO TÁTIL).")</f>
        <v>PINTURA DA BAIA NO ASFALTO, ADEQUAÇÃO DA CALÇADA (RAMPA DE ACESSIBILIDADE E PISO TÁTIL).</v>
      </c>
      <c r="R45" s="5" t="str">
        <f>IFERROR(__xludf.DUMMYFUNCTION("""COMPUTED_VALUE"""),"SUBSTITUIR ABRIGO")</f>
        <v>SUBSTITUIR ABRIGO</v>
      </c>
      <c r="S45" s="7">
        <f>IFERROR(__xludf.DUMMYFUNCTION("""COMPUTED_VALUE"""),44568.0)</f>
        <v>44568</v>
      </c>
      <c r="T45" s="5"/>
      <c r="U45" s="7">
        <f>IFERROR(__xludf.DUMMYFUNCTION("""COMPUTED_VALUE"""),44568.0)</f>
        <v>44568</v>
      </c>
      <c r="V45" s="9" t="str">
        <f>IFERROR(__xludf.DUMMYFUNCTION("""COMPUTED_VALUE"""),"https://drive.google.com/uc?id=1saAiKGD5viE-RLhtGsktijPDz4AvawLW")</f>
        <v>https://drive.google.com/uc?id=1saAiKGD5viE-RLhtGsktijPDz4AvawLW</v>
      </c>
      <c r="W45" s="5" t="str">
        <f>IFERROR(__xludf.DUMMYFUNCTION("""COMPUTED_VALUE"""),"NÃO")</f>
        <v>NÃO</v>
      </c>
      <c r="X45" s="5" t="str">
        <f>IFERROR(__xludf.DUMMYFUNCTION("""COMPUTED_VALUE"""),"NÃO SE APLICA")</f>
        <v>NÃO SE APLICA</v>
      </c>
    </row>
    <row r="46" hidden="1">
      <c r="A46" s="5">
        <f>IFERROR(__xludf.DUMMYFUNCTION("""COMPUTED_VALUE"""),8.0)</f>
        <v>8</v>
      </c>
      <c r="B46" s="5" t="str">
        <f>IFERROR(__xludf.DUMMYFUNCTION("""COMPUTED_VALUE"""),"GX008")</f>
        <v>GX008</v>
      </c>
      <c r="C46" s="5" t="str">
        <f>IFERROR(__xludf.DUMMYFUNCTION("""COMPUTED_VALUE"""),"NÃO POSSUI")</f>
        <v>NÃO POSSUI</v>
      </c>
      <c r="D46" s="5" t="str">
        <f>IFERROR(__xludf.DUMMYFUNCTION("""COMPUTED_VALUE"""),"FIXADA EM POSTE")</f>
        <v>FIXADA EM POSTE</v>
      </c>
      <c r="E46" s="5" t="str">
        <f>IFERROR(__xludf.DUMMYFUNCTION("""COMPUTED_VALUE"""),"SEM BAIA")</f>
        <v>SEM BAIA</v>
      </c>
      <c r="F46" s="5" t="str">
        <f>IFERROR(__xludf.DUMMYFUNCTION("""COMPUTED_VALUE"""),"SIM")</f>
        <v>SIM</v>
      </c>
      <c r="G46" s="5" t="str">
        <f>IFERROR(__xludf.DUMMYFUNCTION("""COMPUTED_VALUE"""),"SIM")</f>
        <v>SIM</v>
      </c>
      <c r="H46" s="5" t="str">
        <f>IFERROR(__xludf.DUMMYFUNCTION("""COMPUTED_VALUE"""),"PAVIMENTADA")</f>
        <v>PAVIMENTADA</v>
      </c>
      <c r="I46" s="6" t="str">
        <f>IFERROR(__xludf.DUMMYFUNCTION("""COMPUTED_VALUE"""),"-9.595259")</f>
        <v>-9.595259</v>
      </c>
      <c r="J46" s="6" t="str">
        <f>IFERROR(__xludf.DUMMYFUNCTION("""COMPUTED_VALUE"""),"-35.675314")</f>
        <v>-35.675314</v>
      </c>
      <c r="K46" s="5" t="str">
        <f>IFERROR(__xludf.DUMMYFUNCTION("""COMPUTED_VALUE"""),"AV. GEN. LUIZ DE FRANÇA ALBUQUERQUE – RODOVIA AL-101 NORTE, S/N")</f>
        <v>AV. GEN. LUIZ DE FRANÇA ALBUQUERQUE – RODOVIA AL-101 NORTE, S/N</v>
      </c>
      <c r="L46" s="5" t="str">
        <f>IFERROR(__xludf.DUMMYFUNCTION("""COMPUTED_VALUE"""),"RODOVIAS")</f>
        <v>RODOVIAS</v>
      </c>
      <c r="M46" s="5" t="str">
        <f>IFERROR(__xludf.DUMMYFUNCTION("""COMPUTED_VALUE"""),"GUAXUMA")</f>
        <v>GUAXUMA</v>
      </c>
      <c r="N46" s="5" t="str">
        <f>IFERROR(__xludf.DUMMYFUNCTION("""COMPUTED_VALUE"""),"CENTRO - BAIRRO")</f>
        <v>CENTRO - BAIRRO</v>
      </c>
      <c r="O46" s="5" t="str">
        <f>IFERROR(__xludf.DUMMYFUNCTION("""COMPUTED_VALUE"""),"PRÓXIMA SPLASH PISCINAS")</f>
        <v>PRÓXIMA SPLASH PISCINAS</v>
      </c>
      <c r="P46" s="5" t="str">
        <f>IFERROR(__xludf.DUMMYFUNCTION("""COMPUTED_VALUE"""),"PRIORIDADE ALTA")</f>
        <v>PRIORIDADE ALTA</v>
      </c>
      <c r="Q46" s="5" t="str">
        <f>IFERROR(__xludf.DUMMYFUNCTION("""COMPUTED_VALUE"""),"IMPLANTAR ABRIGO, PINTURA DA BAIA NO ASFALTO")</f>
        <v>IMPLANTAR ABRIGO, PINTURA DA BAIA NO ASFALTO</v>
      </c>
      <c r="R46" s="5" t="str">
        <f>IFERROR(__xludf.DUMMYFUNCTION("""COMPUTED_VALUE"""),"IMPLANTAR ABRIGO")</f>
        <v>IMPLANTAR ABRIGO</v>
      </c>
      <c r="S46" s="7">
        <f>IFERROR(__xludf.DUMMYFUNCTION("""COMPUTED_VALUE"""),44569.0)</f>
        <v>44569</v>
      </c>
      <c r="T46" s="5"/>
      <c r="U46" s="7">
        <f>IFERROR(__xludf.DUMMYFUNCTION("""COMPUTED_VALUE"""),44569.0)</f>
        <v>44569</v>
      </c>
      <c r="V46" s="9" t="str">
        <f>IFERROR(__xludf.DUMMYFUNCTION("""COMPUTED_VALUE"""),"https://drive.google.com/uc?id=1RiLle_lzJCqjteLaB4SROpW6M6OsJ_V5")</f>
        <v>https://drive.google.com/uc?id=1RiLle_lzJCqjteLaB4SROpW6M6OsJ_V5</v>
      </c>
      <c r="W46" s="5" t="str">
        <f>IFERROR(__xludf.DUMMYFUNCTION("""COMPUTED_VALUE"""),"NÃO")</f>
        <v>NÃO</v>
      </c>
      <c r="X46" s="5" t="str">
        <f>IFERROR(__xludf.DUMMYFUNCTION("""COMPUTED_VALUE"""),"NÃO SE APLICA")</f>
        <v>NÃO SE APLICA</v>
      </c>
    </row>
    <row r="47" hidden="1">
      <c r="A47" s="5">
        <f>IFERROR(__xludf.DUMMYFUNCTION("""COMPUTED_VALUE"""),8.0)</f>
        <v>8</v>
      </c>
      <c r="B47" s="5" t="str">
        <f>IFERROR(__xludf.DUMMYFUNCTION("""COMPUTED_VALUE"""),"GX009")</f>
        <v>GX009</v>
      </c>
      <c r="C47" s="5" t="str">
        <f>IFERROR(__xludf.DUMMYFUNCTION("""COMPUTED_VALUE"""),"NÃO POSSUI")</f>
        <v>NÃO POSSUI</v>
      </c>
      <c r="D47" s="5" t="str">
        <f>IFERROR(__xludf.DUMMYFUNCTION("""COMPUTED_VALUE"""),"SEM PLACA")</f>
        <v>SEM PLACA</v>
      </c>
      <c r="E47" s="5" t="str">
        <f>IFERROR(__xludf.DUMMYFUNCTION("""COMPUTED_VALUE"""),"BAIA CONSTRUÍDA")</f>
        <v>BAIA CONSTRUÍDA</v>
      </c>
      <c r="F47" s="5" t="str">
        <f>IFERROR(__xludf.DUMMYFUNCTION("""COMPUTED_VALUE"""),"SIM")</f>
        <v>SIM</v>
      </c>
      <c r="G47" s="5" t="str">
        <f>IFERROR(__xludf.DUMMYFUNCTION("""COMPUTED_VALUE"""),"SIM")</f>
        <v>SIM</v>
      </c>
      <c r="H47" s="5" t="str">
        <f>IFERROR(__xludf.DUMMYFUNCTION("""COMPUTED_VALUE"""),"PAVIMENTADA")</f>
        <v>PAVIMENTADA</v>
      </c>
      <c r="I47" s="6" t="str">
        <f>IFERROR(__xludf.DUMMYFUNCTION("""COMPUTED_VALUE"""),"-9.593816")</f>
        <v>-9.593816</v>
      </c>
      <c r="J47" s="6" t="str">
        <f>IFERROR(__xludf.DUMMYFUNCTION("""COMPUTED_VALUE"""),"-35.674481")</f>
        <v>-35.674481</v>
      </c>
      <c r="K47" s="5" t="str">
        <f>IFERROR(__xludf.DUMMYFUNCTION("""COMPUTED_VALUE"""),"AV. GEN. LUIZ DE FRANÇA ALBUQUERQUE – RODOVIA AL-101 NORTE, S/N")</f>
        <v>AV. GEN. LUIZ DE FRANÇA ALBUQUERQUE – RODOVIA AL-101 NORTE, S/N</v>
      </c>
      <c r="L47" s="5" t="str">
        <f>IFERROR(__xludf.DUMMYFUNCTION("""COMPUTED_VALUE"""),"RODOVIAS")</f>
        <v>RODOVIAS</v>
      </c>
      <c r="M47" s="5" t="str">
        <f>IFERROR(__xludf.DUMMYFUNCTION("""COMPUTED_VALUE"""),"GUAXUMA")</f>
        <v>GUAXUMA</v>
      </c>
      <c r="N47" s="5" t="str">
        <f>IFERROR(__xludf.DUMMYFUNCTION("""COMPUTED_VALUE"""),"BAIRRO - CENTRO")</f>
        <v>BAIRRO - CENTRO</v>
      </c>
      <c r="O47" s="5" t="str">
        <f>IFERROR(__xludf.DUMMYFUNCTION("""COMPUTED_VALUE"""),"ANTES DA SPLASH PISCINAS, NO SENTIDO DA VIA")</f>
        <v>ANTES DA SPLASH PISCINAS, NO SENTIDO DA VIA</v>
      </c>
      <c r="P47" s="5" t="str">
        <f>IFERROR(__xludf.DUMMYFUNCTION("""COMPUTED_VALUE"""),"PRIORIDADE ALTA")</f>
        <v>PRIORIDADE ALTA</v>
      </c>
      <c r="Q47" s="5" t="str">
        <f>IFERROR(__xludf.DUMMYFUNCTION("""COMPUTED_VALUE"""),"IMPLANTAR ABRIGO, PINTAR A SINALIZAÇÃO DA BAIA CONSTRUÍDA")</f>
        <v>IMPLANTAR ABRIGO, PINTAR A SINALIZAÇÃO DA BAIA CONSTRUÍDA</v>
      </c>
      <c r="R47" s="5" t="str">
        <f>IFERROR(__xludf.DUMMYFUNCTION("""COMPUTED_VALUE"""),"IMPLANTAR ABRIGO")</f>
        <v>IMPLANTAR ABRIGO</v>
      </c>
      <c r="S47" s="7">
        <f>IFERROR(__xludf.DUMMYFUNCTION("""COMPUTED_VALUE"""),44570.0)</f>
        <v>44570</v>
      </c>
      <c r="T47" s="5"/>
      <c r="U47" s="7">
        <f>IFERROR(__xludf.DUMMYFUNCTION("""COMPUTED_VALUE"""),44570.0)</f>
        <v>44570</v>
      </c>
      <c r="V47" s="9" t="str">
        <f>IFERROR(__xludf.DUMMYFUNCTION("""COMPUTED_VALUE"""),"https://drive.google.com/uc?id=19saXrk6ck3nE2X-0t9IG1K3sO9s_ZitR")</f>
        <v>https://drive.google.com/uc?id=19saXrk6ck3nE2X-0t9IG1K3sO9s_ZitR</v>
      </c>
      <c r="W47" s="5" t="str">
        <f>IFERROR(__xludf.DUMMYFUNCTION("""COMPUTED_VALUE"""),"NÃO")</f>
        <v>NÃO</v>
      </c>
      <c r="X47" s="5" t="str">
        <f>IFERROR(__xludf.DUMMYFUNCTION("""COMPUTED_VALUE"""),"NÃO SE APLICA")</f>
        <v>NÃO SE APLICA</v>
      </c>
    </row>
    <row r="48" hidden="1">
      <c r="A48" s="5">
        <f>IFERROR(__xludf.DUMMYFUNCTION("""COMPUTED_VALUE"""),8.0)</f>
        <v>8</v>
      </c>
      <c r="B48" s="5" t="str">
        <f>IFERROR(__xludf.DUMMYFUNCTION("""COMPUTED_VALUE"""),"GX010")</f>
        <v>GX010</v>
      </c>
      <c r="C48" s="5" t="str">
        <f>IFERROR(__xludf.DUMMYFUNCTION("""COMPUTED_VALUE"""),"NÃO POSSUI")</f>
        <v>NÃO POSSUI</v>
      </c>
      <c r="D48" s="5" t="str">
        <f>IFERROR(__xludf.DUMMYFUNCTION("""COMPUTED_VALUE"""),"FIXADA EM POSTE")</f>
        <v>FIXADA EM POSTE</v>
      </c>
      <c r="E48" s="5" t="str">
        <f>IFERROR(__xludf.DUMMYFUNCTION("""COMPUTED_VALUE"""),"SEM BAIA")</f>
        <v>SEM BAIA</v>
      </c>
      <c r="F48" s="5" t="str">
        <f>IFERROR(__xludf.DUMMYFUNCTION("""COMPUTED_VALUE"""),"SIM")</f>
        <v>SIM</v>
      </c>
      <c r="G48" s="5" t="str">
        <f>IFERROR(__xludf.DUMMYFUNCTION("""COMPUTED_VALUE"""),"SIM")</f>
        <v>SIM</v>
      </c>
      <c r="H48" s="5" t="str">
        <f>IFERROR(__xludf.DUMMYFUNCTION("""COMPUTED_VALUE"""),"PAVIMENTADA")</f>
        <v>PAVIMENTADA</v>
      </c>
      <c r="I48" s="6" t="str">
        <f>IFERROR(__xludf.DUMMYFUNCTION("""COMPUTED_VALUE"""),"-9.592026")</f>
        <v>-9.592026</v>
      </c>
      <c r="J48" s="6" t="str">
        <f>IFERROR(__xludf.DUMMYFUNCTION("""COMPUTED_VALUE"""),"-35.672804")</f>
        <v>-35.672804</v>
      </c>
      <c r="K48" s="5" t="str">
        <f>IFERROR(__xludf.DUMMYFUNCTION("""COMPUTED_VALUE"""),"AV. GEN. LUIZ DE FRANÇA ALBUQUERQUE – RODOVIA AL-101 NORTE, S/N")</f>
        <v>AV. GEN. LUIZ DE FRANÇA ALBUQUERQUE – RODOVIA AL-101 NORTE, S/N</v>
      </c>
      <c r="L48" s="5" t="str">
        <f>IFERROR(__xludf.DUMMYFUNCTION("""COMPUTED_VALUE"""),"RODOVIAS")</f>
        <v>RODOVIAS</v>
      </c>
      <c r="M48" s="5" t="str">
        <f>IFERROR(__xludf.DUMMYFUNCTION("""COMPUTED_VALUE"""),"GUAXUMA")</f>
        <v>GUAXUMA</v>
      </c>
      <c r="N48" s="5" t="str">
        <f>IFERROR(__xludf.DUMMYFUNCTION("""COMPUTED_VALUE"""),"BAIRRO - CENTRO")</f>
        <v>BAIRRO - CENTRO</v>
      </c>
      <c r="O48" s="5" t="str">
        <f>IFERROR(__xludf.DUMMYFUNCTION("""COMPUTED_VALUE"""),"NA FRENTE A RUA DE ENTRADA DO SESC GUAXUMA")</f>
        <v>NA FRENTE A RUA DE ENTRADA DO SESC GUAXUMA</v>
      </c>
      <c r="P48" s="5" t="str">
        <f>IFERROR(__xludf.DUMMYFUNCTION("""COMPUTED_VALUE"""),"PRIORIDADE ALTA")</f>
        <v>PRIORIDADE ALTA</v>
      </c>
      <c r="Q48" s="5" t="str">
        <f>IFERROR(__xludf.DUMMYFUNCTION("""COMPUTED_VALUE"""),"IMPLANTAR ABRIGO, PINTURA DA BAIA NO ASFALTO, ")</f>
        <v>IMPLANTAR ABRIGO, PINTURA DA BAIA NO ASFALTO, </v>
      </c>
      <c r="R48" s="5" t="str">
        <f>IFERROR(__xludf.DUMMYFUNCTION("""COMPUTED_VALUE"""),"IMPLANTAR ABRIGO")</f>
        <v>IMPLANTAR ABRIGO</v>
      </c>
      <c r="S48" s="7">
        <f>IFERROR(__xludf.DUMMYFUNCTION("""COMPUTED_VALUE"""),44571.0)</f>
        <v>44571</v>
      </c>
      <c r="T48" s="5"/>
      <c r="U48" s="7">
        <f>IFERROR(__xludf.DUMMYFUNCTION("""COMPUTED_VALUE"""),44571.0)</f>
        <v>44571</v>
      </c>
      <c r="V48" s="9" t="str">
        <f>IFERROR(__xludf.DUMMYFUNCTION("""COMPUTED_VALUE"""),"https://drive.google.com/uc?id=1SULgl-jnxYFKJxHuyRKduV_1b9H7cQvn")</f>
        <v>https://drive.google.com/uc?id=1SULgl-jnxYFKJxHuyRKduV_1b9H7cQvn</v>
      </c>
      <c r="W48" s="5" t="str">
        <f>IFERROR(__xludf.DUMMYFUNCTION("""COMPUTED_VALUE"""),"NÃO")</f>
        <v>NÃO</v>
      </c>
      <c r="X48" s="5" t="str">
        <f>IFERROR(__xludf.DUMMYFUNCTION("""COMPUTED_VALUE"""),"NÃO SE APLICA")</f>
        <v>NÃO SE APLICA</v>
      </c>
    </row>
    <row r="49" hidden="1">
      <c r="A49" s="5">
        <f>IFERROR(__xludf.DUMMYFUNCTION("""COMPUTED_VALUE"""),8.0)</f>
        <v>8</v>
      </c>
      <c r="B49" s="5" t="str">
        <f>IFERROR(__xludf.DUMMYFUNCTION("""COMPUTED_VALUE"""),"GX011")</f>
        <v>GX011</v>
      </c>
      <c r="C49" s="5" t="str">
        <f>IFERROR(__xludf.DUMMYFUNCTION("""COMPUTED_VALUE"""),"NÃO POSSUI")</f>
        <v>NÃO POSSUI</v>
      </c>
      <c r="D49" s="5" t="str">
        <f>IFERROR(__xludf.DUMMYFUNCTION("""COMPUTED_VALUE"""),"SEM PLACA")</f>
        <v>SEM PLACA</v>
      </c>
      <c r="E49" s="5" t="str">
        <f>IFERROR(__xludf.DUMMYFUNCTION("""COMPUTED_VALUE"""),"BAIA CONSTRUÍDA")</f>
        <v>BAIA CONSTRUÍDA</v>
      </c>
      <c r="F49" s="5" t="str">
        <f>IFERROR(__xludf.DUMMYFUNCTION("""COMPUTED_VALUE"""),"SIM")</f>
        <v>SIM</v>
      </c>
      <c r="G49" s="5" t="str">
        <f>IFERROR(__xludf.DUMMYFUNCTION("""COMPUTED_VALUE"""),"SIM")</f>
        <v>SIM</v>
      </c>
      <c r="H49" s="5" t="str">
        <f>IFERROR(__xludf.DUMMYFUNCTION("""COMPUTED_VALUE"""),"PAVIMENTADA")</f>
        <v>PAVIMENTADA</v>
      </c>
      <c r="I49" s="6" t="str">
        <f>IFERROR(__xludf.DUMMYFUNCTION("""COMPUTED_VALUE"""),"-9.591775")</f>
        <v>-9.591775</v>
      </c>
      <c r="J49" s="6" t="str">
        <f>IFERROR(__xludf.DUMMYFUNCTION("""COMPUTED_VALUE"""),"-35.672373")</f>
        <v>-35.672373</v>
      </c>
      <c r="K49" s="5" t="str">
        <f>IFERROR(__xludf.DUMMYFUNCTION("""COMPUTED_VALUE"""),"AV. GEN. LUIZ DE FRANÇA ALBUQUERQUE – RODOVIA AL-101 NORTE, S/N")</f>
        <v>AV. GEN. LUIZ DE FRANÇA ALBUQUERQUE – RODOVIA AL-101 NORTE, S/N</v>
      </c>
      <c r="L49" s="5" t="str">
        <f>IFERROR(__xludf.DUMMYFUNCTION("""COMPUTED_VALUE"""),"RODOVIAS")</f>
        <v>RODOVIAS</v>
      </c>
      <c r="M49" s="5" t="str">
        <f>IFERROR(__xludf.DUMMYFUNCTION("""COMPUTED_VALUE"""),"GUAXUMA")</f>
        <v>GUAXUMA</v>
      </c>
      <c r="N49" s="5" t="str">
        <f>IFERROR(__xludf.DUMMYFUNCTION("""COMPUTED_VALUE"""),"CENTRO - BAIRRO")</f>
        <v>CENTRO - BAIRRO</v>
      </c>
      <c r="O49" s="5" t="str">
        <f>IFERROR(__xludf.DUMMYFUNCTION("""COMPUTED_VALUE"""),"DEPOIS DA RUA DE ENTRADA DO SESC GUAXUMA")</f>
        <v>DEPOIS DA RUA DE ENTRADA DO SESC GUAXUMA</v>
      </c>
      <c r="P49" s="5" t="str">
        <f>IFERROR(__xludf.DUMMYFUNCTION("""COMPUTED_VALUE"""),"PRIORIDADE ALTA")</f>
        <v>PRIORIDADE ALTA</v>
      </c>
      <c r="Q49" s="5" t="str">
        <f>IFERROR(__xludf.DUMMYFUNCTION("""COMPUTED_VALUE"""),"IMPLANTAR ABRIGO, IMPLANTAR PLACA FIXADA NO POSTE, PAVIMENTAÇÃO DA BAIA")</f>
        <v>IMPLANTAR ABRIGO, IMPLANTAR PLACA FIXADA NO POSTE, PAVIMENTAÇÃO DA BAIA</v>
      </c>
      <c r="R49" s="5" t="str">
        <f>IFERROR(__xludf.DUMMYFUNCTION("""COMPUTED_VALUE"""),"SUBSTITUIR ABRIGO")</f>
        <v>SUBSTITUIR ABRIGO</v>
      </c>
      <c r="S49" s="7">
        <f>IFERROR(__xludf.DUMMYFUNCTION("""COMPUTED_VALUE"""),44572.0)</f>
        <v>44572</v>
      </c>
      <c r="T49" s="5"/>
      <c r="U49" s="7">
        <f>IFERROR(__xludf.DUMMYFUNCTION("""COMPUTED_VALUE"""),44572.0)</f>
        <v>44572</v>
      </c>
      <c r="V49" s="9" t="str">
        <f>IFERROR(__xludf.DUMMYFUNCTION("""COMPUTED_VALUE"""),"https://drive.google.com/uc?id=1wVhOfYxZAKkrV6h9PZN5XSz5ae98HhEp")</f>
        <v>https://drive.google.com/uc?id=1wVhOfYxZAKkrV6h9PZN5XSz5ae98HhEp</v>
      </c>
      <c r="W49" s="5" t="str">
        <f>IFERROR(__xludf.DUMMYFUNCTION("""COMPUTED_VALUE"""),"NÃO")</f>
        <v>NÃO</v>
      </c>
      <c r="X49" s="5" t="str">
        <f>IFERROR(__xludf.DUMMYFUNCTION("""COMPUTED_VALUE"""),"NÃO SE APLICA")</f>
        <v>NÃO SE APLICA</v>
      </c>
    </row>
    <row r="50" hidden="1">
      <c r="A50" s="5">
        <f>IFERROR(__xludf.DUMMYFUNCTION("""COMPUTED_VALUE"""),8.0)</f>
        <v>8</v>
      </c>
      <c r="B50" s="5" t="str">
        <f>IFERROR(__xludf.DUMMYFUNCTION("""COMPUTED_VALUE"""),"GX012")</f>
        <v>GX012</v>
      </c>
      <c r="C50" s="5" t="str">
        <f>IFERROR(__xludf.DUMMYFUNCTION("""COMPUTED_VALUE"""),"NÃO POSSUI")</f>
        <v>NÃO POSSUI</v>
      </c>
      <c r="D50" s="5" t="str">
        <f>IFERROR(__xludf.DUMMYFUNCTION("""COMPUTED_VALUE"""),"FIXADA EM POSTE")</f>
        <v>FIXADA EM POSTE</v>
      </c>
      <c r="E50" s="5" t="str">
        <f>IFERROR(__xludf.DUMMYFUNCTION("""COMPUTED_VALUE"""),"SEM BAIA")</f>
        <v>SEM BAIA</v>
      </c>
      <c r="F50" s="5" t="str">
        <f>IFERROR(__xludf.DUMMYFUNCTION("""COMPUTED_VALUE"""),"NÃO")</f>
        <v>NÃO</v>
      </c>
      <c r="G50" s="5" t="str">
        <f>IFERROR(__xludf.DUMMYFUNCTION("""COMPUTED_VALUE"""),"NÃO")</f>
        <v>NÃO</v>
      </c>
      <c r="H50" s="5" t="str">
        <f>IFERROR(__xludf.DUMMYFUNCTION("""COMPUTED_VALUE"""),"NÃO PAVIMENTADA")</f>
        <v>NÃO PAVIMENTADA</v>
      </c>
      <c r="I50" s="6" t="str">
        <f>IFERROR(__xludf.DUMMYFUNCTION("""COMPUTED_VALUE"""),"-9.588759")</f>
        <v>-9.588759</v>
      </c>
      <c r="J50" s="6" t="str">
        <f>IFERROR(__xludf.DUMMYFUNCTION("""COMPUTED_VALUE"""),"-35.669659")</f>
        <v>-35.669659</v>
      </c>
      <c r="K50" s="5" t="str">
        <f>IFERROR(__xludf.DUMMYFUNCTION("""COMPUTED_VALUE"""),"AV. GEN. LUIZ DE FRANÇA ALBUQUERQUE – RODOVIA AL-101 NORTE")</f>
        <v>AV. GEN. LUIZ DE FRANÇA ALBUQUERQUE – RODOVIA AL-101 NORTE</v>
      </c>
      <c r="L50" s="5" t="str">
        <f>IFERROR(__xludf.DUMMYFUNCTION("""COMPUTED_VALUE"""),"RODOVIAS")</f>
        <v>RODOVIAS</v>
      </c>
      <c r="M50" s="5" t="str">
        <f>IFERROR(__xludf.DUMMYFUNCTION("""COMPUTED_VALUE"""),"GUAXUMA")</f>
        <v>GUAXUMA</v>
      </c>
      <c r="N50" s="5" t="str">
        <f>IFERROR(__xludf.DUMMYFUNCTION("""COMPUTED_VALUE"""),"CENTRO - BAIRRO")</f>
        <v>CENTRO - BAIRRO</v>
      </c>
      <c r="O50" s="5" t="str">
        <f>IFERROR(__xludf.DUMMYFUNCTION("""COMPUTED_VALUE"""),"EM FRENTE AO CONDOMÍNIO GREEN VILLAGE ")</f>
        <v>EM FRENTE AO CONDOMÍNIO GREEN VILLAGE </v>
      </c>
      <c r="P50" s="5" t="str">
        <f>IFERROR(__xludf.DUMMYFUNCTION("""COMPUTED_VALUE"""),"PRIORIDADE ALTA")</f>
        <v>PRIORIDADE ALTA</v>
      </c>
      <c r="Q50" s="5" t="str">
        <f>IFERROR(__xludf.DUMMYFUNCTION("""COMPUTED_VALUE"""),"IMPLANTAR ABRIGO, PINTURA DA BAIA NO ASFALTO, PAVIMENTAÇÃO E ADEQUAÇÃO DA CALÇADA (RAMPA DE ACESSIBILIDADE E PISO TÁTIL), LIMPEZA DA VEGETAÇÃO")</f>
        <v>IMPLANTAR ABRIGO, PINTURA DA BAIA NO ASFALTO, PAVIMENTAÇÃO E ADEQUAÇÃO DA CALÇADA (RAMPA DE ACESSIBILIDADE E PISO TÁTIL), LIMPEZA DA VEGETAÇÃO</v>
      </c>
      <c r="R50" s="5" t="str">
        <f>IFERROR(__xludf.DUMMYFUNCTION("""COMPUTED_VALUE"""),"IMPLANTAR ABRIGO")</f>
        <v>IMPLANTAR ABRIGO</v>
      </c>
      <c r="S50" s="7">
        <f>IFERROR(__xludf.DUMMYFUNCTION("""COMPUTED_VALUE"""),44573.0)</f>
        <v>44573</v>
      </c>
      <c r="T50" s="5"/>
      <c r="U50" s="7">
        <f>IFERROR(__xludf.DUMMYFUNCTION("""COMPUTED_VALUE"""),44573.0)</f>
        <v>44573</v>
      </c>
      <c r="V50" s="9" t="str">
        <f>IFERROR(__xludf.DUMMYFUNCTION("""COMPUTED_VALUE"""),"https://drive.google.com/uc?id=1-kojnkUDtkVPFUi2XSES64Is7V8uWomk")</f>
        <v>https://drive.google.com/uc?id=1-kojnkUDtkVPFUi2XSES64Is7V8uWomk</v>
      </c>
      <c r="W50" s="5" t="str">
        <f>IFERROR(__xludf.DUMMYFUNCTION("""COMPUTED_VALUE"""),"NÃO")</f>
        <v>NÃO</v>
      </c>
      <c r="X50" s="5" t="str">
        <f>IFERROR(__xludf.DUMMYFUNCTION("""COMPUTED_VALUE"""),"NÃO SE APLICA")</f>
        <v>NÃO SE APLICA</v>
      </c>
    </row>
    <row r="51" hidden="1">
      <c r="A51" s="5">
        <f>IFERROR(__xludf.DUMMYFUNCTION("""COMPUTED_VALUE"""),8.0)</f>
        <v>8</v>
      </c>
      <c r="B51" s="5" t="str">
        <f>IFERROR(__xludf.DUMMYFUNCTION("""COMPUTED_VALUE"""),"GX013")</f>
        <v>GX013</v>
      </c>
      <c r="C51" s="5" t="str">
        <f>IFERROR(__xludf.DUMMYFUNCTION("""COMPUTED_VALUE"""),"NÃO POSSUI")</f>
        <v>NÃO POSSUI</v>
      </c>
      <c r="D51" s="5" t="str">
        <f>IFERROR(__xludf.DUMMYFUNCTION("""COMPUTED_VALUE"""),"FIXADA EM POSTE")</f>
        <v>FIXADA EM POSTE</v>
      </c>
      <c r="E51" s="5" t="str">
        <f>IFERROR(__xludf.DUMMYFUNCTION("""COMPUTED_VALUE"""),"SEM BAIA")</f>
        <v>SEM BAIA</v>
      </c>
      <c r="F51" s="5" t="str">
        <f>IFERROR(__xludf.DUMMYFUNCTION("""COMPUTED_VALUE"""),"NÃO")</f>
        <v>NÃO</v>
      </c>
      <c r="G51" s="5" t="str">
        <f>IFERROR(__xludf.DUMMYFUNCTION("""COMPUTED_VALUE"""),"NÃO")</f>
        <v>NÃO</v>
      </c>
      <c r="H51" s="5" t="str">
        <f>IFERROR(__xludf.DUMMYFUNCTION("""COMPUTED_VALUE"""),"NÃO PAVIMENTADA")</f>
        <v>NÃO PAVIMENTADA</v>
      </c>
      <c r="I51" s="6" t="str">
        <f>IFERROR(__xludf.DUMMYFUNCTION("""COMPUTED_VALUE"""),"-9.588904")</f>
        <v>-9.588904</v>
      </c>
      <c r="J51" s="6" t="str">
        <f>IFERROR(__xludf.DUMMYFUNCTION("""COMPUTED_VALUE"""),"-35.669641")</f>
        <v>-35.669641</v>
      </c>
      <c r="K51" s="5" t="str">
        <f>IFERROR(__xludf.DUMMYFUNCTION("""COMPUTED_VALUE"""),"AV. GEN. LUIZ DE FRANÇA ALBUQUERQUE – RODOVIA AL-101 NORTE")</f>
        <v>AV. GEN. LUIZ DE FRANÇA ALBUQUERQUE – RODOVIA AL-101 NORTE</v>
      </c>
      <c r="L51" s="5" t="str">
        <f>IFERROR(__xludf.DUMMYFUNCTION("""COMPUTED_VALUE"""),"RODOVIAS")</f>
        <v>RODOVIAS</v>
      </c>
      <c r="M51" s="5" t="str">
        <f>IFERROR(__xludf.DUMMYFUNCTION("""COMPUTED_VALUE"""),"GUAXUMA")</f>
        <v>GUAXUMA</v>
      </c>
      <c r="N51" s="5" t="str">
        <f>IFERROR(__xludf.DUMMYFUNCTION("""COMPUTED_VALUE"""),"CENTRO - BAIRRO")</f>
        <v>CENTRO - BAIRRO</v>
      </c>
      <c r="O51" s="5" t="str">
        <f>IFERROR(__xludf.DUMMYFUNCTION("""COMPUTED_VALUE"""),"NA FRENTE DO CONDOMÍNIO GREEN VILLAGE")</f>
        <v>NA FRENTE DO CONDOMÍNIO GREEN VILLAGE</v>
      </c>
      <c r="P51" s="5" t="str">
        <f>IFERROR(__xludf.DUMMYFUNCTION("""COMPUTED_VALUE"""),"PRIORIDADE ALTA")</f>
        <v>PRIORIDADE ALTA</v>
      </c>
      <c r="Q51" s="5" t="str">
        <f>IFERROR(__xludf.DUMMYFUNCTION("""COMPUTED_VALUE"""),"IMPLANTAR ABRIGO, PINTURA DA BAIA NO ASFALTO, PAVIMENTAÇÃO E ADEQUAÇÃO DA CALÇADA (RAMPA DE ACESSIBILIDADE E PISO TÁTIL), LIMPEZA DA VEGETAÇÃO")</f>
        <v>IMPLANTAR ABRIGO, PINTURA DA BAIA NO ASFALTO, PAVIMENTAÇÃO E ADEQUAÇÃO DA CALÇADA (RAMPA DE ACESSIBILIDADE E PISO TÁTIL), LIMPEZA DA VEGETAÇÃO</v>
      </c>
      <c r="R51" s="5" t="str">
        <f>IFERROR(__xludf.DUMMYFUNCTION("""COMPUTED_VALUE"""),"NENHUMA DAS OPÇÕES")</f>
        <v>NENHUMA DAS OPÇÕES</v>
      </c>
      <c r="S51" s="7">
        <f>IFERROR(__xludf.DUMMYFUNCTION("""COMPUTED_VALUE"""),44574.0)</f>
        <v>44574</v>
      </c>
      <c r="T51" s="5"/>
      <c r="U51" s="7">
        <f>IFERROR(__xludf.DUMMYFUNCTION("""COMPUTED_VALUE"""),44574.0)</f>
        <v>44574</v>
      </c>
      <c r="V51" s="9" t="str">
        <f>IFERROR(__xludf.DUMMYFUNCTION("""COMPUTED_VALUE"""),"https://drive.google.com/uc?id=1Z5sNF1iol1vKnz_W8aaq1n-ngbVWu4MF")</f>
        <v>https://drive.google.com/uc?id=1Z5sNF1iol1vKnz_W8aaq1n-ngbVWu4MF</v>
      </c>
      <c r="W51" s="5" t="str">
        <f>IFERROR(__xludf.DUMMYFUNCTION("""COMPUTED_VALUE"""),"NÃO")</f>
        <v>NÃO</v>
      </c>
      <c r="X51" s="5" t="str">
        <f>IFERROR(__xludf.DUMMYFUNCTION("""COMPUTED_VALUE"""),"NÃO SE APLICA")</f>
        <v>NÃO SE APLICA</v>
      </c>
    </row>
    <row r="52" hidden="1">
      <c r="A52" s="5">
        <f>IFERROR(__xludf.DUMMYFUNCTION("""COMPUTED_VALUE"""),8.0)</f>
        <v>8</v>
      </c>
      <c r="B52" s="5" t="str">
        <f>IFERROR(__xludf.DUMMYFUNCTION("""COMPUTED_VALUE"""),"GX014")</f>
        <v>GX014</v>
      </c>
      <c r="C52" s="5" t="str">
        <f>IFERROR(__xludf.DUMMYFUNCTION("""COMPUTED_VALUE"""),"NÃO POSSUI")</f>
        <v>NÃO POSSUI</v>
      </c>
      <c r="D52" s="5" t="str">
        <f>IFERROR(__xludf.DUMMYFUNCTION("""COMPUTED_VALUE"""),"COM SUPORTE")</f>
        <v>COM SUPORTE</v>
      </c>
      <c r="E52" s="5" t="str">
        <f>IFERROR(__xludf.DUMMYFUNCTION("""COMPUTED_VALUE"""),"SEM BAIA")</f>
        <v>SEM BAIA</v>
      </c>
      <c r="F52" s="5" t="str">
        <f>IFERROR(__xludf.DUMMYFUNCTION("""COMPUTED_VALUE"""),"NÃO")</f>
        <v>NÃO</v>
      </c>
      <c r="G52" s="5" t="str">
        <f>IFERROR(__xludf.DUMMYFUNCTION("""COMPUTED_VALUE"""),"NÃO")</f>
        <v>NÃO</v>
      </c>
      <c r="H52" s="5" t="str">
        <f>IFERROR(__xludf.DUMMYFUNCTION("""COMPUTED_VALUE"""),"NÃO PAVIMENTADA")</f>
        <v>NÃO PAVIMENTADA</v>
      </c>
      <c r="I52" s="6" t="str">
        <f>IFERROR(__xludf.DUMMYFUNCTION("""COMPUTED_VALUE"""),"-9.587567")</f>
        <v>-9.587567</v>
      </c>
      <c r="J52" s="6" t="str">
        <f>IFERROR(__xludf.DUMMYFUNCTION("""COMPUTED_VALUE"""),"-35.668495")</f>
        <v>-35.668495</v>
      </c>
      <c r="K52" s="5" t="str">
        <f>IFERROR(__xludf.DUMMYFUNCTION("""COMPUTED_VALUE"""),"AV. GEN. LUIZ DE FRANÇA ALBUQUERQUE – RODOVIA AL-101 NORTE, 2780")</f>
        <v>AV. GEN. LUIZ DE FRANÇA ALBUQUERQUE – RODOVIA AL-101 NORTE, 2780</v>
      </c>
      <c r="L52" s="5" t="str">
        <f>IFERROR(__xludf.DUMMYFUNCTION("""COMPUTED_VALUE"""),"RODOVIAS")</f>
        <v>RODOVIAS</v>
      </c>
      <c r="M52" s="5" t="str">
        <f>IFERROR(__xludf.DUMMYFUNCTION("""COMPUTED_VALUE"""),"GUAXUMA")</f>
        <v>GUAXUMA</v>
      </c>
      <c r="N52" s="5" t="str">
        <f>IFERROR(__xludf.DUMMYFUNCTION("""COMPUTED_VALUE"""),"BAIRRO - CENTRO")</f>
        <v>BAIRRO - CENTRO</v>
      </c>
      <c r="O52" s="5" t="str">
        <f>IFERROR(__xludf.DUMMYFUNCTION("""COMPUTED_VALUE"""),"DEPOIS DO COND. GREEN PARK")</f>
        <v>DEPOIS DO COND. GREEN PARK</v>
      </c>
      <c r="P52" s="5" t="str">
        <f>IFERROR(__xludf.DUMMYFUNCTION("""COMPUTED_VALUE"""),"PRIORIDADE ALTA")</f>
        <v>PRIORIDADE ALTA</v>
      </c>
      <c r="Q52" s="5" t="str">
        <f>IFERROR(__xludf.DUMMYFUNCTION("""COMPUTED_VALUE"""),"IMPLANTAR ABRIGO, PINTURA DA BAIA NO ASFALTO, PAVIMENTAÇÃO E ADEQUAÇÃO DA CALÇADA (RAMPA DE ACESSIBILIDADE E PISO TÁTIL), LIMPEZA DA VEGETAÇÃO")</f>
        <v>IMPLANTAR ABRIGO, PINTURA DA BAIA NO ASFALTO, PAVIMENTAÇÃO E ADEQUAÇÃO DA CALÇADA (RAMPA DE ACESSIBILIDADE E PISO TÁTIL), LIMPEZA DA VEGETAÇÃO</v>
      </c>
      <c r="R52" s="5" t="str">
        <f>IFERROR(__xludf.DUMMYFUNCTION("""COMPUTED_VALUE"""),"IMPLANTAR ABRIGO")</f>
        <v>IMPLANTAR ABRIGO</v>
      </c>
      <c r="S52" s="7">
        <f>IFERROR(__xludf.DUMMYFUNCTION("""COMPUTED_VALUE"""),44575.0)</f>
        <v>44575</v>
      </c>
      <c r="T52" s="5"/>
      <c r="U52" s="7">
        <f>IFERROR(__xludf.DUMMYFUNCTION("""COMPUTED_VALUE"""),44575.0)</f>
        <v>44575</v>
      </c>
      <c r="V52" s="9" t="str">
        <f>IFERROR(__xludf.DUMMYFUNCTION("""COMPUTED_VALUE"""),"https://drive.google.com/uc?id=1hfAHAbUqUw8vN6oW0HqIMwwrOnickmc4")</f>
        <v>https://drive.google.com/uc?id=1hfAHAbUqUw8vN6oW0HqIMwwrOnickmc4</v>
      </c>
      <c r="W52" s="5" t="str">
        <f>IFERROR(__xludf.DUMMYFUNCTION("""COMPUTED_VALUE"""),"NÃO")</f>
        <v>NÃO</v>
      </c>
      <c r="X52" s="5" t="str">
        <f>IFERROR(__xludf.DUMMYFUNCTION("""COMPUTED_VALUE"""),"NÃO SE APLICA")</f>
        <v>NÃO SE APLICA</v>
      </c>
    </row>
    <row r="53" hidden="1">
      <c r="A53" s="5">
        <f>IFERROR(__xludf.DUMMYFUNCTION("""COMPUTED_VALUE"""),8.0)</f>
        <v>8</v>
      </c>
      <c r="B53" s="5" t="str">
        <f>IFERROR(__xludf.DUMMYFUNCTION("""COMPUTED_VALUE"""),"GX015")</f>
        <v>GX015</v>
      </c>
      <c r="C53" s="5" t="str">
        <f>IFERROR(__xludf.DUMMYFUNCTION("""COMPUTED_VALUE"""),"NÃO POSSUI")</f>
        <v>NÃO POSSUI</v>
      </c>
      <c r="D53" s="5" t="str">
        <f>IFERROR(__xludf.DUMMYFUNCTION("""COMPUTED_VALUE"""),"FIXADA EM POSTE")</f>
        <v>FIXADA EM POSTE</v>
      </c>
      <c r="E53" s="5" t="str">
        <f>IFERROR(__xludf.DUMMYFUNCTION("""COMPUTED_VALUE"""),"SEM BAIA")</f>
        <v>SEM BAIA</v>
      </c>
      <c r="F53" s="5" t="str">
        <f>IFERROR(__xludf.DUMMYFUNCTION("""COMPUTED_VALUE"""),"NÃO")</f>
        <v>NÃO</v>
      </c>
      <c r="G53" s="5" t="str">
        <f>IFERROR(__xludf.DUMMYFUNCTION("""COMPUTED_VALUE"""),"NÃO")</f>
        <v>NÃO</v>
      </c>
      <c r="H53" s="5" t="str">
        <f>IFERROR(__xludf.DUMMYFUNCTION("""COMPUTED_VALUE"""),"NÃO PAVIMENTADA")</f>
        <v>NÃO PAVIMENTADA</v>
      </c>
      <c r="I53" s="6" t="str">
        <f>IFERROR(__xludf.DUMMYFUNCTION("""COMPUTED_VALUE"""),"-9.587356")</f>
        <v>-9.587356</v>
      </c>
      <c r="J53" s="6" t="str">
        <f>IFERROR(__xludf.DUMMYFUNCTION("""COMPUTED_VALUE"""),"-35.668148")</f>
        <v>-35.668148</v>
      </c>
      <c r="K53" s="5" t="str">
        <f>IFERROR(__xludf.DUMMYFUNCTION("""COMPUTED_VALUE"""),"AV. GEN. LUIZ DE FRANÇA ALBUQUERQUE – RODOVIA AL-101 NORTE, 2780")</f>
        <v>AV. GEN. LUIZ DE FRANÇA ALBUQUERQUE – RODOVIA AL-101 NORTE, 2780</v>
      </c>
      <c r="L53" s="5" t="str">
        <f>IFERROR(__xludf.DUMMYFUNCTION("""COMPUTED_VALUE"""),"RODOVIAS")</f>
        <v>RODOVIAS</v>
      </c>
      <c r="M53" s="5" t="str">
        <f>IFERROR(__xludf.DUMMYFUNCTION("""COMPUTED_VALUE"""),"GUAXUMA")</f>
        <v>GUAXUMA</v>
      </c>
      <c r="N53" s="5" t="str">
        <f>IFERROR(__xludf.DUMMYFUNCTION("""COMPUTED_VALUE"""),"CENTRO - BAIRRO")</f>
        <v>CENTRO - BAIRRO</v>
      </c>
      <c r="O53" s="5" t="str">
        <f>IFERROR(__xludf.DUMMYFUNCTION("""COMPUTED_VALUE"""),"DEPOIS DO COND. GREEN PARK")</f>
        <v>DEPOIS DO COND. GREEN PARK</v>
      </c>
      <c r="P53" s="5" t="str">
        <f>IFERROR(__xludf.DUMMYFUNCTION("""COMPUTED_VALUE"""),"PRIORIDADE ALTA")</f>
        <v>PRIORIDADE ALTA</v>
      </c>
      <c r="Q53" s="5" t="str">
        <f>IFERROR(__xludf.DUMMYFUNCTION("""COMPUTED_VALUE"""),"IMPLANTAR ABRIGO, PINTURA DA BAIA NO ASFALTO, PAVIMENTAÇÃO E ADEQUAÇÃO DA CALÇADA (RAMPA DE ACESSIBILIDADE E PISO TÁTIL)")</f>
        <v>IMPLANTAR ABRIGO, PINTURA DA BAIA NO ASFALTO, PAVIMENTAÇÃO E ADEQUAÇÃO DA CALÇADA (RAMPA DE ACESSIBILIDADE E PISO TÁTIL)</v>
      </c>
      <c r="R53" s="5" t="str">
        <f>IFERROR(__xludf.DUMMYFUNCTION("""COMPUTED_VALUE"""),"IMPLANTAR ABRIGO")</f>
        <v>IMPLANTAR ABRIGO</v>
      </c>
      <c r="S53" s="7">
        <f>IFERROR(__xludf.DUMMYFUNCTION("""COMPUTED_VALUE"""),44576.0)</f>
        <v>44576</v>
      </c>
      <c r="T53" s="5"/>
      <c r="U53" s="7">
        <f>IFERROR(__xludf.DUMMYFUNCTION("""COMPUTED_VALUE"""),44576.0)</f>
        <v>44576</v>
      </c>
      <c r="V53" s="9" t="str">
        <f>IFERROR(__xludf.DUMMYFUNCTION("""COMPUTED_VALUE"""),"https://drive.google.com/uc?id=170N3pI5cl-XH0RDqrknxGgqh-00zrGDN")</f>
        <v>https://drive.google.com/uc?id=170N3pI5cl-XH0RDqrknxGgqh-00zrGDN</v>
      </c>
      <c r="W53" s="5" t="str">
        <f>IFERROR(__xludf.DUMMYFUNCTION("""COMPUTED_VALUE"""),"NÃO")</f>
        <v>NÃO</v>
      </c>
      <c r="X53" s="5" t="str">
        <f>IFERROR(__xludf.DUMMYFUNCTION("""COMPUTED_VALUE"""),"NÃO SE APLICA")</f>
        <v>NÃO SE APLICA</v>
      </c>
    </row>
    <row r="54">
      <c r="A54" s="5">
        <f>IFERROR(__xludf.DUMMYFUNCTION("""COMPUTED_VALUE"""),8.0)</f>
        <v>8</v>
      </c>
      <c r="B54" s="5" t="str">
        <f>IFERROR(__xludf.DUMMYFUNCTION("""COMPUTED_VALUE"""),"GX016")</f>
        <v>GX016</v>
      </c>
      <c r="C54" s="5" t="str">
        <f>IFERROR(__xludf.DUMMYFUNCTION("""COMPUTED_VALUE"""),"ABRIGO METÁLICO PEQUENO PORTE")</f>
        <v>ABRIGO METÁLICO PEQUENO PORTE</v>
      </c>
      <c r="D54" s="5" t="str">
        <f>IFERROR(__xludf.DUMMYFUNCTION("""COMPUTED_VALUE"""),"COM SUPORTE")</f>
        <v>COM SUPORTE</v>
      </c>
      <c r="E54" s="5" t="str">
        <f>IFERROR(__xludf.DUMMYFUNCTION("""COMPUTED_VALUE"""),"SEM BAIA")</f>
        <v>SEM BAIA</v>
      </c>
      <c r="F54" s="5" t="str">
        <f>IFERROR(__xludf.DUMMYFUNCTION("""COMPUTED_VALUE"""),"NÃO")</f>
        <v>NÃO</v>
      </c>
      <c r="G54" s="5" t="str">
        <f>IFERROR(__xludf.DUMMYFUNCTION("""COMPUTED_VALUE"""),"NÃO")</f>
        <v>NÃO</v>
      </c>
      <c r="H54" s="5" t="str">
        <f>IFERROR(__xludf.DUMMYFUNCTION("""COMPUTED_VALUE"""),"PAVIMENTADA")</f>
        <v>PAVIMENTADA</v>
      </c>
      <c r="I54" s="6" t="str">
        <f>IFERROR(__xludf.DUMMYFUNCTION("""COMPUTED_VALUE"""),"-9.597594")</f>
        <v>-9.597594</v>
      </c>
      <c r="J54" s="6" t="str">
        <f>IFERROR(__xludf.DUMMYFUNCTION("""COMPUTED_VALUE"""),"-35.678952")</f>
        <v>-35.678952</v>
      </c>
      <c r="K54" s="5" t="str">
        <f>IFERROR(__xludf.DUMMYFUNCTION("""COMPUTED_VALUE"""),"ROTA DO MAR ")</f>
        <v>ROTA DO MAR </v>
      </c>
      <c r="L54" s="5" t="str">
        <f>IFERROR(__xludf.DUMMYFUNCTION("""COMPUTED_VALUE"""),"ARTERIAL ")</f>
        <v>ARTERIAL </v>
      </c>
      <c r="M54" s="5" t="str">
        <f>IFERROR(__xludf.DUMMYFUNCTION("""COMPUTED_VALUE"""),"GUAXUMA")</f>
        <v>GUAXUMA</v>
      </c>
      <c r="N54" s="5" t="str">
        <f>IFERROR(__xludf.DUMMYFUNCTION("""COMPUTED_VALUE"""),"CENTRO - BAIRRO")</f>
        <v>CENTRO - BAIRRO</v>
      </c>
      <c r="O54" s="5" t="str">
        <f>IFERROR(__xludf.DUMMYFUNCTION("""COMPUTED_VALUE"""),"INÍCIO DA ROTA DO MAR SENTIDO BIU.")</f>
        <v>INÍCIO DA ROTA DO MAR SENTIDO BIU.</v>
      </c>
      <c r="P54" s="5" t="str">
        <f>IFERROR(__xludf.DUMMYFUNCTION("""COMPUTED_VALUE"""),"PRIORIDADE BAIXA")</f>
        <v>PRIORIDADE BAIXA</v>
      </c>
      <c r="Q54" s="5"/>
      <c r="R54" s="5" t="str">
        <f>IFERROR(__xludf.DUMMYFUNCTION("""COMPUTED_VALUE"""),"NENHUMA DAS OPÇÕES")</f>
        <v>NENHUMA DAS OPÇÕES</v>
      </c>
      <c r="S54" s="5"/>
      <c r="T54" s="5"/>
      <c r="U54" s="5"/>
      <c r="V54" s="9" t="str">
        <f>IFERROR(__xludf.DUMMYFUNCTION("""COMPUTED_VALUE"""),"https://drive.google.com/uc?id=11ioOm8VQgPuEFY4tKKcXQl1_KcC-URq2")</f>
        <v>https://drive.google.com/uc?id=11ioOm8VQgPuEFY4tKKcXQl1_KcC-URq2</v>
      </c>
      <c r="W54" s="5" t="str">
        <f>IFERROR(__xludf.DUMMYFUNCTION("""COMPUTED_VALUE"""),"NÃO")</f>
        <v>NÃO</v>
      </c>
      <c r="X54" s="5" t="str">
        <f>IFERROR(__xludf.DUMMYFUNCTION("""COMPUTED_VALUE"""),"NÃO")</f>
        <v>NÃO</v>
      </c>
    </row>
    <row r="55" hidden="1">
      <c r="A55" s="5">
        <f>IFERROR(__xludf.DUMMYFUNCTION("""COMPUTED_VALUE"""),8.0)</f>
        <v>8</v>
      </c>
      <c r="B55" s="5" t="str">
        <f>IFERROR(__xludf.DUMMYFUNCTION("""COMPUTED_VALUE"""),"GX017")</f>
        <v>GX017</v>
      </c>
      <c r="C55" s="5" t="str">
        <f>IFERROR(__xludf.DUMMYFUNCTION("""COMPUTED_VALUE"""),"NÃO POSSUI")</f>
        <v>NÃO POSSUI</v>
      </c>
      <c r="D55" s="5" t="str">
        <f>IFERROR(__xludf.DUMMYFUNCTION("""COMPUTED_VALUE"""),"FIXADA EM POSTE")</f>
        <v>FIXADA EM POSTE</v>
      </c>
      <c r="E55" s="5" t="str">
        <f>IFERROR(__xludf.DUMMYFUNCTION("""COMPUTED_VALUE"""),"SEM BAIA")</f>
        <v>SEM BAIA</v>
      </c>
      <c r="F55" s="5" t="str">
        <f>IFERROR(__xludf.DUMMYFUNCTION("""COMPUTED_VALUE"""),"NÃO")</f>
        <v>NÃO</v>
      </c>
      <c r="G55" s="5" t="str">
        <f>IFERROR(__xludf.DUMMYFUNCTION("""COMPUTED_VALUE"""),"NÃO")</f>
        <v>NÃO</v>
      </c>
      <c r="H55" s="5" t="str">
        <f>IFERROR(__xludf.DUMMYFUNCTION("""COMPUTED_VALUE"""),"NÃO PAVIMENTADA")</f>
        <v>NÃO PAVIMENTADA</v>
      </c>
      <c r="I55" s="6" t="str">
        <f>IFERROR(__xludf.DUMMYFUNCTION("""COMPUTED_VALUE"""),"-9.595983")</f>
        <v>-9.595983</v>
      </c>
      <c r="J55" s="6" t="str">
        <f>IFERROR(__xludf.DUMMYFUNCTION("""COMPUTED_VALUE"""),"-35.681787")</f>
        <v>-35.681787</v>
      </c>
      <c r="K55" s="5" t="str">
        <f>IFERROR(__xludf.DUMMYFUNCTION("""COMPUTED_VALUE"""),"ROTA DO MAR ")</f>
        <v>ROTA DO MAR </v>
      </c>
      <c r="L55" s="5" t="str">
        <f>IFERROR(__xludf.DUMMYFUNCTION("""COMPUTED_VALUE"""),"ARTERIAL ")</f>
        <v>ARTERIAL </v>
      </c>
      <c r="M55" s="5" t="str">
        <f>IFERROR(__xludf.DUMMYFUNCTION("""COMPUTED_VALUE"""),"GUAXUMA")</f>
        <v>GUAXUMA</v>
      </c>
      <c r="N55" s="5" t="str">
        <f>IFERROR(__xludf.DUMMYFUNCTION("""COMPUTED_VALUE"""),"BAIRRO - CENTRO")</f>
        <v>BAIRRO - CENTRO</v>
      </c>
      <c r="O55" s="5" t="str">
        <f>IFERROR(__xludf.DUMMYFUNCTION("""COMPUTED_VALUE"""),"PRÓXIMO DO FIM ")</f>
        <v>PRÓXIMO DO FIM </v>
      </c>
      <c r="P55" s="5" t="str">
        <f>IFERROR(__xludf.DUMMYFUNCTION("""COMPUTED_VALUE"""),"PRIORIDADE ALTA")</f>
        <v>PRIORIDADE ALTA</v>
      </c>
      <c r="Q55" s="5" t="str">
        <f>IFERROR(__xludf.DUMMYFUNCTION("""COMPUTED_VALUE"""),"IMPLANTAR PLACA")</f>
        <v>IMPLANTAR PLACA</v>
      </c>
      <c r="R55" s="5" t="str">
        <f>IFERROR(__xludf.DUMMYFUNCTION("""COMPUTED_VALUE"""),"IMPLANTAR ABRIGO")</f>
        <v>IMPLANTAR ABRIGO</v>
      </c>
      <c r="S55" s="5"/>
      <c r="T55" s="5"/>
      <c r="U55" s="5"/>
      <c r="V55" s="9" t="str">
        <f>IFERROR(__xludf.DUMMYFUNCTION("""COMPUTED_VALUE"""),"https://drive.google.com/uc?id=1AMsuiiTqi9zr_Gej1cssiMmKtz6EbUo7")</f>
        <v>https://drive.google.com/uc?id=1AMsuiiTqi9zr_Gej1cssiMmKtz6EbUo7</v>
      </c>
      <c r="W55" s="5" t="str">
        <f>IFERROR(__xludf.DUMMYFUNCTION("""COMPUTED_VALUE"""),"NÃO")</f>
        <v>NÃO</v>
      </c>
      <c r="X55" s="5" t="str">
        <f>IFERROR(__xludf.DUMMYFUNCTION("""COMPUTED_VALUE"""),"NÃO SE APLICA")</f>
        <v>NÃO SE APLICA</v>
      </c>
    </row>
    <row r="56" hidden="1">
      <c r="A56" s="5">
        <f>IFERROR(__xludf.DUMMYFUNCTION("""COMPUTED_VALUE"""),8.0)</f>
        <v>8</v>
      </c>
      <c r="B56" s="5" t="str">
        <f>IFERROR(__xludf.DUMMYFUNCTION("""COMPUTED_VALUE"""),"GX018")</f>
        <v>GX018</v>
      </c>
      <c r="C56" s="5" t="str">
        <f>IFERROR(__xludf.DUMMYFUNCTION("""COMPUTED_VALUE"""),"NÃO POSSUI")</f>
        <v>NÃO POSSUI</v>
      </c>
      <c r="D56" s="5" t="str">
        <f>IFERROR(__xludf.DUMMYFUNCTION("""COMPUTED_VALUE"""),"COM SUPORTE")</f>
        <v>COM SUPORTE</v>
      </c>
      <c r="E56" s="5" t="str">
        <f>IFERROR(__xludf.DUMMYFUNCTION("""COMPUTED_VALUE"""),"BAIA CONSTRUÍDA")</f>
        <v>BAIA CONSTRUÍDA</v>
      </c>
      <c r="F56" s="5" t="str">
        <f>IFERROR(__xludf.DUMMYFUNCTION("""COMPUTED_VALUE"""),"NÃO")</f>
        <v>NÃO</v>
      </c>
      <c r="G56" s="5" t="str">
        <f>IFERROR(__xludf.DUMMYFUNCTION("""COMPUTED_VALUE"""),"NÃO")</f>
        <v>NÃO</v>
      </c>
      <c r="H56" s="5" t="str">
        <f>IFERROR(__xludf.DUMMYFUNCTION("""COMPUTED_VALUE"""),"PAVIMENTADA")</f>
        <v>PAVIMENTADA</v>
      </c>
      <c r="I56" s="6" t="str">
        <f>IFERROR(__xludf.DUMMYFUNCTION("""COMPUTED_VALUE"""),"-9.595026")</f>
        <v>-9.595026</v>
      </c>
      <c r="J56" s="6" t="str">
        <f>IFERROR(__xludf.DUMMYFUNCTION("""COMPUTED_VALUE"""),"-35.683652")</f>
        <v>-35.683652</v>
      </c>
      <c r="K56" s="5" t="str">
        <f>IFERROR(__xludf.DUMMYFUNCTION("""COMPUTED_VALUE"""),"ROTA DO MAR ")</f>
        <v>ROTA DO MAR </v>
      </c>
      <c r="L56" s="5" t="str">
        <f>IFERROR(__xludf.DUMMYFUNCTION("""COMPUTED_VALUE"""),"ARTERIAL ")</f>
        <v>ARTERIAL </v>
      </c>
      <c r="M56" s="5" t="str">
        <f>IFERROR(__xludf.DUMMYFUNCTION("""COMPUTED_VALUE"""),"GUAXUMA")</f>
        <v>GUAXUMA</v>
      </c>
      <c r="N56" s="5" t="str">
        <f>IFERROR(__xludf.DUMMYFUNCTION("""COMPUTED_VALUE"""),"CENTRO - BAIRRO")</f>
        <v>CENTRO - BAIRRO</v>
      </c>
      <c r="O56" s="5"/>
      <c r="P56" s="5" t="str">
        <f>IFERROR(__xludf.DUMMYFUNCTION("""COMPUTED_VALUE"""),"PRIORIDADE ALTA")</f>
        <v>PRIORIDADE ALTA</v>
      </c>
      <c r="Q56" s="5" t="str">
        <f>IFERROR(__xludf.DUMMYFUNCTION("""COMPUTED_VALUE"""),"IMPLANTAR PLACA")</f>
        <v>IMPLANTAR PLACA</v>
      </c>
      <c r="R56" s="5" t="str">
        <f>IFERROR(__xludf.DUMMYFUNCTION("""COMPUTED_VALUE"""),"IMPLANTAR ABRIGO")</f>
        <v>IMPLANTAR ABRIGO</v>
      </c>
      <c r="S56" s="5"/>
      <c r="T56" s="5"/>
      <c r="U56" s="5"/>
      <c r="V56" s="9" t="str">
        <f>IFERROR(__xludf.DUMMYFUNCTION("""COMPUTED_VALUE"""),"https://drive.google.com/uc?id=1xOIaqHxFMM8MI2DYyW6t7Rt741a_Yken")</f>
        <v>https://drive.google.com/uc?id=1xOIaqHxFMM8MI2DYyW6t7Rt741a_Yken</v>
      </c>
      <c r="W56" s="5" t="str">
        <f>IFERROR(__xludf.DUMMYFUNCTION("""COMPUTED_VALUE"""),"NÃO")</f>
        <v>NÃO</v>
      </c>
      <c r="X56" s="5" t="str">
        <f>IFERROR(__xludf.DUMMYFUNCTION("""COMPUTED_VALUE"""),"NÃO SE APLICA")</f>
        <v>NÃO SE APLICA</v>
      </c>
    </row>
    <row r="57" hidden="1">
      <c r="A57" s="5">
        <f>IFERROR(__xludf.DUMMYFUNCTION("""COMPUTED_VALUE"""),8.0)</f>
        <v>8</v>
      </c>
      <c r="B57" s="5" t="str">
        <f>IFERROR(__xludf.DUMMYFUNCTION("""COMPUTED_VALUE"""),"GX019")</f>
        <v>GX019</v>
      </c>
      <c r="C57" s="5" t="str">
        <f>IFERROR(__xludf.DUMMYFUNCTION("""COMPUTED_VALUE"""),"NÃO POSSUI")</f>
        <v>NÃO POSSUI</v>
      </c>
      <c r="D57" s="5" t="str">
        <f>IFERROR(__xludf.DUMMYFUNCTION("""COMPUTED_VALUE"""),"COM SUPORTE")</f>
        <v>COM SUPORTE</v>
      </c>
      <c r="E57" s="5" t="str">
        <f>IFERROR(__xludf.DUMMYFUNCTION("""COMPUTED_VALUE"""),"SEM BAIA")</f>
        <v>SEM BAIA</v>
      </c>
      <c r="F57" s="5" t="str">
        <f>IFERROR(__xludf.DUMMYFUNCTION("""COMPUTED_VALUE"""),"NÃO")</f>
        <v>NÃO</v>
      </c>
      <c r="G57" s="5" t="str">
        <f>IFERROR(__xludf.DUMMYFUNCTION("""COMPUTED_VALUE"""),"NÃO")</f>
        <v>NÃO</v>
      </c>
      <c r="H57" s="5" t="str">
        <f>IFERROR(__xludf.DUMMYFUNCTION("""COMPUTED_VALUE"""),"NÃO PAVIMENTADA")</f>
        <v>NÃO PAVIMENTADA</v>
      </c>
      <c r="I57" s="6" t="str">
        <f>IFERROR(__xludf.DUMMYFUNCTION("""COMPUTED_VALUE"""),"-9.5818")</f>
        <v>-9.5818</v>
      </c>
      <c r="J57" s="6" t="str">
        <f>IFERROR(__xludf.DUMMYFUNCTION("""COMPUTED_VALUE"""),"-35.6698")</f>
        <v>-35.6698</v>
      </c>
      <c r="K57" s="5" t="str">
        <f>IFERROR(__xludf.DUMMYFUNCTION("""COMPUTED_VALUE"""),"GROTA DO ANDRAÚJO")</f>
        <v>GROTA DO ANDRAÚJO</v>
      </c>
      <c r="L57" s="5" t="str">
        <f>IFERROR(__xludf.DUMMYFUNCTION("""COMPUTED_VALUE"""),"ESTRADAS")</f>
        <v>ESTRADAS</v>
      </c>
      <c r="M57" s="5" t="str">
        <f>IFERROR(__xludf.DUMMYFUNCTION("""COMPUTED_VALUE"""),"GUAXUMA")</f>
        <v>GUAXUMA</v>
      </c>
      <c r="N57" s="5" t="str">
        <f>IFERROR(__xludf.DUMMYFUNCTION("""COMPUTED_VALUE"""),"INTEGRAÇÃO")</f>
        <v>INTEGRAÇÃO</v>
      </c>
      <c r="O57" s="5"/>
      <c r="P57" s="5"/>
      <c r="Q57" s="5"/>
      <c r="R57" s="5" t="str">
        <f>IFERROR(__xludf.DUMMYFUNCTION("""COMPUTED_VALUE"""),"IMPLANTAR ABRIGO")</f>
        <v>IMPLANTAR ABRIGO</v>
      </c>
      <c r="S57" s="5"/>
      <c r="T57" s="5"/>
      <c r="U57" s="5"/>
      <c r="V57" s="5"/>
      <c r="W57" s="5" t="str">
        <f>IFERROR(__xludf.DUMMYFUNCTION("""COMPUTED_VALUE"""),"NÃO")</f>
        <v>NÃO</v>
      </c>
      <c r="X57" s="5" t="str">
        <f>IFERROR(__xludf.DUMMYFUNCTION("""COMPUTED_VALUE"""),"NÃO SE APLICA")</f>
        <v>NÃO SE APLICA</v>
      </c>
    </row>
    <row r="58" hidden="1">
      <c r="A58" s="5">
        <f>IFERROR(__xludf.DUMMYFUNCTION("""COMPUTED_VALUE"""),8.0)</f>
        <v>8</v>
      </c>
      <c r="B58" s="5" t="str">
        <f>IFERROR(__xludf.DUMMYFUNCTION("""COMPUTED_VALUE"""),"GX020")</f>
        <v>GX020</v>
      </c>
      <c r="C58" s="5" t="str">
        <f>IFERROR(__xludf.DUMMYFUNCTION("""COMPUTED_VALUE"""),"NÃO POSSUI")</f>
        <v>NÃO POSSUI</v>
      </c>
      <c r="D58" s="5" t="str">
        <f>IFERROR(__xludf.DUMMYFUNCTION("""COMPUTED_VALUE"""),"SEM PLACA")</f>
        <v>SEM PLACA</v>
      </c>
      <c r="E58" s="5" t="str">
        <f>IFERROR(__xludf.DUMMYFUNCTION("""COMPUTED_VALUE"""),"SEM BAIA")</f>
        <v>SEM BAIA</v>
      </c>
      <c r="F58" s="5" t="str">
        <f>IFERROR(__xludf.DUMMYFUNCTION("""COMPUTED_VALUE"""),"NÃO")</f>
        <v>NÃO</v>
      </c>
      <c r="G58" s="5" t="str">
        <f>IFERROR(__xludf.DUMMYFUNCTION("""COMPUTED_VALUE"""),"NÃO")</f>
        <v>NÃO</v>
      </c>
      <c r="H58" s="5" t="str">
        <f>IFERROR(__xludf.DUMMYFUNCTION("""COMPUTED_VALUE"""),"NÃO PAVIMENTADA")</f>
        <v>NÃO PAVIMENTADA</v>
      </c>
      <c r="I58" s="6" t="str">
        <f>IFERROR(__xludf.DUMMYFUNCTION("""COMPUTED_VALUE"""),"-9.5816")</f>
        <v>-9.5816</v>
      </c>
      <c r="J58" s="6" t="str">
        <f>IFERROR(__xludf.DUMMYFUNCTION("""COMPUTED_VALUE"""),"-35.6697")</f>
        <v>-35.6697</v>
      </c>
      <c r="K58" s="5" t="str">
        <f>IFERROR(__xludf.DUMMYFUNCTION("""COMPUTED_VALUE"""),"GROTA DO ANDRAÚJO")</f>
        <v>GROTA DO ANDRAÚJO</v>
      </c>
      <c r="L58" s="5" t="str">
        <f>IFERROR(__xludf.DUMMYFUNCTION("""COMPUTED_VALUE"""),"ESTRADAS")</f>
        <v>ESTRADAS</v>
      </c>
      <c r="M58" s="5" t="str">
        <f>IFERROR(__xludf.DUMMYFUNCTION("""COMPUTED_VALUE"""),"GUAXUMA")</f>
        <v>GUAXUMA</v>
      </c>
      <c r="N58" s="5" t="str">
        <f>IFERROR(__xludf.DUMMYFUNCTION("""COMPUTED_VALUE"""),"INTEGRAÇÃO")</f>
        <v>INTEGRAÇÃO</v>
      </c>
      <c r="O58" s="5"/>
      <c r="P58" s="5"/>
      <c r="Q58" s="5"/>
      <c r="R58" s="5" t="str">
        <f>IFERROR(__xludf.DUMMYFUNCTION("""COMPUTED_VALUE"""),"IMPLANTAR ABRIGO")</f>
        <v>IMPLANTAR ABRIGO</v>
      </c>
      <c r="S58" s="5"/>
      <c r="T58" s="5"/>
      <c r="U58" s="5"/>
      <c r="V58" s="5"/>
      <c r="W58" s="5" t="str">
        <f>IFERROR(__xludf.DUMMYFUNCTION("""COMPUTED_VALUE"""),"NÃO")</f>
        <v>NÃO</v>
      </c>
      <c r="X58" s="5" t="str">
        <f>IFERROR(__xludf.DUMMYFUNCTION("""COMPUTED_VALUE"""),"NÃO SE APLICA")</f>
        <v>NÃO SE APLICA</v>
      </c>
    </row>
    <row r="59" hidden="1">
      <c r="A59" s="5">
        <f>IFERROR(__xludf.DUMMYFUNCTION("""COMPUTED_VALUE"""),8.0)</f>
        <v>8</v>
      </c>
      <c r="B59" s="5" t="str">
        <f>IFERROR(__xludf.DUMMYFUNCTION("""COMPUTED_VALUE"""),"GX021")</f>
        <v>GX021</v>
      </c>
      <c r="C59" s="5" t="str">
        <f>IFERROR(__xludf.DUMMYFUNCTION("""COMPUTED_VALUE"""),"NÃO POSSUI")</f>
        <v>NÃO POSSUI</v>
      </c>
      <c r="D59" s="5" t="str">
        <f>IFERROR(__xludf.DUMMYFUNCTION("""COMPUTED_VALUE"""),"SEM PLACA")</f>
        <v>SEM PLACA</v>
      </c>
      <c r="E59" s="5" t="str">
        <f>IFERROR(__xludf.DUMMYFUNCTION("""COMPUTED_VALUE"""),"SEM BAIA")</f>
        <v>SEM BAIA</v>
      </c>
      <c r="F59" s="5" t="str">
        <f>IFERROR(__xludf.DUMMYFUNCTION("""COMPUTED_VALUE"""),"NÃO")</f>
        <v>NÃO</v>
      </c>
      <c r="G59" s="5" t="str">
        <f>IFERROR(__xludf.DUMMYFUNCTION("""COMPUTED_VALUE"""),"NÃO")</f>
        <v>NÃO</v>
      </c>
      <c r="H59" s="5" t="str">
        <f>IFERROR(__xludf.DUMMYFUNCTION("""COMPUTED_VALUE"""),"NÃO PAVIMENTADA")</f>
        <v>NÃO PAVIMENTADA</v>
      </c>
      <c r="I59" s="6" t="str">
        <f>IFERROR(__xludf.DUMMYFUNCTION("""COMPUTED_VALUE"""),"-9.5793")</f>
        <v>-9.5793</v>
      </c>
      <c r="J59" s="6" t="str">
        <f>IFERROR(__xludf.DUMMYFUNCTION("""COMPUTED_VALUE"""),"-35.6680")</f>
        <v>-35.6680</v>
      </c>
      <c r="K59" s="5" t="str">
        <f>IFERROR(__xludf.DUMMYFUNCTION("""COMPUTED_VALUE"""),"GROTA DO ANDRAÚJO")</f>
        <v>GROTA DO ANDRAÚJO</v>
      </c>
      <c r="L59" s="5" t="str">
        <f>IFERROR(__xludf.DUMMYFUNCTION("""COMPUTED_VALUE"""),"ESTRADAS")</f>
        <v>ESTRADAS</v>
      </c>
      <c r="M59" s="5" t="str">
        <f>IFERROR(__xludf.DUMMYFUNCTION("""COMPUTED_VALUE"""),"GUAXUMA")</f>
        <v>GUAXUMA</v>
      </c>
      <c r="N59" s="5" t="str">
        <f>IFERROR(__xludf.DUMMYFUNCTION("""COMPUTED_VALUE"""),"INTEGRAÇÃO")</f>
        <v>INTEGRAÇÃO</v>
      </c>
      <c r="O59" s="5"/>
      <c r="P59" s="5"/>
      <c r="Q59" s="5"/>
      <c r="R59" s="5" t="str">
        <f>IFERROR(__xludf.DUMMYFUNCTION("""COMPUTED_VALUE"""),"IMPLANTAR ABRIGO")</f>
        <v>IMPLANTAR ABRIGO</v>
      </c>
      <c r="S59" s="5"/>
      <c r="T59" s="5"/>
      <c r="U59" s="5"/>
      <c r="V59" s="5"/>
      <c r="W59" s="5" t="str">
        <f>IFERROR(__xludf.DUMMYFUNCTION("""COMPUTED_VALUE"""),"NÃO")</f>
        <v>NÃO</v>
      </c>
      <c r="X59" s="5" t="str">
        <f>IFERROR(__xludf.DUMMYFUNCTION("""COMPUTED_VALUE"""),"NÃO SE APLICA")</f>
        <v>NÃO SE APLICA</v>
      </c>
    </row>
    <row r="60" hidden="1">
      <c r="A60" s="5">
        <f>IFERROR(__xludf.DUMMYFUNCTION("""COMPUTED_VALUE"""),8.0)</f>
        <v>8</v>
      </c>
      <c r="B60" s="5" t="str">
        <f>IFERROR(__xludf.DUMMYFUNCTION("""COMPUTED_VALUE"""),"GX022")</f>
        <v>GX022</v>
      </c>
      <c r="C60" s="5" t="str">
        <f>IFERROR(__xludf.DUMMYFUNCTION("""COMPUTED_VALUE"""),"NÃO POSSUI")</f>
        <v>NÃO POSSUI</v>
      </c>
      <c r="D60" s="5" t="str">
        <f>IFERROR(__xludf.DUMMYFUNCTION("""COMPUTED_VALUE"""),"SEM PLACA")</f>
        <v>SEM PLACA</v>
      </c>
      <c r="E60" s="5" t="str">
        <f>IFERROR(__xludf.DUMMYFUNCTION("""COMPUTED_VALUE"""),"SEM BAIA")</f>
        <v>SEM BAIA</v>
      </c>
      <c r="F60" s="5" t="str">
        <f>IFERROR(__xludf.DUMMYFUNCTION("""COMPUTED_VALUE"""),"NÃO")</f>
        <v>NÃO</v>
      </c>
      <c r="G60" s="5" t="str">
        <f>IFERROR(__xludf.DUMMYFUNCTION("""COMPUTED_VALUE"""),"NÃO")</f>
        <v>NÃO</v>
      </c>
      <c r="H60" s="5" t="str">
        <f>IFERROR(__xludf.DUMMYFUNCTION("""COMPUTED_VALUE"""),"NÃO PAVIMENTADA")</f>
        <v>NÃO PAVIMENTADA</v>
      </c>
      <c r="I60" s="6" t="str">
        <f>IFERROR(__xludf.DUMMYFUNCTION("""COMPUTED_VALUE"""),"-9.5792")</f>
        <v>-9.5792</v>
      </c>
      <c r="J60" s="6" t="str">
        <f>IFERROR(__xludf.DUMMYFUNCTION("""COMPUTED_VALUE"""),"-35.6681")</f>
        <v>-35.6681</v>
      </c>
      <c r="K60" s="5" t="str">
        <f>IFERROR(__xludf.DUMMYFUNCTION("""COMPUTED_VALUE"""),"GROTA DO ANDRAÚJO")</f>
        <v>GROTA DO ANDRAÚJO</v>
      </c>
      <c r="L60" s="5" t="str">
        <f>IFERROR(__xludf.DUMMYFUNCTION("""COMPUTED_VALUE"""),"ESTRADAS")</f>
        <v>ESTRADAS</v>
      </c>
      <c r="M60" s="5" t="str">
        <f>IFERROR(__xludf.DUMMYFUNCTION("""COMPUTED_VALUE"""),"GUAXUMA")</f>
        <v>GUAXUMA</v>
      </c>
      <c r="N60" s="5" t="str">
        <f>IFERROR(__xludf.DUMMYFUNCTION("""COMPUTED_VALUE"""),"INTEGRAÇÃO")</f>
        <v>INTEGRAÇÃO</v>
      </c>
      <c r="O60" s="5"/>
      <c r="P60" s="5"/>
      <c r="Q60" s="5"/>
      <c r="R60" s="5" t="str">
        <f>IFERROR(__xludf.DUMMYFUNCTION("""COMPUTED_VALUE"""),"IMPLANTAR ABRIGO")</f>
        <v>IMPLANTAR ABRIGO</v>
      </c>
      <c r="S60" s="5"/>
      <c r="T60" s="5"/>
      <c r="U60" s="5"/>
      <c r="V60" s="5"/>
      <c r="W60" s="5" t="str">
        <f>IFERROR(__xludf.DUMMYFUNCTION("""COMPUTED_VALUE"""),"NÃO")</f>
        <v>NÃO</v>
      </c>
      <c r="X60" s="5" t="str">
        <f>IFERROR(__xludf.DUMMYFUNCTION("""COMPUTED_VALUE"""),"NÃO SE APLICA")</f>
        <v>NÃO SE APLICA</v>
      </c>
    </row>
    <row r="61" hidden="1">
      <c r="A61" s="5">
        <f>IFERROR(__xludf.DUMMYFUNCTION("""COMPUTED_VALUE"""),8.0)</f>
        <v>8</v>
      </c>
      <c r="B61" s="5" t="str">
        <f>IFERROR(__xludf.DUMMYFUNCTION("""COMPUTED_VALUE"""),"GX023")</f>
        <v>GX023</v>
      </c>
      <c r="C61" s="5" t="str">
        <f>IFERROR(__xludf.DUMMYFUNCTION("""COMPUTED_VALUE"""),"NÃO POSSUI")</f>
        <v>NÃO POSSUI</v>
      </c>
      <c r="D61" s="5" t="str">
        <f>IFERROR(__xludf.DUMMYFUNCTION("""COMPUTED_VALUE"""),"SEM PLACA")</f>
        <v>SEM PLACA</v>
      </c>
      <c r="E61" s="5" t="str">
        <f>IFERROR(__xludf.DUMMYFUNCTION("""COMPUTED_VALUE"""),"SEM BAIA")</f>
        <v>SEM BAIA</v>
      </c>
      <c r="F61" s="5" t="str">
        <f>IFERROR(__xludf.DUMMYFUNCTION("""COMPUTED_VALUE"""),"NÃO")</f>
        <v>NÃO</v>
      </c>
      <c r="G61" s="5" t="str">
        <f>IFERROR(__xludf.DUMMYFUNCTION("""COMPUTED_VALUE"""),"NÃO")</f>
        <v>NÃO</v>
      </c>
      <c r="H61" s="5" t="str">
        <f>IFERROR(__xludf.DUMMYFUNCTION("""COMPUTED_VALUE"""),"NÃO PAVIMENTADA")</f>
        <v>NÃO PAVIMENTADA</v>
      </c>
      <c r="I61" s="6" t="str">
        <f>IFERROR(__xludf.DUMMYFUNCTION("""COMPUTED_VALUE"""),"-9.5772")</f>
        <v>-9.5772</v>
      </c>
      <c r="J61" s="6" t="str">
        <f>IFERROR(__xludf.DUMMYFUNCTION("""COMPUTED_VALUE"""),"-35.6704")</f>
        <v>-35.6704</v>
      </c>
      <c r="K61" s="5" t="str">
        <f>IFERROR(__xludf.DUMMYFUNCTION("""COMPUTED_VALUE"""),"GROTA DO ANDRAÚJO")</f>
        <v>GROTA DO ANDRAÚJO</v>
      </c>
      <c r="L61" s="5" t="str">
        <f>IFERROR(__xludf.DUMMYFUNCTION("""COMPUTED_VALUE"""),"ESTRADAS")</f>
        <v>ESTRADAS</v>
      </c>
      <c r="M61" s="5" t="str">
        <f>IFERROR(__xludf.DUMMYFUNCTION("""COMPUTED_VALUE"""),"GUAXUMA")</f>
        <v>GUAXUMA</v>
      </c>
      <c r="N61" s="5" t="str">
        <f>IFERROR(__xludf.DUMMYFUNCTION("""COMPUTED_VALUE"""),"INTEGRAÇÃO")</f>
        <v>INTEGRAÇÃO</v>
      </c>
      <c r="O61" s="5"/>
      <c r="P61" s="5"/>
      <c r="Q61" s="5"/>
      <c r="R61" s="5" t="str">
        <f>IFERROR(__xludf.DUMMYFUNCTION("""COMPUTED_VALUE"""),"IMPLANTAR ABRIGO")</f>
        <v>IMPLANTAR ABRIGO</v>
      </c>
      <c r="S61" s="5"/>
      <c r="T61" s="5"/>
      <c r="U61" s="5"/>
      <c r="V61" s="5"/>
      <c r="W61" s="5" t="str">
        <f>IFERROR(__xludf.DUMMYFUNCTION("""COMPUTED_VALUE"""),"NÃO")</f>
        <v>NÃO</v>
      </c>
      <c r="X61" s="5" t="str">
        <f>IFERROR(__xludf.DUMMYFUNCTION("""COMPUTED_VALUE"""),"NÃO SE APLICA")</f>
        <v>NÃO SE APLICA</v>
      </c>
    </row>
    <row r="62" hidden="1">
      <c r="A62" s="5">
        <f>IFERROR(__xludf.DUMMYFUNCTION("""COMPUTED_VALUE"""),8.0)</f>
        <v>8</v>
      </c>
      <c r="B62" s="5" t="str">
        <f>IFERROR(__xludf.DUMMYFUNCTION("""COMPUTED_VALUE"""),"GX024")</f>
        <v>GX024</v>
      </c>
      <c r="C62" s="5" t="str">
        <f>IFERROR(__xludf.DUMMYFUNCTION("""COMPUTED_VALUE"""),"NÃO POSSUI")</f>
        <v>NÃO POSSUI</v>
      </c>
      <c r="D62" s="5" t="str">
        <f>IFERROR(__xludf.DUMMYFUNCTION("""COMPUTED_VALUE"""),"SEM PLACA")</f>
        <v>SEM PLACA</v>
      </c>
      <c r="E62" s="5" t="str">
        <f>IFERROR(__xludf.DUMMYFUNCTION("""COMPUTED_VALUE"""),"SEM BAIA")</f>
        <v>SEM BAIA</v>
      </c>
      <c r="F62" s="5" t="str">
        <f>IFERROR(__xludf.DUMMYFUNCTION("""COMPUTED_VALUE"""),"NÃO")</f>
        <v>NÃO</v>
      </c>
      <c r="G62" s="5" t="str">
        <f>IFERROR(__xludf.DUMMYFUNCTION("""COMPUTED_VALUE"""),"NÃO")</f>
        <v>NÃO</v>
      </c>
      <c r="H62" s="5" t="str">
        <f>IFERROR(__xludf.DUMMYFUNCTION("""COMPUTED_VALUE"""),"NÃO PAVIMENTADA")</f>
        <v>NÃO PAVIMENTADA</v>
      </c>
      <c r="I62" s="6" t="str">
        <f>IFERROR(__xludf.DUMMYFUNCTION("""COMPUTED_VALUE"""),"-9.5772")</f>
        <v>-9.5772</v>
      </c>
      <c r="J62" s="6" t="str">
        <f>IFERROR(__xludf.DUMMYFUNCTION("""COMPUTED_VALUE"""),"-35.6704")</f>
        <v>-35.6704</v>
      </c>
      <c r="K62" s="5" t="str">
        <f>IFERROR(__xludf.DUMMYFUNCTION("""COMPUTED_VALUE"""),"GROTA DO ANDRAÚJO")</f>
        <v>GROTA DO ANDRAÚJO</v>
      </c>
      <c r="L62" s="5" t="str">
        <f>IFERROR(__xludf.DUMMYFUNCTION("""COMPUTED_VALUE"""),"ESTRADAS")</f>
        <v>ESTRADAS</v>
      </c>
      <c r="M62" s="5" t="str">
        <f>IFERROR(__xludf.DUMMYFUNCTION("""COMPUTED_VALUE"""),"GUAXUMA")</f>
        <v>GUAXUMA</v>
      </c>
      <c r="N62" s="5" t="str">
        <f>IFERROR(__xludf.DUMMYFUNCTION("""COMPUTED_VALUE"""),"INTEGRAÇÃO")</f>
        <v>INTEGRAÇÃO</v>
      </c>
      <c r="O62" s="5"/>
      <c r="P62" s="5"/>
      <c r="Q62" s="5"/>
      <c r="R62" s="5" t="str">
        <f>IFERROR(__xludf.DUMMYFUNCTION("""COMPUTED_VALUE"""),"IMPLANTAR ABRIGO")</f>
        <v>IMPLANTAR ABRIGO</v>
      </c>
      <c r="S62" s="5"/>
      <c r="T62" s="5"/>
      <c r="U62" s="5"/>
      <c r="V62" s="5"/>
      <c r="W62" s="5" t="str">
        <f>IFERROR(__xludf.DUMMYFUNCTION("""COMPUTED_VALUE"""),"NÃO")</f>
        <v>NÃO</v>
      </c>
      <c r="X62" s="5" t="str">
        <f>IFERROR(__xludf.DUMMYFUNCTION("""COMPUTED_VALUE"""),"NÃO SE APLICA")</f>
        <v>NÃO SE APLICA</v>
      </c>
    </row>
    <row r="63" hidden="1">
      <c r="A63" s="5">
        <f>IFERROR(__xludf.DUMMYFUNCTION("""COMPUTED_VALUE"""),8.0)</f>
        <v>8</v>
      </c>
      <c r="B63" s="5" t="str">
        <f>IFERROR(__xludf.DUMMYFUNCTION("""COMPUTED_VALUE"""),"GX025")</f>
        <v>GX025</v>
      </c>
      <c r="C63" s="5" t="str">
        <f>IFERROR(__xludf.DUMMYFUNCTION("""COMPUTED_VALUE"""),"NÃO POSSUI")</f>
        <v>NÃO POSSUI</v>
      </c>
      <c r="D63" s="5" t="str">
        <f>IFERROR(__xludf.DUMMYFUNCTION("""COMPUTED_VALUE"""),"SEM PLACA")</f>
        <v>SEM PLACA</v>
      </c>
      <c r="E63" s="5" t="str">
        <f>IFERROR(__xludf.DUMMYFUNCTION("""COMPUTED_VALUE"""),"SEM BAIA")</f>
        <v>SEM BAIA</v>
      </c>
      <c r="F63" s="5" t="str">
        <f>IFERROR(__xludf.DUMMYFUNCTION("""COMPUTED_VALUE"""),"NÃO")</f>
        <v>NÃO</v>
      </c>
      <c r="G63" s="5" t="str">
        <f>IFERROR(__xludf.DUMMYFUNCTION("""COMPUTED_VALUE"""),"NÃO")</f>
        <v>NÃO</v>
      </c>
      <c r="H63" s="5" t="str">
        <f>IFERROR(__xludf.DUMMYFUNCTION("""COMPUTED_VALUE"""),"NÃO PAVIMENTADA")</f>
        <v>NÃO PAVIMENTADA</v>
      </c>
      <c r="I63" s="6" t="str">
        <f>IFERROR(__xludf.DUMMYFUNCTION("""COMPUTED_VALUE"""),"-9.5733")</f>
        <v>-9.5733</v>
      </c>
      <c r="J63" s="6" t="str">
        <f>IFERROR(__xludf.DUMMYFUNCTION("""COMPUTED_VALUE""")," -35.6714")</f>
        <v> -35.6714</v>
      </c>
      <c r="K63" s="5" t="str">
        <f>IFERROR(__xludf.DUMMYFUNCTION("""COMPUTED_VALUE"""),"GROTA DO ANDRAÚJO")</f>
        <v>GROTA DO ANDRAÚJO</v>
      </c>
      <c r="L63" s="5" t="str">
        <f>IFERROR(__xludf.DUMMYFUNCTION("""COMPUTED_VALUE"""),"ESTRADAS")</f>
        <v>ESTRADAS</v>
      </c>
      <c r="M63" s="5" t="str">
        <f>IFERROR(__xludf.DUMMYFUNCTION("""COMPUTED_VALUE"""),"GUAXUMA")</f>
        <v>GUAXUMA</v>
      </c>
      <c r="N63" s="5" t="str">
        <f>IFERROR(__xludf.DUMMYFUNCTION("""COMPUTED_VALUE"""),"INTEGRAÇÃO")</f>
        <v>INTEGRAÇÃO</v>
      </c>
      <c r="O63" s="5"/>
      <c r="P63" s="5"/>
      <c r="Q63" s="5"/>
      <c r="R63" s="5" t="str">
        <f>IFERROR(__xludf.DUMMYFUNCTION("""COMPUTED_VALUE"""),"IMPLANTAR ABRIGO")</f>
        <v>IMPLANTAR ABRIGO</v>
      </c>
      <c r="S63" s="5"/>
      <c r="T63" s="5"/>
      <c r="U63" s="5"/>
      <c r="V63" s="5"/>
      <c r="W63" s="5" t="str">
        <f>IFERROR(__xludf.DUMMYFUNCTION("""COMPUTED_VALUE"""),"NÃO")</f>
        <v>NÃO</v>
      </c>
      <c r="X63" s="5" t="str">
        <f>IFERROR(__xludf.DUMMYFUNCTION("""COMPUTED_VALUE"""),"NÃO SE APLICA")</f>
        <v>NÃO SE APLICA</v>
      </c>
    </row>
    <row r="64" hidden="1">
      <c r="A64" s="5">
        <f>IFERROR(__xludf.DUMMYFUNCTION("""COMPUTED_VALUE"""),8.0)</f>
        <v>8</v>
      </c>
      <c r="B64" s="5" t="str">
        <f>IFERROR(__xludf.DUMMYFUNCTION("""COMPUTED_VALUE"""),"GX026")</f>
        <v>GX026</v>
      </c>
      <c r="C64" s="5" t="str">
        <f>IFERROR(__xludf.DUMMYFUNCTION("""COMPUTED_VALUE"""),"NÃO POSSUI")</f>
        <v>NÃO POSSUI</v>
      </c>
      <c r="D64" s="5" t="str">
        <f>IFERROR(__xludf.DUMMYFUNCTION("""COMPUTED_VALUE"""),"SEM PLACA")</f>
        <v>SEM PLACA</v>
      </c>
      <c r="E64" s="5" t="str">
        <f>IFERROR(__xludf.DUMMYFUNCTION("""COMPUTED_VALUE"""),"SEM BAIA")</f>
        <v>SEM BAIA</v>
      </c>
      <c r="F64" s="5" t="str">
        <f>IFERROR(__xludf.DUMMYFUNCTION("""COMPUTED_VALUE"""),"NÃO")</f>
        <v>NÃO</v>
      </c>
      <c r="G64" s="5" t="str">
        <f>IFERROR(__xludf.DUMMYFUNCTION("""COMPUTED_VALUE"""),"NÃO")</f>
        <v>NÃO</v>
      </c>
      <c r="H64" s="5" t="str">
        <f>IFERROR(__xludf.DUMMYFUNCTION("""COMPUTED_VALUE"""),"NÃO PAVIMENTADA")</f>
        <v>NÃO PAVIMENTADA</v>
      </c>
      <c r="I64" s="6" t="str">
        <f>IFERROR(__xludf.DUMMYFUNCTION("""COMPUTED_VALUE"""),"-9.5733")</f>
        <v>-9.5733</v>
      </c>
      <c r="J64" s="6" t="str">
        <f>IFERROR(__xludf.DUMMYFUNCTION("""COMPUTED_VALUE"""),"-35.6710")</f>
        <v>-35.6710</v>
      </c>
      <c r="K64" s="5" t="str">
        <f>IFERROR(__xludf.DUMMYFUNCTION("""COMPUTED_VALUE"""),"GROTA DO ANDRAÚJO")</f>
        <v>GROTA DO ANDRAÚJO</v>
      </c>
      <c r="L64" s="5" t="str">
        <f>IFERROR(__xludf.DUMMYFUNCTION("""COMPUTED_VALUE"""),"ESTRADAS")</f>
        <v>ESTRADAS</v>
      </c>
      <c r="M64" s="5" t="str">
        <f>IFERROR(__xludf.DUMMYFUNCTION("""COMPUTED_VALUE"""),"GUAXUMA")</f>
        <v>GUAXUMA</v>
      </c>
      <c r="N64" s="5" t="str">
        <f>IFERROR(__xludf.DUMMYFUNCTION("""COMPUTED_VALUE"""),"INTEGRAÇÃO")</f>
        <v>INTEGRAÇÃO</v>
      </c>
      <c r="O64" s="5"/>
      <c r="P64" s="5"/>
      <c r="Q64" s="5"/>
      <c r="R64" s="5" t="str">
        <f>IFERROR(__xludf.DUMMYFUNCTION("""COMPUTED_VALUE"""),"IMPLANTAR ABRIGO")</f>
        <v>IMPLANTAR ABRIGO</v>
      </c>
      <c r="S64" s="5"/>
      <c r="T64" s="5"/>
      <c r="U64" s="5"/>
      <c r="V64" s="5"/>
      <c r="W64" s="5" t="str">
        <f>IFERROR(__xludf.DUMMYFUNCTION("""COMPUTED_VALUE"""),"NÃO")</f>
        <v>NÃO</v>
      </c>
      <c r="X64" s="5" t="str">
        <f>IFERROR(__xludf.DUMMYFUNCTION("""COMPUTED_VALUE"""),"NÃO SE APLICA")</f>
        <v>NÃO SE APLICA</v>
      </c>
    </row>
    <row r="65" hidden="1">
      <c r="A65" s="5">
        <f>IFERROR(__xludf.DUMMYFUNCTION("""COMPUTED_VALUE"""),8.0)</f>
        <v>8</v>
      </c>
      <c r="B65" s="5" t="str">
        <f>IFERROR(__xludf.DUMMYFUNCTION("""COMPUTED_VALUE"""),"GX027")</f>
        <v>GX027</v>
      </c>
      <c r="C65" s="5" t="str">
        <f>IFERROR(__xludf.DUMMYFUNCTION("""COMPUTED_VALUE"""),"NÃO POSSUI")</f>
        <v>NÃO POSSUI</v>
      </c>
      <c r="D65" s="5" t="str">
        <f>IFERROR(__xludf.DUMMYFUNCTION("""COMPUTED_VALUE"""),"SEM PLACA")</f>
        <v>SEM PLACA</v>
      </c>
      <c r="E65" s="5" t="str">
        <f>IFERROR(__xludf.DUMMYFUNCTION("""COMPUTED_VALUE"""),"SEM BAIA")</f>
        <v>SEM BAIA</v>
      </c>
      <c r="F65" s="5" t="str">
        <f>IFERROR(__xludf.DUMMYFUNCTION("""COMPUTED_VALUE"""),"NÃO")</f>
        <v>NÃO</v>
      </c>
      <c r="G65" s="5" t="str">
        <f>IFERROR(__xludf.DUMMYFUNCTION("""COMPUTED_VALUE"""),"NÃO")</f>
        <v>NÃO</v>
      </c>
      <c r="H65" s="5" t="str">
        <f>IFERROR(__xludf.DUMMYFUNCTION("""COMPUTED_VALUE"""),"NÃO PAVIMENTADA")</f>
        <v>NÃO PAVIMENTADA</v>
      </c>
      <c r="I65" s="6" t="str">
        <f>IFERROR(__xludf.DUMMYFUNCTION("""COMPUTED_VALUE"""),"-9.5746")</f>
        <v>-9.5746</v>
      </c>
      <c r="J65" s="6" t="str">
        <f>IFERROR(__xludf.DUMMYFUNCTION("""COMPUTED_VALUE"""),"-35.6673")</f>
        <v>-35.6673</v>
      </c>
      <c r="K65" s="5" t="str">
        <f>IFERROR(__xludf.DUMMYFUNCTION("""COMPUTED_VALUE"""),"GROTA DO ANDRAÚJO")</f>
        <v>GROTA DO ANDRAÚJO</v>
      </c>
      <c r="L65" s="5" t="str">
        <f>IFERROR(__xludf.DUMMYFUNCTION("""COMPUTED_VALUE"""),"ESTRADAS")</f>
        <v>ESTRADAS</v>
      </c>
      <c r="M65" s="5" t="str">
        <f>IFERROR(__xludf.DUMMYFUNCTION("""COMPUTED_VALUE"""),"GUAXUMA")</f>
        <v>GUAXUMA</v>
      </c>
      <c r="N65" s="5" t="str">
        <f>IFERROR(__xludf.DUMMYFUNCTION("""COMPUTED_VALUE"""),"INTEGRAÇÃO")</f>
        <v>INTEGRAÇÃO</v>
      </c>
      <c r="O65" s="5"/>
      <c r="P65" s="5"/>
      <c r="Q65" s="5"/>
      <c r="R65" s="5" t="str">
        <f>IFERROR(__xludf.DUMMYFUNCTION("""COMPUTED_VALUE"""),"IMPLANTAR ABRIGO")</f>
        <v>IMPLANTAR ABRIGO</v>
      </c>
      <c r="S65" s="5"/>
      <c r="T65" s="5"/>
      <c r="U65" s="5"/>
      <c r="V65" s="5"/>
      <c r="W65" s="5" t="str">
        <f>IFERROR(__xludf.DUMMYFUNCTION("""COMPUTED_VALUE"""),"NÃO")</f>
        <v>NÃO</v>
      </c>
      <c r="X65" s="5" t="str">
        <f>IFERROR(__xludf.DUMMYFUNCTION("""COMPUTED_VALUE"""),"NÃO SE APLICA")</f>
        <v>NÃO SE APLICA</v>
      </c>
    </row>
    <row r="66" hidden="1">
      <c r="A66" s="5">
        <f>IFERROR(__xludf.DUMMYFUNCTION("""COMPUTED_VALUE"""),8.0)</f>
        <v>8</v>
      </c>
      <c r="B66" s="5" t="str">
        <f>IFERROR(__xludf.DUMMYFUNCTION("""COMPUTED_VALUE"""),"GX028")</f>
        <v>GX028</v>
      </c>
      <c r="C66" s="5" t="str">
        <f>IFERROR(__xludf.DUMMYFUNCTION("""COMPUTED_VALUE"""),"NÃO POSSUI")</f>
        <v>NÃO POSSUI</v>
      </c>
      <c r="D66" s="5" t="str">
        <f>IFERROR(__xludf.DUMMYFUNCTION("""COMPUTED_VALUE"""),"SEM PLACA")</f>
        <v>SEM PLACA</v>
      </c>
      <c r="E66" s="5" t="str">
        <f>IFERROR(__xludf.DUMMYFUNCTION("""COMPUTED_VALUE"""),"SEM BAIA")</f>
        <v>SEM BAIA</v>
      </c>
      <c r="F66" s="5" t="str">
        <f>IFERROR(__xludf.DUMMYFUNCTION("""COMPUTED_VALUE"""),"NÃO")</f>
        <v>NÃO</v>
      </c>
      <c r="G66" s="5" t="str">
        <f>IFERROR(__xludf.DUMMYFUNCTION("""COMPUTED_VALUE"""),"NÃO")</f>
        <v>NÃO</v>
      </c>
      <c r="H66" s="5" t="str">
        <f>IFERROR(__xludf.DUMMYFUNCTION("""COMPUTED_VALUE"""),"NÃO PAVIMENTADA")</f>
        <v>NÃO PAVIMENTADA</v>
      </c>
      <c r="I66" s="6" t="str">
        <f>IFERROR(__xludf.DUMMYFUNCTION("""COMPUTED_VALUE"""),"-9.5746")</f>
        <v>-9.5746</v>
      </c>
      <c r="J66" s="6" t="str">
        <f>IFERROR(__xludf.DUMMYFUNCTION("""COMPUTED_VALUE"""),"-35.6673")</f>
        <v>-35.6673</v>
      </c>
      <c r="K66" s="5" t="str">
        <f>IFERROR(__xludf.DUMMYFUNCTION("""COMPUTED_VALUE"""),"GROTA DO ANDRAÚJO")</f>
        <v>GROTA DO ANDRAÚJO</v>
      </c>
      <c r="L66" s="5" t="str">
        <f>IFERROR(__xludf.DUMMYFUNCTION("""COMPUTED_VALUE"""),"ESTRADAS")</f>
        <v>ESTRADAS</v>
      </c>
      <c r="M66" s="5" t="str">
        <f>IFERROR(__xludf.DUMMYFUNCTION("""COMPUTED_VALUE"""),"GUAXUMA")</f>
        <v>GUAXUMA</v>
      </c>
      <c r="N66" s="5" t="str">
        <f>IFERROR(__xludf.DUMMYFUNCTION("""COMPUTED_VALUE"""),"INTEGRAÇÃO")</f>
        <v>INTEGRAÇÃO</v>
      </c>
      <c r="O66" s="5"/>
      <c r="P66" s="5"/>
      <c r="Q66" s="5"/>
      <c r="R66" s="5" t="str">
        <f>IFERROR(__xludf.DUMMYFUNCTION("""COMPUTED_VALUE"""),"IMPLANTAR ABRIGO")</f>
        <v>IMPLANTAR ABRIGO</v>
      </c>
      <c r="S66" s="5"/>
      <c r="T66" s="5"/>
      <c r="U66" s="5"/>
      <c r="V66" s="5"/>
      <c r="W66" s="5" t="str">
        <f>IFERROR(__xludf.DUMMYFUNCTION("""COMPUTED_VALUE"""),"NÃO")</f>
        <v>NÃO</v>
      </c>
      <c r="X66" s="5" t="str">
        <f>IFERROR(__xludf.DUMMYFUNCTION("""COMPUTED_VALUE"""),"NÃO SE APLICA")</f>
        <v>NÃO SE APLICA</v>
      </c>
    </row>
    <row r="67" hidden="1">
      <c r="A67" s="5">
        <f>IFERROR(__xludf.DUMMYFUNCTION("""COMPUTED_VALUE"""),8.0)</f>
        <v>8</v>
      </c>
      <c r="B67" s="5" t="str">
        <f>IFERROR(__xludf.DUMMYFUNCTION("""COMPUTED_VALUE"""),"GX029")</f>
        <v>GX029</v>
      </c>
      <c r="C67" s="5" t="str">
        <f>IFERROR(__xludf.DUMMYFUNCTION("""COMPUTED_VALUE"""),"NÃO POSSUI")</f>
        <v>NÃO POSSUI</v>
      </c>
      <c r="D67" s="5" t="str">
        <f>IFERROR(__xludf.DUMMYFUNCTION("""COMPUTED_VALUE"""),"SEM PLACA")</f>
        <v>SEM PLACA</v>
      </c>
      <c r="E67" s="5" t="str">
        <f>IFERROR(__xludf.DUMMYFUNCTION("""COMPUTED_VALUE"""),"SEM BAIA")</f>
        <v>SEM BAIA</v>
      </c>
      <c r="F67" s="5" t="str">
        <f>IFERROR(__xludf.DUMMYFUNCTION("""COMPUTED_VALUE"""),"NÃO")</f>
        <v>NÃO</v>
      </c>
      <c r="G67" s="5" t="str">
        <f>IFERROR(__xludf.DUMMYFUNCTION("""COMPUTED_VALUE"""),"NÃO")</f>
        <v>NÃO</v>
      </c>
      <c r="H67" s="5" t="str">
        <f>IFERROR(__xludf.DUMMYFUNCTION("""COMPUTED_VALUE"""),"NÃO PAVIMENTADA")</f>
        <v>NÃO PAVIMENTADA</v>
      </c>
      <c r="I67" s="6" t="str">
        <f>IFERROR(__xludf.DUMMYFUNCTION("""COMPUTED_VALUE"""),"-9.5751")</f>
        <v>-9.5751</v>
      </c>
      <c r="J67" s="6" t="str">
        <f>IFERROR(__xludf.DUMMYFUNCTION("""COMPUTED_VALUE"""),"-35.6630")</f>
        <v>-35.6630</v>
      </c>
      <c r="K67" s="5" t="str">
        <f>IFERROR(__xludf.DUMMYFUNCTION("""COMPUTED_VALUE"""),"GROTA DO ANDRAÚJO")</f>
        <v>GROTA DO ANDRAÚJO</v>
      </c>
      <c r="L67" s="5" t="str">
        <f>IFERROR(__xludf.DUMMYFUNCTION("""COMPUTED_VALUE"""),"ESTRADAS")</f>
        <v>ESTRADAS</v>
      </c>
      <c r="M67" s="5" t="str">
        <f>IFERROR(__xludf.DUMMYFUNCTION("""COMPUTED_VALUE"""),"GUAXUMA")</f>
        <v>GUAXUMA</v>
      </c>
      <c r="N67" s="12" t="str">
        <f>IFERROR(__xludf.DUMMYFUNCTION("""COMPUTED_VALUE"""),"INTEGRAÇÃO")</f>
        <v>INTEGRAÇÃO</v>
      </c>
      <c r="O67" s="5"/>
      <c r="P67" s="5"/>
      <c r="Q67" s="5"/>
      <c r="R67" s="5" t="str">
        <f>IFERROR(__xludf.DUMMYFUNCTION("""COMPUTED_VALUE"""),"IMPLANTAR ABRIGO")</f>
        <v>IMPLANTAR ABRIGO</v>
      </c>
      <c r="S67" s="5"/>
      <c r="T67" s="5"/>
      <c r="U67" s="5"/>
      <c r="V67" s="5"/>
      <c r="W67" s="5" t="str">
        <f>IFERROR(__xludf.DUMMYFUNCTION("""COMPUTED_VALUE"""),"NÃO")</f>
        <v>NÃO</v>
      </c>
      <c r="X67" s="5" t="str">
        <f>IFERROR(__xludf.DUMMYFUNCTION("""COMPUTED_VALUE"""),"NÃO SE APLICA")</f>
        <v>NÃO SE APLICA</v>
      </c>
    </row>
    <row r="68" hidden="1">
      <c r="A68" s="5">
        <f>IFERROR(__xludf.DUMMYFUNCTION("""COMPUTED_VALUE"""),8.0)</f>
        <v>8</v>
      </c>
      <c r="B68" s="5" t="str">
        <f>IFERROR(__xludf.DUMMYFUNCTION("""COMPUTED_VALUE"""),"GX030")</f>
        <v>GX030</v>
      </c>
      <c r="C68" s="5" t="str">
        <f>IFERROR(__xludf.DUMMYFUNCTION("""COMPUTED_VALUE"""),"NÃO POSSUI")</f>
        <v>NÃO POSSUI</v>
      </c>
      <c r="D68" s="5" t="str">
        <f>IFERROR(__xludf.DUMMYFUNCTION("""COMPUTED_VALUE"""),"SEM PLACA")</f>
        <v>SEM PLACA</v>
      </c>
      <c r="E68" s="5" t="str">
        <f>IFERROR(__xludf.DUMMYFUNCTION("""COMPUTED_VALUE"""),"SEM BAIA")</f>
        <v>SEM BAIA</v>
      </c>
      <c r="F68" s="5" t="str">
        <f>IFERROR(__xludf.DUMMYFUNCTION("""COMPUTED_VALUE"""),"NÃO")</f>
        <v>NÃO</v>
      </c>
      <c r="G68" s="5" t="str">
        <f>IFERROR(__xludf.DUMMYFUNCTION("""COMPUTED_VALUE"""),"NÃO")</f>
        <v>NÃO</v>
      </c>
      <c r="H68" s="5" t="str">
        <f>IFERROR(__xludf.DUMMYFUNCTION("""COMPUTED_VALUE"""),"NÃO PAVIMENTADA")</f>
        <v>NÃO PAVIMENTADA</v>
      </c>
      <c r="I68" s="6" t="str">
        <f>IFERROR(__xludf.DUMMYFUNCTION("""COMPUTED_VALUE"""),"-9.5751")</f>
        <v>-9.5751</v>
      </c>
      <c r="J68" s="6" t="str">
        <f>IFERROR(__xludf.DUMMYFUNCTION("""COMPUTED_VALUE"""),"-35.6630")</f>
        <v>-35.6630</v>
      </c>
      <c r="K68" s="5" t="str">
        <f>IFERROR(__xludf.DUMMYFUNCTION("""COMPUTED_VALUE"""),"GROTA DO ANDRAÚJO")</f>
        <v>GROTA DO ANDRAÚJO</v>
      </c>
      <c r="L68" s="5" t="str">
        <f>IFERROR(__xludf.DUMMYFUNCTION("""COMPUTED_VALUE"""),"ESTRADAS")</f>
        <v>ESTRADAS</v>
      </c>
      <c r="M68" s="5" t="str">
        <f>IFERROR(__xludf.DUMMYFUNCTION("""COMPUTED_VALUE"""),"GUAXUMA")</f>
        <v>GUAXUMA</v>
      </c>
      <c r="N68" s="5" t="str">
        <f>IFERROR(__xludf.DUMMYFUNCTION("""COMPUTED_VALUE"""),"INTEGRAÇÃO")</f>
        <v>INTEGRAÇÃO</v>
      </c>
      <c r="O68" s="5"/>
      <c r="P68" s="5"/>
      <c r="Q68" s="5"/>
      <c r="R68" s="5" t="str">
        <f>IFERROR(__xludf.DUMMYFUNCTION("""COMPUTED_VALUE"""),"IMPLANTAR ABRIGO")</f>
        <v>IMPLANTAR ABRIGO</v>
      </c>
      <c r="S68" s="5"/>
      <c r="T68" s="5"/>
      <c r="U68" s="5"/>
      <c r="V68" s="5"/>
      <c r="W68" s="5" t="str">
        <f>IFERROR(__xludf.DUMMYFUNCTION("""COMPUTED_VALUE"""),"NÃO")</f>
        <v>NÃO</v>
      </c>
      <c r="X68" s="5" t="str">
        <f>IFERROR(__xludf.DUMMYFUNCTION("""COMPUTED_VALUE"""),"NÃO SE APLICA")</f>
        <v>NÃO SE APLICA</v>
      </c>
    </row>
    <row r="69" hidden="1">
      <c r="A69" s="5">
        <f>IFERROR(__xludf.DUMMYFUNCTION("""COMPUTED_VALUE"""),8.0)</f>
        <v>8</v>
      </c>
      <c r="B69" s="5" t="str">
        <f>IFERROR(__xludf.DUMMYFUNCTION("""COMPUTED_VALUE"""),"GX031")</f>
        <v>GX031</v>
      </c>
      <c r="C69" s="5" t="str">
        <f>IFERROR(__xludf.DUMMYFUNCTION("""COMPUTED_VALUE"""),"NÃO POSSUI")</f>
        <v>NÃO POSSUI</v>
      </c>
      <c r="D69" s="5" t="str">
        <f>IFERROR(__xludf.DUMMYFUNCTION("""COMPUTED_VALUE"""),"SEM PLACA")</f>
        <v>SEM PLACA</v>
      </c>
      <c r="E69" s="5" t="str">
        <f>IFERROR(__xludf.DUMMYFUNCTION("""COMPUTED_VALUE"""),"SEM BAIA")</f>
        <v>SEM BAIA</v>
      </c>
      <c r="F69" s="5" t="str">
        <f>IFERROR(__xludf.DUMMYFUNCTION("""COMPUTED_VALUE"""),"NÃO")</f>
        <v>NÃO</v>
      </c>
      <c r="G69" s="5" t="str">
        <f>IFERROR(__xludf.DUMMYFUNCTION("""COMPUTED_VALUE"""),"NÃO")</f>
        <v>NÃO</v>
      </c>
      <c r="H69" s="5" t="str">
        <f>IFERROR(__xludf.DUMMYFUNCTION("""COMPUTED_VALUE"""),"NÃO PAVIMENTADA")</f>
        <v>NÃO PAVIMENTADA</v>
      </c>
      <c r="I69" s="6" t="str">
        <f>IFERROR(__xludf.DUMMYFUNCTION("""COMPUTED_VALUE"""),"-9.5760")</f>
        <v>-9.5760</v>
      </c>
      <c r="J69" s="6" t="str">
        <f>IFERROR(__xludf.DUMMYFUNCTION("""COMPUTED_VALUE"""),"-35.6610")</f>
        <v>-35.6610</v>
      </c>
      <c r="K69" s="5" t="str">
        <f>IFERROR(__xludf.DUMMYFUNCTION("""COMPUTED_VALUE"""),"GROTA DO ANDRAÚJO")</f>
        <v>GROTA DO ANDRAÚJO</v>
      </c>
      <c r="L69" s="5" t="str">
        <f>IFERROR(__xludf.DUMMYFUNCTION("""COMPUTED_VALUE"""),"ESTRADAS")</f>
        <v>ESTRADAS</v>
      </c>
      <c r="M69" s="5" t="str">
        <f>IFERROR(__xludf.DUMMYFUNCTION("""COMPUTED_VALUE"""),"GUAXUMA")</f>
        <v>GUAXUMA</v>
      </c>
      <c r="N69" s="5" t="str">
        <f>IFERROR(__xludf.DUMMYFUNCTION("""COMPUTED_VALUE"""),"INTEGRAÇÃO")</f>
        <v>INTEGRAÇÃO</v>
      </c>
      <c r="O69" s="5"/>
      <c r="P69" s="5"/>
      <c r="Q69" s="5"/>
      <c r="R69" s="5" t="str">
        <f>IFERROR(__xludf.DUMMYFUNCTION("""COMPUTED_VALUE"""),"IMPLANTAR ABRIGO")</f>
        <v>IMPLANTAR ABRIGO</v>
      </c>
      <c r="S69" s="5"/>
      <c r="T69" s="5"/>
      <c r="U69" s="5"/>
      <c r="V69" s="5"/>
      <c r="W69" s="5" t="str">
        <f>IFERROR(__xludf.DUMMYFUNCTION("""COMPUTED_VALUE"""),"NÃO")</f>
        <v>NÃO</v>
      </c>
      <c r="X69" s="5" t="str">
        <f>IFERROR(__xludf.DUMMYFUNCTION("""COMPUTED_VALUE"""),"NÃO SE APLICA")</f>
        <v>NÃO SE APLICA</v>
      </c>
    </row>
    <row r="70" hidden="1">
      <c r="A70" s="5">
        <f>IFERROR(__xludf.DUMMYFUNCTION("""COMPUTED_VALUE"""),8.0)</f>
        <v>8</v>
      </c>
      <c r="B70" s="5" t="str">
        <f>IFERROR(__xludf.DUMMYFUNCTION("""COMPUTED_VALUE"""),"GX032")</f>
        <v>GX032</v>
      </c>
      <c r="C70" s="5" t="str">
        <f>IFERROR(__xludf.DUMMYFUNCTION("""COMPUTED_VALUE"""),"NÃO POSSUI")</f>
        <v>NÃO POSSUI</v>
      </c>
      <c r="D70" s="5" t="str">
        <f>IFERROR(__xludf.DUMMYFUNCTION("""COMPUTED_VALUE"""),"SEM PLACA")</f>
        <v>SEM PLACA</v>
      </c>
      <c r="E70" s="5" t="str">
        <f>IFERROR(__xludf.DUMMYFUNCTION("""COMPUTED_VALUE"""),"SEM BAIA")</f>
        <v>SEM BAIA</v>
      </c>
      <c r="F70" s="5" t="str">
        <f>IFERROR(__xludf.DUMMYFUNCTION("""COMPUTED_VALUE"""),"NÃO")</f>
        <v>NÃO</v>
      </c>
      <c r="G70" s="5" t="str">
        <f>IFERROR(__xludf.DUMMYFUNCTION("""COMPUTED_VALUE"""),"NÃO")</f>
        <v>NÃO</v>
      </c>
      <c r="H70" s="5" t="str">
        <f>IFERROR(__xludf.DUMMYFUNCTION("""COMPUTED_VALUE"""),"NÃO PAVIMENTADA")</f>
        <v>NÃO PAVIMENTADA</v>
      </c>
      <c r="I70" s="6" t="str">
        <f>IFERROR(__xludf.DUMMYFUNCTION("""COMPUTED_VALUE"""),"-9.5858")</f>
        <v>-9.5858</v>
      </c>
      <c r="J70" s="6" t="str">
        <f>IFERROR(__xludf.DUMMYFUNCTION("""COMPUTED_VALUE"""),"-35.6668")</f>
        <v>-35.6668</v>
      </c>
      <c r="K70" s="5" t="str">
        <f>IFERROR(__xludf.DUMMYFUNCTION("""COMPUTED_VALUE"""),"GROTA DO ANDRAÚJO")</f>
        <v>GROTA DO ANDRAÚJO</v>
      </c>
      <c r="L70" s="5" t="str">
        <f>IFERROR(__xludf.DUMMYFUNCTION("""COMPUTED_VALUE"""),"ESTRADAS")</f>
        <v>ESTRADAS</v>
      </c>
      <c r="M70" s="5" t="str">
        <f>IFERROR(__xludf.DUMMYFUNCTION("""COMPUTED_VALUE"""),"GUAXUMA")</f>
        <v>GUAXUMA</v>
      </c>
      <c r="N70" s="5" t="str">
        <f>IFERROR(__xludf.DUMMYFUNCTION("""COMPUTED_VALUE"""),"INTEGRAÇÃO")</f>
        <v>INTEGRAÇÃO</v>
      </c>
      <c r="O70" s="5"/>
      <c r="P70" s="5"/>
      <c r="Q70" s="5"/>
      <c r="R70" s="5" t="str">
        <f>IFERROR(__xludf.DUMMYFUNCTION("""COMPUTED_VALUE"""),"IMPLANTAR ABRIGO")</f>
        <v>IMPLANTAR ABRIGO</v>
      </c>
      <c r="S70" s="5"/>
      <c r="T70" s="5"/>
      <c r="U70" s="5"/>
      <c r="V70" s="5"/>
      <c r="W70" s="5" t="str">
        <f>IFERROR(__xludf.DUMMYFUNCTION("""COMPUTED_VALUE"""),"NÃO")</f>
        <v>NÃO</v>
      </c>
      <c r="X70" s="5" t="str">
        <f>IFERROR(__xludf.DUMMYFUNCTION("""COMPUTED_VALUE"""),"NÃO SE APLICA")</f>
        <v>NÃO SE APLICA</v>
      </c>
    </row>
    <row r="71" hidden="1">
      <c r="A71" s="5">
        <f>IFERROR(__xludf.DUMMYFUNCTION("""COMPUTED_VALUE"""),8.0)</f>
        <v>8</v>
      </c>
      <c r="B71" s="5" t="str">
        <f>IFERROR(__xludf.DUMMYFUNCTION("""COMPUTED_VALUE"""),"GX033")</f>
        <v>GX033</v>
      </c>
      <c r="C71" s="5" t="str">
        <f>IFERROR(__xludf.DUMMYFUNCTION("""COMPUTED_VALUE"""),"NÃO POSSUI")</f>
        <v>NÃO POSSUI</v>
      </c>
      <c r="D71" s="5" t="str">
        <f>IFERROR(__xludf.DUMMYFUNCTION("""COMPUTED_VALUE"""),"SEM PLACA")</f>
        <v>SEM PLACA</v>
      </c>
      <c r="E71" s="5" t="str">
        <f>IFERROR(__xludf.DUMMYFUNCTION("""COMPUTED_VALUE"""),"SEM BAIA")</f>
        <v>SEM BAIA</v>
      </c>
      <c r="F71" s="5" t="str">
        <f>IFERROR(__xludf.DUMMYFUNCTION("""COMPUTED_VALUE"""),"NÃO")</f>
        <v>NÃO</v>
      </c>
      <c r="G71" s="5" t="str">
        <f>IFERROR(__xludf.DUMMYFUNCTION("""COMPUTED_VALUE"""),"NÃO")</f>
        <v>NÃO</v>
      </c>
      <c r="H71" s="5" t="str">
        <f>IFERROR(__xludf.DUMMYFUNCTION("""COMPUTED_VALUE"""),"NÃO PAVIMENTADA")</f>
        <v>NÃO PAVIMENTADA</v>
      </c>
      <c r="I71" s="6" t="str">
        <f>IFERROR(__xludf.DUMMYFUNCTION("""COMPUTED_VALUE"""),"-9.5859")</f>
        <v>-9.5859</v>
      </c>
      <c r="J71" s="6" t="str">
        <f>IFERROR(__xludf.DUMMYFUNCTION("""COMPUTED_VALUE"""),"-35.6668")</f>
        <v>-35.6668</v>
      </c>
      <c r="K71" s="5" t="str">
        <f>IFERROR(__xludf.DUMMYFUNCTION("""COMPUTED_VALUE"""),"GROTA DO ANDRAÚJO")</f>
        <v>GROTA DO ANDRAÚJO</v>
      </c>
      <c r="L71" s="5" t="str">
        <f>IFERROR(__xludf.DUMMYFUNCTION("""COMPUTED_VALUE"""),"ESTRADAS")</f>
        <v>ESTRADAS</v>
      </c>
      <c r="M71" s="5" t="str">
        <f>IFERROR(__xludf.DUMMYFUNCTION("""COMPUTED_VALUE"""),"GUAXUMA")</f>
        <v>GUAXUMA</v>
      </c>
      <c r="N71" s="5" t="str">
        <f>IFERROR(__xludf.DUMMYFUNCTION("""COMPUTED_VALUE"""),"INTEGRAÇÃO")</f>
        <v>INTEGRAÇÃO</v>
      </c>
      <c r="O71" s="5"/>
      <c r="P71" s="5"/>
      <c r="Q71" s="5"/>
      <c r="R71" s="5" t="str">
        <f>IFERROR(__xludf.DUMMYFUNCTION("""COMPUTED_VALUE"""),"IMPLANTAR ABRIGO")</f>
        <v>IMPLANTAR ABRIGO</v>
      </c>
      <c r="S71" s="5"/>
      <c r="T71" s="5"/>
      <c r="U71" s="5"/>
      <c r="V71" s="5"/>
      <c r="W71" s="5" t="str">
        <f>IFERROR(__xludf.DUMMYFUNCTION("""COMPUTED_VALUE"""),"NÃO")</f>
        <v>NÃO</v>
      </c>
      <c r="X71" s="5" t="str">
        <f>IFERROR(__xludf.DUMMYFUNCTION("""COMPUTED_VALUE"""),"NÃO SE APLICA")</f>
        <v>NÃO SE APLICA</v>
      </c>
    </row>
    <row r="72" hidden="1">
      <c r="A72" s="5">
        <f>IFERROR(__xludf.DUMMYFUNCTION("""COMPUTED_VALUE"""),8.0)</f>
        <v>8</v>
      </c>
      <c r="B72" s="5" t="str">
        <f>IFERROR(__xludf.DUMMYFUNCTION("""COMPUTED_VALUE"""),"GX034")</f>
        <v>GX034</v>
      </c>
      <c r="C72" s="5" t="str">
        <f>IFERROR(__xludf.DUMMYFUNCTION("""COMPUTED_VALUE"""),"NÃO POSSUI")</f>
        <v>NÃO POSSUI</v>
      </c>
      <c r="D72" s="5" t="str">
        <f>IFERROR(__xludf.DUMMYFUNCTION("""COMPUTED_VALUE"""),"SEM PLACA")</f>
        <v>SEM PLACA</v>
      </c>
      <c r="E72" s="5" t="str">
        <f>IFERROR(__xludf.DUMMYFUNCTION("""COMPUTED_VALUE"""),"SEM BAIA")</f>
        <v>SEM BAIA</v>
      </c>
      <c r="F72" s="5" t="str">
        <f>IFERROR(__xludf.DUMMYFUNCTION("""COMPUTED_VALUE"""),"SIM")</f>
        <v>SIM</v>
      </c>
      <c r="G72" s="5" t="str">
        <f>IFERROR(__xludf.DUMMYFUNCTION("""COMPUTED_VALUE"""),"SIM")</f>
        <v>SIM</v>
      </c>
      <c r="H72" s="5" t="str">
        <f>IFERROR(__xludf.DUMMYFUNCTION("""COMPUTED_VALUE"""),"PAVIMENTADA")</f>
        <v>PAVIMENTADA</v>
      </c>
      <c r="I72" s="6" t="str">
        <f>IFERROR(__xludf.DUMMYFUNCTION("""COMPUTED_VALUE"""),"-9.597451")</f>
        <v>-9.597451</v>
      </c>
      <c r="J72" s="6" t="str">
        <f>IFERROR(__xludf.DUMMYFUNCTION("""COMPUTED_VALUE"""),"-35.676775")</f>
        <v>-35.676775</v>
      </c>
      <c r="K72" s="5" t="str">
        <f>IFERROR(__xludf.DUMMYFUNCTION("""COMPUTED_VALUE"""),"AV. GEN. LUIZ DE FRANÇA ALBUQUERQUE")</f>
        <v>AV. GEN. LUIZ DE FRANÇA ALBUQUERQUE</v>
      </c>
      <c r="L72" s="5" t="str">
        <f>IFERROR(__xludf.DUMMYFUNCTION("""COMPUTED_VALUE"""),"RODOVIAS")</f>
        <v>RODOVIAS</v>
      </c>
      <c r="M72" s="5" t="str">
        <f>IFERROR(__xludf.DUMMYFUNCTION("""COMPUTED_VALUE"""),"GUAXUMA")</f>
        <v>GUAXUMA</v>
      </c>
      <c r="N72" s="5" t="str">
        <f>IFERROR(__xludf.DUMMYFUNCTION("""COMPUTED_VALUE"""),"CENTRO - BAIRRO")</f>
        <v>CENTRO - BAIRRO</v>
      </c>
      <c r="O72" s="5"/>
      <c r="P72" s="5"/>
      <c r="Q72" s="5"/>
      <c r="R72" s="5" t="str">
        <f>IFERROR(__xludf.DUMMYFUNCTION("""COMPUTED_VALUE"""),"NENHUMA DAS OPÇÕES")</f>
        <v>NENHUMA DAS OPÇÕES</v>
      </c>
      <c r="S72" s="5"/>
      <c r="T72" s="5"/>
      <c r="U72" s="5"/>
      <c r="V72" s="9" t="str">
        <f>IFERROR(__xludf.DUMMYFUNCTION("""COMPUTED_VALUE"""),"https://drive.google.com/uc?id=1CVtawuksuaENcjH6EPhx5LNgjRIcdcZh")</f>
        <v>https://drive.google.com/uc?id=1CVtawuksuaENcjH6EPhx5LNgjRIcdcZh</v>
      </c>
      <c r="W72" s="5" t="str">
        <f>IFERROR(__xludf.DUMMYFUNCTION("""COMPUTED_VALUE"""),"NÃO")</f>
        <v>NÃO</v>
      </c>
      <c r="X72" s="5" t="str">
        <f>IFERROR(__xludf.DUMMYFUNCTION("""COMPUTED_VALUE"""),"NÃO SE APLICA")</f>
        <v>NÃO SE APLICA</v>
      </c>
    </row>
    <row r="73">
      <c r="A73" s="5">
        <f>IFERROR(__xludf.DUMMYFUNCTION("IMPORTRANGE(""https://docs.google.com/spreadsheets/d/11Xf8ueyQm_IkJIrLjE_knan7jqO4kbHyGCgwn2elcQA/edit#gid=0"", ""JACARECICA!A3:X26"")"),8.0)</f>
        <v>8</v>
      </c>
      <c r="B73" s="5" t="str">
        <f>IFERROR(__xludf.DUMMYFUNCTION("""COMPUTED_VALUE"""),"JA001")</f>
        <v>JA001</v>
      </c>
      <c r="C73" s="5" t="str">
        <f>IFERROR(__xludf.DUMMYFUNCTION("""COMPUTED_VALUE"""),"ABRIGO MADEIRA PERSONALIZADO")</f>
        <v>ABRIGO MADEIRA PERSONALIZADO</v>
      </c>
      <c r="D73" s="5" t="str">
        <f>IFERROR(__xludf.DUMMYFUNCTION("""COMPUTED_VALUE"""),"FIXADA EM POSTE")</f>
        <v>FIXADA EM POSTE</v>
      </c>
      <c r="E73" s="5" t="str">
        <f>IFERROR(__xludf.DUMMYFUNCTION("""COMPUTED_VALUE"""),"BAIA CONSTRUÍDA")</f>
        <v>BAIA CONSTRUÍDA</v>
      </c>
      <c r="F73" s="5" t="str">
        <f>IFERROR(__xludf.DUMMYFUNCTION("""COMPUTED_VALUE"""),"SIM")</f>
        <v>SIM</v>
      </c>
      <c r="G73" s="5" t="str">
        <f>IFERROR(__xludf.DUMMYFUNCTION("""COMPUTED_VALUE"""),"SIM")</f>
        <v>SIM</v>
      </c>
      <c r="H73" s="5" t="str">
        <f>IFERROR(__xludf.DUMMYFUNCTION("""COMPUTED_VALUE"""),"PAVIMENTADA")</f>
        <v>PAVIMENTADA</v>
      </c>
      <c r="I73" s="6" t="str">
        <f>IFERROR(__xludf.DUMMYFUNCTION("""COMPUTED_VALUE"""),"-9.621130")</f>
        <v>-9.621130</v>
      </c>
      <c r="J73" s="6" t="str">
        <f>IFERROR(__xludf.DUMMYFUNCTION("""COMPUTED_VALUE"""),"-35.694479")</f>
        <v>-35.694479</v>
      </c>
      <c r="K73" s="5" t="str">
        <f>IFERROR(__xludf.DUMMYFUNCTION("""COMPUTED_VALUE"""),"AV. COM. GUSTAVO PAIVA, 2034")</f>
        <v>AV. COM. GUSTAVO PAIVA, 2034</v>
      </c>
      <c r="L73" s="5" t="str">
        <f>IFERROR(__xludf.DUMMYFUNCTION("""COMPUTED_VALUE"""),"ARTERIAL ")</f>
        <v>ARTERIAL </v>
      </c>
      <c r="M73" s="5" t="str">
        <f>IFERROR(__xludf.DUMMYFUNCTION("""COMPUTED_VALUE"""),"JACARECICA")</f>
        <v>JACARECICA</v>
      </c>
      <c r="N73" s="5" t="str">
        <f>IFERROR(__xludf.DUMMYFUNCTION("""COMPUTED_VALUE"""),"BAIRRO - CENTRO")</f>
        <v>BAIRRO - CENTRO</v>
      </c>
      <c r="O73" s="5" t="str">
        <f>IFERROR(__xludf.DUMMYFUNCTION("""COMPUTED_VALUE"""),"NA FRENTE DA ADEPOL E PRÓXIMO A SEMARH")</f>
        <v>NA FRENTE DA ADEPOL E PRÓXIMO A SEMARH</v>
      </c>
      <c r="P73" s="5" t="str">
        <f>IFERROR(__xludf.DUMMYFUNCTION("""COMPUTED_VALUE"""),"PRIORIDADE ALTA")</f>
        <v>PRIORIDADE ALTA</v>
      </c>
      <c r="Q73" s="5" t="str">
        <f>IFERROR(__xludf.DUMMYFUNCTION("""COMPUTED_VALUE"""),"IMPLANTAR ASSENTOS, REFORÇAR A FIXAÇÃO DA PUBLICIDADE, REPAROS NA ESTRUTURA,PINTURA")</f>
        <v>IMPLANTAR ASSENTOS, REFORÇAR A FIXAÇÃO DA PUBLICIDADE, REPAROS NA ESTRUTURA,PINTURA</v>
      </c>
      <c r="R73" s="5" t="str">
        <f>IFERROR(__xludf.DUMMYFUNCTION("""COMPUTED_VALUE"""),"NENHUMA DAS OPÇÕES")</f>
        <v>NENHUMA DAS OPÇÕES</v>
      </c>
      <c r="S73" s="7">
        <f>IFERROR(__xludf.DUMMYFUNCTION("""COMPUTED_VALUE"""),44562.0)</f>
        <v>44562</v>
      </c>
      <c r="T73" s="5"/>
      <c r="U73" s="7">
        <f>IFERROR(__xludf.DUMMYFUNCTION("""COMPUTED_VALUE"""),44562.0)</f>
        <v>44562</v>
      </c>
      <c r="V73" s="9" t="str">
        <f>IFERROR(__xludf.DUMMYFUNCTION("""COMPUTED_VALUE"""),"https://drive.google.com/uc?id=1OEZnBVLYhigrYSiTZSvhph-x5N23As5P")</f>
        <v>https://drive.google.com/uc?id=1OEZnBVLYhigrYSiTZSvhph-x5N23As5P</v>
      </c>
      <c r="W73" s="5" t="str">
        <f>IFERROR(__xludf.DUMMYFUNCTION("""COMPUTED_VALUE"""),"NÃO")</f>
        <v>NÃO</v>
      </c>
      <c r="X73" s="5" t="str">
        <f>IFERROR(__xludf.DUMMYFUNCTION("""COMPUTED_VALUE"""),"SIM")</f>
        <v>SIM</v>
      </c>
    </row>
    <row r="74">
      <c r="A74" s="5">
        <f>IFERROR(__xludf.DUMMYFUNCTION("""COMPUTED_VALUE"""),8.0)</f>
        <v>8</v>
      </c>
      <c r="B74" s="5" t="str">
        <f>IFERROR(__xludf.DUMMYFUNCTION("""COMPUTED_VALUE"""),"JA002")</f>
        <v>JA002</v>
      </c>
      <c r="C74" s="5" t="str">
        <f>IFERROR(__xludf.DUMMYFUNCTION("""COMPUTED_VALUE"""),"ABRIGO MADEIRA PERSONALIZADO")</f>
        <v>ABRIGO MADEIRA PERSONALIZADO</v>
      </c>
      <c r="D74" s="5" t="str">
        <f>IFERROR(__xludf.DUMMYFUNCTION("""COMPUTED_VALUE"""),"COM SUPORTE")</f>
        <v>COM SUPORTE</v>
      </c>
      <c r="E74" s="5" t="str">
        <f>IFERROR(__xludf.DUMMYFUNCTION("""COMPUTED_VALUE"""),"BAIA CONSTRUÍDA")</f>
        <v>BAIA CONSTRUÍDA</v>
      </c>
      <c r="F74" s="5" t="str">
        <f>IFERROR(__xludf.DUMMYFUNCTION("""COMPUTED_VALUE"""),"SIM")</f>
        <v>SIM</v>
      </c>
      <c r="G74" s="5" t="str">
        <f>IFERROR(__xludf.DUMMYFUNCTION("""COMPUTED_VALUE"""),"SIM")</f>
        <v>SIM</v>
      </c>
      <c r="H74" s="5" t="str">
        <f>IFERROR(__xludf.DUMMYFUNCTION("""COMPUTED_VALUE"""),"PAVIMENTADA")</f>
        <v>PAVIMENTADA</v>
      </c>
      <c r="I74" s="6" t="str">
        <f>IFERROR(__xludf.DUMMYFUNCTION("""COMPUTED_VALUE"""),"-9.620742")</f>
        <v>-9.620742</v>
      </c>
      <c r="J74" s="6" t="str">
        <f>IFERROR(__xludf.DUMMYFUNCTION("""COMPUTED_VALUE"""),"-35.693878")</f>
        <v>-35.693878</v>
      </c>
      <c r="K74" s="5" t="str">
        <f>IFERROR(__xludf.DUMMYFUNCTION("""COMPUTED_VALUE"""),"AV. COM. GUSTAVO PAIVA, 2034")</f>
        <v>AV. COM. GUSTAVO PAIVA, 2034</v>
      </c>
      <c r="L74" s="5" t="str">
        <f>IFERROR(__xludf.DUMMYFUNCTION("""COMPUTED_VALUE"""),"ARTERIAL ")</f>
        <v>ARTERIAL </v>
      </c>
      <c r="M74" s="5" t="str">
        <f>IFERROR(__xludf.DUMMYFUNCTION("""COMPUTED_VALUE"""),"JACARECICA")</f>
        <v>JACARECICA</v>
      </c>
      <c r="N74" s="5" t="str">
        <f>IFERROR(__xludf.DUMMYFUNCTION("""COMPUTED_VALUE"""),"CENTRO - BAIRRO")</f>
        <v>CENTRO - BAIRRO</v>
      </c>
      <c r="O74" s="5" t="str">
        <f>IFERROR(__xludf.DUMMYFUNCTION("""COMPUTED_VALUE"""),"NA FRENTE DA ADEPOL")</f>
        <v>NA FRENTE DA ADEPOL</v>
      </c>
      <c r="P74" s="5" t="str">
        <f>IFERROR(__xludf.DUMMYFUNCTION("""COMPUTED_VALUE"""),"PRIORIDADE MÉDIA")</f>
        <v>PRIORIDADE MÉDIA</v>
      </c>
      <c r="Q74" s="5" t="str">
        <f>IFERROR(__xludf.DUMMYFUNCTION("""COMPUTED_VALUE"""),"PINTURA DA SINALIZAÇÃO DA BAIA")</f>
        <v>PINTURA DA SINALIZAÇÃO DA BAIA</v>
      </c>
      <c r="R74" s="5" t="str">
        <f>IFERROR(__xludf.DUMMYFUNCTION("""COMPUTED_VALUE"""),"NENHUMA DAS OPÇÕES")</f>
        <v>NENHUMA DAS OPÇÕES</v>
      </c>
      <c r="S74" s="7">
        <f>IFERROR(__xludf.DUMMYFUNCTION("""COMPUTED_VALUE"""),44563.0)</f>
        <v>44563</v>
      </c>
      <c r="T74" s="5"/>
      <c r="U74" s="7">
        <f>IFERROR(__xludf.DUMMYFUNCTION("""COMPUTED_VALUE"""),44563.0)</f>
        <v>44563</v>
      </c>
      <c r="V74" s="9" t="str">
        <f>IFERROR(__xludf.DUMMYFUNCTION("""COMPUTED_VALUE"""),"https://drive.google.com/uc?id=1bpIBlusLYzG5u5kMHX0WfhmxUKef12Cl")</f>
        <v>https://drive.google.com/uc?id=1bpIBlusLYzG5u5kMHX0WfhmxUKef12Cl</v>
      </c>
      <c r="W74" s="5" t="str">
        <f>IFERROR(__xludf.DUMMYFUNCTION("""COMPUTED_VALUE"""),"NÃO")</f>
        <v>NÃO</v>
      </c>
      <c r="X74" s="5" t="str">
        <f>IFERROR(__xludf.DUMMYFUNCTION("""COMPUTED_VALUE"""),"SIM")</f>
        <v>SIM</v>
      </c>
    </row>
    <row r="75" hidden="1">
      <c r="A75" s="5">
        <f>IFERROR(__xludf.DUMMYFUNCTION("""COMPUTED_VALUE"""),8.0)</f>
        <v>8</v>
      </c>
      <c r="B75" s="5" t="str">
        <f>IFERROR(__xludf.DUMMYFUNCTION("""COMPUTED_VALUE"""),"JA003")</f>
        <v>JA003</v>
      </c>
      <c r="C75" s="5" t="str">
        <f>IFERROR(__xludf.DUMMYFUNCTION("""COMPUTED_VALUE"""),"NÃO POSSUI")</f>
        <v>NÃO POSSUI</v>
      </c>
      <c r="D75" s="5" t="str">
        <f>IFERROR(__xludf.DUMMYFUNCTION("""COMPUTED_VALUE"""),"FIXADA EM POSTE")</f>
        <v>FIXADA EM POSTE</v>
      </c>
      <c r="E75" s="5" t="str">
        <f>IFERROR(__xludf.DUMMYFUNCTION("""COMPUTED_VALUE"""),"SEM BAIA")</f>
        <v>SEM BAIA</v>
      </c>
      <c r="F75" s="5" t="str">
        <f>IFERROR(__xludf.DUMMYFUNCTION("""COMPUTED_VALUE"""),"NÃO")</f>
        <v>NÃO</v>
      </c>
      <c r="G75" s="5" t="str">
        <f>IFERROR(__xludf.DUMMYFUNCTION("""COMPUTED_VALUE"""),"SIM")</f>
        <v>SIM</v>
      </c>
      <c r="H75" s="5" t="str">
        <f>IFERROR(__xludf.DUMMYFUNCTION("""COMPUTED_VALUE"""),"PAVIMENTADA")</f>
        <v>PAVIMENTADA</v>
      </c>
      <c r="I75" s="6" t="str">
        <f>IFERROR(__xludf.DUMMYFUNCTION("""COMPUTED_VALUE"""),"-9.618245")</f>
        <v>-9.618245</v>
      </c>
      <c r="J75" s="6" t="str">
        <f>IFERROR(__xludf.DUMMYFUNCTION("""COMPUTED_VALUE"""),"-35.691987")</f>
        <v>-35.691987</v>
      </c>
      <c r="K75" s="5" t="str">
        <f>IFERROR(__xludf.DUMMYFUNCTION("""COMPUTED_VALUE"""),"AV. COM. GUSTAVO PAIVA, S/N")</f>
        <v>AV. COM. GUSTAVO PAIVA, S/N</v>
      </c>
      <c r="L75" s="5" t="str">
        <f>IFERROR(__xludf.DUMMYFUNCTION("""COMPUTED_VALUE"""),"ARTERIAL ")</f>
        <v>ARTERIAL </v>
      </c>
      <c r="M75" s="5" t="str">
        <f>IFERROR(__xludf.DUMMYFUNCTION("""COMPUTED_VALUE"""),"JACARECICA")</f>
        <v>JACARECICA</v>
      </c>
      <c r="N75" s="5" t="str">
        <f>IFERROR(__xludf.DUMMYFUNCTION("""COMPUTED_VALUE"""),"CENTRO - BAIRRO")</f>
        <v>CENTRO - BAIRRO</v>
      </c>
      <c r="O75" s="5" t="str">
        <f>IFERROR(__xludf.DUMMYFUNCTION("""COMPUTED_VALUE"""),"NA FRENTE DA SEDE DA OAB")</f>
        <v>NA FRENTE DA SEDE DA OAB</v>
      </c>
      <c r="P75" s="5" t="str">
        <f>IFERROR(__xludf.DUMMYFUNCTION("""COMPUTED_VALUE"""),"PRIORIDADE ALTA")</f>
        <v>PRIORIDADE ALTA</v>
      </c>
      <c r="Q75" s="5" t="str">
        <f>IFERROR(__xludf.DUMMYFUNCTION("""COMPUTED_VALUE"""),"IMPLANTAR ABRIGO, ADEQUAÇÃO DO CANTEIRO E CALÇADA (RAMPA DE ACESSIBILIDADE)")</f>
        <v>IMPLANTAR ABRIGO, ADEQUAÇÃO DO CANTEIRO E CALÇADA (RAMPA DE ACESSIBILIDADE)</v>
      </c>
      <c r="R75" s="5" t="str">
        <f>IFERROR(__xludf.DUMMYFUNCTION("""COMPUTED_VALUE"""),"NENHUMA DAS OPÇÕES")</f>
        <v>NENHUMA DAS OPÇÕES</v>
      </c>
      <c r="S75" s="7">
        <f>IFERROR(__xludf.DUMMYFUNCTION("""COMPUTED_VALUE"""),44564.0)</f>
        <v>44564</v>
      </c>
      <c r="T75" s="5"/>
      <c r="U75" s="7">
        <f>IFERROR(__xludf.DUMMYFUNCTION("""COMPUTED_VALUE"""),44564.0)</f>
        <v>44564</v>
      </c>
      <c r="V75" s="9" t="str">
        <f>IFERROR(__xludf.DUMMYFUNCTION("""COMPUTED_VALUE"""),"https://drive.google.com/uc?id=14G0c5d0mo9ialOLK_ZNZjfX-vJU_eeMY")</f>
        <v>https://drive.google.com/uc?id=14G0c5d0mo9ialOLK_ZNZjfX-vJU_eeMY</v>
      </c>
      <c r="W75" s="5" t="str">
        <f>IFERROR(__xludf.DUMMYFUNCTION("""COMPUTED_VALUE"""),"NÃO")</f>
        <v>NÃO</v>
      </c>
      <c r="X75" s="5" t="str">
        <f>IFERROR(__xludf.DUMMYFUNCTION("""COMPUTED_VALUE"""),"NÃO SE APLICA")</f>
        <v>NÃO SE APLICA</v>
      </c>
    </row>
    <row r="76">
      <c r="A76" s="5">
        <f>IFERROR(__xludf.DUMMYFUNCTION("""COMPUTED_VALUE"""),8.0)</f>
        <v>8</v>
      </c>
      <c r="B76" s="5" t="str">
        <f>IFERROR(__xludf.DUMMYFUNCTION("""COMPUTED_VALUE"""),"JA004")</f>
        <v>JA004</v>
      </c>
      <c r="C76" s="5" t="str">
        <f>IFERROR(__xludf.DUMMYFUNCTION("""COMPUTED_VALUE"""),"ABRIGO MADEIRA PERSONALIZADO")</f>
        <v>ABRIGO MADEIRA PERSONALIZADO</v>
      </c>
      <c r="D76" s="5" t="str">
        <f>IFERROR(__xludf.DUMMYFUNCTION("""COMPUTED_VALUE"""),"FIXADA EM POSTE")</f>
        <v>FIXADA EM POSTE</v>
      </c>
      <c r="E76" s="5" t="str">
        <f>IFERROR(__xludf.DUMMYFUNCTION("""COMPUTED_VALUE"""),"SEM BAIA")</f>
        <v>SEM BAIA</v>
      </c>
      <c r="F76" s="5" t="str">
        <f>IFERROR(__xludf.DUMMYFUNCTION("""COMPUTED_VALUE"""),"SIM")</f>
        <v>SIM</v>
      </c>
      <c r="G76" s="5" t="str">
        <f>IFERROR(__xludf.DUMMYFUNCTION("""COMPUTED_VALUE"""),"NÃO")</f>
        <v>NÃO</v>
      </c>
      <c r="H76" s="5" t="str">
        <f>IFERROR(__xludf.DUMMYFUNCTION("""COMPUTED_VALUE"""),"PAVIMENTADA")</f>
        <v>PAVIMENTADA</v>
      </c>
      <c r="I76" s="6" t="str">
        <f>IFERROR(__xludf.DUMMYFUNCTION("""COMPUTED_VALUE"""),"-9.616433")</f>
        <v>-9.616433</v>
      </c>
      <c r="J76" s="6" t="str">
        <f>IFERROR(__xludf.DUMMYFUNCTION("""COMPUTED_VALUE"""),"-35.691206")</f>
        <v>-35.691206</v>
      </c>
      <c r="K76" s="5" t="str">
        <f>IFERROR(__xludf.DUMMYFUNCTION("""COMPUTED_VALUE"""),"AV. COM. GUSTAVO PAIVA, 250")</f>
        <v>AV. COM. GUSTAVO PAIVA, 250</v>
      </c>
      <c r="L76" s="5" t="str">
        <f>IFERROR(__xludf.DUMMYFUNCTION("""COMPUTED_VALUE"""),"ARTERIAL ")</f>
        <v>ARTERIAL </v>
      </c>
      <c r="M76" s="5" t="str">
        <f>IFERROR(__xludf.DUMMYFUNCTION("""COMPUTED_VALUE"""),"JACARECICA")</f>
        <v>JACARECICA</v>
      </c>
      <c r="N76" s="5" t="str">
        <f>IFERROR(__xludf.DUMMYFUNCTION("""COMPUTED_VALUE"""),"BAIRRO - CENTRO")</f>
        <v>BAIRRO - CENTRO</v>
      </c>
      <c r="O76" s="5" t="str">
        <f>IFERROR(__xludf.DUMMYFUNCTION("""COMPUTED_VALUE"""),"NA FRENTE DO CONDOMÍNIO RESIDENCIAL JACARECICA")</f>
        <v>NA FRENTE DO CONDOMÍNIO RESIDENCIAL JACARECICA</v>
      </c>
      <c r="P76" s="5" t="str">
        <f>IFERROR(__xludf.DUMMYFUNCTION("""COMPUTED_VALUE"""),"PRIORIDADE ALTA")</f>
        <v>PRIORIDADE ALTA</v>
      </c>
      <c r="Q76" s="5" t="str">
        <f>IFERROR(__xludf.DUMMYFUNCTION("""COMPUTED_VALUE"""),"IMPLANTAR ASSENTOS, REPAROS NA ESTRUTURA TODA, PRINCIPALMENTE DA COBERTA E PINTURA")</f>
        <v>IMPLANTAR ASSENTOS, REPAROS NA ESTRUTURA TODA, PRINCIPALMENTE DA COBERTA E PINTURA</v>
      </c>
      <c r="R76" s="5" t="str">
        <f>IFERROR(__xludf.DUMMYFUNCTION("""COMPUTED_VALUE"""),"NENHUMA DAS OPÇÕES")</f>
        <v>NENHUMA DAS OPÇÕES</v>
      </c>
      <c r="S76" s="7">
        <f>IFERROR(__xludf.DUMMYFUNCTION("""COMPUTED_VALUE"""),44565.0)</f>
        <v>44565</v>
      </c>
      <c r="T76" s="5"/>
      <c r="U76" s="7">
        <f>IFERROR(__xludf.DUMMYFUNCTION("""COMPUTED_VALUE"""),44565.0)</f>
        <v>44565</v>
      </c>
      <c r="V76" s="5" t="str">
        <f>IFERROR(__xludf.DUMMYFUNCTION("""COMPUTED_VALUE"""),"Atualizar foto")</f>
        <v>Atualizar foto</v>
      </c>
      <c r="W76" s="5" t="str">
        <f>IFERROR(__xludf.DUMMYFUNCTION("""COMPUTED_VALUE"""),"NÃO")</f>
        <v>NÃO</v>
      </c>
      <c r="X76" s="5" t="str">
        <f>IFERROR(__xludf.DUMMYFUNCTION("""COMPUTED_VALUE"""),"NÃO")</f>
        <v>NÃO</v>
      </c>
    </row>
    <row r="77">
      <c r="A77" s="5">
        <f>IFERROR(__xludf.DUMMYFUNCTION("""COMPUTED_VALUE"""),8.0)</f>
        <v>8</v>
      </c>
      <c r="B77" s="5" t="str">
        <f>IFERROR(__xludf.DUMMYFUNCTION("""COMPUTED_VALUE"""),"JA005")</f>
        <v>JA005</v>
      </c>
      <c r="C77" s="5" t="str">
        <f>IFERROR(__xludf.DUMMYFUNCTION("""COMPUTED_VALUE"""),"ABRIGO MADEIRA PERSONALIZADO")</f>
        <v>ABRIGO MADEIRA PERSONALIZADO</v>
      </c>
      <c r="D77" s="5" t="str">
        <f>IFERROR(__xludf.DUMMYFUNCTION("""COMPUTED_VALUE"""),"COM SUPORTE")</f>
        <v>COM SUPORTE</v>
      </c>
      <c r="E77" s="5" t="str">
        <f>IFERROR(__xludf.DUMMYFUNCTION("""COMPUTED_VALUE"""),"BAIA CONSTRUÍDA")</f>
        <v>BAIA CONSTRUÍDA</v>
      </c>
      <c r="F77" s="5" t="str">
        <f>IFERROR(__xludf.DUMMYFUNCTION("""COMPUTED_VALUE"""),"SIM")</f>
        <v>SIM</v>
      </c>
      <c r="G77" s="5" t="str">
        <f>IFERROR(__xludf.DUMMYFUNCTION("""COMPUTED_VALUE"""),"SIM")</f>
        <v>SIM</v>
      </c>
      <c r="H77" s="5" t="str">
        <f>IFERROR(__xludf.DUMMYFUNCTION("""COMPUTED_VALUE"""),"PAVIMENTADA")</f>
        <v>PAVIMENTADA</v>
      </c>
      <c r="I77" s="6" t="str">
        <f>IFERROR(__xludf.DUMMYFUNCTION("""COMPUTED_VALUE"""),"-9.615762")</f>
        <v>-9.615762</v>
      </c>
      <c r="J77" s="6" t="str">
        <f>IFERROR(__xludf.DUMMYFUNCTION("""COMPUTED_VALUE"""),"-35.690419")</f>
        <v>-35.690419</v>
      </c>
      <c r="K77" s="5" t="str">
        <f>IFERROR(__xludf.DUMMYFUNCTION("""COMPUTED_VALUE"""),"AV. COM. GUSTAVO PAIVA, 2282")</f>
        <v>AV. COM. GUSTAVO PAIVA, 2282</v>
      </c>
      <c r="L77" s="5" t="str">
        <f>IFERROR(__xludf.DUMMYFUNCTION("""COMPUTED_VALUE"""),"ARTERIAL ")</f>
        <v>ARTERIAL </v>
      </c>
      <c r="M77" s="5" t="str">
        <f>IFERROR(__xludf.DUMMYFUNCTION("""COMPUTED_VALUE"""),"JACARECICA")</f>
        <v>JACARECICA</v>
      </c>
      <c r="N77" s="5" t="str">
        <f>IFERROR(__xludf.DUMMYFUNCTION("""COMPUTED_VALUE"""),"CENTRO - BAIRRO")</f>
        <v>CENTRO - BAIRRO</v>
      </c>
      <c r="O77" s="5" t="str">
        <f>IFERROR(__xludf.DUMMYFUNCTION("""COMPUTED_VALUE"""),"NA FRENTE DO CONDOMÍNIO RESIDENCIAL JACARECICA")</f>
        <v>NA FRENTE DO CONDOMÍNIO RESIDENCIAL JACARECICA</v>
      </c>
      <c r="P77" s="5" t="str">
        <f>IFERROR(__xludf.DUMMYFUNCTION("""COMPUTED_VALUE"""),"PRIORIDADE ALTA")</f>
        <v>PRIORIDADE ALTA</v>
      </c>
      <c r="Q77" s="5" t="str">
        <f>IFERROR(__xludf.DUMMYFUNCTION("""COMPUTED_VALUE"""),"REPAROS NA ESTRUTURA DA COBERTA E PINTURA")</f>
        <v>REPAROS NA ESTRUTURA DA COBERTA E PINTURA</v>
      </c>
      <c r="R77" s="5" t="str">
        <f>IFERROR(__xludf.DUMMYFUNCTION("""COMPUTED_VALUE"""),"NENHUMA DAS OPÇÕES")</f>
        <v>NENHUMA DAS OPÇÕES</v>
      </c>
      <c r="S77" s="7">
        <f>IFERROR(__xludf.DUMMYFUNCTION("""COMPUTED_VALUE"""),44566.0)</f>
        <v>44566</v>
      </c>
      <c r="T77" s="5"/>
      <c r="U77" s="7">
        <f>IFERROR(__xludf.DUMMYFUNCTION("""COMPUTED_VALUE"""),44566.0)</f>
        <v>44566</v>
      </c>
      <c r="V77" s="9" t="str">
        <f>IFERROR(__xludf.DUMMYFUNCTION("""COMPUTED_VALUE"""),"https://drive.google.com/uc?id=10Omi5Qq0xmQLGGR0-C0H7ZVTA2qW6gfO ")</f>
        <v>https://drive.google.com/uc?id=10Omi5Qq0xmQLGGR0-C0H7ZVTA2qW6gfO </v>
      </c>
      <c r="W77" s="5" t="str">
        <f>IFERROR(__xludf.DUMMYFUNCTION("""COMPUTED_VALUE"""),"JUNTOS")</f>
        <v>JUNTOS</v>
      </c>
      <c r="X77" s="5" t="str">
        <f>IFERROR(__xludf.DUMMYFUNCTION("""COMPUTED_VALUE"""),"NÃO")</f>
        <v>NÃO</v>
      </c>
    </row>
    <row r="78">
      <c r="A78" s="5">
        <f>IFERROR(__xludf.DUMMYFUNCTION("""COMPUTED_VALUE"""),8.0)</f>
        <v>8</v>
      </c>
      <c r="B78" s="5" t="str">
        <f>IFERROR(__xludf.DUMMYFUNCTION("""COMPUTED_VALUE"""),"JA006")</f>
        <v>JA006</v>
      </c>
      <c r="C78" s="5" t="str">
        <f>IFERROR(__xludf.DUMMYFUNCTION("""COMPUTED_VALUE"""),"ABRIGO MADEIRA PERSONALIZADO")</f>
        <v>ABRIGO MADEIRA PERSONALIZADO</v>
      </c>
      <c r="D78" s="5" t="str">
        <f>IFERROR(__xludf.DUMMYFUNCTION("""COMPUTED_VALUE"""),"FIXADA EM POSTE")</f>
        <v>FIXADA EM POSTE</v>
      </c>
      <c r="E78" s="5" t="str">
        <f>IFERROR(__xludf.DUMMYFUNCTION("""COMPUTED_VALUE"""),"SEM BAIA")</f>
        <v>SEM BAIA</v>
      </c>
      <c r="F78" s="5" t="str">
        <f>IFERROR(__xludf.DUMMYFUNCTION("""COMPUTED_VALUE"""),"SIM")</f>
        <v>SIM</v>
      </c>
      <c r="G78" s="5" t="str">
        <f>IFERROR(__xludf.DUMMYFUNCTION("""COMPUTED_VALUE"""),"SIM")</f>
        <v>SIM</v>
      </c>
      <c r="H78" s="5" t="str">
        <f>IFERROR(__xludf.DUMMYFUNCTION("""COMPUTED_VALUE"""),"PAVIMENTADA")</f>
        <v>PAVIMENTADA</v>
      </c>
      <c r="I78" s="6" t="str">
        <f>IFERROR(__xludf.DUMMYFUNCTION("""COMPUTED_VALUE"""),"-9.614099")</f>
        <v>-9.614099</v>
      </c>
      <c r="J78" s="6" t="str">
        <f>IFERROR(__xludf.DUMMYFUNCTION("""COMPUTED_VALUE"""),"-35.689301")</f>
        <v>-35.689301</v>
      </c>
      <c r="K78" s="5" t="str">
        <f>IFERROR(__xludf.DUMMYFUNCTION("""COMPUTED_VALUE"""),"AV. MAJ. ISIDÓRO JERÔNIMO DA ROCHA, S/N")</f>
        <v>AV. MAJ. ISIDÓRO JERÔNIMO DA ROCHA, S/N</v>
      </c>
      <c r="L78" s="5" t="str">
        <f>IFERROR(__xludf.DUMMYFUNCTION("""COMPUTED_VALUE"""),"COLETORA")</f>
        <v>COLETORA</v>
      </c>
      <c r="M78" s="5" t="str">
        <f>IFERROR(__xludf.DUMMYFUNCTION("""COMPUTED_VALUE"""),"JACARECICA")</f>
        <v>JACARECICA</v>
      </c>
      <c r="N78" s="5" t="str">
        <f>IFERROR(__xludf.DUMMYFUNCTION("""COMPUTED_VALUE"""),"BAIRRO - CENTRO")</f>
        <v>BAIRRO - CENTRO</v>
      </c>
      <c r="O78" s="5" t="str">
        <f>IFERROR(__xludf.DUMMYFUNCTION("""COMPUTED_VALUE"""),"NA FRENTE DOS PRÉDIOS ANTIGOS DA JACARECICA")</f>
        <v>NA FRENTE DOS PRÉDIOS ANTIGOS DA JACARECICA</v>
      </c>
      <c r="P78" s="5" t="str">
        <f>IFERROR(__xludf.DUMMYFUNCTION("""COMPUTED_VALUE"""),"URGENTE")</f>
        <v>URGENTE</v>
      </c>
      <c r="Q78" s="5" t="str">
        <f>IFERROR(__xludf.DUMMYFUNCTION("""COMPUTED_VALUE"""),"SUBSTITUIÇÃO DO ABRIGO")</f>
        <v>SUBSTITUIÇÃO DO ABRIGO</v>
      </c>
      <c r="R78" s="5" t="str">
        <f>IFERROR(__xludf.DUMMYFUNCTION("""COMPUTED_VALUE"""),"NENHUMA DAS OPÇÕES")</f>
        <v>NENHUMA DAS OPÇÕES</v>
      </c>
      <c r="S78" s="7">
        <f>IFERROR(__xludf.DUMMYFUNCTION("""COMPUTED_VALUE"""),44567.0)</f>
        <v>44567</v>
      </c>
      <c r="T78" s="5"/>
      <c r="U78" s="7">
        <f>IFERROR(__xludf.DUMMYFUNCTION("""COMPUTED_VALUE"""),44567.0)</f>
        <v>44567</v>
      </c>
      <c r="V78" s="9" t="str">
        <f>IFERROR(__xludf.DUMMYFUNCTION("""COMPUTED_VALUE"""),"https://drive.google.com/uc?id=1EHuM_n7vOPm49ROb3p5qyr_y4h9KUvgn ")</f>
        <v>https://drive.google.com/uc?id=1EHuM_n7vOPm49ROb3p5qyr_y4h9KUvgn </v>
      </c>
      <c r="W78" s="5" t="str">
        <f>IFERROR(__xludf.DUMMYFUNCTION("""COMPUTED_VALUE"""),"NÃO")</f>
        <v>NÃO</v>
      </c>
      <c r="X78" s="5" t="str">
        <f>IFERROR(__xludf.DUMMYFUNCTION("""COMPUTED_VALUE"""),"NÃO")</f>
        <v>NÃO</v>
      </c>
    </row>
    <row r="79" hidden="1">
      <c r="A79" s="5">
        <f>IFERROR(__xludf.DUMMYFUNCTION("""COMPUTED_VALUE"""),8.0)</f>
        <v>8</v>
      </c>
      <c r="B79" s="5" t="str">
        <f>IFERROR(__xludf.DUMMYFUNCTION("""COMPUTED_VALUE"""),"JA007")</f>
        <v>JA007</v>
      </c>
      <c r="C79" s="5" t="str">
        <f>IFERROR(__xludf.DUMMYFUNCTION("""COMPUTED_VALUE"""),"NÃO POSSUI")</f>
        <v>NÃO POSSUI</v>
      </c>
      <c r="D79" s="5" t="str">
        <f>IFERROR(__xludf.DUMMYFUNCTION("""COMPUTED_VALUE"""),"SEM PLACA")</f>
        <v>SEM PLACA</v>
      </c>
      <c r="E79" s="5" t="str">
        <f>IFERROR(__xludf.DUMMYFUNCTION("""COMPUTED_VALUE"""),"SEM BAIA")</f>
        <v>SEM BAIA</v>
      </c>
      <c r="F79" s="5" t="str">
        <f>IFERROR(__xludf.DUMMYFUNCTION("""COMPUTED_VALUE"""),"NÃO")</f>
        <v>NÃO</v>
      </c>
      <c r="G79" s="5" t="str">
        <f>IFERROR(__xludf.DUMMYFUNCTION("""COMPUTED_VALUE"""),"NÃO")</f>
        <v>NÃO</v>
      </c>
      <c r="H79" s="5" t="str">
        <f>IFERROR(__xludf.DUMMYFUNCTION("""COMPUTED_VALUE"""),"PAVIMENTADA")</f>
        <v>PAVIMENTADA</v>
      </c>
      <c r="I79" s="6" t="str">
        <f>IFERROR(__xludf.DUMMYFUNCTION("""COMPUTED_VALUE"""),"-9.612753")</f>
        <v>-9.612753</v>
      </c>
      <c r="J79" s="6" t="str">
        <f>IFERROR(__xludf.DUMMYFUNCTION("""COMPUTED_VALUE"""),"-35.689265")</f>
        <v>-35.689265</v>
      </c>
      <c r="K79" s="5" t="str">
        <f>IFERROR(__xludf.DUMMYFUNCTION("""COMPUTED_VALUE"""),"AV. PIERRE CHALITA, 80")</f>
        <v>AV. PIERRE CHALITA, 80</v>
      </c>
      <c r="L79" s="5" t="str">
        <f>IFERROR(__xludf.DUMMYFUNCTION("""COMPUTED_VALUE"""),"ARTERIAL ")</f>
        <v>ARTERIAL </v>
      </c>
      <c r="M79" s="5" t="str">
        <f>IFERROR(__xludf.DUMMYFUNCTION("""COMPUTED_VALUE"""),"JACARECICA")</f>
        <v>JACARECICA</v>
      </c>
      <c r="N79" s="5" t="str">
        <f>IFERROR(__xludf.DUMMYFUNCTION("""COMPUTED_VALUE"""),"CENTRO - BAIRRO")</f>
        <v>CENTRO - BAIRRO</v>
      </c>
      <c r="O79" s="5" t="str">
        <f>IFERROR(__xludf.DUMMYFUNCTION("""COMPUTED_VALUE"""),"NA FRENTE DO PET SHOP REI DO TRATO")</f>
        <v>NA FRENTE DO PET SHOP REI DO TRATO</v>
      </c>
      <c r="P79" s="5" t="str">
        <f>IFERROR(__xludf.DUMMYFUNCTION("""COMPUTED_VALUE"""),"PRIORIDADE ALTA")</f>
        <v>PRIORIDADE ALTA</v>
      </c>
      <c r="Q79" s="5" t="str">
        <f>IFERROR(__xludf.DUMMYFUNCTION("""COMPUTED_VALUE"""),"IMPLANTAR PLACA FIXADA EM POSTE, PINTURA DA BAIA NO ASFALTO, ADEQUAÇÃO DA CALÇADA (RAMPA E PISO TÁTIL)")</f>
        <v>IMPLANTAR PLACA FIXADA EM POSTE, PINTURA DA BAIA NO ASFALTO, ADEQUAÇÃO DA CALÇADA (RAMPA E PISO TÁTIL)</v>
      </c>
      <c r="R79" s="5" t="str">
        <f>IFERROR(__xludf.DUMMYFUNCTION("""COMPUTED_VALUE"""),"NENHUMA DAS OPÇÕES")</f>
        <v>NENHUMA DAS OPÇÕES</v>
      </c>
      <c r="S79" s="7">
        <f>IFERROR(__xludf.DUMMYFUNCTION("""COMPUTED_VALUE"""),44568.0)</f>
        <v>44568</v>
      </c>
      <c r="T79" s="5"/>
      <c r="U79" s="7">
        <f>IFERROR(__xludf.DUMMYFUNCTION("""COMPUTED_VALUE"""),44568.0)</f>
        <v>44568</v>
      </c>
      <c r="V79" s="9" t="str">
        <f>IFERROR(__xludf.DUMMYFUNCTION("""COMPUTED_VALUE"""),"https://drive.google.com/uc?id=1XvnN6LQ1c2APIPX4xuBWzohBcdY8wJA1")</f>
        <v>https://drive.google.com/uc?id=1XvnN6LQ1c2APIPX4xuBWzohBcdY8wJA1</v>
      </c>
      <c r="W79" s="5" t="str">
        <f>IFERROR(__xludf.DUMMYFUNCTION("""COMPUTED_VALUE"""),"NÃO")</f>
        <v>NÃO</v>
      </c>
      <c r="X79" s="5" t="str">
        <f>IFERROR(__xludf.DUMMYFUNCTION("""COMPUTED_VALUE"""),"NÃO SE APLICA")</f>
        <v>NÃO SE APLICA</v>
      </c>
    </row>
    <row r="80" hidden="1">
      <c r="A80" s="5">
        <f>IFERROR(__xludf.DUMMYFUNCTION("""COMPUTED_VALUE"""),8.0)</f>
        <v>8</v>
      </c>
      <c r="B80" s="5" t="str">
        <f>IFERROR(__xludf.DUMMYFUNCTION("""COMPUTED_VALUE"""),"JA008")</f>
        <v>JA008</v>
      </c>
      <c r="C80" s="5" t="str">
        <f>IFERROR(__xludf.DUMMYFUNCTION("""COMPUTED_VALUE"""),"NÃO POSSUI")</f>
        <v>NÃO POSSUI</v>
      </c>
      <c r="D80" s="5" t="str">
        <f>IFERROR(__xludf.DUMMYFUNCTION("""COMPUTED_VALUE"""),"COM SUPORTE")</f>
        <v>COM SUPORTE</v>
      </c>
      <c r="E80" s="5" t="str">
        <f>IFERROR(__xludf.DUMMYFUNCTION("""COMPUTED_VALUE"""),"SEM BAIA")</f>
        <v>SEM BAIA</v>
      </c>
      <c r="F80" s="5" t="str">
        <f>IFERROR(__xludf.DUMMYFUNCTION("""COMPUTED_VALUE"""),"SIM")</f>
        <v>SIM</v>
      </c>
      <c r="G80" s="5" t="str">
        <f>IFERROR(__xludf.DUMMYFUNCTION("""COMPUTED_VALUE"""),"SIM")</f>
        <v>SIM</v>
      </c>
      <c r="H80" s="5" t="str">
        <f>IFERROR(__xludf.DUMMYFUNCTION("""COMPUTED_VALUE"""),"PAVIMENTADA")</f>
        <v>PAVIMENTADA</v>
      </c>
      <c r="I80" s="6" t="str">
        <f>IFERROR(__xludf.DUMMYFUNCTION("""COMPUTED_VALUE"""),"-9.612294")</f>
        <v>-9.612294</v>
      </c>
      <c r="J80" s="6" t="str">
        <f>IFERROR(__xludf.DUMMYFUNCTION("""COMPUTED_VALUE"""),"-35.688330")</f>
        <v>-35.688330</v>
      </c>
      <c r="K80" s="5" t="str">
        <f>IFERROR(__xludf.DUMMYFUNCTION("""COMPUTED_VALUE"""),"AV. MAJ. ISIDÓRO JERÔNIMO DA ROCHA, S/N")</f>
        <v>AV. MAJ. ISIDÓRO JERÔNIMO DA ROCHA, S/N</v>
      </c>
      <c r="L80" s="5" t="str">
        <f>IFERROR(__xludf.DUMMYFUNCTION("""COMPUTED_VALUE"""),"COLETORA")</f>
        <v>COLETORA</v>
      </c>
      <c r="M80" s="5" t="str">
        <f>IFERROR(__xludf.DUMMYFUNCTION("""COMPUTED_VALUE"""),"JACARECICA")</f>
        <v>JACARECICA</v>
      </c>
      <c r="N80" s="5" t="str">
        <f>IFERROR(__xludf.DUMMYFUNCTION("""COMPUTED_VALUE"""),"BAIRRO - CENTRO")</f>
        <v>BAIRRO - CENTRO</v>
      </c>
      <c r="O80" s="5" t="str">
        <f>IFERROR(__xludf.DUMMYFUNCTION("""COMPUTED_VALUE"""),"NA FRENTE AO MOTEL CEQSABE")</f>
        <v>NA FRENTE AO MOTEL CEQSABE</v>
      </c>
      <c r="P80" s="5" t="str">
        <f>IFERROR(__xludf.DUMMYFUNCTION("""COMPUTED_VALUE"""),"PRIORIDADE MÉDIA")</f>
        <v>PRIORIDADE MÉDIA</v>
      </c>
      <c r="Q80" s="5" t="str">
        <f>IFERROR(__xludf.DUMMYFUNCTION("""COMPUTED_VALUE"""),"IMPLANTAR PLACA FIXADA EM POSTE, PINTURA DA BAIA NO ASFALTO, ADEQUAÇÃO DA CALÇADA")</f>
        <v>IMPLANTAR PLACA FIXADA EM POSTE, PINTURA DA BAIA NO ASFALTO, ADEQUAÇÃO DA CALÇADA</v>
      </c>
      <c r="R80" s="5" t="str">
        <f>IFERROR(__xludf.DUMMYFUNCTION("""COMPUTED_VALUE"""),"IMPLANTAR ABRIGO")</f>
        <v>IMPLANTAR ABRIGO</v>
      </c>
      <c r="S80" s="7">
        <f>IFERROR(__xludf.DUMMYFUNCTION("""COMPUTED_VALUE"""),44569.0)</f>
        <v>44569</v>
      </c>
      <c r="T80" s="5" t="str">
        <f>IFERROR(__xludf.DUMMYFUNCTION("""COMPUTED_VALUE"""),"REALIZADO")</f>
        <v>REALIZADO</v>
      </c>
      <c r="U80" s="7">
        <f>IFERROR(__xludf.DUMMYFUNCTION("""COMPUTED_VALUE"""),44869.0)</f>
        <v>44869</v>
      </c>
      <c r="V80" s="9" t="str">
        <f>IFERROR(__xludf.DUMMYFUNCTION("""COMPUTED_VALUE"""),"https://drive.google.com/uc?id=1_KQMRmFW87Lh-Bg4VJ8fBGXQF_g9x8Bs")</f>
        <v>https://drive.google.com/uc?id=1_KQMRmFW87Lh-Bg4VJ8fBGXQF_g9x8Bs</v>
      </c>
      <c r="W80" s="5" t="str">
        <f>IFERROR(__xludf.DUMMYFUNCTION("""COMPUTED_VALUE"""),"NÃO")</f>
        <v>NÃO</v>
      </c>
      <c r="X80" s="5" t="str">
        <f>IFERROR(__xludf.DUMMYFUNCTION("""COMPUTED_VALUE"""),"NÃO")</f>
        <v>NÃO</v>
      </c>
    </row>
    <row r="81">
      <c r="A81" s="5">
        <f>IFERROR(__xludf.DUMMYFUNCTION("""COMPUTED_VALUE"""),8.0)</f>
        <v>8</v>
      </c>
      <c r="B81" s="5" t="str">
        <f>IFERROR(__xludf.DUMMYFUNCTION("""COMPUTED_VALUE"""),"JA009")</f>
        <v>JA009</v>
      </c>
      <c r="C81" s="5" t="str">
        <f>IFERROR(__xludf.DUMMYFUNCTION("""COMPUTED_VALUE"""),"ABRIGO CONCRETO")</f>
        <v>ABRIGO CONCRETO</v>
      </c>
      <c r="D81" s="5" t="str">
        <f>IFERROR(__xludf.DUMMYFUNCTION("""COMPUTED_VALUE"""),"SEM PLACA")</f>
        <v>SEM PLACA</v>
      </c>
      <c r="E81" s="5" t="str">
        <f>IFERROR(__xludf.DUMMYFUNCTION("""COMPUTED_VALUE"""),"SEM BAIA")</f>
        <v>SEM BAIA</v>
      </c>
      <c r="F81" s="5" t="str">
        <f>IFERROR(__xludf.DUMMYFUNCTION("""COMPUTED_VALUE"""),"SIM")</f>
        <v>SIM</v>
      </c>
      <c r="G81" s="5" t="str">
        <f>IFERROR(__xludf.DUMMYFUNCTION("""COMPUTED_VALUE"""),"SIM")</f>
        <v>SIM</v>
      </c>
      <c r="H81" s="5" t="str">
        <f>IFERROR(__xludf.DUMMYFUNCTION("""COMPUTED_VALUE"""),"PAVIMENTADA")</f>
        <v>PAVIMENTADA</v>
      </c>
      <c r="I81" s="6" t="str">
        <f>IFERROR(__xludf.DUMMYFUNCTION("""COMPUTED_VALUE"""),"-9.611276")</f>
        <v>-9.611276</v>
      </c>
      <c r="J81" s="6" t="str">
        <f>IFERROR(__xludf.DUMMYFUNCTION("""COMPUTED_VALUE"""),"-35.687280")</f>
        <v>-35.687280</v>
      </c>
      <c r="K81" s="5" t="str">
        <f>IFERROR(__xludf.DUMMYFUNCTION("""COMPUTED_VALUE"""),"AV. COM. GUSTAVO PAIVA, S/N")</f>
        <v>AV. COM. GUSTAVO PAIVA, S/N</v>
      </c>
      <c r="L81" s="5" t="str">
        <f>IFERROR(__xludf.DUMMYFUNCTION("""COMPUTED_VALUE"""),"ARTERIAL ")</f>
        <v>ARTERIAL </v>
      </c>
      <c r="M81" s="5" t="str">
        <f>IFERROR(__xludf.DUMMYFUNCTION("""COMPUTED_VALUE"""),"JACARECICA")</f>
        <v>JACARECICA</v>
      </c>
      <c r="N81" s="5" t="str">
        <f>IFERROR(__xludf.DUMMYFUNCTION("""COMPUTED_VALUE"""),"BAIRRO - CENTRO")</f>
        <v>BAIRRO - CENTRO</v>
      </c>
      <c r="O81" s="5" t="str">
        <f>IFERROR(__xludf.DUMMYFUNCTION("""COMPUTED_VALUE"""),"PRÓXIMO AO VIADUTO")</f>
        <v>PRÓXIMO AO VIADUTO</v>
      </c>
      <c r="P81" s="5" t="str">
        <f>IFERROR(__xludf.DUMMYFUNCTION("""COMPUTED_VALUE"""),"PRIORIDADE ALTA")</f>
        <v>PRIORIDADE ALTA</v>
      </c>
      <c r="Q81" s="5" t="str">
        <f>IFERROR(__xludf.DUMMYFUNCTION("""COMPUTED_VALUE"""),"PINTURA DA BAIA NO ASFALTO")</f>
        <v>PINTURA DA BAIA NO ASFALTO</v>
      </c>
      <c r="R81" s="5" t="str">
        <f>IFERROR(__xludf.DUMMYFUNCTION("""COMPUTED_VALUE"""),"SUBSTITUIR ABRIGO")</f>
        <v>SUBSTITUIR ABRIGO</v>
      </c>
      <c r="S81" s="7">
        <f>IFERROR(__xludf.DUMMYFUNCTION("""COMPUTED_VALUE"""),44570.0)</f>
        <v>44570</v>
      </c>
      <c r="T81" s="5"/>
      <c r="U81" s="7">
        <f>IFERROR(__xludf.DUMMYFUNCTION("""COMPUTED_VALUE"""),44570.0)</f>
        <v>44570</v>
      </c>
      <c r="V81" s="9" t="str">
        <f>IFERROR(__xludf.DUMMYFUNCTION("""COMPUTED_VALUE"""),"https://drive.google.com/uc?id=1DbXSq9nGVuu5MUChAlpQF-6ExsYtzY3_ ")</f>
        <v>https://drive.google.com/uc?id=1DbXSq9nGVuu5MUChAlpQF-6ExsYtzY3_ </v>
      </c>
      <c r="W81" s="5" t="str">
        <f>IFERROR(__xludf.DUMMYFUNCTION("""COMPUTED_VALUE"""),"NÃO")</f>
        <v>NÃO</v>
      </c>
      <c r="X81" s="5" t="str">
        <f>IFERROR(__xludf.DUMMYFUNCTION("""COMPUTED_VALUE"""),"NÃO SE APLICA")</f>
        <v>NÃO SE APLICA</v>
      </c>
    </row>
    <row r="82" hidden="1">
      <c r="A82" s="5">
        <f>IFERROR(__xludf.DUMMYFUNCTION("""COMPUTED_VALUE"""),8.0)</f>
        <v>8</v>
      </c>
      <c r="B82" s="5" t="str">
        <f>IFERROR(__xludf.DUMMYFUNCTION("""COMPUTED_VALUE"""),"JA010")</f>
        <v>JA010</v>
      </c>
      <c r="C82" s="5" t="str">
        <f>IFERROR(__xludf.DUMMYFUNCTION("""COMPUTED_VALUE"""),"NÃO POSSUI")</f>
        <v>NÃO POSSUI</v>
      </c>
      <c r="D82" s="5" t="str">
        <f>IFERROR(__xludf.DUMMYFUNCTION("""COMPUTED_VALUE"""),"COM SUPORTE")</f>
        <v>COM SUPORTE</v>
      </c>
      <c r="E82" s="5" t="str">
        <f>IFERROR(__xludf.DUMMYFUNCTION("""COMPUTED_VALUE"""),"SEM BAIA")</f>
        <v>SEM BAIA</v>
      </c>
      <c r="F82" s="5" t="str">
        <f>IFERROR(__xludf.DUMMYFUNCTION("""COMPUTED_VALUE"""),"NÃO")</f>
        <v>NÃO</v>
      </c>
      <c r="G82" s="5" t="str">
        <f>IFERROR(__xludf.DUMMYFUNCTION("""COMPUTED_VALUE"""),"NÃO")</f>
        <v>NÃO</v>
      </c>
      <c r="H82" s="5" t="str">
        <f>IFERROR(__xludf.DUMMYFUNCTION("""COMPUTED_VALUE"""),"PAVIMENTADA")</f>
        <v>PAVIMENTADA</v>
      </c>
      <c r="I82" s="6" t="str">
        <f>IFERROR(__xludf.DUMMYFUNCTION("""COMPUTED_VALUE"""),"-9.611036")</f>
        <v>-9.611036</v>
      </c>
      <c r="J82" s="6" t="str">
        <f>IFERROR(__xludf.DUMMYFUNCTION("""COMPUTED_VALUE"""),"-35.686834")</f>
        <v>-35.686834</v>
      </c>
      <c r="K82" s="5" t="str">
        <f>IFERROR(__xludf.DUMMYFUNCTION("""COMPUTED_VALUE"""),"AV. COM. GUSTAVO PAIVA, S/N")</f>
        <v>AV. COM. GUSTAVO PAIVA, S/N</v>
      </c>
      <c r="L82" s="5" t="str">
        <f>IFERROR(__xludf.DUMMYFUNCTION("""COMPUTED_VALUE"""),"ARTERIAL ")</f>
        <v>ARTERIAL </v>
      </c>
      <c r="M82" s="5" t="str">
        <f>IFERROR(__xludf.DUMMYFUNCTION("""COMPUTED_VALUE"""),"JACARECICA")</f>
        <v>JACARECICA</v>
      </c>
      <c r="N82" s="5" t="str">
        <f>IFERROR(__xludf.DUMMYFUNCTION("""COMPUTED_VALUE"""),"CENTRO - BAIRRO")</f>
        <v>CENTRO - BAIRRO</v>
      </c>
      <c r="O82" s="5" t="str">
        <f>IFERROR(__xludf.DUMMYFUNCTION("""COMPUTED_VALUE"""),"DEPOIS DO VIADUTO NO SENTIDO DA LINHA")</f>
        <v>DEPOIS DO VIADUTO NO SENTIDO DA LINHA</v>
      </c>
      <c r="P82" s="5" t="str">
        <f>IFERROR(__xludf.DUMMYFUNCTION("""COMPUTED_VALUE"""),"PRIORIDADE ALTA")</f>
        <v>PRIORIDADE ALTA</v>
      </c>
      <c r="Q82" s="5" t="str">
        <f>IFERROR(__xludf.DUMMYFUNCTION("""COMPUTED_VALUE"""),"REALOCAÇÃO DA PLACA, PINTURA DA BAIA NO ASFALTO, PAVIMENTAÇÃO E ADEQUAÇÃO DA CALÇADA (RAMPA DE ACESSIBILIDADE E PISO TÁTIL)")</f>
        <v>REALOCAÇÃO DA PLACA, PINTURA DA BAIA NO ASFALTO, PAVIMENTAÇÃO E ADEQUAÇÃO DA CALÇADA (RAMPA DE ACESSIBILIDADE E PISO TÁTIL)</v>
      </c>
      <c r="R82" s="5" t="str">
        <f>IFERROR(__xludf.DUMMYFUNCTION("""COMPUTED_VALUE"""),"NENHUMA DAS OPÇÕES")</f>
        <v>NENHUMA DAS OPÇÕES</v>
      </c>
      <c r="S82" s="7">
        <f>IFERROR(__xludf.DUMMYFUNCTION("""COMPUTED_VALUE"""),44571.0)</f>
        <v>44571</v>
      </c>
      <c r="T82" s="5"/>
      <c r="U82" s="7">
        <f>IFERROR(__xludf.DUMMYFUNCTION("""COMPUTED_VALUE"""),44571.0)</f>
        <v>44571</v>
      </c>
      <c r="V82" s="5" t="str">
        <f>IFERROR(__xludf.DUMMYFUNCTION("""COMPUTED_VALUE"""),"Atualizar foto")</f>
        <v>Atualizar foto</v>
      </c>
      <c r="W82" s="5" t="str">
        <f>IFERROR(__xludf.DUMMYFUNCTION("""COMPUTED_VALUE"""),"NÃO")</f>
        <v>NÃO</v>
      </c>
      <c r="X82" s="5" t="str">
        <f>IFERROR(__xludf.DUMMYFUNCTION("""COMPUTED_VALUE"""),"NÃO SE APLICA")</f>
        <v>NÃO SE APLICA</v>
      </c>
    </row>
    <row r="83" hidden="1">
      <c r="A83" s="5">
        <f>IFERROR(__xludf.DUMMYFUNCTION("""COMPUTED_VALUE"""),8.0)</f>
        <v>8</v>
      </c>
      <c r="B83" s="5" t="str">
        <f>IFERROR(__xludf.DUMMYFUNCTION("""COMPUTED_VALUE"""),"JA011")</f>
        <v>JA011</v>
      </c>
      <c r="C83" s="5" t="str">
        <f>IFERROR(__xludf.DUMMYFUNCTION("""COMPUTED_VALUE"""),"NÃO POSSUI")</f>
        <v>NÃO POSSUI</v>
      </c>
      <c r="D83" s="5" t="str">
        <f>IFERROR(__xludf.DUMMYFUNCTION("""COMPUTED_VALUE"""),"SEM PLACA")</f>
        <v>SEM PLACA</v>
      </c>
      <c r="E83" s="5" t="str">
        <f>IFERROR(__xludf.DUMMYFUNCTION("""COMPUTED_VALUE"""),"BAIA CONSTRUÍDA")</f>
        <v>BAIA CONSTRUÍDA</v>
      </c>
      <c r="F83" s="5" t="str">
        <f>IFERROR(__xludf.DUMMYFUNCTION("""COMPUTED_VALUE"""),"SIM")</f>
        <v>SIM</v>
      </c>
      <c r="G83" s="5" t="str">
        <f>IFERROR(__xludf.DUMMYFUNCTION("""COMPUTED_VALUE"""),"NÃO")</f>
        <v>NÃO</v>
      </c>
      <c r="H83" s="5" t="str">
        <f>IFERROR(__xludf.DUMMYFUNCTION("""COMPUTED_VALUE"""),"PAVIMENTADA")</f>
        <v>PAVIMENTADA</v>
      </c>
      <c r="I83" s="6" t="str">
        <f>IFERROR(__xludf.DUMMYFUNCTION("""COMPUTED_VALUE"""),"-9.607800")</f>
        <v>-9.607800</v>
      </c>
      <c r="J83" s="6" t="str">
        <f>IFERROR(__xludf.DUMMYFUNCTION("""COMPUTED_VALUE"""),"-35.683734")</f>
        <v>-35.683734</v>
      </c>
      <c r="K83" s="5" t="str">
        <f>IFERROR(__xludf.DUMMYFUNCTION("""COMPUTED_VALUE"""),"RODOVIA AL-101 NORTE, 701")</f>
        <v>RODOVIA AL-101 NORTE, 701</v>
      </c>
      <c r="L83" s="5" t="str">
        <f>IFERROR(__xludf.DUMMYFUNCTION("""COMPUTED_VALUE"""),"RODOVIAS")</f>
        <v>RODOVIAS</v>
      </c>
      <c r="M83" s="5" t="str">
        <f>IFERROR(__xludf.DUMMYFUNCTION("""COMPUTED_VALUE"""),"JACARECICA")</f>
        <v>JACARECICA</v>
      </c>
      <c r="N83" s="5" t="str">
        <f>IFERROR(__xludf.DUMMYFUNCTION("""COMPUTED_VALUE"""),"CENTRO - BAIRRO")</f>
        <v>CENTRO - BAIRRO</v>
      </c>
      <c r="O83" s="5" t="str">
        <f>IFERROR(__xludf.DUMMYFUNCTION("""COMPUTED_VALUE"""),"NA FRENTE DO CONDOMÍNIO HORIZONTE FENIX")</f>
        <v>NA FRENTE DO CONDOMÍNIO HORIZONTE FENIX</v>
      </c>
      <c r="P83" s="5" t="str">
        <f>IFERROR(__xludf.DUMMYFUNCTION("""COMPUTED_VALUE"""),"PRIORIDADE ALTA")</f>
        <v>PRIORIDADE ALTA</v>
      </c>
      <c r="Q83" s="5" t="str">
        <f>IFERROR(__xludf.DUMMYFUNCTION("""COMPUTED_VALUE"""),"IMPLANTAR ABRIGO, IMPLANTAR PLACA FIXADA EM POSTE, PINTURA DA SINALIZAÇÃO DA BAIA E ADEQUAÇÃO DA CALÇADA (PISO TÁTIL)")</f>
        <v>IMPLANTAR ABRIGO, IMPLANTAR PLACA FIXADA EM POSTE, PINTURA DA SINALIZAÇÃO DA BAIA E ADEQUAÇÃO DA CALÇADA (PISO TÁTIL)</v>
      </c>
      <c r="R83" s="5" t="str">
        <f>IFERROR(__xludf.DUMMYFUNCTION("""COMPUTED_VALUE"""),"IMPLANTAR ABRIGO")</f>
        <v>IMPLANTAR ABRIGO</v>
      </c>
      <c r="S83" s="7">
        <f>IFERROR(__xludf.DUMMYFUNCTION("""COMPUTED_VALUE"""),44572.0)</f>
        <v>44572</v>
      </c>
      <c r="T83" s="5"/>
      <c r="U83" s="7">
        <f>IFERROR(__xludf.DUMMYFUNCTION("""COMPUTED_VALUE"""),44572.0)</f>
        <v>44572</v>
      </c>
      <c r="V83" s="9" t="str">
        <f>IFERROR(__xludf.DUMMYFUNCTION("""COMPUTED_VALUE"""),"https://drive.google.com/uc?id=1b9WhrV5iCnvPWxZusRREZk4QB3sqiF0N")</f>
        <v>https://drive.google.com/uc?id=1b9WhrV5iCnvPWxZusRREZk4QB3sqiF0N</v>
      </c>
      <c r="W83" s="5" t="str">
        <f>IFERROR(__xludf.DUMMYFUNCTION("""COMPUTED_VALUE"""),"NÃO")</f>
        <v>NÃO</v>
      </c>
      <c r="X83" s="5" t="str">
        <f>IFERROR(__xludf.DUMMYFUNCTION("""COMPUTED_VALUE"""),"NÃO SE APLICA")</f>
        <v>NÃO SE APLICA</v>
      </c>
    </row>
    <row r="84" hidden="1">
      <c r="A84" s="5">
        <f>IFERROR(__xludf.DUMMYFUNCTION("""COMPUTED_VALUE"""),8.0)</f>
        <v>8</v>
      </c>
      <c r="B84" s="5" t="str">
        <f>IFERROR(__xludf.DUMMYFUNCTION("""COMPUTED_VALUE"""),"JA012")</f>
        <v>JA012</v>
      </c>
      <c r="C84" s="5" t="str">
        <f>IFERROR(__xludf.DUMMYFUNCTION("""COMPUTED_VALUE"""),"NÃO POSSUI")</f>
        <v>NÃO POSSUI</v>
      </c>
      <c r="D84" s="5" t="str">
        <f>IFERROR(__xludf.DUMMYFUNCTION("""COMPUTED_VALUE"""),"SEM PLACA")</f>
        <v>SEM PLACA</v>
      </c>
      <c r="E84" s="5" t="str">
        <f>IFERROR(__xludf.DUMMYFUNCTION("""COMPUTED_VALUE"""),"BAIA CONSTRUÍDA")</f>
        <v>BAIA CONSTRUÍDA</v>
      </c>
      <c r="F84" s="5" t="str">
        <f>IFERROR(__xludf.DUMMYFUNCTION("""COMPUTED_VALUE"""),"SIM")</f>
        <v>SIM</v>
      </c>
      <c r="G84" s="5" t="str">
        <f>IFERROR(__xludf.DUMMYFUNCTION("""COMPUTED_VALUE"""),"SIM")</f>
        <v>SIM</v>
      </c>
      <c r="H84" s="5" t="str">
        <f>IFERROR(__xludf.DUMMYFUNCTION("""COMPUTED_VALUE"""),"PAVIMENTADA")</f>
        <v>PAVIMENTADA</v>
      </c>
      <c r="I84" s="6" t="str">
        <f>IFERROR(__xludf.DUMMYFUNCTION("""COMPUTED_VALUE"""),"-9.607287")</f>
        <v>-9.607287</v>
      </c>
      <c r="J84" s="6" t="str">
        <f>IFERROR(__xludf.DUMMYFUNCTION("""COMPUTED_VALUE"""),"-35.683459")</f>
        <v>-35.683459</v>
      </c>
      <c r="K84" s="5" t="str">
        <f>IFERROR(__xludf.DUMMYFUNCTION("""COMPUTED_VALUE"""),"RODOVIA AL-101 NORTE, 701")</f>
        <v>RODOVIA AL-101 NORTE, 701</v>
      </c>
      <c r="L84" s="5" t="str">
        <f>IFERROR(__xludf.DUMMYFUNCTION("""COMPUTED_VALUE"""),"RODOVIAS")</f>
        <v>RODOVIAS</v>
      </c>
      <c r="M84" s="5" t="str">
        <f>IFERROR(__xludf.DUMMYFUNCTION("""COMPUTED_VALUE"""),"JACARECICA")</f>
        <v>JACARECICA</v>
      </c>
      <c r="N84" s="5" t="str">
        <f>IFERROR(__xludf.DUMMYFUNCTION("""COMPUTED_VALUE"""),"BAIRRO - CENTRO")</f>
        <v>BAIRRO - CENTRO</v>
      </c>
      <c r="O84" s="5" t="str">
        <f>IFERROR(__xludf.DUMMYFUNCTION("""COMPUTED_VALUE"""),"NA FRENTE DO CONDOMÍNIO HORIZONTE FENIX")</f>
        <v>NA FRENTE DO CONDOMÍNIO HORIZONTE FENIX</v>
      </c>
      <c r="P84" s="5" t="str">
        <f>IFERROR(__xludf.DUMMYFUNCTION("""COMPUTED_VALUE"""),"PRIORIDADE ALTA")</f>
        <v>PRIORIDADE ALTA</v>
      </c>
      <c r="Q84" s="5" t="str">
        <f>IFERROR(__xludf.DUMMYFUNCTION("""COMPUTED_VALUE"""),"IMPLANTAR ABRIGO, IMPLANTAR PLACA COM SUPORTE, PINTURA DA SINALIZAÇÃO DA BAIA E ADEQUAÇÃO DA CALÇADA (PISO TÁTIL)")</f>
        <v>IMPLANTAR ABRIGO, IMPLANTAR PLACA COM SUPORTE, PINTURA DA SINALIZAÇÃO DA BAIA E ADEQUAÇÃO DA CALÇADA (PISO TÁTIL)</v>
      </c>
      <c r="R84" s="5" t="str">
        <f>IFERROR(__xludf.DUMMYFUNCTION("""COMPUTED_VALUE"""),"IMPLANTAR ABRIGO")</f>
        <v>IMPLANTAR ABRIGO</v>
      </c>
      <c r="S84" s="7">
        <f>IFERROR(__xludf.DUMMYFUNCTION("""COMPUTED_VALUE"""),44573.0)</f>
        <v>44573</v>
      </c>
      <c r="T84" s="5"/>
      <c r="U84" s="7">
        <f>IFERROR(__xludf.DUMMYFUNCTION("""COMPUTED_VALUE"""),44573.0)</f>
        <v>44573</v>
      </c>
      <c r="V84" s="9" t="str">
        <f>IFERROR(__xludf.DUMMYFUNCTION("""COMPUTED_VALUE"""),"https://drive.google.com/uc?id=1f68Tp8DJ2mlN2jOnYMCIZMRV_xZwWrk1")</f>
        <v>https://drive.google.com/uc?id=1f68Tp8DJ2mlN2jOnYMCIZMRV_xZwWrk1</v>
      </c>
      <c r="W84" s="5" t="str">
        <f>IFERROR(__xludf.DUMMYFUNCTION("""COMPUTED_VALUE"""),"NÃO")</f>
        <v>NÃO</v>
      </c>
      <c r="X84" s="5" t="str">
        <f>IFERROR(__xludf.DUMMYFUNCTION("""COMPUTED_VALUE"""),"NÃO SE APLICA")</f>
        <v>NÃO SE APLICA</v>
      </c>
    </row>
    <row r="85" hidden="1">
      <c r="A85" s="5">
        <f>IFERROR(__xludf.DUMMYFUNCTION("""COMPUTED_VALUE"""),8.0)</f>
        <v>8</v>
      </c>
      <c r="B85" s="5" t="str">
        <f>IFERROR(__xludf.DUMMYFUNCTION("""COMPUTED_VALUE"""),"JA013")</f>
        <v>JA013</v>
      </c>
      <c r="C85" s="5" t="str">
        <f>IFERROR(__xludf.DUMMYFUNCTION("""COMPUTED_VALUE"""),"NÃO POSSUI")</f>
        <v>NÃO POSSUI</v>
      </c>
      <c r="D85" s="5" t="str">
        <f>IFERROR(__xludf.DUMMYFUNCTION("""COMPUTED_VALUE"""),"FIXADA EM POSTE")</f>
        <v>FIXADA EM POSTE</v>
      </c>
      <c r="E85" s="5" t="str">
        <f>IFERROR(__xludf.DUMMYFUNCTION("""COMPUTED_VALUE"""),"BAIA CONSTRUÍDA")</f>
        <v>BAIA CONSTRUÍDA</v>
      </c>
      <c r="F85" s="5" t="str">
        <f>IFERROR(__xludf.DUMMYFUNCTION("""COMPUTED_VALUE"""),"SIM")</f>
        <v>SIM</v>
      </c>
      <c r="G85" s="5" t="str">
        <f>IFERROR(__xludf.DUMMYFUNCTION("""COMPUTED_VALUE"""),"SIM")</f>
        <v>SIM</v>
      </c>
      <c r="H85" s="5" t="str">
        <f>IFERROR(__xludf.DUMMYFUNCTION("""COMPUTED_VALUE"""),"PAVIMENTADA")</f>
        <v>PAVIMENTADA</v>
      </c>
      <c r="I85" s="6" t="str">
        <f>IFERROR(__xludf.DUMMYFUNCTION("""COMPUTED_VALUE"""),"-9.605402")</f>
        <v>-9.605402</v>
      </c>
      <c r="J85" s="6" t="str">
        <f>IFERROR(__xludf.DUMMYFUNCTION("""COMPUTED_VALUE"""),"-35.681982")</f>
        <v>-35.681982</v>
      </c>
      <c r="K85" s="5" t="str">
        <f>IFERROR(__xludf.DUMMYFUNCTION("""COMPUTED_VALUE"""),"RODOVIA AL-101 NORTE, S/N")</f>
        <v>RODOVIA AL-101 NORTE, S/N</v>
      </c>
      <c r="L85" s="5" t="str">
        <f>IFERROR(__xludf.DUMMYFUNCTION("""COMPUTED_VALUE"""),"RODOVIAS")</f>
        <v>RODOVIAS</v>
      </c>
      <c r="M85" s="5" t="str">
        <f>IFERROR(__xludf.DUMMYFUNCTION("""COMPUTED_VALUE"""),"JACARECICA")</f>
        <v>JACARECICA</v>
      </c>
      <c r="N85" s="5" t="str">
        <f>IFERROR(__xludf.DUMMYFUNCTION("""COMPUTED_VALUE"""),"CENTRO - BAIRRO")</f>
        <v>CENTRO - BAIRRO</v>
      </c>
      <c r="O85" s="5" t="str">
        <f>IFERROR(__xludf.DUMMYFUNCTION("""COMPUTED_VALUE"""),"EM FRENTE AO CONDOMÍNIO OCEAN VIEW")</f>
        <v>EM FRENTE AO CONDOMÍNIO OCEAN VIEW</v>
      </c>
      <c r="P85" s="5" t="str">
        <f>IFERROR(__xludf.DUMMYFUNCTION("""COMPUTED_VALUE"""),"PRIORIDADE ALTA")</f>
        <v>PRIORIDADE ALTA</v>
      </c>
      <c r="Q85" s="5" t="str">
        <f>IFERROR(__xludf.DUMMYFUNCTION("""COMPUTED_VALUE"""),"REALOCAÇÃO DA PLACA, PINTURA DA SINALIZAÇÃO DA BAIA NO ASFALTO, ADEQUAÇÃO DO CANTEIRO ")</f>
        <v>REALOCAÇÃO DA PLACA, PINTURA DA SINALIZAÇÃO DA BAIA NO ASFALTO, ADEQUAÇÃO DO CANTEIRO </v>
      </c>
      <c r="R85" s="5" t="str">
        <f>IFERROR(__xludf.DUMMYFUNCTION("""COMPUTED_VALUE"""),"IMPLANTAR ABRIGO")</f>
        <v>IMPLANTAR ABRIGO</v>
      </c>
      <c r="S85" s="7">
        <f>IFERROR(__xludf.DUMMYFUNCTION("""COMPUTED_VALUE"""),44574.0)</f>
        <v>44574</v>
      </c>
      <c r="T85" s="5"/>
      <c r="U85" s="7">
        <f>IFERROR(__xludf.DUMMYFUNCTION("""COMPUTED_VALUE"""),44574.0)</f>
        <v>44574</v>
      </c>
      <c r="V85" s="9" t="str">
        <f>IFERROR(__xludf.DUMMYFUNCTION("""COMPUTED_VALUE"""),"https://drive.google.com/uc?id=1xS9RS0o693dD-VJX3ls65aR2-K6BAvBz  ")</f>
        <v>https://drive.google.com/uc?id=1xS9RS0o693dD-VJX3ls65aR2-K6BAvBz  </v>
      </c>
      <c r="W85" s="5" t="str">
        <f>IFERROR(__xludf.DUMMYFUNCTION("""COMPUTED_VALUE"""),"NÃO")</f>
        <v>NÃO</v>
      </c>
      <c r="X85" s="5" t="str">
        <f>IFERROR(__xludf.DUMMYFUNCTION("""COMPUTED_VALUE"""),"NÃO SE APLICA")</f>
        <v>NÃO SE APLICA</v>
      </c>
    </row>
    <row r="86">
      <c r="A86" s="5">
        <f>IFERROR(__xludf.DUMMYFUNCTION("""COMPUTED_VALUE"""),8.0)</f>
        <v>8</v>
      </c>
      <c r="B86" s="5" t="str">
        <f>IFERROR(__xludf.DUMMYFUNCTION("""COMPUTED_VALUE"""),"JA014")</f>
        <v>JA014</v>
      </c>
      <c r="C86" s="5" t="str">
        <f>IFERROR(__xludf.DUMMYFUNCTION("""COMPUTED_VALUE"""),"ABRIGO PERSONALIZADO")</f>
        <v>ABRIGO PERSONALIZADO</v>
      </c>
      <c r="D86" s="5" t="str">
        <f>IFERROR(__xludf.DUMMYFUNCTION("""COMPUTED_VALUE"""),"SEM PLACA")</f>
        <v>SEM PLACA</v>
      </c>
      <c r="E86" s="5" t="str">
        <f>IFERROR(__xludf.DUMMYFUNCTION("""COMPUTED_VALUE"""),"BAIA CONSTRUÍDA")</f>
        <v>BAIA CONSTRUÍDA</v>
      </c>
      <c r="F86" s="5" t="str">
        <f>IFERROR(__xludf.DUMMYFUNCTION("""COMPUTED_VALUE"""),"SIM")</f>
        <v>SIM</v>
      </c>
      <c r="G86" s="5" t="str">
        <f>IFERROR(__xludf.DUMMYFUNCTION("""COMPUTED_VALUE"""),"SIM")</f>
        <v>SIM</v>
      </c>
      <c r="H86" s="5" t="str">
        <f>IFERROR(__xludf.DUMMYFUNCTION("""COMPUTED_VALUE"""),"PAVIMENTADA")</f>
        <v>PAVIMENTADA</v>
      </c>
      <c r="I86" s="6" t="str">
        <f>IFERROR(__xludf.DUMMYFUNCTION("""COMPUTED_VALUE"""),"-9.604564")</f>
        <v>-9.604564</v>
      </c>
      <c r="J86" s="6" t="str">
        <f>IFERROR(__xludf.DUMMYFUNCTION("""COMPUTED_VALUE"""),"-35.681831")</f>
        <v>-35.681831</v>
      </c>
      <c r="K86" s="5" t="str">
        <f>IFERROR(__xludf.DUMMYFUNCTION("""COMPUTED_VALUE"""),"RODOVIA AL-101 NORTE, S/N")</f>
        <v>RODOVIA AL-101 NORTE, S/N</v>
      </c>
      <c r="L86" s="5" t="str">
        <f>IFERROR(__xludf.DUMMYFUNCTION("""COMPUTED_VALUE"""),"RODOVIAS")</f>
        <v>RODOVIAS</v>
      </c>
      <c r="M86" s="5" t="str">
        <f>IFERROR(__xludf.DUMMYFUNCTION("""COMPUTED_VALUE"""),"JACARECICA")</f>
        <v>JACARECICA</v>
      </c>
      <c r="N86" s="5" t="str">
        <f>IFERROR(__xludf.DUMMYFUNCTION("""COMPUTED_VALUE"""),"BAIRRO - CENTRO")</f>
        <v>BAIRRO - CENTRO</v>
      </c>
      <c r="O86" s="5" t="str">
        <f>IFERROR(__xludf.DUMMYFUNCTION("""COMPUTED_VALUE"""),"EM FRENTE AO CONDOMÍNIO OCEAN VIEW")</f>
        <v>EM FRENTE AO CONDOMÍNIO OCEAN VIEW</v>
      </c>
      <c r="P86" s="5" t="str">
        <f>IFERROR(__xludf.DUMMYFUNCTION("""COMPUTED_VALUE"""),"URGENTE")</f>
        <v>URGENTE</v>
      </c>
      <c r="Q86" s="5" t="str">
        <f>IFERROR(__xludf.DUMMYFUNCTION("""COMPUTED_VALUE"""),"SUBSTITUIÇÃO DO ABRIGO")</f>
        <v>SUBSTITUIÇÃO DO ABRIGO</v>
      </c>
      <c r="R86" s="5" t="str">
        <f>IFERROR(__xludf.DUMMYFUNCTION("""COMPUTED_VALUE"""),"SUBSTITUIR ABRIGO")</f>
        <v>SUBSTITUIR ABRIGO</v>
      </c>
      <c r="S86" s="7">
        <f>IFERROR(__xludf.DUMMYFUNCTION("""COMPUTED_VALUE"""),44575.0)</f>
        <v>44575</v>
      </c>
      <c r="T86" s="5"/>
      <c r="U86" s="7">
        <f>IFERROR(__xludf.DUMMYFUNCTION("""COMPUTED_VALUE"""),44575.0)</f>
        <v>44575</v>
      </c>
      <c r="V86" s="9" t="str">
        <f>IFERROR(__xludf.DUMMYFUNCTION("""COMPUTED_VALUE"""),"https://drive.google.com/uc?id=16gEXWRrwgkB-hVr-TGpch-NBs21AhMmf")</f>
        <v>https://drive.google.com/uc?id=16gEXWRrwgkB-hVr-TGpch-NBs21AhMmf</v>
      </c>
      <c r="W86" s="5" t="str">
        <f>IFERROR(__xludf.DUMMYFUNCTION("""COMPUTED_VALUE"""),"NÃO")</f>
        <v>NÃO</v>
      </c>
      <c r="X86" s="5" t="str">
        <f>IFERROR(__xludf.DUMMYFUNCTION("""COMPUTED_VALUE"""),"NÃO SE APLICA")</f>
        <v>NÃO SE APLICA</v>
      </c>
    </row>
    <row r="87" hidden="1">
      <c r="A87" s="5">
        <f>IFERROR(__xludf.DUMMYFUNCTION("""COMPUTED_VALUE"""),8.0)</f>
        <v>8</v>
      </c>
      <c r="B87" s="5" t="str">
        <f>IFERROR(__xludf.DUMMYFUNCTION("""COMPUTED_VALUE"""),"JA015")</f>
        <v>JA015</v>
      </c>
      <c r="C87" s="5" t="str">
        <f>IFERROR(__xludf.DUMMYFUNCTION("""COMPUTED_VALUE"""),"NÃO POSSUI")</f>
        <v>NÃO POSSUI</v>
      </c>
      <c r="D87" s="5" t="str">
        <f>IFERROR(__xludf.DUMMYFUNCTION("""COMPUTED_VALUE"""),"SEM PLACA")</f>
        <v>SEM PLACA</v>
      </c>
      <c r="E87" s="5" t="str">
        <f>IFERROR(__xludf.DUMMYFUNCTION("""COMPUTED_VALUE"""),"BAIA CONSTRUÍDA")</f>
        <v>BAIA CONSTRUÍDA</v>
      </c>
      <c r="F87" s="5" t="str">
        <f>IFERROR(__xludf.DUMMYFUNCTION("""COMPUTED_VALUE"""),"SIM")</f>
        <v>SIM</v>
      </c>
      <c r="G87" s="5" t="str">
        <f>IFERROR(__xludf.DUMMYFUNCTION("""COMPUTED_VALUE"""),"SIM")</f>
        <v>SIM</v>
      </c>
      <c r="H87" s="5" t="str">
        <f>IFERROR(__xludf.DUMMYFUNCTION("""COMPUTED_VALUE"""),"PAVIMENTADA")</f>
        <v>PAVIMENTADA</v>
      </c>
      <c r="I87" s="6" t="str">
        <f>IFERROR(__xludf.DUMMYFUNCTION("""COMPUTED_VALUE"""),"-9.602002")</f>
        <v>-9.602002</v>
      </c>
      <c r="J87" s="6" t="str">
        <f>IFERROR(__xludf.DUMMYFUNCTION("""COMPUTED_VALUE"""),"-35.680044")</f>
        <v>-35.680044</v>
      </c>
      <c r="K87" s="5" t="str">
        <f>IFERROR(__xludf.DUMMYFUNCTION("""COMPUTED_VALUE"""),"RODOVIA AL-101 NORTE, S/N")</f>
        <v>RODOVIA AL-101 NORTE, S/N</v>
      </c>
      <c r="L87" s="5" t="str">
        <f>IFERROR(__xludf.DUMMYFUNCTION("""COMPUTED_VALUE"""),"RODOVIAS")</f>
        <v>RODOVIAS</v>
      </c>
      <c r="M87" s="5" t="str">
        <f>IFERROR(__xludf.DUMMYFUNCTION("""COMPUTED_VALUE"""),"JACARECICA")</f>
        <v>JACARECICA</v>
      </c>
      <c r="N87" s="5" t="str">
        <f>IFERROR(__xludf.DUMMYFUNCTION("""COMPUTED_VALUE"""),"CENTRO - BAIRRO")</f>
        <v>CENTRO - BAIRRO</v>
      </c>
      <c r="O87" s="5" t="str">
        <f>IFERROR(__xludf.DUMMYFUNCTION("""COMPUTED_VALUE"""),"EM FRENTE AO MOTEL OPIUM")</f>
        <v>EM FRENTE AO MOTEL OPIUM</v>
      </c>
      <c r="P87" s="5" t="str">
        <f>IFERROR(__xludf.DUMMYFUNCTION("""COMPUTED_VALUE"""),"PRIORIDADE ALTA")</f>
        <v>PRIORIDADE ALTA</v>
      </c>
      <c r="Q87" s="5" t="str">
        <f>IFERROR(__xludf.DUMMYFUNCTION("""COMPUTED_VALUE"""),"IMPLANTAR ABRIGO, IMPLANTAR PLACA COM SUPORTE, PINTURA DA SINALIZAÇÃO DA BAIA")</f>
        <v>IMPLANTAR ABRIGO, IMPLANTAR PLACA COM SUPORTE, PINTURA DA SINALIZAÇÃO DA BAIA</v>
      </c>
      <c r="R87" s="5" t="str">
        <f>IFERROR(__xludf.DUMMYFUNCTION("""COMPUTED_VALUE"""),"SUBSTITUIR ABRIGO")</f>
        <v>SUBSTITUIR ABRIGO</v>
      </c>
      <c r="S87" s="7">
        <f>IFERROR(__xludf.DUMMYFUNCTION("""COMPUTED_VALUE"""),44576.0)</f>
        <v>44576</v>
      </c>
      <c r="T87" s="5"/>
      <c r="U87" s="7">
        <f>IFERROR(__xludf.DUMMYFUNCTION("""COMPUTED_VALUE"""),44576.0)</f>
        <v>44576</v>
      </c>
      <c r="V87" s="9" t="str">
        <f>IFERROR(__xludf.DUMMYFUNCTION("""COMPUTED_VALUE"""),"https://drive.google.com/uc?id=1EnL_iQ72jAcU0RYyebNbvoUyMQmD4hML")</f>
        <v>https://drive.google.com/uc?id=1EnL_iQ72jAcU0RYyebNbvoUyMQmD4hML</v>
      </c>
      <c r="W87" s="5" t="str">
        <f>IFERROR(__xludf.DUMMYFUNCTION("""COMPUTED_VALUE"""),"NÃO")</f>
        <v>NÃO</v>
      </c>
      <c r="X87" s="5" t="str">
        <f>IFERROR(__xludf.DUMMYFUNCTION("""COMPUTED_VALUE"""),"NÃO SE APLICA")</f>
        <v>NÃO SE APLICA</v>
      </c>
    </row>
    <row r="88" hidden="1">
      <c r="A88" s="5">
        <f>IFERROR(__xludf.DUMMYFUNCTION("""COMPUTED_VALUE"""),8.0)</f>
        <v>8</v>
      </c>
      <c r="B88" s="5" t="str">
        <f>IFERROR(__xludf.DUMMYFUNCTION("""COMPUTED_VALUE"""),"JA016")</f>
        <v>JA016</v>
      </c>
      <c r="C88" s="5" t="str">
        <f>IFERROR(__xludf.DUMMYFUNCTION("""COMPUTED_VALUE"""),"NÃO POSSUI")</f>
        <v>NÃO POSSUI</v>
      </c>
      <c r="D88" s="5" t="str">
        <f>IFERROR(__xludf.DUMMYFUNCTION("""COMPUTED_VALUE"""),"SEM PLACA")</f>
        <v>SEM PLACA</v>
      </c>
      <c r="E88" s="5" t="str">
        <f>IFERROR(__xludf.DUMMYFUNCTION("""COMPUTED_VALUE"""),"BAIA CONSTRUÍDA")</f>
        <v>BAIA CONSTRUÍDA</v>
      </c>
      <c r="F88" s="5" t="str">
        <f>IFERROR(__xludf.DUMMYFUNCTION("""COMPUTED_VALUE"""),"SIM")</f>
        <v>SIM</v>
      </c>
      <c r="G88" s="5" t="str">
        <f>IFERROR(__xludf.DUMMYFUNCTION("""COMPUTED_VALUE"""),"SIM")</f>
        <v>SIM</v>
      </c>
      <c r="H88" s="5" t="str">
        <f>IFERROR(__xludf.DUMMYFUNCTION("""COMPUTED_VALUE"""),"PAVIMENTADA")</f>
        <v>PAVIMENTADA</v>
      </c>
      <c r="I88" s="6" t="str">
        <f>IFERROR(__xludf.DUMMYFUNCTION("""COMPUTED_VALUE"""),"-9.601307")</f>
        <v>-9.601307</v>
      </c>
      <c r="J88" s="6" t="str">
        <f>IFERROR(__xludf.DUMMYFUNCTION("""COMPUTED_VALUE"""),"-35.679921")</f>
        <v>-35.679921</v>
      </c>
      <c r="K88" s="5" t="str">
        <f>IFERROR(__xludf.DUMMYFUNCTION("""COMPUTED_VALUE"""),"RODOVIA AL-101 NORTE, S/N")</f>
        <v>RODOVIA AL-101 NORTE, S/N</v>
      </c>
      <c r="L88" s="5" t="str">
        <f>IFERROR(__xludf.DUMMYFUNCTION("""COMPUTED_VALUE"""),"RODOVIAS")</f>
        <v>RODOVIAS</v>
      </c>
      <c r="M88" s="5" t="str">
        <f>IFERROR(__xludf.DUMMYFUNCTION("""COMPUTED_VALUE"""),"JACARECICA")</f>
        <v>JACARECICA</v>
      </c>
      <c r="N88" s="5" t="str">
        <f>IFERROR(__xludf.DUMMYFUNCTION("""COMPUTED_VALUE"""),"BAIRRO - CENTRO")</f>
        <v>BAIRRO - CENTRO</v>
      </c>
      <c r="O88" s="5" t="str">
        <f>IFERROR(__xludf.DUMMYFUNCTION("""COMPUTED_VALUE"""),"EM FRENTE AO MOTEL OPIUM")</f>
        <v>EM FRENTE AO MOTEL OPIUM</v>
      </c>
      <c r="P88" s="5" t="str">
        <f>IFERROR(__xludf.DUMMYFUNCTION("""COMPUTED_VALUE"""),"PRIORIDADE ALTA")</f>
        <v>PRIORIDADE ALTA</v>
      </c>
      <c r="Q88" s="5" t="str">
        <f>IFERROR(__xludf.DUMMYFUNCTION("""COMPUTED_VALUE"""),"IMPLANTAR ABRIGO, IMPLANTAR PLACA FIXADA EM POSTE, PINTURA DA SINALIZAÇÃO DA BAIA")</f>
        <v>IMPLANTAR ABRIGO, IMPLANTAR PLACA FIXADA EM POSTE, PINTURA DA SINALIZAÇÃO DA BAIA</v>
      </c>
      <c r="R88" s="5" t="str">
        <f>IFERROR(__xludf.DUMMYFUNCTION("""COMPUTED_VALUE"""),"IMPLANTAR ABRIGO")</f>
        <v>IMPLANTAR ABRIGO</v>
      </c>
      <c r="S88" s="7">
        <f>IFERROR(__xludf.DUMMYFUNCTION("""COMPUTED_VALUE"""),44577.0)</f>
        <v>44577</v>
      </c>
      <c r="T88" s="5"/>
      <c r="U88" s="7">
        <f>IFERROR(__xludf.DUMMYFUNCTION("""COMPUTED_VALUE"""),44577.0)</f>
        <v>44577</v>
      </c>
      <c r="V88" s="9" t="str">
        <f>IFERROR(__xludf.DUMMYFUNCTION("""COMPUTED_VALUE"""),"https://drive.google.com/uc?id=1FSSQOLWQLm44ah1oz0z_4xJ0TO7jvsBV")</f>
        <v>https://drive.google.com/uc?id=1FSSQOLWQLm44ah1oz0z_4xJ0TO7jvsBV</v>
      </c>
      <c r="W88" s="5" t="str">
        <f>IFERROR(__xludf.DUMMYFUNCTION("""COMPUTED_VALUE"""),"NÃO")</f>
        <v>NÃO</v>
      </c>
      <c r="X88" s="5" t="str">
        <f>IFERROR(__xludf.DUMMYFUNCTION("""COMPUTED_VALUE"""),"NÃO SE APLICA")</f>
        <v>NÃO SE APLICA</v>
      </c>
    </row>
    <row r="89">
      <c r="A89" s="5">
        <f>IFERROR(__xludf.DUMMYFUNCTION("""COMPUTED_VALUE"""),8.0)</f>
        <v>8</v>
      </c>
      <c r="B89" s="5" t="str">
        <f>IFERROR(__xludf.DUMMYFUNCTION("""COMPUTED_VALUE"""),"JA017")</f>
        <v>JA017</v>
      </c>
      <c r="C89" s="5" t="str">
        <f>IFERROR(__xludf.DUMMYFUNCTION("""COMPUTED_VALUE"""),"ABRIGO METÁLICO PEQUENO PORTE")</f>
        <v>ABRIGO METÁLICO PEQUENO PORTE</v>
      </c>
      <c r="D89" s="5" t="str">
        <f>IFERROR(__xludf.DUMMYFUNCTION("""COMPUTED_VALUE"""),"SEM PLACA")</f>
        <v>SEM PLACA</v>
      </c>
      <c r="E89" s="5" t="str">
        <f>IFERROR(__xludf.DUMMYFUNCTION("""COMPUTED_VALUE"""),"BAIA CONSTRUÍDA")</f>
        <v>BAIA CONSTRUÍDA</v>
      </c>
      <c r="F89" s="5" t="str">
        <f>IFERROR(__xludf.DUMMYFUNCTION("""COMPUTED_VALUE"""),"NÃO")</f>
        <v>NÃO</v>
      </c>
      <c r="G89" s="5" t="str">
        <f>IFERROR(__xludf.DUMMYFUNCTION("""COMPUTED_VALUE"""),"NÃO")</f>
        <v>NÃO</v>
      </c>
      <c r="H89" s="5" t="str">
        <f>IFERROR(__xludf.DUMMYFUNCTION("""COMPUTED_VALUE"""),"PAVIMENTADA")</f>
        <v>PAVIMENTADA</v>
      </c>
      <c r="I89" s="6" t="str">
        <f>IFERROR(__xludf.DUMMYFUNCTION("""COMPUTED_VALUE"""),"-9.625674")</f>
        <v>-9.625674</v>
      </c>
      <c r="J89" s="6" t="str">
        <f>IFERROR(__xludf.DUMMYFUNCTION("""COMPUTED_VALUE"""),"-35.698946")</f>
        <v>-35.698946</v>
      </c>
      <c r="K89" s="5" t="str">
        <f>IFERROR(__xludf.DUMMYFUNCTION("""COMPUTED_VALUE"""),"AV. JOSEPHA DE MELO, S/N")</f>
        <v>AV. JOSEPHA DE MELO, S/N</v>
      </c>
      <c r="L89" s="5" t="str">
        <f>IFERROR(__xludf.DUMMYFUNCTION("""COMPUTED_VALUE"""),"ARTERIAL ")</f>
        <v>ARTERIAL </v>
      </c>
      <c r="M89" s="5" t="str">
        <f>IFERROR(__xludf.DUMMYFUNCTION("""COMPUTED_VALUE"""),"JACARECICA")</f>
        <v>JACARECICA</v>
      </c>
      <c r="N89" s="5" t="str">
        <f>IFERROR(__xludf.DUMMYFUNCTION("""COMPUTED_VALUE"""),"CENTRO - BAIRRO")</f>
        <v>CENTRO - BAIRRO</v>
      </c>
      <c r="O89" s="5" t="str">
        <f>IFERROR(__xludf.DUMMYFUNCTION("""COMPUTED_VALUE"""),"EM FRENTE AO PARQUE SHOPPING")</f>
        <v>EM FRENTE AO PARQUE SHOPPING</v>
      </c>
      <c r="P89" s="5" t="str">
        <f>IFERROR(__xludf.DUMMYFUNCTION("""COMPUTED_VALUE"""),"PRIORIDADE ALTA")</f>
        <v>PRIORIDADE ALTA</v>
      </c>
      <c r="Q89" s="5" t="str">
        <f>IFERROR(__xludf.DUMMYFUNCTION("""COMPUTED_VALUE"""),"IMPLANTAR PLACA COM SUPORTE, PINTURA DA SINALIZAÇÃO DA BAIA, ADEQUAÇÃO DA CALÇADA (RAMPA DE ACESSIBILIDADE E PISO TÁTIL)")</f>
        <v>IMPLANTAR PLACA COM SUPORTE, PINTURA DA SINALIZAÇÃO DA BAIA, ADEQUAÇÃO DA CALÇADA (RAMPA DE ACESSIBILIDADE E PISO TÁTIL)</v>
      </c>
      <c r="R89" s="5" t="str">
        <f>IFERROR(__xludf.DUMMYFUNCTION("""COMPUTED_VALUE"""),"NENHUMA DAS OPÇÕES")</f>
        <v>NENHUMA DAS OPÇÕES</v>
      </c>
      <c r="S89" s="7">
        <f>IFERROR(__xludf.DUMMYFUNCTION("""COMPUTED_VALUE"""),44578.0)</f>
        <v>44578</v>
      </c>
      <c r="T89" s="5"/>
      <c r="U89" s="7">
        <f>IFERROR(__xludf.DUMMYFUNCTION("""COMPUTED_VALUE"""),44578.0)</f>
        <v>44578</v>
      </c>
      <c r="V89" s="9" t="str">
        <f>IFERROR(__xludf.DUMMYFUNCTION("""COMPUTED_VALUE"""),"https://drive.google.com/uc?id=1zRMjgzj2Q10zu43mLsZWQbasrUiN5cG4")</f>
        <v>https://drive.google.com/uc?id=1zRMjgzj2Q10zu43mLsZWQbasrUiN5cG4</v>
      </c>
      <c r="W89" s="5" t="str">
        <f>IFERROR(__xludf.DUMMYFUNCTION("""COMPUTED_VALUE"""),"NÃO")</f>
        <v>NÃO</v>
      </c>
      <c r="X89" s="5" t="str">
        <f>IFERROR(__xludf.DUMMYFUNCTION("""COMPUTED_VALUE"""),"SIM")</f>
        <v>SIM</v>
      </c>
    </row>
    <row r="90">
      <c r="A90" s="5">
        <f>IFERROR(__xludf.DUMMYFUNCTION("""COMPUTED_VALUE"""),8.0)</f>
        <v>8</v>
      </c>
      <c r="B90" s="5" t="str">
        <f>IFERROR(__xludf.DUMMYFUNCTION("""COMPUTED_VALUE"""),"JA018")</f>
        <v>JA018</v>
      </c>
      <c r="C90" s="5" t="str">
        <f>IFERROR(__xludf.DUMMYFUNCTION("""COMPUTED_VALUE"""),"ABRIGO METÁLICO PEQUENO PORTE")</f>
        <v>ABRIGO METÁLICO PEQUENO PORTE</v>
      </c>
      <c r="D90" s="5" t="str">
        <f>IFERROR(__xludf.DUMMYFUNCTION("""COMPUTED_VALUE"""),"SEM PLACA")</f>
        <v>SEM PLACA</v>
      </c>
      <c r="E90" s="5" t="str">
        <f>IFERROR(__xludf.DUMMYFUNCTION("""COMPUTED_VALUE"""),"BAIA CONSTRUÍDA")</f>
        <v>BAIA CONSTRUÍDA</v>
      </c>
      <c r="F90" s="5" t="str">
        <f>IFERROR(__xludf.DUMMYFUNCTION("""COMPUTED_VALUE"""),"SIM")</f>
        <v>SIM</v>
      </c>
      <c r="G90" s="5" t="str">
        <f>IFERROR(__xludf.DUMMYFUNCTION("""COMPUTED_VALUE"""),"SIM")</f>
        <v>SIM</v>
      </c>
      <c r="H90" s="5" t="str">
        <f>IFERROR(__xludf.DUMMYFUNCTION("""COMPUTED_VALUE"""),"PAVIMENTADA")</f>
        <v>PAVIMENTADA</v>
      </c>
      <c r="I90" s="6" t="str">
        <f>IFERROR(__xludf.DUMMYFUNCTION("""COMPUTED_VALUE"""),"-9.625546")</f>
        <v>-9.625546</v>
      </c>
      <c r="J90" s="6" t="str">
        <f>IFERROR(__xludf.DUMMYFUNCTION("""COMPUTED_VALUE"""),"-35.702840")</f>
        <v>-35.702840</v>
      </c>
      <c r="K90" s="5" t="str">
        <f>IFERROR(__xludf.DUMMYFUNCTION("""COMPUTED_VALUE"""),"AV. JOSEPHA DE MELO, S/N")</f>
        <v>AV. JOSEPHA DE MELO, S/N</v>
      </c>
      <c r="L90" s="5" t="str">
        <f>IFERROR(__xludf.DUMMYFUNCTION("""COMPUTED_VALUE"""),"ARTERIAL ")</f>
        <v>ARTERIAL </v>
      </c>
      <c r="M90" s="5" t="str">
        <f>IFERROR(__xludf.DUMMYFUNCTION("""COMPUTED_VALUE"""),"JACARECICA")</f>
        <v>JACARECICA</v>
      </c>
      <c r="N90" s="5" t="str">
        <f>IFERROR(__xludf.DUMMYFUNCTION("""COMPUTED_VALUE"""),"CENTRO - BAIRRO")</f>
        <v>CENTRO - BAIRRO</v>
      </c>
      <c r="O90" s="5" t="str">
        <f>IFERROR(__xludf.DUMMYFUNCTION("""COMPUTED_VALUE"""),"PRÓXIMO AO ATACADÃO")</f>
        <v>PRÓXIMO AO ATACADÃO</v>
      </c>
      <c r="P90" s="5" t="str">
        <f>IFERROR(__xludf.DUMMYFUNCTION("""COMPUTED_VALUE"""),"PRIORIDADE ALTA")</f>
        <v>PRIORIDADE ALTA</v>
      </c>
      <c r="Q90" s="5" t="str">
        <f>IFERROR(__xludf.DUMMYFUNCTION("""COMPUTED_VALUE"""),"IMPLANTAR PLACA COM SUPORTE, PINTURA DA SINALIZAÇÃO DA BAIA, ADEQUAÇÃO DA CALÇADA (RAMPA DE ACESSIBILIDADE E PISO TÁTIL)")</f>
        <v>IMPLANTAR PLACA COM SUPORTE, PINTURA DA SINALIZAÇÃO DA BAIA, ADEQUAÇÃO DA CALÇADA (RAMPA DE ACESSIBILIDADE E PISO TÁTIL)</v>
      </c>
      <c r="R90" s="5" t="str">
        <f>IFERROR(__xludf.DUMMYFUNCTION("""COMPUTED_VALUE"""),"NENHUMA DAS OPÇÕES")</f>
        <v>NENHUMA DAS OPÇÕES</v>
      </c>
      <c r="S90" s="7">
        <f>IFERROR(__xludf.DUMMYFUNCTION("""COMPUTED_VALUE"""),44579.0)</f>
        <v>44579</v>
      </c>
      <c r="T90" s="5"/>
      <c r="U90" s="7">
        <f>IFERROR(__xludf.DUMMYFUNCTION("""COMPUTED_VALUE"""),44579.0)</f>
        <v>44579</v>
      </c>
      <c r="V90" s="9" t="str">
        <f>IFERROR(__xludf.DUMMYFUNCTION("""COMPUTED_VALUE"""),"https://drive.google.com/uc?id=1RAyLnAcYgMEoSRr1MzEFoOcoEl-efPT2")</f>
        <v>https://drive.google.com/uc?id=1RAyLnAcYgMEoSRr1MzEFoOcoEl-efPT2</v>
      </c>
      <c r="W90" s="5" t="str">
        <f>IFERROR(__xludf.DUMMYFUNCTION("""COMPUTED_VALUE"""),"NÃO")</f>
        <v>NÃO</v>
      </c>
      <c r="X90" s="5" t="str">
        <f>IFERROR(__xludf.DUMMYFUNCTION("""COMPUTED_VALUE"""),"NÃO")</f>
        <v>NÃO</v>
      </c>
    </row>
    <row r="91" hidden="1">
      <c r="A91" s="5">
        <f>IFERROR(__xludf.DUMMYFUNCTION("""COMPUTED_VALUE"""),8.0)</f>
        <v>8</v>
      </c>
      <c r="B91" s="5" t="str">
        <f>IFERROR(__xludf.DUMMYFUNCTION("""COMPUTED_VALUE"""),"JA019")</f>
        <v>JA019</v>
      </c>
      <c r="C91" s="5" t="str">
        <f>IFERROR(__xludf.DUMMYFUNCTION("""COMPUTED_VALUE"""),"NÃO POSSUI")</f>
        <v>NÃO POSSUI</v>
      </c>
      <c r="D91" s="5" t="str">
        <f>IFERROR(__xludf.DUMMYFUNCTION("""COMPUTED_VALUE"""),"FIXADA EM POSTE")</f>
        <v>FIXADA EM POSTE</v>
      </c>
      <c r="E91" s="5" t="str">
        <f>IFERROR(__xludf.DUMMYFUNCTION("""COMPUTED_VALUE"""),"SEM BAIA")</f>
        <v>SEM BAIA</v>
      </c>
      <c r="F91" s="5" t="str">
        <f>IFERROR(__xludf.DUMMYFUNCTION("""COMPUTED_VALUE"""),"NÃO")</f>
        <v>NÃO</v>
      </c>
      <c r="G91" s="5" t="str">
        <f>IFERROR(__xludf.DUMMYFUNCTION("""COMPUTED_VALUE"""),"NÃO")</f>
        <v>NÃO</v>
      </c>
      <c r="H91" s="5" t="str">
        <f>IFERROR(__xludf.DUMMYFUNCTION("""COMPUTED_VALUE"""),"PAVIMENTADA COM AVARIAS")</f>
        <v>PAVIMENTADA COM AVARIAS</v>
      </c>
      <c r="I91" s="6" t="str">
        <f>IFERROR(__xludf.DUMMYFUNCTION("""COMPUTED_VALUE"""),"-9.577922")</f>
        <v>-9.577922</v>
      </c>
      <c r="J91" s="6" t="str">
        <f>IFERROR(__xludf.DUMMYFUNCTION("""COMPUTED_VALUE"""),"-35.701427")</f>
        <v>-35.701427</v>
      </c>
      <c r="K91" s="5" t="str">
        <f>IFERROR(__xludf.DUMMYFUNCTION("""COMPUTED_VALUE"""),"ROTA DO MAR ")</f>
        <v>ROTA DO MAR </v>
      </c>
      <c r="L91" s="5" t="str">
        <f>IFERROR(__xludf.DUMMYFUNCTION("""COMPUTED_VALUE"""),"ARTERIAL ")</f>
        <v>ARTERIAL </v>
      </c>
      <c r="M91" s="5" t="str">
        <f>IFERROR(__xludf.DUMMYFUNCTION("""COMPUTED_VALUE"""),"JACARECICA")</f>
        <v>JACARECICA</v>
      </c>
      <c r="N91" s="5" t="str">
        <f>IFERROR(__xludf.DUMMYFUNCTION("""COMPUTED_VALUE"""),"BAIRRO - CENTRO")</f>
        <v>BAIRRO - CENTRO</v>
      </c>
      <c r="O91" s="5" t="str">
        <f>IFERROR(__xludf.DUMMYFUNCTION("""COMPUTED_VALUE"""),"PRÓXIMO A ROTATÓRIA ")</f>
        <v>PRÓXIMO A ROTATÓRIA </v>
      </c>
      <c r="P91" s="5" t="str">
        <f>IFERROR(__xludf.DUMMYFUNCTION("""COMPUTED_VALUE"""),"PRIORIDADE BAIXA")</f>
        <v>PRIORIDADE BAIXA</v>
      </c>
      <c r="Q91" s="5"/>
      <c r="R91" s="5" t="str">
        <f>IFERROR(__xludf.DUMMYFUNCTION("""COMPUTED_VALUE"""),"SUBSTITUIR ABRIGO")</f>
        <v>SUBSTITUIR ABRIGO</v>
      </c>
      <c r="S91" s="5"/>
      <c r="T91" s="5"/>
      <c r="U91" s="5"/>
      <c r="V91" s="9" t="str">
        <f>IFERROR(__xludf.DUMMYFUNCTION("""COMPUTED_VALUE"""),"https://drive.google.com/uc?id=10rRnSPlzDGitFI7zPAXBOPRgtj9XLjDy")</f>
        <v>https://drive.google.com/uc?id=10rRnSPlzDGitFI7zPAXBOPRgtj9XLjDy</v>
      </c>
      <c r="W91" s="5" t="str">
        <f>IFERROR(__xludf.DUMMYFUNCTION("""COMPUTED_VALUE"""),"NÃO")</f>
        <v>NÃO</v>
      </c>
      <c r="X91" s="5" t="str">
        <f>IFERROR(__xludf.DUMMYFUNCTION("""COMPUTED_VALUE"""),"NÃO SE APLICA")</f>
        <v>NÃO SE APLICA</v>
      </c>
    </row>
    <row r="92" hidden="1">
      <c r="A92" s="5">
        <f>IFERROR(__xludf.DUMMYFUNCTION("""COMPUTED_VALUE"""),8.0)</f>
        <v>8</v>
      </c>
      <c r="B92" s="5" t="str">
        <f>IFERROR(__xludf.DUMMYFUNCTION("""COMPUTED_VALUE"""),"JA020")</f>
        <v>JA020</v>
      </c>
      <c r="C92" s="5" t="str">
        <f>IFERROR(__xludf.DUMMYFUNCTION("""COMPUTED_VALUE"""),"NÃO POSSUI")</f>
        <v>NÃO POSSUI</v>
      </c>
      <c r="D92" s="5" t="str">
        <f>IFERROR(__xludf.DUMMYFUNCTION("""COMPUTED_VALUE"""),"COM SUPORTE")</f>
        <v>COM SUPORTE</v>
      </c>
      <c r="E92" s="5" t="str">
        <f>IFERROR(__xludf.DUMMYFUNCTION("""COMPUTED_VALUE"""),"SEM BAIA")</f>
        <v>SEM BAIA</v>
      </c>
      <c r="F92" s="5" t="str">
        <f>IFERROR(__xludf.DUMMYFUNCTION("""COMPUTED_VALUE"""),"NÃO")</f>
        <v>NÃO</v>
      </c>
      <c r="G92" s="5" t="str">
        <f>IFERROR(__xludf.DUMMYFUNCTION("""COMPUTED_VALUE"""),"NÃO")</f>
        <v>NÃO</v>
      </c>
      <c r="H92" s="5" t="str">
        <f>IFERROR(__xludf.DUMMYFUNCTION("""COMPUTED_VALUE"""),"NÃO PAVIMENTADA")</f>
        <v>NÃO PAVIMENTADA</v>
      </c>
      <c r="I92" s="6" t="str">
        <f>IFERROR(__xludf.DUMMYFUNCTION("""COMPUTED_VALUE"""),"-9.577461")</f>
        <v>-9.577461</v>
      </c>
      <c r="J92" s="6" t="str">
        <f>IFERROR(__xludf.DUMMYFUNCTION("""COMPUTED_VALUE"""),"-35.701215")</f>
        <v>-35.701215</v>
      </c>
      <c r="K92" s="5" t="str">
        <f>IFERROR(__xludf.DUMMYFUNCTION("""COMPUTED_VALUE"""),"ROTA DO MAR ")</f>
        <v>ROTA DO MAR </v>
      </c>
      <c r="L92" s="5" t="str">
        <f>IFERROR(__xludf.DUMMYFUNCTION("""COMPUTED_VALUE"""),"ARTERIAL ")</f>
        <v>ARTERIAL </v>
      </c>
      <c r="M92" s="5" t="str">
        <f>IFERROR(__xludf.DUMMYFUNCTION("""COMPUTED_VALUE"""),"JACARECICA")</f>
        <v>JACARECICA</v>
      </c>
      <c r="N92" s="5" t="str">
        <f>IFERROR(__xludf.DUMMYFUNCTION("""COMPUTED_VALUE"""),"CENTRO - BAIRRO")</f>
        <v>CENTRO - BAIRRO</v>
      </c>
      <c r="O92" s="5" t="str">
        <f>IFERROR(__xludf.DUMMYFUNCTION("""COMPUTED_VALUE"""),"PRÓXIMO A ROTATÓRIA ")</f>
        <v>PRÓXIMO A ROTATÓRIA </v>
      </c>
      <c r="P92" s="5" t="str">
        <f>IFERROR(__xludf.DUMMYFUNCTION("""COMPUTED_VALUE"""),"PRIORIDADE BAIXA")</f>
        <v>PRIORIDADE BAIXA</v>
      </c>
      <c r="Q92" s="5"/>
      <c r="R92" s="5" t="str">
        <f>IFERROR(__xludf.DUMMYFUNCTION("""COMPUTED_VALUE"""),"IMPLANTAR ABRIGO")</f>
        <v>IMPLANTAR ABRIGO</v>
      </c>
      <c r="S92" s="5"/>
      <c r="T92" s="5"/>
      <c r="U92" s="5"/>
      <c r="V92" s="9" t="str">
        <f>IFERROR(__xludf.DUMMYFUNCTION("""COMPUTED_VALUE"""),"https://drive.google.com/uc?id=110-vFI5nvCYg_Gqp7HWc2tD-AToE6UhX")</f>
        <v>https://drive.google.com/uc?id=110-vFI5nvCYg_Gqp7HWc2tD-AToE6UhX</v>
      </c>
      <c r="W92" s="5" t="str">
        <f>IFERROR(__xludf.DUMMYFUNCTION("""COMPUTED_VALUE"""),"NÃO")</f>
        <v>NÃO</v>
      </c>
      <c r="X92" s="5" t="str">
        <f>IFERROR(__xludf.DUMMYFUNCTION("""COMPUTED_VALUE"""),"NÃO SE APLICA")</f>
        <v>NÃO SE APLICA</v>
      </c>
    </row>
    <row r="93" hidden="1">
      <c r="A93" s="5">
        <f>IFERROR(__xludf.DUMMYFUNCTION("""COMPUTED_VALUE"""),8.0)</f>
        <v>8</v>
      </c>
      <c r="B93" s="5" t="str">
        <f>IFERROR(__xludf.DUMMYFUNCTION("""COMPUTED_VALUE"""),"JA021")</f>
        <v>JA021</v>
      </c>
      <c r="C93" s="5" t="str">
        <f>IFERROR(__xludf.DUMMYFUNCTION("""COMPUTED_VALUE"""),"NÃO POSSUI")</f>
        <v>NÃO POSSUI</v>
      </c>
      <c r="D93" s="5" t="str">
        <f>IFERROR(__xludf.DUMMYFUNCTION("""COMPUTED_VALUE"""),"SEM PLACA")</f>
        <v>SEM PLACA</v>
      </c>
      <c r="E93" s="5" t="str">
        <f>IFERROR(__xludf.DUMMYFUNCTION("""COMPUTED_VALUE"""),"SEM BAIA")</f>
        <v>SEM BAIA</v>
      </c>
      <c r="F93" s="5" t="str">
        <f>IFERROR(__xludf.DUMMYFUNCTION("""COMPUTED_VALUE"""),"NÃO")</f>
        <v>NÃO</v>
      </c>
      <c r="G93" s="5" t="str">
        <f>IFERROR(__xludf.DUMMYFUNCTION("""COMPUTED_VALUE"""),"NÃO")</f>
        <v>NÃO</v>
      </c>
      <c r="H93" s="5" t="str">
        <f>IFERROR(__xludf.DUMMYFUNCTION("""COMPUTED_VALUE"""),"PAVIMENTADA")</f>
        <v>PAVIMENTADA</v>
      </c>
      <c r="I93" s="6" t="str">
        <f>IFERROR(__xludf.DUMMYFUNCTION("""COMPUTED_VALUE"""),"-9.591709")</f>
        <v>-9.591709</v>
      </c>
      <c r="J93" s="6" t="str">
        <f>IFERROR(__xludf.DUMMYFUNCTION("""COMPUTED_VALUE"""),"-35.686061")</f>
        <v>-35.686061</v>
      </c>
      <c r="K93" s="5" t="str">
        <f>IFERROR(__xludf.DUMMYFUNCTION("""COMPUTED_VALUE"""),"ROTA DO MAR ")</f>
        <v>ROTA DO MAR </v>
      </c>
      <c r="L93" s="5" t="str">
        <f>IFERROR(__xludf.DUMMYFUNCTION("""COMPUTED_VALUE"""),"ARTERIAL ")</f>
        <v>ARTERIAL </v>
      </c>
      <c r="M93" s="5" t="str">
        <f>IFERROR(__xludf.DUMMYFUNCTION("""COMPUTED_VALUE"""),"JACARECICA")</f>
        <v>JACARECICA</v>
      </c>
      <c r="N93" s="5" t="str">
        <f>IFERROR(__xludf.DUMMYFUNCTION("""COMPUTED_VALUE"""),"CENTRO - BAIRRO")</f>
        <v>CENTRO - BAIRRO</v>
      </c>
      <c r="O93" s="5" t="str">
        <f>IFERROR(__xludf.DUMMYFUNCTION("""COMPUTED_VALUE"""),"PRÓX. SUPERMERCADO AMANHÃ TEM")</f>
        <v>PRÓX. SUPERMERCADO AMANHÃ TEM</v>
      </c>
      <c r="P93" s="5" t="str">
        <f>IFERROR(__xludf.DUMMYFUNCTION("""COMPUTED_VALUE"""),"PRIORIDADE BAIXA")</f>
        <v>PRIORIDADE BAIXA</v>
      </c>
      <c r="Q93" s="5"/>
      <c r="R93" s="5" t="str">
        <f>IFERROR(__xludf.DUMMYFUNCTION("""COMPUTED_VALUE"""),"IMPLANTAR ABRIGO")</f>
        <v>IMPLANTAR ABRIGO</v>
      </c>
      <c r="S93" s="5"/>
      <c r="T93" s="5"/>
      <c r="U93" s="5"/>
      <c r="V93" s="9" t="str">
        <f>IFERROR(__xludf.DUMMYFUNCTION("""COMPUTED_VALUE"""),"https://drive.google.com/file/d/110j4fqM1IDYjdLNdmgypqHi8RDUPlwNA/view?usp=sharing")</f>
        <v>https://drive.google.com/file/d/110j4fqM1IDYjdLNdmgypqHi8RDUPlwNA/view?usp=sharing</v>
      </c>
      <c r="W93" s="5" t="str">
        <f>IFERROR(__xludf.DUMMYFUNCTION("""COMPUTED_VALUE"""),"NÃO")</f>
        <v>NÃO</v>
      </c>
      <c r="X93" s="5" t="str">
        <f>IFERROR(__xludf.DUMMYFUNCTION("""COMPUTED_VALUE"""),"NÃO SE APLICA")</f>
        <v>NÃO SE APLICA</v>
      </c>
    </row>
    <row r="94" hidden="1">
      <c r="A94" s="5">
        <f>IFERROR(__xludf.DUMMYFUNCTION("""COMPUTED_VALUE"""),8.0)</f>
        <v>8</v>
      </c>
      <c r="B94" s="5" t="str">
        <f>IFERROR(__xludf.DUMMYFUNCTION("""COMPUTED_VALUE"""),"JA022")</f>
        <v>JA022</v>
      </c>
      <c r="C94" s="5" t="str">
        <f>IFERROR(__xludf.DUMMYFUNCTION("""COMPUTED_VALUE"""),"NÃO POSSUI")</f>
        <v>NÃO POSSUI</v>
      </c>
      <c r="D94" s="5" t="str">
        <f>IFERROR(__xludf.DUMMYFUNCTION("""COMPUTED_VALUE"""),"COM SUPORTE")</f>
        <v>COM SUPORTE</v>
      </c>
      <c r="E94" s="5" t="str">
        <f>IFERROR(__xludf.DUMMYFUNCTION("""COMPUTED_VALUE"""),"SEM BAIA")</f>
        <v>SEM BAIA</v>
      </c>
      <c r="F94" s="5" t="str">
        <f>IFERROR(__xludf.DUMMYFUNCTION("""COMPUTED_VALUE"""),"NÃO")</f>
        <v>NÃO</v>
      </c>
      <c r="G94" s="5" t="str">
        <f>IFERROR(__xludf.DUMMYFUNCTION("""COMPUTED_VALUE"""),"NÃO")</f>
        <v>NÃO</v>
      </c>
      <c r="H94" s="5" t="str">
        <f>IFERROR(__xludf.DUMMYFUNCTION("""COMPUTED_VALUE"""),"NÃO PAVIMENTADA")</f>
        <v>NÃO PAVIMENTADA</v>
      </c>
      <c r="I94" s="6" t="str">
        <f>IFERROR(__xludf.DUMMYFUNCTION("""COMPUTED_VALUE"""),"-9.5916008")</f>
        <v>-9.5916008</v>
      </c>
      <c r="J94" s="6" t="str">
        <f>IFERROR(__xludf.DUMMYFUNCTION("""COMPUTED_VALUE"""),"-35.686613")</f>
        <v>-35.686613</v>
      </c>
      <c r="K94" s="5" t="str">
        <f>IFERROR(__xludf.DUMMYFUNCTION("""COMPUTED_VALUE"""),"ROTA DO MAR ")</f>
        <v>ROTA DO MAR </v>
      </c>
      <c r="L94" s="5" t="str">
        <f>IFERROR(__xludf.DUMMYFUNCTION("""COMPUTED_VALUE"""),"ARTERIAL ")</f>
        <v>ARTERIAL </v>
      </c>
      <c r="M94" s="5" t="str">
        <f>IFERROR(__xludf.DUMMYFUNCTION("""COMPUTED_VALUE"""),"JACARECICA")</f>
        <v>JACARECICA</v>
      </c>
      <c r="N94" s="5" t="str">
        <f>IFERROR(__xludf.DUMMYFUNCTION("""COMPUTED_VALUE"""),"BAIRRO - CENTRO")</f>
        <v>BAIRRO - CENTRO</v>
      </c>
      <c r="O94" s="5" t="str">
        <f>IFERROR(__xludf.DUMMYFUNCTION("""COMPUTED_VALUE"""),"COORDENADAS NO LOCAL EXATO. ")</f>
        <v>COORDENADAS NO LOCAL EXATO. </v>
      </c>
      <c r="P94" s="5" t="str">
        <f>IFERROR(__xludf.DUMMYFUNCTION("""COMPUTED_VALUE"""),"PRIORIDADE BAIXA")</f>
        <v>PRIORIDADE BAIXA</v>
      </c>
      <c r="Q94" s="5"/>
      <c r="R94" s="5" t="str">
        <f>IFERROR(__xludf.DUMMYFUNCTION("""COMPUTED_VALUE"""),"IMPLANTAR ABRIGO")</f>
        <v>IMPLANTAR ABRIGO</v>
      </c>
      <c r="S94" s="5"/>
      <c r="T94" s="5"/>
      <c r="U94" s="5"/>
      <c r="V94" s="9" t="str">
        <f>IFERROR(__xludf.DUMMYFUNCTION("""COMPUTED_VALUE"""),"https://drive.google.com/uc?id=1ZrH5RhKde70bJEUS-esAlMQlzC8rLu9C")</f>
        <v>https://drive.google.com/uc?id=1ZrH5RhKde70bJEUS-esAlMQlzC8rLu9C</v>
      </c>
      <c r="W94" s="5" t="str">
        <f>IFERROR(__xludf.DUMMYFUNCTION("""COMPUTED_VALUE"""),"NÃO")</f>
        <v>NÃO</v>
      </c>
      <c r="X94" s="5" t="str">
        <f>IFERROR(__xludf.DUMMYFUNCTION("""COMPUTED_VALUE"""),"NÃO SE APLICA")</f>
        <v>NÃO SE APLICA</v>
      </c>
    </row>
    <row r="95" hidden="1">
      <c r="A95" s="5">
        <f>IFERROR(__xludf.DUMMYFUNCTION("""COMPUTED_VALUE"""),8.0)</f>
        <v>8</v>
      </c>
      <c r="B95" s="5" t="str">
        <f>IFERROR(__xludf.DUMMYFUNCTION("""COMPUTED_VALUE"""),"JA023")</f>
        <v>JA023</v>
      </c>
      <c r="C95" s="5" t="str">
        <f>IFERROR(__xludf.DUMMYFUNCTION("""COMPUTED_VALUE"""),"NÃO POSSUI")</f>
        <v>NÃO POSSUI</v>
      </c>
      <c r="D95" s="5" t="str">
        <f>IFERROR(__xludf.DUMMYFUNCTION("""COMPUTED_VALUE"""),"COM SUPORTE")</f>
        <v>COM SUPORTE</v>
      </c>
      <c r="E95" s="5" t="str">
        <f>IFERROR(__xludf.DUMMYFUNCTION("""COMPUTED_VALUE"""),"SEM BAIA")</f>
        <v>SEM BAIA</v>
      </c>
      <c r="F95" s="5" t="str">
        <f>IFERROR(__xludf.DUMMYFUNCTION("""COMPUTED_VALUE"""),"NÃO")</f>
        <v>NÃO</v>
      </c>
      <c r="G95" s="5" t="str">
        <f>IFERROR(__xludf.DUMMYFUNCTION("""COMPUTED_VALUE"""),"NÃO")</f>
        <v>NÃO</v>
      </c>
      <c r="H95" s="5" t="str">
        <f>IFERROR(__xludf.DUMMYFUNCTION("""COMPUTED_VALUE"""),"PAVIMENTADA")</f>
        <v>PAVIMENTADA</v>
      </c>
      <c r="I95" s="6" t="str">
        <f>IFERROR(__xludf.DUMMYFUNCTION("""COMPUTED_VALUE"""),"-9.588187")</f>
        <v>-9.588187</v>
      </c>
      <c r="J95" s="6" t="str">
        <f>IFERROR(__xludf.DUMMYFUNCTION("""COMPUTED_VALUE"""),"-35.687170")</f>
        <v>-35.687170</v>
      </c>
      <c r="K95" s="5" t="str">
        <f>IFERROR(__xludf.DUMMYFUNCTION("""COMPUTED_VALUE"""),"ROTA DO MAR ")</f>
        <v>ROTA DO MAR </v>
      </c>
      <c r="L95" s="5" t="str">
        <f>IFERROR(__xludf.DUMMYFUNCTION("""COMPUTED_VALUE"""),"ARTERIAL ")</f>
        <v>ARTERIAL </v>
      </c>
      <c r="M95" s="5" t="str">
        <f>IFERROR(__xludf.DUMMYFUNCTION("""COMPUTED_VALUE"""),"JACARECICA")</f>
        <v>JACARECICA</v>
      </c>
      <c r="N95" s="5" t="str">
        <f>IFERROR(__xludf.DUMMYFUNCTION("""COMPUTED_VALUE"""),"BAIRRO - CENTRO")</f>
        <v>BAIRRO - CENTRO</v>
      </c>
      <c r="O95" s="5" t="str">
        <f>IFERROR(__xludf.DUMMYFUNCTION("""COMPUTED_VALUE"""),"COORDENADAS NO LOCAL EXATO. ")</f>
        <v>COORDENADAS NO LOCAL EXATO. </v>
      </c>
      <c r="P95" s="5" t="str">
        <f>IFERROR(__xludf.DUMMYFUNCTION("""COMPUTED_VALUE"""),"PRIORIDADE BAIXA")</f>
        <v>PRIORIDADE BAIXA</v>
      </c>
      <c r="Q95" s="5"/>
      <c r="R95" s="5" t="str">
        <f>IFERROR(__xludf.DUMMYFUNCTION("""COMPUTED_VALUE"""),"IMPLANTAR ABRIGO")</f>
        <v>IMPLANTAR ABRIGO</v>
      </c>
      <c r="S95" s="7">
        <f>IFERROR(__xludf.DUMMYFUNCTION("""COMPUTED_VALUE"""),45072.0)</f>
        <v>45072</v>
      </c>
      <c r="T95" s="5" t="str">
        <f>IFERROR(__xludf.DUMMYFUNCTION("""COMPUTED_VALUE"""),"REALIZADO")</f>
        <v>REALIZADO</v>
      </c>
      <c r="U95" s="7">
        <f>IFERROR(__xludf.DUMMYFUNCTION("""COMPUTED_VALUE"""),45103.0)</f>
        <v>45103</v>
      </c>
      <c r="V95" s="9" t="str">
        <f>IFERROR(__xludf.DUMMYFUNCTION("""COMPUTED_VALUE"""),"https://drive.google.com/uc?id=1C4x15KweyUhJZm_Mdcu3BeQUeSq0QdF1")</f>
        <v>https://drive.google.com/uc?id=1C4x15KweyUhJZm_Mdcu3BeQUeSq0QdF1</v>
      </c>
      <c r="W95" s="5" t="str">
        <f>IFERROR(__xludf.DUMMYFUNCTION("""COMPUTED_VALUE"""),"NÃO")</f>
        <v>NÃO</v>
      </c>
      <c r="X95" s="5" t="str">
        <f>IFERROR(__xludf.DUMMYFUNCTION("""COMPUTED_VALUE"""),"NÃO SE APLICA")</f>
        <v>NÃO SE APLICA</v>
      </c>
    </row>
    <row r="96" hidden="1">
      <c r="A96" s="13">
        <f>IFERROR(__xludf.DUMMYFUNCTION("""COMPUTED_VALUE"""),8.0)</f>
        <v>8</v>
      </c>
      <c r="B96" s="5" t="str">
        <f>IFERROR(__xludf.DUMMYFUNCTION("""COMPUTED_VALUE"""),"JA024")</f>
        <v>JA024</v>
      </c>
      <c r="C96" s="5" t="str">
        <f>IFERROR(__xludf.DUMMYFUNCTION("""COMPUTED_VALUE"""),"NÃO POSSUI")</f>
        <v>NÃO POSSUI</v>
      </c>
      <c r="D96" s="5" t="str">
        <f>IFERROR(__xludf.DUMMYFUNCTION("""COMPUTED_VALUE"""),"COM SUPORTE")</f>
        <v>COM SUPORTE</v>
      </c>
      <c r="E96" s="5" t="str">
        <f>IFERROR(__xludf.DUMMYFUNCTION("""COMPUTED_VALUE"""),"SEM BAIA")</f>
        <v>SEM BAIA</v>
      </c>
      <c r="F96" s="5" t="str">
        <f>IFERROR(__xludf.DUMMYFUNCTION("""COMPUTED_VALUE"""),"NÃO")</f>
        <v>NÃO</v>
      </c>
      <c r="G96" s="5" t="str">
        <f>IFERROR(__xludf.DUMMYFUNCTION("""COMPUTED_VALUE"""),"NÃO")</f>
        <v>NÃO</v>
      </c>
      <c r="H96" s="5" t="str">
        <f>IFERROR(__xludf.DUMMYFUNCTION("""COMPUTED_VALUE"""),"PAVIMENTADA")</f>
        <v>PAVIMENTADA</v>
      </c>
      <c r="I96" s="6" t="str">
        <f>IFERROR(__xludf.DUMMYFUNCTION("""COMPUTED_VALUE"""),"-9.5889491")</f>
        <v>-9.5889491</v>
      </c>
      <c r="J96" s="6" t="str">
        <f>IFERROR(__xludf.DUMMYFUNCTION("""COMPUTED_VALUE"""),"-35.6871965")</f>
        <v>-35.6871965</v>
      </c>
      <c r="K96" s="5" t="str">
        <f>IFERROR(__xludf.DUMMYFUNCTION("""COMPUTED_VALUE"""),"ROTA DO MAR ")</f>
        <v>ROTA DO MAR </v>
      </c>
      <c r="L96" s="5" t="str">
        <f>IFERROR(__xludf.DUMMYFUNCTION("""COMPUTED_VALUE"""),"ARTERIAL ")</f>
        <v>ARTERIAL </v>
      </c>
      <c r="M96" s="5" t="str">
        <f>IFERROR(__xludf.DUMMYFUNCTION("""COMPUTED_VALUE"""),"JACARECICA")</f>
        <v>JACARECICA</v>
      </c>
      <c r="N96" s="5" t="str">
        <f>IFERROR(__xludf.DUMMYFUNCTION("""COMPUTED_VALUE"""),"BAIRRO - CENTRO")</f>
        <v>BAIRRO - CENTRO</v>
      </c>
      <c r="O96" s="5" t="str">
        <f>IFERROR(__xludf.DUMMYFUNCTION("""COMPUTED_VALUE"""),"COORDENADAS NO LOCAL EXATO. ")</f>
        <v>COORDENADAS NO LOCAL EXATO. </v>
      </c>
      <c r="P96" s="5" t="str">
        <f>IFERROR(__xludf.DUMMYFUNCTION("""COMPUTED_VALUE"""),"PRIORIDADE BAIXA")</f>
        <v>PRIORIDADE BAIXA</v>
      </c>
      <c r="Q96" s="5"/>
      <c r="R96" s="5"/>
      <c r="S96" s="5"/>
      <c r="T96" s="5"/>
      <c r="U96" s="5"/>
      <c r="V96" s="9" t="str">
        <f>IFERROR(__xludf.DUMMYFUNCTION("""COMPUTED_VALUE"""),"https://drive.google.com/uc?id=1m5HgyXuJKofjgRIy8__um0sp1zjdzTLX
")</f>
        <v>https://drive.google.com/uc?id=1m5HgyXuJKofjgRIy8__um0sp1zjdzTLX
</v>
      </c>
      <c r="W96" s="5" t="str">
        <f>IFERROR(__xludf.DUMMYFUNCTION("""COMPUTED_VALUE"""),"NÃO")</f>
        <v>NÃO</v>
      </c>
      <c r="X96" s="5" t="str">
        <f>IFERROR(__xludf.DUMMYFUNCTION("""COMPUTED_VALUE"""),"NÃO SE APLICA")</f>
        <v>NÃO SE APLICA</v>
      </c>
    </row>
    <row r="97" hidden="1">
      <c r="A97" s="13">
        <f>IFERROR(__xludf.DUMMYFUNCTION("IMPORTRANGE(""https://docs.google.com/spreadsheets/d/11Xf8ueyQm_IkJIrLjE_knan7jqO4kbHyGCgwn2elcQA/edit#gid=136929768"", ""RIACHO DOCE!A3:X20"")"),8.0)</f>
        <v>8</v>
      </c>
      <c r="B97" s="5" t="str">
        <f>IFERROR(__xludf.DUMMYFUNCTION("""COMPUTED_VALUE"""),"RD001")</f>
        <v>RD001</v>
      </c>
      <c r="C97" s="5" t="str">
        <f>IFERROR(__xludf.DUMMYFUNCTION("""COMPUTED_VALUE"""),"NÃO POSSUI")</f>
        <v>NÃO POSSUI</v>
      </c>
      <c r="D97" s="5" t="str">
        <f>IFERROR(__xludf.DUMMYFUNCTION("""COMPUTED_VALUE"""),"FIXADA EM POSTE")</f>
        <v>FIXADA EM POSTE</v>
      </c>
      <c r="E97" s="5" t="str">
        <f>IFERROR(__xludf.DUMMYFUNCTION("""COMPUTED_VALUE"""),"SEM BAIA")</f>
        <v>SEM BAIA</v>
      </c>
      <c r="F97" s="5" t="str">
        <f>IFERROR(__xludf.DUMMYFUNCTION("""COMPUTED_VALUE"""),"NÃO")</f>
        <v>NÃO</v>
      </c>
      <c r="G97" s="5" t="str">
        <f>IFERROR(__xludf.DUMMYFUNCTION("""COMPUTED_VALUE"""),"NÃO")</f>
        <v>NÃO</v>
      </c>
      <c r="H97" s="5" t="str">
        <f>IFERROR(__xludf.DUMMYFUNCTION("""COMPUTED_VALUE"""),"NÃO PAVIMENTADA")</f>
        <v>NÃO PAVIMENTADA</v>
      </c>
      <c r="I97" s="6" t="str">
        <f>IFERROR(__xludf.DUMMYFUNCTION("""COMPUTED_VALUE"""),"-9.57906")</f>
        <v>-9.57906</v>
      </c>
      <c r="J97" s="6" t="str">
        <f>IFERROR(__xludf.DUMMYFUNCTION("""COMPUTED_VALUE"""),"-35.65730")</f>
        <v>-35.65730</v>
      </c>
      <c r="K97" s="5" t="str">
        <f>IFERROR(__xludf.DUMMYFUNCTION("""COMPUTED_VALUE"""),"AV. GEN. LUIZ DE FRANÇA ALBUQUERQUE – RODOVIA AL-101 NORTE, S/N")</f>
        <v>AV. GEN. LUIZ DE FRANÇA ALBUQUERQUE – RODOVIA AL-101 NORTE, S/N</v>
      </c>
      <c r="L97" s="5" t="str">
        <f>IFERROR(__xludf.DUMMYFUNCTION("""COMPUTED_VALUE"""),"RODOVIAS")</f>
        <v>RODOVIAS</v>
      </c>
      <c r="M97" s="5" t="str">
        <f>IFERROR(__xludf.DUMMYFUNCTION("""COMPUTED_VALUE"""),"RIACHO DOCE")</f>
        <v>RIACHO DOCE</v>
      </c>
      <c r="N97" s="5" t="str">
        <f>IFERROR(__xludf.DUMMYFUNCTION("""COMPUTED_VALUE"""),"CENTRO - BAIRRO")</f>
        <v>CENTRO - BAIRRO</v>
      </c>
      <c r="O97" s="5" t="str">
        <f>IFERROR(__xludf.DUMMYFUNCTION("""COMPUTED_VALUE"""),"EM FRENTE A IGREJA MANAIM E DO HOTEL KAZATÃO BY TOQUE")</f>
        <v>EM FRENTE A IGREJA MANAIM E DO HOTEL KAZATÃO BY TOQUE</v>
      </c>
      <c r="P97" s="5" t="str">
        <f>IFERROR(__xludf.DUMMYFUNCTION("""COMPUTED_VALUE"""),"PRIORIDADE ALTA")</f>
        <v>PRIORIDADE ALTA</v>
      </c>
      <c r="Q97" s="5" t="str">
        <f>IFERROR(__xludf.DUMMYFUNCTION("""COMPUTED_VALUE"""),"IMPLANTAÇÃO DE ABRIGO E PLACA FIXADA EM POSTE, PINTURA DA BAIA NO ASFALTO, PAVIMENTAÇÃO E ADEQUAÇÃO DA CALÇADA (RAMPA DE ACESSIBILIDADE E PISO TÁTIL)")</f>
        <v>IMPLANTAÇÃO DE ABRIGO E PLACA FIXADA EM POSTE, PINTURA DA BAIA NO ASFALTO, PAVIMENTAÇÃO E ADEQUAÇÃO DA CALÇADA (RAMPA DE ACESSIBILIDADE E PISO TÁTIL)</v>
      </c>
      <c r="R97" s="5" t="str">
        <f>IFERROR(__xludf.DUMMYFUNCTION("""COMPUTED_VALUE"""),"NENHUMA DAS OPÇÕES")</f>
        <v>NENHUMA DAS OPÇÕES</v>
      </c>
      <c r="S97" s="7">
        <f>IFERROR(__xludf.DUMMYFUNCTION("""COMPUTED_VALUE"""),44562.0)</f>
        <v>44562</v>
      </c>
      <c r="T97" s="5"/>
      <c r="U97" s="7">
        <f>IFERROR(__xludf.DUMMYFUNCTION("""COMPUTED_VALUE"""),44562.0)</f>
        <v>44562</v>
      </c>
      <c r="V97" s="9" t="str">
        <f>IFERROR(__xludf.DUMMYFUNCTION("""COMPUTED_VALUE"""),"https://drive.google.com/uc?id=1vahkv9IE5t8iea_ucMrHmjANKonIDS8h")</f>
        <v>https://drive.google.com/uc?id=1vahkv9IE5t8iea_ucMrHmjANKonIDS8h</v>
      </c>
      <c r="W97" s="5" t="str">
        <f>IFERROR(__xludf.DUMMYFUNCTION("""COMPUTED_VALUE"""),"NÃO")</f>
        <v>NÃO</v>
      </c>
      <c r="X97" s="5" t="str">
        <f>IFERROR(__xludf.DUMMYFUNCTION("""COMPUTED_VALUE"""),"NÃO SE APLICA")</f>
        <v>NÃO SE APLICA</v>
      </c>
    </row>
    <row r="98">
      <c r="A98" s="5">
        <f>IFERROR(__xludf.DUMMYFUNCTION("""COMPUTED_VALUE"""),8.0)</f>
        <v>8</v>
      </c>
      <c r="B98" s="5" t="str">
        <f>IFERROR(__xludf.DUMMYFUNCTION("""COMPUTED_VALUE"""),"RD002")</f>
        <v>RD002</v>
      </c>
      <c r="C98" s="5" t="str">
        <f>IFERROR(__xludf.DUMMYFUNCTION("""COMPUTED_VALUE"""),"ABRIGO EUCALIPTO PEQUENO PORTE")</f>
        <v>ABRIGO EUCALIPTO PEQUENO PORTE</v>
      </c>
      <c r="D98" s="5" t="str">
        <f>IFERROR(__xludf.DUMMYFUNCTION("""COMPUTED_VALUE"""),"SEM PLACA")</f>
        <v>SEM PLACA</v>
      </c>
      <c r="E98" s="5" t="str">
        <f>IFERROR(__xludf.DUMMYFUNCTION("""COMPUTED_VALUE"""),"SEM BAIA")</f>
        <v>SEM BAIA</v>
      </c>
      <c r="F98" s="5" t="str">
        <f>IFERROR(__xludf.DUMMYFUNCTION("""COMPUTED_VALUE"""),"NÃO")</f>
        <v>NÃO</v>
      </c>
      <c r="G98" s="5" t="str">
        <f>IFERROR(__xludf.DUMMYFUNCTION("""COMPUTED_VALUE"""),"NÃO")</f>
        <v>NÃO</v>
      </c>
      <c r="H98" s="5" t="str">
        <f>IFERROR(__xludf.DUMMYFUNCTION("""COMPUTED_VALUE"""),"PAVIMENTADA")</f>
        <v>PAVIMENTADA</v>
      </c>
      <c r="I98" s="6" t="str">
        <f>IFERROR(__xludf.DUMMYFUNCTION("""COMPUTED_VALUE"""),"-9.57905")</f>
        <v>-9.57905</v>
      </c>
      <c r="J98" s="6" t="str">
        <f>IFERROR(__xludf.DUMMYFUNCTION("""COMPUTED_VALUE"""),"-35.65737")</f>
        <v>-35.65737</v>
      </c>
      <c r="K98" s="5" t="str">
        <f>IFERROR(__xludf.DUMMYFUNCTION("""COMPUTED_VALUE"""),"AV. GEN. LUIZ DE FRANÇA ALBUQUERQUE – RODOVIA AL-101 NORTE, S/N")</f>
        <v>AV. GEN. LUIZ DE FRANÇA ALBUQUERQUE – RODOVIA AL-101 NORTE, S/N</v>
      </c>
      <c r="L98" s="5" t="str">
        <f>IFERROR(__xludf.DUMMYFUNCTION("""COMPUTED_VALUE"""),"RODOVIAS")</f>
        <v>RODOVIAS</v>
      </c>
      <c r="M98" s="5" t="str">
        <f>IFERROR(__xludf.DUMMYFUNCTION("""COMPUTED_VALUE"""),"RIACHO DOCE")</f>
        <v>RIACHO DOCE</v>
      </c>
      <c r="N98" s="5" t="str">
        <f>IFERROR(__xludf.DUMMYFUNCTION("""COMPUTED_VALUE"""),"BAIRRO - CENTRO")</f>
        <v>BAIRRO - CENTRO</v>
      </c>
      <c r="O98" s="5" t="str">
        <f>IFERROR(__xludf.DUMMYFUNCTION("""COMPUTED_VALUE"""),"EM FRENTE A IGREJA MANAIM E DO HOTEL KAZATÃO BY TOQUE")</f>
        <v>EM FRENTE A IGREJA MANAIM E DO HOTEL KAZATÃO BY TOQUE</v>
      </c>
      <c r="P98" s="5" t="str">
        <f>IFERROR(__xludf.DUMMYFUNCTION("""COMPUTED_VALUE"""),"URGENTE")</f>
        <v>URGENTE</v>
      </c>
      <c r="Q98" s="5" t="str">
        <f>IFERROR(__xludf.DUMMYFUNCTION("""COMPUTED_VALUE"""),"SUBSTITUIR ABRIGO E IMPLANTAR PLACA FIXADA NO POSTE, ADEQUAÇÃO DA CALÇADA (RAMPA DE ACESSIBILIDADE E PISO TÁTIL), LIMPEZA DA VEGETAÇÃO")</f>
        <v>SUBSTITUIR ABRIGO E IMPLANTAR PLACA FIXADA NO POSTE, ADEQUAÇÃO DA CALÇADA (RAMPA DE ACESSIBILIDADE E PISO TÁTIL), LIMPEZA DA VEGETAÇÃO</v>
      </c>
      <c r="R98" s="5" t="str">
        <f>IFERROR(__xludf.DUMMYFUNCTION("""COMPUTED_VALUE"""),"NENHUMA DAS OPÇÕES")</f>
        <v>NENHUMA DAS OPÇÕES</v>
      </c>
      <c r="S98" s="7">
        <f>IFERROR(__xludf.DUMMYFUNCTION("""COMPUTED_VALUE"""),44564.0)</f>
        <v>44564</v>
      </c>
      <c r="T98" s="5"/>
      <c r="U98" s="7">
        <f>IFERROR(__xludf.DUMMYFUNCTION("""COMPUTED_VALUE"""),44564.0)</f>
        <v>44564</v>
      </c>
      <c r="V98" s="5" t="str">
        <f>IFERROR(__xludf.DUMMYFUNCTION("""COMPUTED_VALUE"""),"ATUALIZAR FOTO")</f>
        <v>ATUALIZAR FOTO</v>
      </c>
      <c r="W98" s="5" t="str">
        <f>IFERROR(__xludf.DUMMYFUNCTION("""COMPUTED_VALUE"""),"NÃO")</f>
        <v>NÃO</v>
      </c>
      <c r="X98" s="5" t="str">
        <f>IFERROR(__xludf.DUMMYFUNCTION("""COMPUTED_VALUE"""),"NÃO SE APLICA")</f>
        <v>NÃO SE APLICA</v>
      </c>
    </row>
    <row r="99">
      <c r="A99" s="5">
        <f>IFERROR(__xludf.DUMMYFUNCTION("""COMPUTED_VALUE"""),8.0)</f>
        <v>8</v>
      </c>
      <c r="B99" s="5" t="str">
        <f>IFERROR(__xludf.DUMMYFUNCTION("""COMPUTED_VALUE"""),"RD003")</f>
        <v>RD003</v>
      </c>
      <c r="C99" s="5" t="str">
        <f>IFERROR(__xludf.DUMMYFUNCTION("""COMPUTED_VALUE"""),"ABRIGO CONCRETO")</f>
        <v>ABRIGO CONCRETO</v>
      </c>
      <c r="D99" s="5" t="str">
        <f>IFERROR(__xludf.DUMMYFUNCTION("""COMPUTED_VALUE"""),"SEM PLACA")</f>
        <v>SEM PLACA</v>
      </c>
      <c r="E99" s="5" t="str">
        <f>IFERROR(__xludf.DUMMYFUNCTION("""COMPUTED_VALUE"""),"SEM BAIA")</f>
        <v>SEM BAIA</v>
      </c>
      <c r="F99" s="5" t="str">
        <f>IFERROR(__xludf.DUMMYFUNCTION("""COMPUTED_VALUE"""),"SIM")</f>
        <v>SIM</v>
      </c>
      <c r="G99" s="5" t="str">
        <f>IFERROR(__xludf.DUMMYFUNCTION("""COMPUTED_VALUE"""),"SIM")</f>
        <v>SIM</v>
      </c>
      <c r="H99" s="5" t="str">
        <f>IFERROR(__xludf.DUMMYFUNCTION("""COMPUTED_VALUE"""),"PAVIMENTADA")</f>
        <v>PAVIMENTADA</v>
      </c>
      <c r="I99" s="6" t="str">
        <f>IFERROR(__xludf.DUMMYFUNCTION("""COMPUTED_VALUE"""),"-9.575645")</f>
        <v>-9.575645</v>
      </c>
      <c r="J99" s="6" t="str">
        <f>IFERROR(__xludf.DUMMYFUNCTION("""COMPUTED_VALUE"""),"-35.656232")</f>
        <v>-35.656232</v>
      </c>
      <c r="K99" s="5" t="str">
        <f>IFERROR(__xludf.DUMMYFUNCTION("""COMPUTED_VALUE"""),"AV. GEN. LUIZ DE FRANÇA ALBUQUERQUE – RODOVIA AL-101 NORTE, S/N")</f>
        <v>AV. GEN. LUIZ DE FRANÇA ALBUQUERQUE – RODOVIA AL-101 NORTE, S/N</v>
      </c>
      <c r="L99" s="5" t="str">
        <f>IFERROR(__xludf.DUMMYFUNCTION("""COMPUTED_VALUE"""),"RODOVIAS")</f>
        <v>RODOVIAS</v>
      </c>
      <c r="M99" s="5" t="str">
        <f>IFERROR(__xludf.DUMMYFUNCTION("""COMPUTED_VALUE"""),"RIACHO DOCE")</f>
        <v>RIACHO DOCE</v>
      </c>
      <c r="N99" s="5" t="str">
        <f>IFERROR(__xludf.DUMMYFUNCTION("""COMPUTED_VALUE"""),"CENTRO - BAIRRO")</f>
        <v>CENTRO - BAIRRO</v>
      </c>
      <c r="O99" s="5" t="str">
        <f>IFERROR(__xludf.DUMMYFUNCTION("""COMPUTED_VALUE"""),"EM FRENTE A PRAÇA DE RIACHO DOCE")</f>
        <v>EM FRENTE A PRAÇA DE RIACHO DOCE</v>
      </c>
      <c r="P99" s="5" t="str">
        <f>IFERROR(__xludf.DUMMYFUNCTION("""COMPUTED_VALUE"""),"PRIORIDADE ALTA")</f>
        <v>PRIORIDADE ALTA</v>
      </c>
      <c r="Q99" s="5"/>
      <c r="R99" s="5" t="str">
        <f>IFERROR(__xludf.DUMMYFUNCTION("""COMPUTED_VALUE"""),"SUBSTITUIR ABRIGO")</f>
        <v>SUBSTITUIR ABRIGO</v>
      </c>
      <c r="S99" s="7">
        <f>IFERROR(__xludf.DUMMYFUNCTION("""COMPUTED_VALUE"""),44565.0)</f>
        <v>44565</v>
      </c>
      <c r="T99" s="5"/>
      <c r="U99" s="7">
        <f>IFERROR(__xludf.DUMMYFUNCTION("""COMPUTED_VALUE"""),44565.0)</f>
        <v>44565</v>
      </c>
      <c r="V99" s="9" t="str">
        <f>IFERROR(__xludf.DUMMYFUNCTION("""COMPUTED_VALUE"""),"https://drive.google.com/uc?id=1o0WN9iis2KVOLhnaQvC29-Ub_2dCuupo")</f>
        <v>https://drive.google.com/uc?id=1o0WN9iis2KVOLhnaQvC29-Ub_2dCuupo</v>
      </c>
      <c r="W99" s="5" t="str">
        <f>IFERROR(__xludf.DUMMYFUNCTION("""COMPUTED_VALUE"""),"JUNTOS")</f>
        <v>JUNTOS</v>
      </c>
      <c r="X99" s="5" t="str">
        <f>IFERROR(__xludf.DUMMYFUNCTION("""COMPUTED_VALUE"""),"NÃO SE APLICA")</f>
        <v>NÃO SE APLICA</v>
      </c>
    </row>
    <row r="100">
      <c r="A100" s="5">
        <f>IFERROR(__xludf.DUMMYFUNCTION("""COMPUTED_VALUE"""),8.0)</f>
        <v>8</v>
      </c>
      <c r="B100" s="5" t="str">
        <f>IFERROR(__xludf.DUMMYFUNCTION("""COMPUTED_VALUE"""),"RD004")</f>
        <v>RD004</v>
      </c>
      <c r="C100" s="5" t="str">
        <f>IFERROR(__xludf.DUMMYFUNCTION("""COMPUTED_VALUE"""),"ABRIGO CONCRETO")</f>
        <v>ABRIGO CONCRETO</v>
      </c>
      <c r="D100" s="5" t="str">
        <f>IFERROR(__xludf.DUMMYFUNCTION("""COMPUTED_VALUE"""),"SEM PLACA")</f>
        <v>SEM PLACA</v>
      </c>
      <c r="E100" s="5" t="str">
        <f>IFERROR(__xludf.DUMMYFUNCTION("""COMPUTED_VALUE"""),"SEM BAIA")</f>
        <v>SEM BAIA</v>
      </c>
      <c r="F100" s="5" t="str">
        <f>IFERROR(__xludf.DUMMYFUNCTION("""COMPUTED_VALUE"""),"NÃO")</f>
        <v>NÃO</v>
      </c>
      <c r="G100" s="5" t="str">
        <f>IFERROR(__xludf.DUMMYFUNCTION("""COMPUTED_VALUE"""),"NÃO")</f>
        <v>NÃO</v>
      </c>
      <c r="H100" s="5" t="str">
        <f>IFERROR(__xludf.DUMMYFUNCTION("""COMPUTED_VALUE"""),"NÃO PAVIMENTADA")</f>
        <v>NÃO PAVIMENTADA</v>
      </c>
      <c r="I100" s="6" t="str">
        <f>IFERROR(__xludf.DUMMYFUNCTION("""COMPUTED_VALUE"""),"-9.575418")</f>
        <v>-9.575418</v>
      </c>
      <c r="J100" s="6" t="str">
        <f>IFERROR(__xludf.DUMMYFUNCTION("""COMPUTED_VALUE"""),"-35.656356")</f>
        <v>-35.656356</v>
      </c>
      <c r="K100" s="5" t="str">
        <f>IFERROR(__xludf.DUMMYFUNCTION("""COMPUTED_VALUE"""),"AV. GEN. LUIZ DE FRANÇA ALBUQUERQUE – RODOVIA AL-101 NORTE, S/N")</f>
        <v>AV. GEN. LUIZ DE FRANÇA ALBUQUERQUE – RODOVIA AL-101 NORTE, S/N</v>
      </c>
      <c r="L100" s="5" t="str">
        <f>IFERROR(__xludf.DUMMYFUNCTION("""COMPUTED_VALUE"""),"RODOVIAS")</f>
        <v>RODOVIAS</v>
      </c>
      <c r="M100" s="5" t="str">
        <f>IFERROR(__xludf.DUMMYFUNCTION("""COMPUTED_VALUE"""),"RIACHO DOCE")</f>
        <v>RIACHO DOCE</v>
      </c>
      <c r="N100" s="5" t="str">
        <f>IFERROR(__xludf.DUMMYFUNCTION("""COMPUTED_VALUE"""),"BAIRRO - CENTRO")</f>
        <v>BAIRRO - CENTRO</v>
      </c>
      <c r="O100" s="5" t="str">
        <f>IFERROR(__xludf.DUMMYFUNCTION("""COMPUTED_VALUE"""),"EM FRENTE A PRAÇA DE RIACHO DOCE")</f>
        <v>EM FRENTE A PRAÇA DE RIACHO DOCE</v>
      </c>
      <c r="P100" s="5" t="str">
        <f>IFERROR(__xludf.DUMMYFUNCTION("""COMPUTED_VALUE"""),"PRIORIDADE ALTA")</f>
        <v>PRIORIDADE ALTA</v>
      </c>
      <c r="Q100" s="5" t="str">
        <f>IFERROR(__xludf.DUMMYFUNCTION("""COMPUTED_VALUE"""),"ADEQUAÇÃO DA CALÇADA (AUMENTAR A ÁREA PAVIMENTADA, FAZER RAMPA DE ACESSIBILIDADE E PISO TÁTIL)")</f>
        <v>ADEQUAÇÃO DA CALÇADA (AUMENTAR A ÁREA PAVIMENTADA, FAZER RAMPA DE ACESSIBILIDADE E PISO TÁTIL)</v>
      </c>
      <c r="R100" s="5" t="str">
        <f>IFERROR(__xludf.DUMMYFUNCTION("""COMPUTED_VALUE"""),"SUBSTITUIR ABRIGO")</f>
        <v>SUBSTITUIR ABRIGO</v>
      </c>
      <c r="S100" s="7">
        <f>IFERROR(__xludf.DUMMYFUNCTION("""COMPUTED_VALUE"""),44566.0)</f>
        <v>44566</v>
      </c>
      <c r="T100" s="5"/>
      <c r="U100" s="7">
        <f>IFERROR(__xludf.DUMMYFUNCTION("""COMPUTED_VALUE"""),44566.0)</f>
        <v>44566</v>
      </c>
      <c r="V100" s="9" t="str">
        <f>IFERROR(__xludf.DUMMYFUNCTION("""COMPUTED_VALUE"""),"https://drive.google.com/uc?id=1_g9Htq3wavqPYbb5DAVP5pKdRHLbolsJ")</f>
        <v>https://drive.google.com/uc?id=1_g9Htq3wavqPYbb5DAVP5pKdRHLbolsJ</v>
      </c>
      <c r="W100" s="5" t="str">
        <f>IFERROR(__xludf.DUMMYFUNCTION("""COMPUTED_VALUE"""),"NÃO")</f>
        <v>NÃO</v>
      </c>
      <c r="X100" s="5" t="str">
        <f>IFERROR(__xludf.DUMMYFUNCTION("""COMPUTED_VALUE"""),"NÃO SE APLICA")</f>
        <v>NÃO SE APLICA</v>
      </c>
    </row>
    <row r="101">
      <c r="A101" s="5">
        <f>IFERROR(__xludf.DUMMYFUNCTION("""COMPUTED_VALUE"""),8.0)</f>
        <v>8</v>
      </c>
      <c r="B101" s="5" t="str">
        <f>IFERROR(__xludf.DUMMYFUNCTION("""COMPUTED_VALUE"""),"RD005")</f>
        <v>RD005</v>
      </c>
      <c r="C101" s="5" t="str">
        <f>IFERROR(__xludf.DUMMYFUNCTION("""COMPUTED_VALUE"""),"ABRIGO EUCALIPTO PEQUENO PORTE")</f>
        <v>ABRIGO EUCALIPTO PEQUENO PORTE</v>
      </c>
      <c r="D101" s="5" t="str">
        <f>IFERROR(__xludf.DUMMYFUNCTION("""COMPUTED_VALUE"""),"FIXADA EM POSTE")</f>
        <v>FIXADA EM POSTE</v>
      </c>
      <c r="E101" s="5" t="str">
        <f>IFERROR(__xludf.DUMMYFUNCTION("""COMPUTED_VALUE"""),"SEM BAIA")</f>
        <v>SEM BAIA</v>
      </c>
      <c r="F101" s="5" t="str">
        <f>IFERROR(__xludf.DUMMYFUNCTION("""COMPUTED_VALUE"""),"NÃO")</f>
        <v>NÃO</v>
      </c>
      <c r="G101" s="5" t="str">
        <f>IFERROR(__xludf.DUMMYFUNCTION("""COMPUTED_VALUE"""),"NÃO")</f>
        <v>NÃO</v>
      </c>
      <c r="H101" s="5" t="str">
        <f>IFERROR(__xludf.DUMMYFUNCTION("""COMPUTED_VALUE"""),"PAVIMENTADA")</f>
        <v>PAVIMENTADA</v>
      </c>
      <c r="I101" s="6" t="str">
        <f>IFERROR(__xludf.DUMMYFUNCTION("""COMPUTED_VALUE"""),"-9.572881")</f>
        <v>-9.572881</v>
      </c>
      <c r="J101" s="6" t="str">
        <f>IFERROR(__xludf.DUMMYFUNCTION("""COMPUTED_VALUE"""),"-35.655190")</f>
        <v>-35.655190</v>
      </c>
      <c r="K101" s="5" t="str">
        <f>IFERROR(__xludf.DUMMYFUNCTION("""COMPUTED_VALUE"""),"AV. GEN. LUIZ DE FRANÇA ALBUQUERQUE – RODOVIA AL-101 NORTE, 1013")</f>
        <v>AV. GEN. LUIZ DE FRANÇA ALBUQUERQUE – RODOVIA AL-101 NORTE, 1013</v>
      </c>
      <c r="L101" s="5" t="str">
        <f>IFERROR(__xludf.DUMMYFUNCTION("""COMPUTED_VALUE"""),"RODOVIAS")</f>
        <v>RODOVIAS</v>
      </c>
      <c r="M101" s="5" t="str">
        <f>IFERROR(__xludf.DUMMYFUNCTION("""COMPUTED_VALUE"""),"RIACHO DOCE")</f>
        <v>RIACHO DOCE</v>
      </c>
      <c r="N101" s="5" t="str">
        <f>IFERROR(__xludf.DUMMYFUNCTION("""COMPUTED_VALUE"""),"BAIRRO - CENTRO")</f>
        <v>BAIRRO - CENTRO</v>
      </c>
      <c r="O101" s="5" t="str">
        <f>IFERROR(__xludf.DUMMYFUNCTION("""COMPUTED_VALUE"""),"EM FRENTE A AUTO MECÂNICA")</f>
        <v>EM FRENTE A AUTO MECÂNICA</v>
      </c>
      <c r="P101" s="5" t="str">
        <f>IFERROR(__xludf.DUMMYFUNCTION("""COMPUTED_VALUE"""),"PRIORIDADE ALTA")</f>
        <v>PRIORIDADE ALTA</v>
      </c>
      <c r="Q101" s="5" t="str">
        <f>IFERROR(__xludf.DUMMYFUNCTION("""COMPUTED_VALUE"""),"IMPLANTAÇÃO DE ABRIGO, PINTURA DA BAIA NO ASFALTO, PAVIMENTAÇÃO E ADEQUAÇÃO DA CALÇADA (RAMPA DE ACESSIBILIDADE E PISO TÁTIL), LIMPEZA DA VEGETAÇÃO")</f>
        <v>IMPLANTAÇÃO DE ABRIGO, PINTURA DA BAIA NO ASFALTO, PAVIMENTAÇÃO E ADEQUAÇÃO DA CALÇADA (RAMPA DE ACESSIBILIDADE E PISO TÁTIL), LIMPEZA DA VEGETAÇÃO</v>
      </c>
      <c r="R101" s="5" t="str">
        <f>IFERROR(__xludf.DUMMYFUNCTION("""COMPUTED_VALUE"""),"IMPLANTAR ABRIGO")</f>
        <v>IMPLANTAR ABRIGO</v>
      </c>
      <c r="S101" s="7">
        <f>IFERROR(__xludf.DUMMYFUNCTION("""COMPUTED_VALUE"""),44567.0)</f>
        <v>44567</v>
      </c>
      <c r="T101" s="5"/>
      <c r="U101" s="7">
        <f>IFERROR(__xludf.DUMMYFUNCTION("""COMPUTED_VALUE"""),44567.0)</f>
        <v>44567</v>
      </c>
      <c r="V101" s="9" t="str">
        <f>IFERROR(__xludf.DUMMYFUNCTION("""COMPUTED_VALUE"""),"https://drive.google.com/uc?id=1hcxFoQaN55KsqU5Zy1tAavvh_FRxEHlG")</f>
        <v>https://drive.google.com/uc?id=1hcxFoQaN55KsqU5Zy1tAavvh_FRxEHlG</v>
      </c>
      <c r="W101" s="5" t="str">
        <f>IFERROR(__xludf.DUMMYFUNCTION("""COMPUTED_VALUE"""),"NÃO")</f>
        <v>NÃO</v>
      </c>
      <c r="X101" s="5" t="str">
        <f>IFERROR(__xludf.DUMMYFUNCTION("""COMPUTED_VALUE"""),"SIM")</f>
        <v>SIM</v>
      </c>
    </row>
    <row r="102" hidden="1">
      <c r="A102" s="5">
        <f>IFERROR(__xludf.DUMMYFUNCTION("""COMPUTED_VALUE"""),8.0)</f>
        <v>8</v>
      </c>
      <c r="B102" s="5" t="str">
        <f>IFERROR(__xludf.DUMMYFUNCTION("""COMPUTED_VALUE"""),"RD006")</f>
        <v>RD006</v>
      </c>
      <c r="C102" s="5" t="str">
        <f>IFERROR(__xludf.DUMMYFUNCTION("""COMPUTED_VALUE"""),"NÃO POSSUI")</f>
        <v>NÃO POSSUI</v>
      </c>
      <c r="D102" s="5" t="str">
        <f>IFERROR(__xludf.DUMMYFUNCTION("""COMPUTED_VALUE"""),"SEM PLACA")</f>
        <v>SEM PLACA</v>
      </c>
      <c r="E102" s="5" t="str">
        <f>IFERROR(__xludf.DUMMYFUNCTION("""COMPUTED_VALUE"""),"SEM BAIA")</f>
        <v>SEM BAIA</v>
      </c>
      <c r="F102" s="5" t="str">
        <f>IFERROR(__xludf.DUMMYFUNCTION("""COMPUTED_VALUE"""),"NÃO")</f>
        <v>NÃO</v>
      </c>
      <c r="G102" s="5" t="str">
        <f>IFERROR(__xludf.DUMMYFUNCTION("""COMPUTED_VALUE"""),"NÃO")</f>
        <v>NÃO</v>
      </c>
      <c r="H102" s="5" t="str">
        <f>IFERROR(__xludf.DUMMYFUNCTION("""COMPUTED_VALUE"""),"NÃO PAVIMENTADA")</f>
        <v>NÃO PAVIMENTADA</v>
      </c>
      <c r="I102" s="6" t="str">
        <f>IFERROR(__xludf.DUMMYFUNCTION("""COMPUTED_VALUE"""),"-9.572433")</f>
        <v>-9.572433</v>
      </c>
      <c r="J102" s="6" t="str">
        <f>IFERROR(__xludf.DUMMYFUNCTION("""COMPUTED_VALUE"""),"-35.654694")</f>
        <v>-35.654694</v>
      </c>
      <c r="K102" s="5" t="str">
        <f>IFERROR(__xludf.DUMMYFUNCTION("""COMPUTED_VALUE"""),"AV. GEN. LUIZ DE FRANÇA ALBUQUERQUE – RODOVIA AL-101 NORTE, 1013")</f>
        <v>AV. GEN. LUIZ DE FRANÇA ALBUQUERQUE – RODOVIA AL-101 NORTE, 1013</v>
      </c>
      <c r="L102" s="5" t="str">
        <f>IFERROR(__xludf.DUMMYFUNCTION("""COMPUTED_VALUE"""),"RODOVIAS")</f>
        <v>RODOVIAS</v>
      </c>
      <c r="M102" s="5" t="str">
        <f>IFERROR(__xludf.DUMMYFUNCTION("""COMPUTED_VALUE"""),"RIACHO DOCE")</f>
        <v>RIACHO DOCE</v>
      </c>
      <c r="N102" s="5" t="str">
        <f>IFERROR(__xludf.DUMMYFUNCTION("""COMPUTED_VALUE"""),"CENTRO - BAIRRO")</f>
        <v>CENTRO - BAIRRO</v>
      </c>
      <c r="O102" s="5" t="str">
        <f>IFERROR(__xludf.DUMMYFUNCTION("""COMPUTED_VALUE"""),"EM FRENTE A AUTO MECÂNICA")</f>
        <v>EM FRENTE A AUTO MECÂNICA</v>
      </c>
      <c r="P102" s="5" t="str">
        <f>IFERROR(__xludf.DUMMYFUNCTION("""COMPUTED_VALUE"""),"PRIORIDADE ALTA")</f>
        <v>PRIORIDADE ALTA</v>
      </c>
      <c r="Q102" s="5" t="str">
        <f>IFERROR(__xludf.DUMMYFUNCTION("""COMPUTED_VALUE"""),"IMPLANTAÇÃO DE ABRIGO E PLACA FIXADA EM POSTE, PINTURA DA BAIA NO ASFALTO, PAVIMENTAÇÃO E ADEQUAÇÃO DA CALÇADA (RAMPA DE ACESSIBILIDADE E PISO TÁTIL)")</f>
        <v>IMPLANTAÇÃO DE ABRIGO E PLACA FIXADA EM POSTE, PINTURA DA BAIA NO ASFALTO, PAVIMENTAÇÃO E ADEQUAÇÃO DA CALÇADA (RAMPA DE ACESSIBILIDADE E PISO TÁTIL)</v>
      </c>
      <c r="R102" s="5" t="str">
        <f>IFERROR(__xludf.DUMMYFUNCTION("""COMPUTED_VALUE"""),"IMPLANTAR ABRIGO")</f>
        <v>IMPLANTAR ABRIGO</v>
      </c>
      <c r="S102" s="7">
        <f>IFERROR(__xludf.DUMMYFUNCTION("""COMPUTED_VALUE"""),44568.0)</f>
        <v>44568</v>
      </c>
      <c r="T102" s="5"/>
      <c r="U102" s="7">
        <f>IFERROR(__xludf.DUMMYFUNCTION("""COMPUTED_VALUE"""),44568.0)</f>
        <v>44568</v>
      </c>
      <c r="V102" s="9" t="str">
        <f>IFERROR(__xludf.DUMMYFUNCTION("""COMPUTED_VALUE"""),"https://drive.google.com/uc?id=1bB-xHJzmses1byasoLZSUqflAgv70jkl")</f>
        <v>https://drive.google.com/uc?id=1bB-xHJzmses1byasoLZSUqflAgv70jkl</v>
      </c>
      <c r="W102" s="5" t="str">
        <f>IFERROR(__xludf.DUMMYFUNCTION("""COMPUTED_VALUE"""),"NÃO")</f>
        <v>NÃO</v>
      </c>
      <c r="X102" s="5" t="str">
        <f>IFERROR(__xludf.DUMMYFUNCTION("""COMPUTED_VALUE"""),"NÃO SE APLICA")</f>
        <v>NÃO SE APLICA</v>
      </c>
    </row>
    <row r="103" hidden="1">
      <c r="A103" s="5">
        <f>IFERROR(__xludf.DUMMYFUNCTION("""COMPUTED_VALUE"""),8.0)</f>
        <v>8</v>
      </c>
      <c r="B103" s="5" t="str">
        <f>IFERROR(__xludf.DUMMYFUNCTION("""COMPUTED_VALUE"""),"RD007")</f>
        <v>RD007</v>
      </c>
      <c r="C103" s="5" t="str">
        <f>IFERROR(__xludf.DUMMYFUNCTION("""COMPUTED_VALUE"""),"NÃO POSSUI")</f>
        <v>NÃO POSSUI</v>
      </c>
      <c r="D103" s="5" t="str">
        <f>IFERROR(__xludf.DUMMYFUNCTION("""COMPUTED_VALUE"""),"SEM PLACA")</f>
        <v>SEM PLACA</v>
      </c>
      <c r="E103" s="5" t="str">
        <f>IFERROR(__xludf.DUMMYFUNCTION("""COMPUTED_VALUE"""),"SEM BAIA")</f>
        <v>SEM BAIA</v>
      </c>
      <c r="F103" s="5" t="str">
        <f>IFERROR(__xludf.DUMMYFUNCTION("""COMPUTED_VALUE"""),"NÃO")</f>
        <v>NÃO</v>
      </c>
      <c r="G103" s="5" t="str">
        <f>IFERROR(__xludf.DUMMYFUNCTION("""COMPUTED_VALUE"""),"NÃO")</f>
        <v>NÃO</v>
      </c>
      <c r="H103" s="5" t="str">
        <f>IFERROR(__xludf.DUMMYFUNCTION("""COMPUTED_VALUE"""),"NÃO PAVIMENTADA")</f>
        <v>NÃO PAVIMENTADA</v>
      </c>
      <c r="I103" s="6" t="str">
        <f>IFERROR(__xludf.DUMMYFUNCTION("""COMPUTED_VALUE"""),"-9.567604")</f>
        <v>-9.567604</v>
      </c>
      <c r="J103" s="6" t="str">
        <f>IFERROR(__xludf.DUMMYFUNCTION("""COMPUTED_VALUE"""),"-35.651190")</f>
        <v>-35.651190</v>
      </c>
      <c r="K103" s="5" t="str">
        <f>IFERROR(__xludf.DUMMYFUNCTION("""COMPUTED_VALUE"""),"AV. GEN. LUIZ DE FRANÇA ALBUQUERQUE – RODOVIA AL-101 NORTE, S/N")</f>
        <v>AV. GEN. LUIZ DE FRANÇA ALBUQUERQUE – RODOVIA AL-101 NORTE, S/N</v>
      </c>
      <c r="L103" s="5" t="str">
        <f>IFERROR(__xludf.DUMMYFUNCTION("""COMPUTED_VALUE"""),"RODOVIAS")</f>
        <v>RODOVIAS</v>
      </c>
      <c r="M103" s="5" t="str">
        <f>IFERROR(__xludf.DUMMYFUNCTION("""COMPUTED_VALUE"""),"RIACHO DOCE")</f>
        <v>RIACHO DOCE</v>
      </c>
      <c r="N103" s="5" t="str">
        <f>IFERROR(__xludf.DUMMYFUNCTION("""COMPUTED_VALUE"""),"BAIRRO - CENTRO")</f>
        <v>BAIRRO - CENTRO</v>
      </c>
      <c r="O103" s="5" t="str">
        <f>IFERROR(__xludf.DUMMYFUNCTION("""COMPUTED_VALUE"""),"PRÓXIMO A PONTE DO RIO PRATAGY")</f>
        <v>PRÓXIMO A PONTE DO RIO PRATAGY</v>
      </c>
      <c r="P103" s="5" t="str">
        <f>IFERROR(__xludf.DUMMYFUNCTION("""COMPUTED_VALUE"""),"PRIORIDADE ALTA")</f>
        <v>PRIORIDADE ALTA</v>
      </c>
      <c r="Q103" s="5" t="str">
        <f>IFERROR(__xludf.DUMMYFUNCTION("""COMPUTED_VALUE"""),"IMPLANTAÇÃO DE ABRIGO E PLACA FIXADA EM POSTE, PINTURA DA BAIA NO ASFALTO, PAVIMENTAÇÃO E ADEQUAÇÃO DA CALÇADA (RAMPA DE ACESSIBILIDADE E PISO TÁTIL), LIMPEZA DA VEGETAÇÃO")</f>
        <v>IMPLANTAÇÃO DE ABRIGO E PLACA FIXADA EM POSTE, PINTURA DA BAIA NO ASFALTO, PAVIMENTAÇÃO E ADEQUAÇÃO DA CALÇADA (RAMPA DE ACESSIBILIDADE E PISO TÁTIL), LIMPEZA DA VEGETAÇÃO</v>
      </c>
      <c r="R103" s="5" t="str">
        <f>IFERROR(__xludf.DUMMYFUNCTION("""COMPUTED_VALUE"""),"NENHUMA DAS OPÇÕES")</f>
        <v>NENHUMA DAS OPÇÕES</v>
      </c>
      <c r="S103" s="7">
        <f>IFERROR(__xludf.DUMMYFUNCTION("""COMPUTED_VALUE"""),44569.0)</f>
        <v>44569</v>
      </c>
      <c r="T103" s="5"/>
      <c r="U103" s="7">
        <f>IFERROR(__xludf.DUMMYFUNCTION("""COMPUTED_VALUE"""),44569.0)</f>
        <v>44569</v>
      </c>
      <c r="V103" s="9" t="str">
        <f>IFERROR(__xludf.DUMMYFUNCTION("""COMPUTED_VALUE"""),"https://drive.google.com/uc?id=16z00JxTIMxkUGOdJzZ78MwIi2-RAGiwf")</f>
        <v>https://drive.google.com/uc?id=16z00JxTIMxkUGOdJzZ78MwIi2-RAGiwf</v>
      </c>
      <c r="W103" s="5" t="str">
        <f>IFERROR(__xludf.DUMMYFUNCTION("""COMPUTED_VALUE"""),"NÃO")</f>
        <v>NÃO</v>
      </c>
      <c r="X103" s="5" t="str">
        <f>IFERROR(__xludf.DUMMYFUNCTION("""COMPUTED_VALUE"""),"NÃO SE APLICA")</f>
        <v>NÃO SE APLICA</v>
      </c>
    </row>
    <row r="104" hidden="1">
      <c r="A104" s="5">
        <f>IFERROR(__xludf.DUMMYFUNCTION("""COMPUTED_VALUE"""),8.0)</f>
        <v>8</v>
      </c>
      <c r="B104" s="5" t="str">
        <f>IFERROR(__xludf.DUMMYFUNCTION("""COMPUTED_VALUE"""),"RD008")</f>
        <v>RD008</v>
      </c>
      <c r="C104" s="5" t="str">
        <f>IFERROR(__xludf.DUMMYFUNCTION("""COMPUTED_VALUE"""),"NÃO POSSUI")</f>
        <v>NÃO POSSUI</v>
      </c>
      <c r="D104" s="5" t="str">
        <f>IFERROR(__xludf.DUMMYFUNCTION("""COMPUTED_VALUE"""),"SEM PLACA")</f>
        <v>SEM PLACA</v>
      </c>
      <c r="E104" s="5" t="str">
        <f>IFERROR(__xludf.DUMMYFUNCTION("""COMPUTED_VALUE"""),"SEM BAIA")</f>
        <v>SEM BAIA</v>
      </c>
      <c r="F104" s="5" t="str">
        <f>IFERROR(__xludf.DUMMYFUNCTION("""COMPUTED_VALUE"""),"NÃO")</f>
        <v>NÃO</v>
      </c>
      <c r="G104" s="5" t="str">
        <f>IFERROR(__xludf.DUMMYFUNCTION("""COMPUTED_VALUE"""),"NÃO")</f>
        <v>NÃO</v>
      </c>
      <c r="H104" s="5" t="str">
        <f>IFERROR(__xludf.DUMMYFUNCTION("""COMPUTED_VALUE"""),"NÃO PAVIMENTADA")</f>
        <v>NÃO PAVIMENTADA</v>
      </c>
      <c r="I104" s="6" t="str">
        <f>IFERROR(__xludf.DUMMYFUNCTION("""COMPUTED_VALUE"""),"-9.567459")</f>
        <v>-9.567459</v>
      </c>
      <c r="J104" s="6" t="str">
        <f>IFERROR(__xludf.DUMMYFUNCTION("""COMPUTED_VALUE"""),"-35.650826")</f>
        <v>-35.650826</v>
      </c>
      <c r="K104" s="5" t="str">
        <f>IFERROR(__xludf.DUMMYFUNCTION("""COMPUTED_VALUE"""),"AV. GEN. LUIZ DE FRANÇA ALBUQUERQUE – RODOVIA AL-101 NORTE, S/N")</f>
        <v>AV. GEN. LUIZ DE FRANÇA ALBUQUERQUE – RODOVIA AL-101 NORTE, S/N</v>
      </c>
      <c r="L104" s="5" t="str">
        <f>IFERROR(__xludf.DUMMYFUNCTION("""COMPUTED_VALUE"""),"RODOVIAS")</f>
        <v>RODOVIAS</v>
      </c>
      <c r="M104" s="5" t="str">
        <f>IFERROR(__xludf.DUMMYFUNCTION("""COMPUTED_VALUE"""),"RIACHO DOCE")</f>
        <v>RIACHO DOCE</v>
      </c>
      <c r="N104" s="5" t="str">
        <f>IFERROR(__xludf.DUMMYFUNCTION("""COMPUTED_VALUE"""),"CENTRO - BAIRRO")</f>
        <v>CENTRO - BAIRRO</v>
      </c>
      <c r="O104" s="5" t="str">
        <f>IFERROR(__xludf.DUMMYFUNCTION("""COMPUTED_VALUE"""),"PRÓXIMO A PONTE DO RIO PRATAGY")</f>
        <v>PRÓXIMO A PONTE DO RIO PRATAGY</v>
      </c>
      <c r="P104" s="5" t="str">
        <f>IFERROR(__xludf.DUMMYFUNCTION("""COMPUTED_VALUE"""),"PRIORIDADE ALTA")</f>
        <v>PRIORIDADE ALTA</v>
      </c>
      <c r="Q104" s="5" t="str">
        <f>IFERROR(__xludf.DUMMYFUNCTION("""COMPUTED_VALUE"""),"IMPLANTAÇÃO DE ABRIGO E PLACA FIXADA EM POSTE, PINTURA DA BAIA NO ASFALTO, PAVIMENTAÇÃO E ADEQUAÇÃO DA CALÇADA (RAMPA DE ACESSIBILIDADE E PISO TÁTIL), LIMPEZA DA VEGETAÇÃO")</f>
        <v>IMPLANTAÇÃO DE ABRIGO E PLACA FIXADA EM POSTE, PINTURA DA BAIA NO ASFALTO, PAVIMENTAÇÃO E ADEQUAÇÃO DA CALÇADA (RAMPA DE ACESSIBILIDADE E PISO TÁTIL), LIMPEZA DA VEGETAÇÃO</v>
      </c>
      <c r="R104" s="5" t="str">
        <f>IFERROR(__xludf.DUMMYFUNCTION("""COMPUTED_VALUE"""),"NENHUMA DAS OPÇÕES")</f>
        <v>NENHUMA DAS OPÇÕES</v>
      </c>
      <c r="S104" s="7">
        <f>IFERROR(__xludf.DUMMYFUNCTION("""COMPUTED_VALUE"""),44570.0)</f>
        <v>44570</v>
      </c>
      <c r="T104" s="5"/>
      <c r="U104" s="7">
        <f>IFERROR(__xludf.DUMMYFUNCTION("""COMPUTED_VALUE"""),44570.0)</f>
        <v>44570</v>
      </c>
      <c r="V104" s="9" t="str">
        <f>IFERROR(__xludf.DUMMYFUNCTION("""COMPUTED_VALUE"""),"https://drive.google.com/uc?id=1VJ6P3xpZLlzqvBt5EGJoQa5W3d1j7ufh")</f>
        <v>https://drive.google.com/uc?id=1VJ6P3xpZLlzqvBt5EGJoQa5W3d1j7ufh</v>
      </c>
      <c r="W104" s="5" t="str">
        <f>IFERROR(__xludf.DUMMYFUNCTION("""COMPUTED_VALUE"""),"NÃO")</f>
        <v>NÃO</v>
      </c>
      <c r="X104" s="5" t="str">
        <f>IFERROR(__xludf.DUMMYFUNCTION("""COMPUTED_VALUE"""),"NÃO SE APLICA")</f>
        <v>NÃO SE APLICA</v>
      </c>
    </row>
    <row r="105">
      <c r="A105" s="5">
        <f>IFERROR(__xludf.DUMMYFUNCTION("""COMPUTED_VALUE"""),8.0)</f>
        <v>8</v>
      </c>
      <c r="B105" s="5" t="str">
        <f>IFERROR(__xludf.DUMMYFUNCTION("""COMPUTED_VALUE"""),"RD009")</f>
        <v>RD009</v>
      </c>
      <c r="C105" s="5" t="str">
        <f>IFERROR(__xludf.DUMMYFUNCTION("""COMPUTED_VALUE"""),"ABRIGO CONCRETO")</f>
        <v>ABRIGO CONCRETO</v>
      </c>
      <c r="D105" s="5" t="str">
        <f>IFERROR(__xludf.DUMMYFUNCTION("""COMPUTED_VALUE"""),"SEM PLACA")</f>
        <v>SEM PLACA</v>
      </c>
      <c r="E105" s="5" t="str">
        <f>IFERROR(__xludf.DUMMYFUNCTION("""COMPUTED_VALUE"""),"SEM BAIA")</f>
        <v>SEM BAIA</v>
      </c>
      <c r="F105" s="5" t="str">
        <f>IFERROR(__xludf.DUMMYFUNCTION("""COMPUTED_VALUE"""),"NÃO")</f>
        <v>NÃO</v>
      </c>
      <c r="G105" s="5" t="str">
        <f>IFERROR(__xludf.DUMMYFUNCTION("""COMPUTED_VALUE"""),"NÃO")</f>
        <v>NÃO</v>
      </c>
      <c r="H105" s="5" t="str">
        <f>IFERROR(__xludf.DUMMYFUNCTION("""COMPUTED_VALUE"""),"NÃO PAVIMENTADA")</f>
        <v>NÃO PAVIMENTADA</v>
      </c>
      <c r="I105" s="6" t="str">
        <f>IFERROR(__xludf.DUMMYFUNCTION("""COMPUTED_VALUE"""),"-9.564859")</f>
        <v>-9.564859</v>
      </c>
      <c r="J105" s="6" t="str">
        <f>IFERROR(__xludf.DUMMYFUNCTION("""COMPUTED_VALUE"""),"-35.647479")</f>
        <v>-35.647479</v>
      </c>
      <c r="K105" s="5" t="str">
        <f>IFERROR(__xludf.DUMMYFUNCTION("""COMPUTED_VALUE"""),"AV. GEN. LUIZ DE FRANÇA ALBUQUERQUE – RODOVIA AL-101 NORTE, S/N")</f>
        <v>AV. GEN. LUIZ DE FRANÇA ALBUQUERQUE – RODOVIA AL-101 NORTE, S/N</v>
      </c>
      <c r="L105" s="5" t="str">
        <f>IFERROR(__xludf.DUMMYFUNCTION("""COMPUTED_VALUE"""),"RODOVIAS")</f>
        <v>RODOVIAS</v>
      </c>
      <c r="M105" s="5" t="str">
        <f>IFERROR(__xludf.DUMMYFUNCTION("""COMPUTED_VALUE"""),"RIACHO DOCE")</f>
        <v>RIACHO DOCE</v>
      </c>
      <c r="N105" s="5" t="str">
        <f>IFERROR(__xludf.DUMMYFUNCTION("""COMPUTED_VALUE"""),"BAIRRO - CENTRO")</f>
        <v>BAIRRO - CENTRO</v>
      </c>
      <c r="O105" s="5" t="str">
        <f>IFERROR(__xludf.DUMMYFUNCTION("""COMPUTED_VALUE"""),"EM FRENTE A ENTRADA DA BOCA DO RIO - PRAIA DA SEREIA")</f>
        <v>EM FRENTE A ENTRADA DA BOCA DO RIO - PRAIA DA SEREIA</v>
      </c>
      <c r="P105" s="5" t="str">
        <f>IFERROR(__xludf.DUMMYFUNCTION("""COMPUTED_VALUE"""),"PRIORIDADE ALTA")</f>
        <v>PRIORIDADE ALTA</v>
      </c>
      <c r="Q105" s="5" t="str">
        <f>IFERROR(__xludf.DUMMYFUNCTION("""COMPUTED_VALUE"""),"PAVIMENTAÇÃO E ADEQUAÇÃO DA CALÇADA (RAMPA DE ACESSIBILIDADE E PISO TÁTIL)")</f>
        <v>PAVIMENTAÇÃO E ADEQUAÇÃO DA CALÇADA (RAMPA DE ACESSIBILIDADE E PISO TÁTIL)</v>
      </c>
      <c r="R105" s="5" t="str">
        <f>IFERROR(__xludf.DUMMYFUNCTION("""COMPUTED_VALUE"""),"SUBSTITUIR ABRIGO")</f>
        <v>SUBSTITUIR ABRIGO</v>
      </c>
      <c r="S105" s="7">
        <f>IFERROR(__xludf.DUMMYFUNCTION("""COMPUTED_VALUE"""),44571.0)</f>
        <v>44571</v>
      </c>
      <c r="T105" s="5"/>
      <c r="U105" s="7">
        <f>IFERROR(__xludf.DUMMYFUNCTION("""COMPUTED_VALUE"""),44571.0)</f>
        <v>44571</v>
      </c>
      <c r="V105" s="9" t="str">
        <f>IFERROR(__xludf.DUMMYFUNCTION("""COMPUTED_VALUE"""),"https://drive.google.com/uc?id=1cNrWG4WLTdqqKR7GSIcmbsuRkR2hZtH5")</f>
        <v>https://drive.google.com/uc?id=1cNrWG4WLTdqqKR7GSIcmbsuRkR2hZtH5</v>
      </c>
      <c r="W105" s="5" t="str">
        <f>IFERROR(__xludf.DUMMYFUNCTION("""COMPUTED_VALUE"""),"NÃO")</f>
        <v>NÃO</v>
      </c>
      <c r="X105" s="5" t="str">
        <f>IFERROR(__xludf.DUMMYFUNCTION("""COMPUTED_VALUE"""),"NÃO SE APLICA")</f>
        <v>NÃO SE APLICA</v>
      </c>
    </row>
    <row r="106" hidden="1">
      <c r="A106" s="5">
        <f>IFERROR(__xludf.DUMMYFUNCTION("""COMPUTED_VALUE"""),8.0)</f>
        <v>8</v>
      </c>
      <c r="B106" s="5" t="str">
        <f>IFERROR(__xludf.DUMMYFUNCTION("""COMPUTED_VALUE"""),"RD010")</f>
        <v>RD010</v>
      </c>
      <c r="C106" s="5" t="str">
        <f>IFERROR(__xludf.DUMMYFUNCTION("""COMPUTED_VALUE"""),"NÃO POSSUI")</f>
        <v>NÃO POSSUI</v>
      </c>
      <c r="D106" s="5" t="str">
        <f>IFERROR(__xludf.DUMMYFUNCTION("""COMPUTED_VALUE"""),"FIXADA EM POSTE")</f>
        <v>FIXADA EM POSTE</v>
      </c>
      <c r="E106" s="5" t="str">
        <f>IFERROR(__xludf.DUMMYFUNCTION("""COMPUTED_VALUE"""),"SEM BAIA")</f>
        <v>SEM BAIA</v>
      </c>
      <c r="F106" s="5" t="str">
        <f>IFERROR(__xludf.DUMMYFUNCTION("""COMPUTED_VALUE"""),"NÃO")</f>
        <v>NÃO</v>
      </c>
      <c r="G106" s="5" t="str">
        <f>IFERROR(__xludf.DUMMYFUNCTION("""COMPUTED_VALUE"""),"NÃO")</f>
        <v>NÃO</v>
      </c>
      <c r="H106" s="5" t="str">
        <f>IFERROR(__xludf.DUMMYFUNCTION("""COMPUTED_VALUE"""),"PAVIMENTADA COM AVARIAS")</f>
        <v>PAVIMENTADA COM AVARIAS</v>
      </c>
      <c r="I106" s="6" t="str">
        <f>IFERROR(__xludf.DUMMYFUNCTION("""COMPUTED_VALUE"""),"-9.564885")</f>
        <v>-9.564885</v>
      </c>
      <c r="J106" s="6" t="str">
        <f>IFERROR(__xludf.DUMMYFUNCTION("""COMPUTED_VALUE"""),"-35.647253")</f>
        <v>-35.647253</v>
      </c>
      <c r="K106" s="5" t="str">
        <f>IFERROR(__xludf.DUMMYFUNCTION("""COMPUTED_VALUE"""),"AV. GEN. LUIZ DE FRANÇA ALBUQUERQUE – RODOVIA AL-101 NORTE, S/N")</f>
        <v>AV. GEN. LUIZ DE FRANÇA ALBUQUERQUE – RODOVIA AL-101 NORTE, S/N</v>
      </c>
      <c r="L106" s="5" t="str">
        <f>IFERROR(__xludf.DUMMYFUNCTION("""COMPUTED_VALUE"""),"RODOVIAS")</f>
        <v>RODOVIAS</v>
      </c>
      <c r="M106" s="5" t="str">
        <f>IFERROR(__xludf.DUMMYFUNCTION("""COMPUTED_VALUE"""),"RIACHO DOCE")</f>
        <v>RIACHO DOCE</v>
      </c>
      <c r="N106" s="5" t="str">
        <f>IFERROR(__xludf.DUMMYFUNCTION("""COMPUTED_VALUE"""),"CENTRO - BAIRRO")</f>
        <v>CENTRO - BAIRRO</v>
      </c>
      <c r="O106" s="5" t="str">
        <f>IFERROR(__xludf.DUMMYFUNCTION("""COMPUTED_VALUE"""),"EM FRENTE A ENTRADA DA BOCA DO RIO - PRAIA DA SEREIA")</f>
        <v>EM FRENTE A ENTRADA DA BOCA DO RIO - PRAIA DA SEREIA</v>
      </c>
      <c r="P106" s="5" t="str">
        <f>IFERROR(__xludf.DUMMYFUNCTION("""COMPUTED_VALUE"""),"PRIORIDADE ALTA")</f>
        <v>PRIORIDADE ALTA</v>
      </c>
      <c r="Q106" s="5" t="str">
        <f>IFERROR(__xludf.DUMMYFUNCTION("""COMPUTED_VALUE"""),"IMPLANTAÇÃO DE ABRIGO, PINTURA DA BAIA NO ASFALTO, PAVIMENTAÇÃO E ADEQUAÇÃO DA CALÇADA (RAMPA DE ACESSIBILIDADE E PISO TÁTIL), LIMPEZA DA VEGETAÇÃO")</f>
        <v>IMPLANTAÇÃO DE ABRIGO, PINTURA DA BAIA NO ASFALTO, PAVIMENTAÇÃO E ADEQUAÇÃO DA CALÇADA (RAMPA DE ACESSIBILIDADE E PISO TÁTIL), LIMPEZA DA VEGETAÇÃO</v>
      </c>
      <c r="R106" s="5" t="str">
        <f>IFERROR(__xludf.DUMMYFUNCTION("""COMPUTED_VALUE"""),"IMPLANTAR ABRIGO")</f>
        <v>IMPLANTAR ABRIGO</v>
      </c>
      <c r="S106" s="7">
        <f>IFERROR(__xludf.DUMMYFUNCTION("""COMPUTED_VALUE"""),44572.0)</f>
        <v>44572</v>
      </c>
      <c r="T106" s="5"/>
      <c r="U106" s="7">
        <f>IFERROR(__xludf.DUMMYFUNCTION("""COMPUTED_VALUE"""),44572.0)</f>
        <v>44572</v>
      </c>
      <c r="V106" s="9" t="str">
        <f>IFERROR(__xludf.DUMMYFUNCTION("""COMPUTED_VALUE"""),"https://drive.google.com/uc?id=1M07es6Vih0PXUEcEPyxiph5JVifPxhnn")</f>
        <v>https://drive.google.com/uc?id=1M07es6Vih0PXUEcEPyxiph5JVifPxhnn</v>
      </c>
      <c r="W106" s="5" t="str">
        <f>IFERROR(__xludf.DUMMYFUNCTION("""COMPUTED_VALUE"""),"NÃO")</f>
        <v>NÃO</v>
      </c>
      <c r="X106" s="5" t="str">
        <f>IFERROR(__xludf.DUMMYFUNCTION("""COMPUTED_VALUE"""),"NÃO SE APLICA")</f>
        <v>NÃO SE APLICA</v>
      </c>
    </row>
    <row r="107">
      <c r="A107" s="5">
        <f>IFERROR(__xludf.DUMMYFUNCTION("""COMPUTED_VALUE"""),8.0)</f>
        <v>8</v>
      </c>
      <c r="B107" s="5" t="str">
        <f>IFERROR(__xludf.DUMMYFUNCTION("""COMPUTED_VALUE"""),"RD011")</f>
        <v>RD011</v>
      </c>
      <c r="C107" s="5" t="str">
        <f>IFERROR(__xludf.DUMMYFUNCTION("""COMPUTED_VALUE"""),"ABRIGO METÁLICO PEQUENO PORTE")</f>
        <v>ABRIGO METÁLICO PEQUENO PORTE</v>
      </c>
      <c r="D107" s="5" t="str">
        <f>IFERROR(__xludf.DUMMYFUNCTION("""COMPUTED_VALUE"""),"SEM PLACA")</f>
        <v>SEM PLACA</v>
      </c>
      <c r="E107" s="5" t="str">
        <f>IFERROR(__xludf.DUMMYFUNCTION("""COMPUTED_VALUE"""),"SEM BAIA")</f>
        <v>SEM BAIA</v>
      </c>
      <c r="F107" s="5" t="str">
        <f>IFERROR(__xludf.DUMMYFUNCTION("""COMPUTED_VALUE"""),"NÃO")</f>
        <v>NÃO</v>
      </c>
      <c r="G107" s="5" t="str">
        <f>IFERROR(__xludf.DUMMYFUNCTION("""COMPUTED_VALUE"""),"NÃO")</f>
        <v>NÃO</v>
      </c>
      <c r="H107" s="5" t="str">
        <f>IFERROR(__xludf.DUMMYFUNCTION("""COMPUTED_VALUE"""),"NÃO PAVIMENTADA")</f>
        <v>NÃO PAVIMENTADA</v>
      </c>
      <c r="I107" s="6" t="str">
        <f>IFERROR(__xludf.DUMMYFUNCTION("""COMPUTED_VALUE"""),"-9.563767")</f>
        <v>-9.563767</v>
      </c>
      <c r="J107" s="6" t="str">
        <f>IFERROR(__xludf.DUMMYFUNCTION("""COMPUTED_VALUE"""),"-35.645728")</f>
        <v>-35.645728</v>
      </c>
      <c r="K107" s="5" t="str">
        <f>IFERROR(__xludf.DUMMYFUNCTION("""COMPUTED_VALUE"""),"AV. GEN. LUIZ DE FRANÇA ALBUQUERQUE – RODOVIA AL-101 NORTE, S/N")</f>
        <v>AV. GEN. LUIZ DE FRANÇA ALBUQUERQUE – RODOVIA AL-101 NORTE, S/N</v>
      </c>
      <c r="L107" s="5" t="str">
        <f>IFERROR(__xludf.DUMMYFUNCTION("""COMPUTED_VALUE"""),"RODOVIAS")</f>
        <v>RODOVIAS</v>
      </c>
      <c r="M107" s="5" t="str">
        <f>IFERROR(__xludf.DUMMYFUNCTION("""COMPUTED_VALUE"""),"RIACHO DOCE")</f>
        <v>RIACHO DOCE</v>
      </c>
      <c r="N107" s="5" t="str">
        <f>IFERROR(__xludf.DUMMYFUNCTION("""COMPUTED_VALUE"""),"CENTRO - BAIRRO")</f>
        <v>CENTRO - BAIRRO</v>
      </c>
      <c r="O107" s="5" t="str">
        <f>IFERROR(__xludf.DUMMYFUNCTION("""COMPUTED_VALUE"""),"PRÓXIMO A PRAIA DA SEREIA")</f>
        <v>PRÓXIMO A PRAIA DA SEREIA</v>
      </c>
      <c r="P107" s="5" t="str">
        <f>IFERROR(__xludf.DUMMYFUNCTION("""COMPUTED_VALUE"""),"PRIORIDADE ALTA")</f>
        <v>PRIORIDADE ALTA</v>
      </c>
      <c r="Q107" s="5" t="str">
        <f>IFERROR(__xludf.DUMMYFUNCTION("""COMPUTED_VALUE"""),"LIMPEZA DA VEGETAÇÃO")</f>
        <v>LIMPEZA DA VEGETAÇÃO</v>
      </c>
      <c r="R107" s="5" t="str">
        <f>IFERROR(__xludf.DUMMYFUNCTION("""COMPUTED_VALUE"""),"NENHUMA DAS OPÇÕES")</f>
        <v>NENHUMA DAS OPÇÕES</v>
      </c>
      <c r="S107" s="7">
        <f>IFERROR(__xludf.DUMMYFUNCTION("""COMPUTED_VALUE"""),44573.0)</f>
        <v>44573</v>
      </c>
      <c r="T107" s="5"/>
      <c r="U107" s="7">
        <f>IFERROR(__xludf.DUMMYFUNCTION("""COMPUTED_VALUE"""),44573.0)</f>
        <v>44573</v>
      </c>
      <c r="V107" s="9" t="str">
        <f>IFERROR(__xludf.DUMMYFUNCTION("""COMPUTED_VALUE"""),"https://drive.google.com/uc?id=1WEABg7vXJtoDRp0QwPpwk9Z-Adl6J4zI")</f>
        <v>https://drive.google.com/uc?id=1WEABg7vXJtoDRp0QwPpwk9Z-Adl6J4zI</v>
      </c>
      <c r="W107" s="5" t="str">
        <f>IFERROR(__xludf.DUMMYFUNCTION("""COMPUTED_VALUE"""),"SIM")</f>
        <v>SIM</v>
      </c>
      <c r="X107" s="5" t="str">
        <f>IFERROR(__xludf.DUMMYFUNCTION("""COMPUTED_VALUE"""),"NÃO SE APLICA")</f>
        <v>NÃO SE APLICA</v>
      </c>
    </row>
    <row r="108" hidden="1">
      <c r="A108" s="5">
        <f>IFERROR(__xludf.DUMMYFUNCTION("""COMPUTED_VALUE"""),8.0)</f>
        <v>8</v>
      </c>
      <c r="B108" s="5" t="str">
        <f>IFERROR(__xludf.DUMMYFUNCTION("""COMPUTED_VALUE"""),"RD012")</f>
        <v>RD012</v>
      </c>
      <c r="C108" s="5" t="str">
        <f>IFERROR(__xludf.DUMMYFUNCTION("""COMPUTED_VALUE"""),"NÃO POSSUI")</f>
        <v>NÃO POSSUI</v>
      </c>
      <c r="D108" s="5" t="str">
        <f>IFERROR(__xludf.DUMMYFUNCTION("""COMPUTED_VALUE"""),"SEM PLACA")</f>
        <v>SEM PLACA</v>
      </c>
      <c r="E108" s="5" t="str">
        <f>IFERROR(__xludf.DUMMYFUNCTION("""COMPUTED_VALUE"""),"SEM BAIA")</f>
        <v>SEM BAIA</v>
      </c>
      <c r="F108" s="5" t="str">
        <f>IFERROR(__xludf.DUMMYFUNCTION("""COMPUTED_VALUE"""),"NÃO")</f>
        <v>NÃO</v>
      </c>
      <c r="G108" s="5" t="str">
        <f>IFERROR(__xludf.DUMMYFUNCTION("""COMPUTED_VALUE"""),"NÃO")</f>
        <v>NÃO</v>
      </c>
      <c r="H108" s="5" t="str">
        <f>IFERROR(__xludf.DUMMYFUNCTION("""COMPUTED_VALUE"""),"NÃO PAVIMENTADA")</f>
        <v>NÃO PAVIMENTADA</v>
      </c>
      <c r="I108" s="6" t="str">
        <f>IFERROR(__xludf.DUMMYFUNCTION("""COMPUTED_VALUE"""),"-9.563544")</f>
        <v>-9.563544</v>
      </c>
      <c r="J108" s="6" t="str">
        <f>IFERROR(__xludf.DUMMYFUNCTION("""COMPUTED_VALUE"""),"-35.645640")</f>
        <v>-35.645640</v>
      </c>
      <c r="K108" s="5" t="str">
        <f>IFERROR(__xludf.DUMMYFUNCTION("""COMPUTED_VALUE"""),"AV. GEN. LUIZ DE FRANÇA ALBUQUERQUE – RODOVIA AL-101 NORTE, S/N")</f>
        <v>AV. GEN. LUIZ DE FRANÇA ALBUQUERQUE – RODOVIA AL-101 NORTE, S/N</v>
      </c>
      <c r="L108" s="5" t="str">
        <f>IFERROR(__xludf.DUMMYFUNCTION("""COMPUTED_VALUE"""),"RODOVIAS")</f>
        <v>RODOVIAS</v>
      </c>
      <c r="M108" s="5" t="str">
        <f>IFERROR(__xludf.DUMMYFUNCTION("""COMPUTED_VALUE"""),"RIACHO DOCE")</f>
        <v>RIACHO DOCE</v>
      </c>
      <c r="N108" s="5" t="str">
        <f>IFERROR(__xludf.DUMMYFUNCTION("""COMPUTED_VALUE"""),"BAIRRO - CENTRO")</f>
        <v>BAIRRO - CENTRO</v>
      </c>
      <c r="O108" s="5" t="str">
        <f>IFERROR(__xludf.DUMMYFUNCTION("""COMPUTED_VALUE"""),"PRÓXIMO A PRAIA DA SEREIA")</f>
        <v>PRÓXIMO A PRAIA DA SEREIA</v>
      </c>
      <c r="P108" s="5" t="str">
        <f>IFERROR(__xludf.DUMMYFUNCTION("""COMPUTED_VALUE"""),"PRIORIDADE ALTA")</f>
        <v>PRIORIDADE ALTA</v>
      </c>
      <c r="Q108" s="5" t="str">
        <f>IFERROR(__xludf.DUMMYFUNCTION("""COMPUTED_VALUE"""),"IMPLANTAÇÃO DE ABRIGO E PLACA FIXADA EM POSTE, PINTURA DA BAIA NO ASFALTO, PAVIMENTAÇÃO E ADEQUAÇÃO DA CALÇADA (RAMPA DE ACESSIBILIDADE E PISO TÁTIL), LIMPEZA DA VEGETAÇÃO")</f>
        <v>IMPLANTAÇÃO DE ABRIGO E PLACA FIXADA EM POSTE, PINTURA DA BAIA NO ASFALTO, PAVIMENTAÇÃO E ADEQUAÇÃO DA CALÇADA (RAMPA DE ACESSIBILIDADE E PISO TÁTIL), LIMPEZA DA VEGETAÇÃO</v>
      </c>
      <c r="R108" s="5" t="str">
        <f>IFERROR(__xludf.DUMMYFUNCTION("""COMPUTED_VALUE"""),"NENHUMA DAS OPÇÕES")</f>
        <v>NENHUMA DAS OPÇÕES</v>
      </c>
      <c r="S108" s="7">
        <f>IFERROR(__xludf.DUMMYFUNCTION("""COMPUTED_VALUE"""),44574.0)</f>
        <v>44574</v>
      </c>
      <c r="T108" s="5"/>
      <c r="U108" s="7">
        <f>IFERROR(__xludf.DUMMYFUNCTION("""COMPUTED_VALUE"""),44574.0)</f>
        <v>44574</v>
      </c>
      <c r="V108" s="9" t="str">
        <f>IFERROR(__xludf.DUMMYFUNCTION("""COMPUTED_VALUE"""),"https://drive.google.com/uc?id=1OtedMBE3XfR9yphOEfJHIu1ZX2MbGNbI")</f>
        <v>https://drive.google.com/uc?id=1OtedMBE3XfR9yphOEfJHIu1ZX2MbGNbI</v>
      </c>
      <c r="W108" s="5" t="str">
        <f>IFERROR(__xludf.DUMMYFUNCTION("""COMPUTED_VALUE"""),"NÃO")</f>
        <v>NÃO</v>
      </c>
      <c r="X108" s="5" t="str">
        <f>IFERROR(__xludf.DUMMYFUNCTION("""COMPUTED_VALUE"""),"NÃO SE APLICA")</f>
        <v>NÃO SE APLICA</v>
      </c>
    </row>
    <row r="109" hidden="1">
      <c r="A109" s="5">
        <f>IFERROR(__xludf.DUMMYFUNCTION("""COMPUTED_VALUE"""),8.0)</f>
        <v>8</v>
      </c>
      <c r="B109" s="5" t="str">
        <f>IFERROR(__xludf.DUMMYFUNCTION("""COMPUTED_VALUE"""),"RD013")</f>
        <v>RD013</v>
      </c>
      <c r="C109" s="5" t="str">
        <f>IFERROR(__xludf.DUMMYFUNCTION("""COMPUTED_VALUE"""),"NÃO POSSUI")</f>
        <v>NÃO POSSUI</v>
      </c>
      <c r="D109" s="5" t="str">
        <f>IFERROR(__xludf.DUMMYFUNCTION("""COMPUTED_VALUE"""),"SEM PLACA")</f>
        <v>SEM PLACA</v>
      </c>
      <c r="E109" s="5" t="str">
        <f>IFERROR(__xludf.DUMMYFUNCTION("""COMPUTED_VALUE"""),"SEM BAIA")</f>
        <v>SEM BAIA</v>
      </c>
      <c r="F109" s="5" t="str">
        <f>IFERROR(__xludf.DUMMYFUNCTION("""COMPUTED_VALUE"""),"NÃO")</f>
        <v>NÃO</v>
      </c>
      <c r="G109" s="5" t="str">
        <f>IFERROR(__xludf.DUMMYFUNCTION("""COMPUTED_VALUE"""),"NÃO")</f>
        <v>NÃO</v>
      </c>
      <c r="H109" s="5" t="str">
        <f>IFERROR(__xludf.DUMMYFUNCTION("""COMPUTED_VALUE"""),"PAVIMENTADA")</f>
        <v>PAVIMENTADA</v>
      </c>
      <c r="I109" s="6" t="str">
        <f>IFERROR(__xludf.DUMMYFUNCTION("""COMPUTED_VALUE"""),"-9.565091")</f>
        <v>-9.565091</v>
      </c>
      <c r="J109" s="6" t="str">
        <f>IFERROR(__xludf.DUMMYFUNCTION("""COMPUTED_VALUE"""),"-35.645509")</f>
        <v>-35.645509</v>
      </c>
      <c r="K109" s="5" t="str">
        <f>IFERROR(__xludf.DUMMYFUNCTION("""COMPUTED_VALUE"""),"AV. BEIRA MAR, 11")</f>
        <v>AV. BEIRA MAR, 11</v>
      </c>
      <c r="L109" s="5" t="str">
        <f>IFERROR(__xludf.DUMMYFUNCTION("""COMPUTED_VALUE"""),"LOCAL")</f>
        <v>LOCAL</v>
      </c>
      <c r="M109" s="5" t="str">
        <f>IFERROR(__xludf.DUMMYFUNCTION("""COMPUTED_VALUE"""),"RIACHO DOCE")</f>
        <v>RIACHO DOCE</v>
      </c>
      <c r="N109" s="5" t="str">
        <f>IFERROR(__xludf.DUMMYFUNCTION("""COMPUTED_VALUE"""),"CENTRO - BAIRRO")</f>
        <v>CENTRO - BAIRRO</v>
      </c>
      <c r="O109" s="5" t="str">
        <f>IFERROR(__xludf.DUMMYFUNCTION("""COMPUTED_VALUE"""),"AO LADO DO ATLÂNTICO HOTEL")</f>
        <v>AO LADO DO ATLÂNTICO HOTEL</v>
      </c>
      <c r="P109" s="5" t="str">
        <f>IFERROR(__xludf.DUMMYFUNCTION("""COMPUTED_VALUE"""),"PRIORIDADE ALTA")</f>
        <v>PRIORIDADE ALTA</v>
      </c>
      <c r="Q109" s="5" t="str">
        <f>IFERROR(__xludf.DUMMYFUNCTION("""COMPUTED_VALUE"""),"IMPLANTAR ABRIGO E PLACA FIXADA NO SUPORTE DE MADEIRA JÁ EXISTENTE, ADEQUAÇÃO DA CALÇADA (RAMPA DE ACESSIBILIDADE E PISO TÁTIL)")</f>
        <v>IMPLANTAR ABRIGO E PLACA FIXADA NO SUPORTE DE MADEIRA JÁ EXISTENTE, ADEQUAÇÃO DA CALÇADA (RAMPA DE ACESSIBILIDADE E PISO TÁTIL)</v>
      </c>
      <c r="R109" s="5" t="str">
        <f>IFERROR(__xludf.DUMMYFUNCTION("""COMPUTED_VALUE"""),"NENHUMA DAS OPÇÕES")</f>
        <v>NENHUMA DAS OPÇÕES</v>
      </c>
      <c r="S109" s="7">
        <f>IFERROR(__xludf.DUMMYFUNCTION("""COMPUTED_VALUE"""),44575.0)</f>
        <v>44575</v>
      </c>
      <c r="T109" s="5"/>
      <c r="U109" s="7">
        <f>IFERROR(__xludf.DUMMYFUNCTION("""COMPUTED_VALUE"""),44575.0)</f>
        <v>44575</v>
      </c>
      <c r="V109" s="9" t="str">
        <f>IFERROR(__xludf.DUMMYFUNCTION("""COMPUTED_VALUE"""),"https://drive.google.com/uc?id=1W3dZWF98hwH2geMKCugViFQLgX4HR78Y")</f>
        <v>https://drive.google.com/uc?id=1W3dZWF98hwH2geMKCugViFQLgX4HR78Y</v>
      </c>
      <c r="W109" s="5" t="str">
        <f>IFERROR(__xludf.DUMMYFUNCTION("""COMPUTED_VALUE"""),"NÃO")</f>
        <v>NÃO</v>
      </c>
      <c r="X109" s="5" t="str">
        <f>IFERROR(__xludf.DUMMYFUNCTION("""COMPUTED_VALUE"""),"NÃO SE APLICA")</f>
        <v>NÃO SE APLICA</v>
      </c>
    </row>
    <row r="110" hidden="1">
      <c r="A110" s="5">
        <f>IFERROR(__xludf.DUMMYFUNCTION("""COMPUTED_VALUE"""),8.0)</f>
        <v>8</v>
      </c>
      <c r="B110" s="5" t="str">
        <f>IFERROR(__xludf.DUMMYFUNCTION("""COMPUTED_VALUE"""),"RD014")</f>
        <v>RD014</v>
      </c>
      <c r="C110" s="5" t="str">
        <f>IFERROR(__xludf.DUMMYFUNCTION("""COMPUTED_VALUE"""),"NÃO POSSUI")</f>
        <v>NÃO POSSUI</v>
      </c>
      <c r="D110" s="5" t="str">
        <f>IFERROR(__xludf.DUMMYFUNCTION("""COMPUTED_VALUE"""),"FIXADA EM POSTE")</f>
        <v>FIXADA EM POSTE</v>
      </c>
      <c r="E110" s="5" t="str">
        <f>IFERROR(__xludf.DUMMYFUNCTION("""COMPUTED_VALUE"""),"SEM BAIA")</f>
        <v>SEM BAIA</v>
      </c>
      <c r="F110" s="5" t="str">
        <f>IFERROR(__xludf.DUMMYFUNCTION("""COMPUTED_VALUE"""),"NÃO")</f>
        <v>NÃO</v>
      </c>
      <c r="G110" s="5" t="str">
        <f>IFERROR(__xludf.DUMMYFUNCTION("""COMPUTED_VALUE"""),"NÃO")</f>
        <v>NÃO</v>
      </c>
      <c r="H110" s="5" t="str">
        <f>IFERROR(__xludf.DUMMYFUNCTION("""COMPUTED_VALUE"""),"PAVIMENTADA COM AVARIAS")</f>
        <v>PAVIMENTADA COM AVARIAS</v>
      </c>
      <c r="I110" s="6" t="str">
        <f>IFERROR(__xludf.DUMMYFUNCTION("""COMPUTED_VALUE"""),"-9.561740")</f>
        <v>-9.561740</v>
      </c>
      <c r="J110" s="6" t="str">
        <f>IFERROR(__xludf.DUMMYFUNCTION("""COMPUTED_VALUE"""),"-35.643907")</f>
        <v>-35.643907</v>
      </c>
      <c r="K110" s="5" t="str">
        <f>IFERROR(__xludf.DUMMYFUNCTION("""COMPUTED_VALUE"""),"AV. GEN. LUIZ DE FRANÇA ALBUQUERQUE – RODOVIA AL-101 NORTE, S/N")</f>
        <v>AV. GEN. LUIZ DE FRANÇA ALBUQUERQUE – RODOVIA AL-101 NORTE, S/N</v>
      </c>
      <c r="L110" s="5" t="str">
        <f>IFERROR(__xludf.DUMMYFUNCTION("""COMPUTED_VALUE"""),"RODOVIAS")</f>
        <v>RODOVIAS</v>
      </c>
      <c r="M110" s="5" t="str">
        <f>IFERROR(__xludf.DUMMYFUNCTION("""COMPUTED_VALUE"""),"RIACHO DOCE")</f>
        <v>RIACHO DOCE</v>
      </c>
      <c r="N110" s="5" t="str">
        <f>IFERROR(__xludf.DUMMYFUNCTION("""COMPUTED_VALUE"""),"CENTRO - BAIRRO")</f>
        <v>CENTRO - BAIRRO</v>
      </c>
      <c r="O110" s="5" t="str">
        <f>IFERROR(__xludf.DUMMYFUNCTION("""COMPUTED_VALUE"""),"EM FRENTE AO POSTO DE COMBUSTÍVEL NO MIRANTE DA SEREIA")</f>
        <v>EM FRENTE AO POSTO DE COMBUSTÍVEL NO MIRANTE DA SEREIA</v>
      </c>
      <c r="P110" s="5" t="str">
        <f>IFERROR(__xludf.DUMMYFUNCTION("""COMPUTED_VALUE"""),"PRIORIDADE ALTA")</f>
        <v>PRIORIDADE ALTA</v>
      </c>
      <c r="Q110" s="5" t="str">
        <f>IFERROR(__xludf.DUMMYFUNCTION("""COMPUTED_VALUE"""),"PAVIMENTAÇÃO E ADEQUAÇÃO DA CALÇADA (RAMPA DE ACESSIBILIDADE E PISO TÁTIL), LIMPEZA DA VEGETAÇÃO ")</f>
        <v>PAVIMENTAÇÃO E ADEQUAÇÃO DA CALÇADA (RAMPA DE ACESSIBILIDADE E PISO TÁTIL), LIMPEZA DA VEGETAÇÃO </v>
      </c>
      <c r="R110" s="5" t="str">
        <f>IFERROR(__xludf.DUMMYFUNCTION("""COMPUTED_VALUE"""),"NENHUMA DAS OPÇÕES")</f>
        <v>NENHUMA DAS OPÇÕES</v>
      </c>
      <c r="S110" s="7">
        <f>IFERROR(__xludf.DUMMYFUNCTION("""COMPUTED_VALUE"""),44576.0)</f>
        <v>44576</v>
      </c>
      <c r="T110" s="5"/>
      <c r="U110" s="7">
        <f>IFERROR(__xludf.DUMMYFUNCTION("""COMPUTED_VALUE"""),44576.0)</f>
        <v>44576</v>
      </c>
      <c r="V110" s="9" t="str">
        <f>IFERROR(__xludf.DUMMYFUNCTION("""COMPUTED_VALUE"""),"https://drive.google.com/uc?id=1onMe8-DCmiTysjcEbkeQoz7xVO0CGtGc")</f>
        <v>https://drive.google.com/uc?id=1onMe8-DCmiTysjcEbkeQoz7xVO0CGtGc</v>
      </c>
      <c r="W110" s="5" t="str">
        <f>IFERROR(__xludf.DUMMYFUNCTION("""COMPUTED_VALUE"""),"NÃO")</f>
        <v>NÃO</v>
      </c>
      <c r="X110" s="5" t="str">
        <f>IFERROR(__xludf.DUMMYFUNCTION("""COMPUTED_VALUE"""),"NÃO SE APLICA")</f>
        <v>NÃO SE APLICA</v>
      </c>
    </row>
    <row r="111" hidden="1">
      <c r="A111" s="5">
        <f>IFERROR(__xludf.DUMMYFUNCTION("""COMPUTED_VALUE"""),8.0)</f>
        <v>8</v>
      </c>
      <c r="B111" s="5" t="str">
        <f>IFERROR(__xludf.DUMMYFUNCTION("""COMPUTED_VALUE"""),"RD015")</f>
        <v>RD015</v>
      </c>
      <c r="C111" s="5" t="str">
        <f>IFERROR(__xludf.DUMMYFUNCTION("""COMPUTED_VALUE"""),"NÃO POSSUI")</f>
        <v>NÃO POSSUI</v>
      </c>
      <c r="D111" s="5" t="str">
        <f>IFERROR(__xludf.DUMMYFUNCTION("""COMPUTED_VALUE"""),"FIXADA EM POSTE")</f>
        <v>FIXADA EM POSTE</v>
      </c>
      <c r="E111" s="5" t="str">
        <f>IFERROR(__xludf.DUMMYFUNCTION("""COMPUTED_VALUE"""),"SEM BAIA")</f>
        <v>SEM BAIA</v>
      </c>
      <c r="F111" s="5" t="str">
        <f>IFERROR(__xludf.DUMMYFUNCTION("""COMPUTED_VALUE"""),"NÃO")</f>
        <v>NÃO</v>
      </c>
      <c r="G111" s="5" t="str">
        <f>IFERROR(__xludf.DUMMYFUNCTION("""COMPUTED_VALUE"""),"NÃO")</f>
        <v>NÃO</v>
      </c>
      <c r="H111" s="5" t="str">
        <f>IFERROR(__xludf.DUMMYFUNCTION("""COMPUTED_VALUE"""),"PAVIMENTADA COM AVARIAS")</f>
        <v>PAVIMENTADA COM AVARIAS</v>
      </c>
      <c r="I111" s="6" t="str">
        <f>IFERROR(__xludf.DUMMYFUNCTION("""COMPUTED_VALUE"""),"-9.561488")</f>
        <v>-9.561488</v>
      </c>
      <c r="J111" s="6" t="str">
        <f>IFERROR(__xludf.DUMMYFUNCTION("""COMPUTED_VALUE"""),"-35.643836")</f>
        <v>-35.643836</v>
      </c>
      <c r="K111" s="5" t="str">
        <f>IFERROR(__xludf.DUMMYFUNCTION("""COMPUTED_VALUE"""),"AV. GEN. LUIZ DE FRANÇA ALBUQUERQUE – RODOVIA AL-101 NORTE, S/N")</f>
        <v>AV. GEN. LUIZ DE FRANÇA ALBUQUERQUE – RODOVIA AL-101 NORTE, S/N</v>
      </c>
      <c r="L111" s="5" t="str">
        <f>IFERROR(__xludf.DUMMYFUNCTION("""COMPUTED_VALUE"""),"RODOVIAS")</f>
        <v>RODOVIAS</v>
      </c>
      <c r="M111" s="5" t="str">
        <f>IFERROR(__xludf.DUMMYFUNCTION("""COMPUTED_VALUE"""),"RIACHO DOCE")</f>
        <v>RIACHO DOCE</v>
      </c>
      <c r="N111" s="5" t="str">
        <f>IFERROR(__xludf.DUMMYFUNCTION("""COMPUTED_VALUE"""),"BAIRRO - CENTRO")</f>
        <v>BAIRRO - CENTRO</v>
      </c>
      <c r="O111" s="5" t="str">
        <f>IFERROR(__xludf.DUMMYFUNCTION("""COMPUTED_VALUE"""),"EM FRENTE AO POSTO DE COMBUSTÍVEL NO MIRANTE DA SEREIA")</f>
        <v>EM FRENTE AO POSTO DE COMBUSTÍVEL NO MIRANTE DA SEREIA</v>
      </c>
      <c r="P111" s="5" t="str">
        <f>IFERROR(__xludf.DUMMYFUNCTION("""COMPUTED_VALUE"""),"PRIORIDADE ALTA")</f>
        <v>PRIORIDADE ALTA</v>
      </c>
      <c r="Q111" s="5" t="str">
        <f>IFERROR(__xludf.DUMMYFUNCTION("""COMPUTED_VALUE"""),"IMPLANTAÇÃO DE ABRIGO, PINTURA DA BAIA NO ASFALTO,  ADEQUAÇÃO DA CALÇADA (RAMPA DE ACESSIBILIDADE E PISO TÁTIL), LIMPEZA DA VEGETAÇÃO")</f>
        <v>IMPLANTAÇÃO DE ABRIGO, PINTURA DA BAIA NO ASFALTO,  ADEQUAÇÃO DA CALÇADA (RAMPA DE ACESSIBILIDADE E PISO TÁTIL), LIMPEZA DA VEGETAÇÃO</v>
      </c>
      <c r="R111" s="5" t="str">
        <f>IFERROR(__xludf.DUMMYFUNCTION("""COMPUTED_VALUE"""),"NENHUMA DAS OPÇÕES")</f>
        <v>NENHUMA DAS OPÇÕES</v>
      </c>
      <c r="S111" s="7">
        <f>IFERROR(__xludf.DUMMYFUNCTION("""COMPUTED_VALUE"""),44577.0)</f>
        <v>44577</v>
      </c>
      <c r="T111" s="5"/>
      <c r="U111" s="7">
        <f>IFERROR(__xludf.DUMMYFUNCTION("""COMPUTED_VALUE"""),44577.0)</f>
        <v>44577</v>
      </c>
      <c r="V111" s="9" t="str">
        <f>IFERROR(__xludf.DUMMYFUNCTION("""COMPUTED_VALUE"""),"https://drive.google.com/uc?id=1MdyaMwuEOSGXTkCd6cKN5_9gKnjsk1fm")</f>
        <v>https://drive.google.com/uc?id=1MdyaMwuEOSGXTkCd6cKN5_9gKnjsk1fm</v>
      </c>
      <c r="W111" s="5" t="str">
        <f>IFERROR(__xludf.DUMMYFUNCTION("""COMPUTED_VALUE"""),"NÃO")</f>
        <v>NÃO</v>
      </c>
      <c r="X111" s="5" t="str">
        <f>IFERROR(__xludf.DUMMYFUNCTION("""COMPUTED_VALUE"""),"NÃO SE APLICA")</f>
        <v>NÃO SE APLICA</v>
      </c>
    </row>
    <row r="112" hidden="1">
      <c r="A112" s="5">
        <f>IFERROR(__xludf.DUMMYFUNCTION("""COMPUTED_VALUE"""),8.0)</f>
        <v>8</v>
      </c>
      <c r="B112" s="5" t="str">
        <f>IFERROR(__xludf.DUMMYFUNCTION("""COMPUTED_VALUE"""),"RD016")</f>
        <v>RD016</v>
      </c>
      <c r="C112" s="5" t="str">
        <f>IFERROR(__xludf.DUMMYFUNCTION("""COMPUTED_VALUE"""),"NÃO POSSUI")</f>
        <v>NÃO POSSUI</v>
      </c>
      <c r="D112" s="5" t="str">
        <f>IFERROR(__xludf.DUMMYFUNCTION("""COMPUTED_VALUE"""),"FIXADA EM POSTE")</f>
        <v>FIXADA EM POSTE</v>
      </c>
      <c r="E112" s="5" t="str">
        <f>IFERROR(__xludf.DUMMYFUNCTION("""COMPUTED_VALUE"""),"SEM BAIA")</f>
        <v>SEM BAIA</v>
      </c>
      <c r="F112" s="5" t="str">
        <f>IFERROR(__xludf.DUMMYFUNCTION("""COMPUTED_VALUE"""),"NÃO")</f>
        <v>NÃO</v>
      </c>
      <c r="G112" s="5" t="str">
        <f>IFERROR(__xludf.DUMMYFUNCTION("""COMPUTED_VALUE"""),"NÃO")</f>
        <v>NÃO</v>
      </c>
      <c r="H112" s="5" t="str">
        <f>IFERROR(__xludf.DUMMYFUNCTION("""COMPUTED_VALUE"""),"NÃO PAVIMENTADA")</f>
        <v>NÃO PAVIMENTADA</v>
      </c>
      <c r="I112" s="6" t="str">
        <f>IFERROR(__xludf.DUMMYFUNCTION("""COMPUTED_VALUE"""),"-9.557041")</f>
        <v>-9.557041</v>
      </c>
      <c r="J112" s="6" t="str">
        <f>IFERROR(__xludf.DUMMYFUNCTION("""COMPUTED_VALUE"""),"-35.639674")</f>
        <v>-35.639674</v>
      </c>
      <c r="K112" s="5" t="str">
        <f>IFERROR(__xludf.DUMMYFUNCTION("""COMPUTED_VALUE"""),"AV. GEN. LUIZ DE FRANÇA ALBUQUERQUE – RODOVIA AL-101 NORTE, S/N")</f>
        <v>AV. GEN. LUIZ DE FRANÇA ALBUQUERQUE – RODOVIA AL-101 NORTE, S/N</v>
      </c>
      <c r="L112" s="5" t="str">
        <f>IFERROR(__xludf.DUMMYFUNCTION("""COMPUTED_VALUE"""),"RODOVIAS")</f>
        <v>RODOVIAS</v>
      </c>
      <c r="M112" s="5" t="str">
        <f>IFERROR(__xludf.DUMMYFUNCTION("""COMPUTED_VALUE"""),"RIACHO DOCE")</f>
        <v>RIACHO DOCE</v>
      </c>
      <c r="N112" s="5" t="str">
        <f>IFERROR(__xludf.DUMMYFUNCTION("""COMPUTED_VALUE"""),"BAIRRO - CENTRO")</f>
        <v>BAIRRO - CENTRO</v>
      </c>
      <c r="O112" s="5" t="str">
        <f>IFERROR(__xludf.DUMMYFUNCTION("""COMPUTED_VALUE"""),"EM FRENTE AO RESTAURANTE CASA CAIADA BEACH BAR")</f>
        <v>EM FRENTE AO RESTAURANTE CASA CAIADA BEACH BAR</v>
      </c>
      <c r="P112" s="5" t="str">
        <f>IFERROR(__xludf.DUMMYFUNCTION("""COMPUTED_VALUE"""),"PRIORIDADE ALTA")</f>
        <v>PRIORIDADE ALTA</v>
      </c>
      <c r="Q112" s="5" t="str">
        <f>IFERROR(__xludf.DUMMYFUNCTION("""COMPUTED_VALUE"""),"IMPLANTAÇÃO DE ABRIGO, PINTURA DA BAIA NO ASFALTO,  PAVIMENTAÇÃO E ADEQUAÇÃO DA CALÇADA (RAMPA DE ACESSIBILIDADE E PISO TÁTIL), LIMPEZA DA VEGETAÇÃO")</f>
        <v>IMPLANTAÇÃO DE ABRIGO, PINTURA DA BAIA NO ASFALTO,  PAVIMENTAÇÃO E ADEQUAÇÃO DA CALÇADA (RAMPA DE ACESSIBILIDADE E PISO TÁTIL), LIMPEZA DA VEGETAÇÃO</v>
      </c>
      <c r="R112" s="5" t="str">
        <f>IFERROR(__xludf.DUMMYFUNCTION("""COMPUTED_VALUE"""),"NENHUMA DAS OPÇÕES")</f>
        <v>NENHUMA DAS OPÇÕES</v>
      </c>
      <c r="S112" s="7">
        <f>IFERROR(__xludf.DUMMYFUNCTION("""COMPUTED_VALUE"""),44578.0)</f>
        <v>44578</v>
      </c>
      <c r="T112" s="5"/>
      <c r="U112" s="7">
        <f>IFERROR(__xludf.DUMMYFUNCTION("""COMPUTED_VALUE"""),44578.0)</f>
        <v>44578</v>
      </c>
      <c r="V112" s="9" t="str">
        <f>IFERROR(__xludf.DUMMYFUNCTION("""COMPUTED_VALUE"""),"https://drive.google.com/uc?id=1i6wnKUk4rCdLr3mzDAUVnJ4Tufofr6sN")</f>
        <v>https://drive.google.com/uc?id=1i6wnKUk4rCdLr3mzDAUVnJ4Tufofr6sN</v>
      </c>
      <c r="W112" s="5" t="str">
        <f>IFERROR(__xludf.DUMMYFUNCTION("""COMPUTED_VALUE"""),"NÃO")</f>
        <v>NÃO</v>
      </c>
      <c r="X112" s="5" t="str">
        <f>IFERROR(__xludf.DUMMYFUNCTION("""COMPUTED_VALUE"""),"NÃO SE APLICA")</f>
        <v>NÃO SE APLICA</v>
      </c>
    </row>
    <row r="113" hidden="1">
      <c r="A113" s="5">
        <f>IFERROR(__xludf.DUMMYFUNCTION("""COMPUTED_VALUE"""),8.0)</f>
        <v>8</v>
      </c>
      <c r="B113" s="5" t="str">
        <f>IFERROR(__xludf.DUMMYFUNCTION("""COMPUTED_VALUE"""),"RD017")</f>
        <v>RD017</v>
      </c>
      <c r="C113" s="5" t="str">
        <f>IFERROR(__xludf.DUMMYFUNCTION("""COMPUTED_VALUE"""),"NÃO POSSUI")</f>
        <v>NÃO POSSUI</v>
      </c>
      <c r="D113" s="5" t="str">
        <f>IFERROR(__xludf.DUMMYFUNCTION("""COMPUTED_VALUE"""),"SEM PLACA")</f>
        <v>SEM PLACA</v>
      </c>
      <c r="E113" s="5" t="str">
        <f>IFERROR(__xludf.DUMMYFUNCTION("""COMPUTED_VALUE"""),"SEM BAIA")</f>
        <v>SEM BAIA</v>
      </c>
      <c r="F113" s="5" t="str">
        <f>IFERROR(__xludf.DUMMYFUNCTION("""COMPUTED_VALUE"""),"NÃO")</f>
        <v>NÃO</v>
      </c>
      <c r="G113" s="5" t="str">
        <f>IFERROR(__xludf.DUMMYFUNCTION("""COMPUTED_VALUE"""),"NÃO")</f>
        <v>NÃO</v>
      </c>
      <c r="H113" s="5" t="str">
        <f>IFERROR(__xludf.DUMMYFUNCTION("""COMPUTED_VALUE"""),"NÃO PAVIMENTADA")</f>
        <v>NÃO PAVIMENTADA</v>
      </c>
      <c r="I113" s="6" t="str">
        <f>IFERROR(__xludf.DUMMYFUNCTION("""COMPUTED_VALUE"""),"-9.556926")</f>
        <v>-9.556926</v>
      </c>
      <c r="J113" s="6" t="str">
        <f>IFERROR(__xludf.DUMMYFUNCTION("""COMPUTED_VALUE"""),"-35.639426")</f>
        <v>-35.639426</v>
      </c>
      <c r="K113" s="5" t="str">
        <f>IFERROR(__xludf.DUMMYFUNCTION("""COMPUTED_VALUE"""),"AV. GEN. LUIZ DE FRANÇA ALBUQUERQUE – RODOVIA AL-101 NORTE, S/N")</f>
        <v>AV. GEN. LUIZ DE FRANÇA ALBUQUERQUE – RODOVIA AL-101 NORTE, S/N</v>
      </c>
      <c r="L113" s="5" t="str">
        <f>IFERROR(__xludf.DUMMYFUNCTION("""COMPUTED_VALUE"""),"RODOVIAS")</f>
        <v>RODOVIAS</v>
      </c>
      <c r="M113" s="5" t="str">
        <f>IFERROR(__xludf.DUMMYFUNCTION("""COMPUTED_VALUE"""),"RIACHO DOCE")</f>
        <v>RIACHO DOCE</v>
      </c>
      <c r="N113" s="5" t="str">
        <f>IFERROR(__xludf.DUMMYFUNCTION("""COMPUTED_VALUE"""),"CENTRO - BAIRRO")</f>
        <v>CENTRO - BAIRRO</v>
      </c>
      <c r="O113" s="5" t="str">
        <f>IFERROR(__xludf.DUMMYFUNCTION("""COMPUTED_VALUE"""),"EM FRENTE AO RESTAURANTE CASA CAIADA BEACH BAR")</f>
        <v>EM FRENTE AO RESTAURANTE CASA CAIADA BEACH BAR</v>
      </c>
      <c r="P113" s="5" t="str">
        <f>IFERROR(__xludf.DUMMYFUNCTION("""COMPUTED_VALUE"""),"PRIORIDADE ALTA")</f>
        <v>PRIORIDADE ALTA</v>
      </c>
      <c r="Q113" s="5" t="str">
        <f>IFERROR(__xludf.DUMMYFUNCTION("""COMPUTED_VALUE"""),"IMPLANTAÇÃO DE ABRIGO, PINTURA DA BAIA NO ASFALTO,  PAVIMENTAÇÃO E ADEQUAÇÃO DA CALÇADA (RAMPA DE ACESSIBILIDADE E PISO TÁTIL), LIMPEZA DA VEGETAÇÃO")</f>
        <v>IMPLANTAÇÃO DE ABRIGO, PINTURA DA BAIA NO ASFALTO,  PAVIMENTAÇÃO E ADEQUAÇÃO DA CALÇADA (RAMPA DE ACESSIBILIDADE E PISO TÁTIL), LIMPEZA DA VEGETAÇÃO</v>
      </c>
      <c r="R113" s="5" t="str">
        <f>IFERROR(__xludf.DUMMYFUNCTION("""COMPUTED_VALUE"""),"IMPLANTAR PLACA NO POSTE")</f>
        <v>IMPLANTAR PLACA NO POSTE</v>
      </c>
      <c r="S113" s="7">
        <f>IFERROR(__xludf.DUMMYFUNCTION("""COMPUTED_VALUE"""),44579.0)</f>
        <v>44579</v>
      </c>
      <c r="T113" s="5"/>
      <c r="U113" s="7">
        <f>IFERROR(__xludf.DUMMYFUNCTION("""COMPUTED_VALUE"""),44579.0)</f>
        <v>44579</v>
      </c>
      <c r="V113" s="9" t="str">
        <f>IFERROR(__xludf.DUMMYFUNCTION("""COMPUTED_VALUE"""),"https://drive.google.com/uc?id=1vzmeYEm3sVxaLyiHQ0AAB8ijM0bgjdDd")</f>
        <v>https://drive.google.com/uc?id=1vzmeYEm3sVxaLyiHQ0AAB8ijM0bgjdDd</v>
      </c>
      <c r="W113" s="5" t="str">
        <f>IFERROR(__xludf.DUMMYFUNCTION("""COMPUTED_VALUE"""),"NÃO")</f>
        <v>NÃO</v>
      </c>
      <c r="X113" s="5" t="str">
        <f>IFERROR(__xludf.DUMMYFUNCTION("""COMPUTED_VALUE"""),"NÃO SE APLICA")</f>
        <v>NÃO SE APLICA</v>
      </c>
    </row>
    <row r="114">
      <c r="A114" s="5">
        <f>IFERROR(__xludf.DUMMYFUNCTION("""COMPUTED_VALUE"""),8.0)</f>
        <v>8</v>
      </c>
      <c r="B114" s="5" t="str">
        <f>IFERROR(__xludf.DUMMYFUNCTION("""COMPUTED_VALUE"""),"RD019")</f>
        <v>RD019</v>
      </c>
      <c r="C114" s="5" t="str">
        <f>IFERROR(__xludf.DUMMYFUNCTION("""COMPUTED_VALUE"""),"ABRIGO MADEIRA PERSONALIZADO")</f>
        <v>ABRIGO MADEIRA PERSONALIZADO</v>
      </c>
      <c r="D114" s="5" t="str">
        <f>IFERROR(__xludf.DUMMYFUNCTION("""COMPUTED_VALUE"""),"SEM PLACA")</f>
        <v>SEM PLACA</v>
      </c>
      <c r="E114" s="5" t="str">
        <f>IFERROR(__xludf.DUMMYFUNCTION("""COMPUTED_VALUE"""),"SEM BAIA")</f>
        <v>SEM BAIA</v>
      </c>
      <c r="F114" s="5" t="str">
        <f>IFERROR(__xludf.DUMMYFUNCTION("""COMPUTED_VALUE"""),"NÃO")</f>
        <v>NÃO</v>
      </c>
      <c r="G114" s="5" t="str">
        <f>IFERROR(__xludf.DUMMYFUNCTION("""COMPUTED_VALUE"""),"NÃO")</f>
        <v>NÃO</v>
      </c>
      <c r="H114" s="5" t="str">
        <f>IFERROR(__xludf.DUMMYFUNCTION("""COMPUTED_VALUE"""),"PAVIMENTADA")</f>
        <v>PAVIMENTADA</v>
      </c>
      <c r="I114" s="6" t="str">
        <f>IFERROR(__xludf.DUMMYFUNCTION("""COMPUTED_VALUE"""),"-9.5723")</f>
        <v>-9.5723</v>
      </c>
      <c r="J114" s="6" t="str">
        <f>IFERROR(__xludf.DUMMYFUNCTION("""COMPUTED_VALUE"""),"-35.6547")</f>
        <v>-35.6547</v>
      </c>
      <c r="K114" s="5" t="str">
        <f>IFERROR(__xludf.DUMMYFUNCTION("""COMPUTED_VALUE"""),"AV. GEN. LUIZ DE FRANÇA ALBUQUERQUE – RODOVIA AL-101 NORTE, 39")</f>
        <v>AV. GEN. LUIZ DE FRANÇA ALBUQUERQUE – RODOVIA AL-101 NORTE, 39</v>
      </c>
      <c r="L114" s="5" t="str">
        <f>IFERROR(__xludf.DUMMYFUNCTION("""COMPUTED_VALUE"""),"RODOVIAS")</f>
        <v>RODOVIAS</v>
      </c>
      <c r="M114" s="5" t="str">
        <f>IFERROR(__xludf.DUMMYFUNCTION("""COMPUTED_VALUE"""),"RIACHO DOCE")</f>
        <v>RIACHO DOCE</v>
      </c>
      <c r="N114" s="5" t="str">
        <f>IFERROR(__xludf.DUMMYFUNCTION("""COMPUTED_VALUE"""),"BAIRRO - CENTRO")</f>
        <v>BAIRRO - CENTRO</v>
      </c>
      <c r="O114" s="5" t="str">
        <f>IFERROR(__xludf.DUMMYFUNCTION("""COMPUTED_VALUE"""),"AUTO MECANICA")</f>
        <v>AUTO MECANICA</v>
      </c>
      <c r="P114" s="5" t="str">
        <f>IFERROR(__xludf.DUMMYFUNCTION("""COMPUTED_VALUE"""),"PRIORIDADE BAIXA")</f>
        <v>PRIORIDADE BAIXA</v>
      </c>
      <c r="Q114" s="5"/>
      <c r="R114" s="5" t="str">
        <f>IFERROR(__xludf.DUMMYFUNCTION("""COMPUTED_VALUE"""),"NENHUMA DAS OPÇÕES")</f>
        <v>NENHUMA DAS OPÇÕES</v>
      </c>
      <c r="S114" s="5"/>
      <c r="T114" s="5"/>
      <c r="U114" s="5"/>
      <c r="V114" s="5"/>
      <c r="W114" s="5" t="str">
        <f>IFERROR(__xludf.DUMMYFUNCTION("""COMPUTED_VALUE"""),"NÃO")</f>
        <v>NÃO</v>
      </c>
      <c r="X114" s="5" t="str">
        <f>IFERROR(__xludf.DUMMYFUNCTION("""COMPUTED_VALUE"""),"NÃO")</f>
        <v>NÃO</v>
      </c>
    </row>
    <row r="115">
      <c r="A115" s="5">
        <f>IFERROR(__xludf.DUMMYFUNCTION("IMPORTRANGE(""https://docs.google.com/spreadsheets/d/11Xf8ueyQm_IkJIrLjE_knan7jqO4kbHyGCgwn2elcQA/edit#gid=2140266582"", ""PESCARIA!A3:X14"")"),8.0)</f>
        <v>8</v>
      </c>
      <c r="B115" s="5" t="str">
        <f>IFERROR(__xludf.DUMMYFUNCTION("""COMPUTED_VALUE"""),"PE001")</f>
        <v>PE001</v>
      </c>
      <c r="C115" s="5" t="str">
        <f>IFERROR(__xludf.DUMMYFUNCTION("""COMPUTED_VALUE"""),"ABRIGO MADEIRA PERSONALIZADO")</f>
        <v>ABRIGO MADEIRA PERSONALIZADO</v>
      </c>
      <c r="D115" s="5" t="str">
        <f>IFERROR(__xludf.DUMMYFUNCTION("""COMPUTED_VALUE"""),"SEM PLACA")</f>
        <v>SEM PLACA</v>
      </c>
      <c r="E115" s="5" t="str">
        <f>IFERROR(__xludf.DUMMYFUNCTION("""COMPUTED_VALUE"""),"SEM BAIA")</f>
        <v>SEM BAIA</v>
      </c>
      <c r="F115" s="5" t="str">
        <f>IFERROR(__xludf.DUMMYFUNCTION("""COMPUTED_VALUE"""),"NÃO")</f>
        <v>NÃO</v>
      </c>
      <c r="G115" s="5" t="str">
        <f>IFERROR(__xludf.DUMMYFUNCTION("""COMPUTED_VALUE"""),"NÃO")</f>
        <v>NÃO</v>
      </c>
      <c r="H115" s="5" t="str">
        <f>IFERROR(__xludf.DUMMYFUNCTION("""COMPUTED_VALUE"""),"PAVIMENTADA")</f>
        <v>PAVIMENTADA</v>
      </c>
      <c r="I115" s="6" t="str">
        <f>IFERROR(__xludf.DUMMYFUNCTION("""COMPUTED_VALUE"""),"-9.549523")</f>
        <v>-9.549523</v>
      </c>
      <c r="J115" s="6" t="str">
        <f>IFERROR(__xludf.DUMMYFUNCTION("""COMPUTED_VALUE"""),"-35.631240")</f>
        <v>-35.631240</v>
      </c>
      <c r="K115" s="5" t="str">
        <f>IFERROR(__xludf.DUMMYFUNCTION("""COMPUTED_VALUE"""),"AV. GEN. LUIZ DE FRANÇA ALBUQUERQUE – RODOVIA AL-101 NORTE, S/N")</f>
        <v>AV. GEN. LUIZ DE FRANÇA ALBUQUERQUE – RODOVIA AL-101 NORTE, S/N</v>
      </c>
      <c r="L115" s="5" t="str">
        <f>IFERROR(__xludf.DUMMYFUNCTION("""COMPUTED_VALUE"""),"RODOVIAS")</f>
        <v>RODOVIAS</v>
      </c>
      <c r="M115" s="5" t="str">
        <f>IFERROR(__xludf.DUMMYFUNCTION("""COMPUTED_VALUE"""),"PESCARIA")</f>
        <v>PESCARIA</v>
      </c>
      <c r="N115" s="5" t="str">
        <f>IFERROR(__xludf.DUMMYFUNCTION("""COMPUTED_VALUE"""),"BAIRRO - CENTRO")</f>
        <v>BAIRRO - CENTRO</v>
      </c>
      <c r="O115" s="5" t="str">
        <f>IFERROR(__xludf.DUMMYFUNCTION("""COMPUTED_VALUE"""),"EM FRENTE AO RESORT PRATAGY")</f>
        <v>EM FRENTE AO RESORT PRATAGY</v>
      </c>
      <c r="P115" s="5" t="str">
        <f>IFERROR(__xludf.DUMMYFUNCTION("""COMPUTED_VALUE"""),"PRIORIDADE ALTA")</f>
        <v>PRIORIDADE ALTA</v>
      </c>
      <c r="Q115" s="5" t="str">
        <f>IFERROR(__xludf.DUMMYFUNCTION("""COMPUTED_VALUE"""),"Necessário limpeza da coberta; reparos na estrutura; envernizar estrutura de madeira; adequação da calçada, com acessibilidade e baia.")</f>
        <v>Necessário limpeza da coberta; reparos na estrutura; envernizar estrutura de madeira; adequação da calçada, com acessibilidade e baia.</v>
      </c>
      <c r="R115" s="5" t="str">
        <f>IFERROR(__xludf.DUMMYFUNCTION("""COMPUTED_VALUE"""),"NENHUMA DAS OPÇÕES")</f>
        <v>NENHUMA DAS OPÇÕES</v>
      </c>
      <c r="S115" s="7">
        <f>IFERROR(__xludf.DUMMYFUNCTION("""COMPUTED_VALUE"""),44613.0)</f>
        <v>44613</v>
      </c>
      <c r="T115" s="5"/>
      <c r="U115" s="7">
        <f>IFERROR(__xludf.DUMMYFUNCTION("""COMPUTED_VALUE"""),44562.0)</f>
        <v>44562</v>
      </c>
      <c r="V115" s="9" t="str">
        <f>IFERROR(__xludf.DUMMYFUNCTION("""COMPUTED_VALUE"""),"https://drive.google.com/uc?id=1yNGulezjGqe0N2jmmMiHGS1MIfpRA4kJ")</f>
        <v>https://drive.google.com/uc?id=1yNGulezjGqe0N2jmmMiHGS1MIfpRA4kJ</v>
      </c>
      <c r="W115" s="5" t="str">
        <f>IFERROR(__xludf.DUMMYFUNCTION("""COMPUTED_VALUE"""),"NÃO")</f>
        <v>NÃO</v>
      </c>
      <c r="X115" s="5" t="str">
        <f>IFERROR(__xludf.DUMMYFUNCTION("""COMPUTED_VALUE"""),"NÃO SE APLICA")</f>
        <v>NÃO SE APLICA</v>
      </c>
    </row>
    <row r="116">
      <c r="A116" s="5">
        <f>IFERROR(__xludf.DUMMYFUNCTION("""COMPUTED_VALUE"""),8.0)</f>
        <v>8</v>
      </c>
      <c r="B116" s="5" t="str">
        <f>IFERROR(__xludf.DUMMYFUNCTION("""COMPUTED_VALUE"""),"PE002")</f>
        <v>PE002</v>
      </c>
      <c r="C116" s="5" t="str">
        <f>IFERROR(__xludf.DUMMYFUNCTION("""COMPUTED_VALUE"""),"ABRIGO MADEIRA PERSONALIZADO")</f>
        <v>ABRIGO MADEIRA PERSONALIZADO</v>
      </c>
      <c r="D116" s="5" t="str">
        <f>IFERROR(__xludf.DUMMYFUNCTION("""COMPUTED_VALUE"""),"FIXADA EM POSTE")</f>
        <v>FIXADA EM POSTE</v>
      </c>
      <c r="E116" s="5" t="str">
        <f>IFERROR(__xludf.DUMMYFUNCTION("""COMPUTED_VALUE"""),"SEM BAIA")</f>
        <v>SEM BAIA</v>
      </c>
      <c r="F116" s="5" t="str">
        <f>IFERROR(__xludf.DUMMYFUNCTION("""COMPUTED_VALUE"""),"NÃO")</f>
        <v>NÃO</v>
      </c>
      <c r="G116" s="5" t="str">
        <f>IFERROR(__xludf.DUMMYFUNCTION("""COMPUTED_VALUE"""),"NÃO")</f>
        <v>NÃO</v>
      </c>
      <c r="H116" s="5" t="str">
        <f>IFERROR(__xludf.DUMMYFUNCTION("""COMPUTED_VALUE"""),"NÃO PAVIMENTADA")</f>
        <v>NÃO PAVIMENTADA</v>
      </c>
      <c r="I116" s="6" t="str">
        <f>IFERROR(__xludf.DUMMYFUNCTION("""COMPUTED_VALUE"""),"-9.549264")</f>
        <v>-9.549264</v>
      </c>
      <c r="J116" s="6" t="str">
        <f>IFERROR(__xludf.DUMMYFUNCTION("""COMPUTED_VALUE"""),"-35.630694")</f>
        <v>-35.630694</v>
      </c>
      <c r="K116" s="5" t="str">
        <f>IFERROR(__xludf.DUMMYFUNCTION("""COMPUTED_VALUE"""),"AV. GEN. LUIZ DE FRANÇA ALBUQUERQUE – RODOVIA AL-101 NORTE, S/N")</f>
        <v>AV. GEN. LUIZ DE FRANÇA ALBUQUERQUE – RODOVIA AL-101 NORTE, S/N</v>
      </c>
      <c r="L116" s="5" t="str">
        <f>IFERROR(__xludf.DUMMYFUNCTION("""COMPUTED_VALUE"""),"RODOVIAS")</f>
        <v>RODOVIAS</v>
      </c>
      <c r="M116" s="5" t="str">
        <f>IFERROR(__xludf.DUMMYFUNCTION("""COMPUTED_VALUE"""),"PESCARIA")</f>
        <v>PESCARIA</v>
      </c>
      <c r="N116" s="5" t="str">
        <f>IFERROR(__xludf.DUMMYFUNCTION("""COMPUTED_VALUE"""),"CENTRO - BAIRRO")</f>
        <v>CENTRO - BAIRRO</v>
      </c>
      <c r="O116" s="5" t="str">
        <f>IFERROR(__xludf.DUMMYFUNCTION("""COMPUTED_VALUE"""),"EM FRENTE AO RESORT PRATAGY")</f>
        <v>EM FRENTE AO RESORT PRATAGY</v>
      </c>
      <c r="P116" s="5" t="str">
        <f>IFERROR(__xludf.DUMMYFUNCTION("""COMPUTED_VALUE"""),"PRIORIDADE ALTA")</f>
        <v>PRIORIDADE ALTA</v>
      </c>
      <c r="Q116" s="5" t="str">
        <f>IFERROR(__xludf.DUMMYFUNCTION("""COMPUTED_VALUE"""),"Necessário relocar placa próximo ao abrigo; limpeza da coberta, reparos na estrutura; envernizar estrutura de madeira; adequação da calçada, com acessibilidade e baia.")</f>
        <v>Necessário relocar placa próximo ao abrigo; limpeza da coberta, reparos na estrutura; envernizar estrutura de madeira; adequação da calçada, com acessibilidade e baia.</v>
      </c>
      <c r="R116" s="5" t="str">
        <f>IFERROR(__xludf.DUMMYFUNCTION("""COMPUTED_VALUE"""),"NENHUMA DAS OPÇÕES")</f>
        <v>NENHUMA DAS OPÇÕES</v>
      </c>
      <c r="S116" s="7">
        <f>IFERROR(__xludf.DUMMYFUNCTION("""COMPUTED_VALUE"""),44563.0)</f>
        <v>44563</v>
      </c>
      <c r="T116" s="5"/>
      <c r="U116" s="7">
        <f>IFERROR(__xludf.DUMMYFUNCTION("""COMPUTED_VALUE"""),44563.0)</f>
        <v>44563</v>
      </c>
      <c r="V116" s="9" t="str">
        <f>IFERROR(__xludf.DUMMYFUNCTION("""COMPUTED_VALUE"""),"https://drive.google.com/uc?id=1S-OvJQDMMY3n0zbRdR7JrTJmkWuL-PlH")</f>
        <v>https://drive.google.com/uc?id=1S-OvJQDMMY3n0zbRdR7JrTJmkWuL-PlH</v>
      </c>
      <c r="W116" s="5" t="str">
        <f>IFERROR(__xludf.DUMMYFUNCTION("""COMPUTED_VALUE"""),"NÃO")</f>
        <v>NÃO</v>
      </c>
      <c r="X116" s="5" t="str">
        <f>IFERROR(__xludf.DUMMYFUNCTION("""COMPUTED_VALUE"""),"NÃO SE APLICA")</f>
        <v>NÃO SE APLICA</v>
      </c>
    </row>
    <row r="117">
      <c r="A117" s="5">
        <f>IFERROR(__xludf.DUMMYFUNCTION("""COMPUTED_VALUE"""),8.0)</f>
        <v>8</v>
      </c>
      <c r="B117" s="5" t="str">
        <f>IFERROR(__xludf.DUMMYFUNCTION("""COMPUTED_VALUE"""),"PE003")</f>
        <v>PE003</v>
      </c>
      <c r="C117" s="5" t="str">
        <f>IFERROR(__xludf.DUMMYFUNCTION("""COMPUTED_VALUE"""),"ABRIGO CONCRETO")</f>
        <v>ABRIGO CONCRETO</v>
      </c>
      <c r="D117" s="5" t="str">
        <f>IFERROR(__xludf.DUMMYFUNCTION("""COMPUTED_VALUE"""),"SEM PLACA")</f>
        <v>SEM PLACA</v>
      </c>
      <c r="E117" s="5" t="str">
        <f>IFERROR(__xludf.DUMMYFUNCTION("""COMPUTED_VALUE"""),"SEM BAIA")</f>
        <v>SEM BAIA</v>
      </c>
      <c r="F117" s="5" t="str">
        <f>IFERROR(__xludf.DUMMYFUNCTION("""COMPUTED_VALUE"""),"NÃO")</f>
        <v>NÃO</v>
      </c>
      <c r="G117" s="5" t="str">
        <f>IFERROR(__xludf.DUMMYFUNCTION("""COMPUTED_VALUE"""),"NÃO")</f>
        <v>NÃO</v>
      </c>
      <c r="H117" s="5" t="str">
        <f>IFERROR(__xludf.DUMMYFUNCTION("""COMPUTED_VALUE"""),"NÃO PAVIMENTADA")</f>
        <v>NÃO PAVIMENTADA</v>
      </c>
      <c r="I117" s="6" t="str">
        <f>IFERROR(__xludf.DUMMYFUNCTION("""COMPUTED_VALUE"""),"-9.545250")</f>
        <v>-9.545250</v>
      </c>
      <c r="J117" s="6" t="str">
        <f>IFERROR(__xludf.DUMMYFUNCTION("""COMPUTED_VALUE"""),"-35.624063")</f>
        <v>-35.624063</v>
      </c>
      <c r="K117" s="5" t="str">
        <f>IFERROR(__xludf.DUMMYFUNCTION("""COMPUTED_VALUE"""),"AV. GEN. LUIZ DE FRANÇA ALBUQUERQUE – RODOVIA AL-101 NORTE, S/N")</f>
        <v>AV. GEN. LUIZ DE FRANÇA ALBUQUERQUE – RODOVIA AL-101 NORTE, S/N</v>
      </c>
      <c r="L117" s="5" t="str">
        <f>IFERROR(__xludf.DUMMYFUNCTION("""COMPUTED_VALUE"""),"RODOVIAS")</f>
        <v>RODOVIAS</v>
      </c>
      <c r="M117" s="5" t="str">
        <f>IFERROR(__xludf.DUMMYFUNCTION("""COMPUTED_VALUE"""),"PESCARIA")</f>
        <v>PESCARIA</v>
      </c>
      <c r="N117" s="5" t="str">
        <f>IFERROR(__xludf.DUMMYFUNCTION("""COMPUTED_VALUE"""),"BAIRRO - CENTRO")</f>
        <v>BAIRRO - CENTRO</v>
      </c>
      <c r="O117" s="5" t="str">
        <f>IFERROR(__xludf.DUMMYFUNCTION("""COMPUTED_VALUE"""),"EM FRENTE DA AABB")</f>
        <v>EM FRENTE DA AABB</v>
      </c>
      <c r="P117" s="5" t="str">
        <f>IFERROR(__xludf.DUMMYFUNCTION("""COMPUTED_VALUE"""),"PRIORIDADE ALTA")</f>
        <v>PRIORIDADE ALTA</v>
      </c>
      <c r="Q117" s="5" t="str">
        <f>IFERROR(__xludf.DUMMYFUNCTION("""COMPUTED_VALUE"""),"Necessário refazer reboco; pintura de toda estrutura; limpeza da calçada; pintura da baia no asfalto; pavimentação e readequação da calçada, com acessibilidade e piso tátil;")</f>
        <v>Necessário refazer reboco; pintura de toda estrutura; limpeza da calçada; pintura da baia no asfalto; pavimentação e readequação da calçada, com acessibilidade e piso tátil;</v>
      </c>
      <c r="R117" s="5" t="str">
        <f>IFERROR(__xludf.DUMMYFUNCTION("""COMPUTED_VALUE"""),"SUBSTITUIR ABRIGO")</f>
        <v>SUBSTITUIR ABRIGO</v>
      </c>
      <c r="S117" s="7">
        <f>IFERROR(__xludf.DUMMYFUNCTION("""COMPUTED_VALUE"""),44564.0)</f>
        <v>44564</v>
      </c>
      <c r="T117" s="5"/>
      <c r="U117" s="7">
        <f>IFERROR(__xludf.DUMMYFUNCTION("""COMPUTED_VALUE"""),44564.0)</f>
        <v>44564</v>
      </c>
      <c r="V117" s="9" t="str">
        <f>IFERROR(__xludf.DUMMYFUNCTION("""COMPUTED_VALUE"""),"https://drive.google.com/uc?id=1HDBGY26xcscsUtBORaotoHsWv0pyUjFM")</f>
        <v>https://drive.google.com/uc?id=1HDBGY26xcscsUtBORaotoHsWv0pyUjFM</v>
      </c>
      <c r="W117" s="5" t="str">
        <f>IFERROR(__xludf.DUMMYFUNCTION("""COMPUTED_VALUE"""),"NÃO")</f>
        <v>NÃO</v>
      </c>
      <c r="X117" s="5" t="str">
        <f>IFERROR(__xludf.DUMMYFUNCTION("""COMPUTED_VALUE"""),"NÃO SE APLICA")</f>
        <v>NÃO SE APLICA</v>
      </c>
    </row>
    <row r="118">
      <c r="A118" s="5">
        <f>IFERROR(__xludf.DUMMYFUNCTION("""COMPUTED_VALUE"""),8.0)</f>
        <v>8</v>
      </c>
      <c r="B118" s="5" t="str">
        <f>IFERROR(__xludf.DUMMYFUNCTION("""COMPUTED_VALUE"""),"PE004")</f>
        <v>PE004</v>
      </c>
      <c r="C118" s="5" t="str">
        <f>IFERROR(__xludf.DUMMYFUNCTION("""COMPUTED_VALUE"""),"ABRIGO METÁLICO PEQUENO PORTE")</f>
        <v>ABRIGO METÁLICO PEQUENO PORTE</v>
      </c>
      <c r="D118" s="5" t="str">
        <f>IFERROR(__xludf.DUMMYFUNCTION("""COMPUTED_VALUE"""),"FIXADA EM POSTE")</f>
        <v>FIXADA EM POSTE</v>
      </c>
      <c r="E118" s="5" t="str">
        <f>IFERROR(__xludf.DUMMYFUNCTION("""COMPUTED_VALUE"""),"SEM BAIA")</f>
        <v>SEM BAIA</v>
      </c>
      <c r="F118" s="5" t="str">
        <f>IFERROR(__xludf.DUMMYFUNCTION("""COMPUTED_VALUE"""),"NÃO")</f>
        <v>NÃO</v>
      </c>
      <c r="G118" s="5" t="str">
        <f>IFERROR(__xludf.DUMMYFUNCTION("""COMPUTED_VALUE"""),"NÃO")</f>
        <v>NÃO</v>
      </c>
      <c r="H118" s="5" t="str">
        <f>IFERROR(__xludf.DUMMYFUNCTION("""COMPUTED_VALUE"""),"NÃO PAVIMENTADA")</f>
        <v>NÃO PAVIMENTADA</v>
      </c>
      <c r="I118" s="6" t="str">
        <f>IFERROR(__xludf.DUMMYFUNCTION("""COMPUTED_VALUE"""),"-9.545275")</f>
        <v>-9.545275</v>
      </c>
      <c r="J118" s="6" t="str">
        <f>IFERROR(__xludf.DUMMYFUNCTION("""COMPUTED_VALUE"""),"-35.623816")</f>
        <v>-35.623816</v>
      </c>
      <c r="K118" s="5" t="str">
        <f>IFERROR(__xludf.DUMMYFUNCTION("""COMPUTED_VALUE"""),"AV. GEN. LUIZ DE FRANÇA ALBUQUERQUE – RODOVIA AL-101 NORTE, S/N")</f>
        <v>AV. GEN. LUIZ DE FRANÇA ALBUQUERQUE – RODOVIA AL-101 NORTE, S/N</v>
      </c>
      <c r="L118" s="5" t="str">
        <f>IFERROR(__xludf.DUMMYFUNCTION("""COMPUTED_VALUE"""),"RODOVIAS")</f>
        <v>RODOVIAS</v>
      </c>
      <c r="M118" s="5" t="str">
        <f>IFERROR(__xludf.DUMMYFUNCTION("""COMPUTED_VALUE"""),"PESCARIA")</f>
        <v>PESCARIA</v>
      </c>
      <c r="N118" s="5" t="str">
        <f>IFERROR(__xludf.DUMMYFUNCTION("""COMPUTED_VALUE"""),"CENTRO - BAIRRO")</f>
        <v>CENTRO - BAIRRO</v>
      </c>
      <c r="O118" s="5" t="str">
        <f>IFERROR(__xludf.DUMMYFUNCTION("""COMPUTED_VALUE"""),"EM FRENTE DA AABB")</f>
        <v>EM FRENTE DA AABB</v>
      </c>
      <c r="P118" s="5" t="str">
        <f>IFERROR(__xludf.DUMMYFUNCTION("""COMPUTED_VALUE"""),"PRIORIDADE ALTA")</f>
        <v>PRIORIDADE ALTA</v>
      </c>
      <c r="Q118" s="5" t="str">
        <f>IFERROR(__xludf.DUMMYFUNCTION("""COMPUTED_VALUE"""),"Necessário pavimentação e adequação da calçada, com piso tátil e acessibilidade; e fazer pintura da baia no asfalto.")</f>
        <v>Necessário pavimentação e adequação da calçada, com piso tátil e acessibilidade; e fazer pintura da baia no asfalto.</v>
      </c>
      <c r="R118" s="5" t="str">
        <f>IFERROR(__xludf.DUMMYFUNCTION("""COMPUTED_VALUE"""),"NENHUMA DAS OPÇÕES")</f>
        <v>NENHUMA DAS OPÇÕES</v>
      </c>
      <c r="S118" s="7">
        <f>IFERROR(__xludf.DUMMYFUNCTION("""COMPUTED_VALUE"""),44565.0)</f>
        <v>44565</v>
      </c>
      <c r="T118" s="5"/>
      <c r="U118" s="7">
        <f>IFERROR(__xludf.DUMMYFUNCTION("""COMPUTED_VALUE"""),44565.0)</f>
        <v>44565</v>
      </c>
      <c r="V118" s="9" t="str">
        <f>IFERROR(__xludf.DUMMYFUNCTION("""COMPUTED_VALUE"""),"https://drive.google.com/uc?id=18QBuFf4bulkHDZfDz4aFTgjqW0XORPM4")</f>
        <v>https://drive.google.com/uc?id=18QBuFf4bulkHDZfDz4aFTgjqW0XORPM4</v>
      </c>
      <c r="W118" s="5" t="str">
        <f>IFERROR(__xludf.DUMMYFUNCTION("""COMPUTED_VALUE"""),"SIM")</f>
        <v>SIM</v>
      </c>
      <c r="X118" s="5" t="str">
        <f>IFERROR(__xludf.DUMMYFUNCTION("""COMPUTED_VALUE"""),"NÃO SE APLICA")</f>
        <v>NÃO SE APLICA</v>
      </c>
    </row>
    <row r="119" hidden="1">
      <c r="A119" s="5">
        <f>IFERROR(__xludf.DUMMYFUNCTION("""COMPUTED_VALUE"""),8.0)</f>
        <v>8</v>
      </c>
      <c r="B119" s="5" t="str">
        <f>IFERROR(__xludf.DUMMYFUNCTION("""COMPUTED_VALUE"""),"PE005")</f>
        <v>PE005</v>
      </c>
      <c r="C119" s="5" t="str">
        <f>IFERROR(__xludf.DUMMYFUNCTION("""COMPUTED_VALUE"""),"NÃO POSSUI")</f>
        <v>NÃO POSSUI</v>
      </c>
      <c r="D119" s="5" t="str">
        <f>IFERROR(__xludf.DUMMYFUNCTION("""COMPUTED_VALUE"""),"FIXADA EM POSTE")</f>
        <v>FIXADA EM POSTE</v>
      </c>
      <c r="E119" s="5" t="str">
        <f>IFERROR(__xludf.DUMMYFUNCTION("""COMPUTED_VALUE"""),"SEM BAIA")</f>
        <v>SEM BAIA</v>
      </c>
      <c r="F119" s="5" t="str">
        <f>IFERROR(__xludf.DUMMYFUNCTION("""COMPUTED_VALUE"""),"NÃO")</f>
        <v>NÃO</v>
      </c>
      <c r="G119" s="5" t="str">
        <f>IFERROR(__xludf.DUMMYFUNCTION("""COMPUTED_VALUE"""),"NÃO")</f>
        <v>NÃO</v>
      </c>
      <c r="H119" s="5" t="str">
        <f>IFERROR(__xludf.DUMMYFUNCTION("""COMPUTED_VALUE"""),"NÃO PAVIMENTADA")</f>
        <v>NÃO PAVIMENTADA</v>
      </c>
      <c r="I119" s="6" t="str">
        <f>IFERROR(__xludf.DUMMYFUNCTION("""COMPUTED_VALUE"""),"-9.543540")</f>
        <v>-9.543540</v>
      </c>
      <c r="J119" s="6" t="str">
        <f>IFERROR(__xludf.DUMMYFUNCTION("""COMPUTED_VALUE"""),"-35.621675")</f>
        <v>-35.621675</v>
      </c>
      <c r="K119" s="5" t="str">
        <f>IFERROR(__xludf.DUMMYFUNCTION("""COMPUTED_VALUE"""),"AV. GEN. LUIZ DE FRANÇA ALBUQUERQUE – RODOVIA AL-101 NORTE, 9")</f>
        <v>AV. GEN. LUIZ DE FRANÇA ALBUQUERQUE – RODOVIA AL-101 NORTE, 9</v>
      </c>
      <c r="L119" s="5" t="str">
        <f>IFERROR(__xludf.DUMMYFUNCTION("""COMPUTED_VALUE"""),"RODOVIAS")</f>
        <v>RODOVIAS</v>
      </c>
      <c r="M119" s="5" t="str">
        <f>IFERROR(__xludf.DUMMYFUNCTION("""COMPUTED_VALUE"""),"PESCARIA")</f>
        <v>PESCARIA</v>
      </c>
      <c r="N119" s="5" t="str">
        <f>IFERROR(__xludf.DUMMYFUNCTION("""COMPUTED_VALUE"""),"CENTRO - BAIRRO")</f>
        <v>CENTRO - BAIRRO</v>
      </c>
      <c r="O119" s="5" t="str">
        <f>IFERROR(__xludf.DUMMYFUNCTION("""COMPUTED_VALUE"""),"PRÓXIMO A LOJA LAJE CONSTRUÇÕES")</f>
        <v>PRÓXIMO A LOJA LAJE CONSTRUÇÕES</v>
      </c>
      <c r="P119" s="5" t="str">
        <f>IFERROR(__xludf.DUMMYFUNCTION("""COMPUTED_VALUE"""),"PRIORIDADE ALTA")</f>
        <v>PRIORIDADE ALTA</v>
      </c>
      <c r="Q119" s="5" t="str">
        <f>IFERROR(__xludf.DUMMYFUNCTION("""COMPUTED_VALUE"""),"Necessário pavimentação e adequação calçada, com piso tátil e acessibilidade; e fazer pintura da baia no asfalto.")</f>
        <v>Necessário pavimentação e adequação calçada, com piso tátil e acessibilidade; e fazer pintura da baia no asfalto.</v>
      </c>
      <c r="R119" s="5" t="str">
        <f>IFERROR(__xludf.DUMMYFUNCTION("""COMPUTED_VALUE"""),"NENHUMA DAS OPÇÕES")</f>
        <v>NENHUMA DAS OPÇÕES</v>
      </c>
      <c r="S119" s="7">
        <f>IFERROR(__xludf.DUMMYFUNCTION("""COMPUTED_VALUE"""),44566.0)</f>
        <v>44566</v>
      </c>
      <c r="T119" s="5"/>
      <c r="U119" s="7">
        <f>IFERROR(__xludf.DUMMYFUNCTION("""COMPUTED_VALUE"""),44566.0)</f>
        <v>44566</v>
      </c>
      <c r="V119" s="9" t="str">
        <f>IFERROR(__xludf.DUMMYFUNCTION("""COMPUTED_VALUE"""),"https://drive.google.com/uc?id=1T9Hv-niIfxjsQtsCM4XDX7MmS_emO1gU")</f>
        <v>https://drive.google.com/uc?id=1T9Hv-niIfxjsQtsCM4XDX7MmS_emO1gU</v>
      </c>
      <c r="W119" s="5" t="str">
        <f>IFERROR(__xludf.DUMMYFUNCTION("""COMPUTED_VALUE"""),"NÃO")</f>
        <v>NÃO</v>
      </c>
      <c r="X119" s="5" t="str">
        <f>IFERROR(__xludf.DUMMYFUNCTION("""COMPUTED_VALUE"""),"NÃO SE APLICA")</f>
        <v>NÃO SE APLICA</v>
      </c>
    </row>
    <row r="120">
      <c r="A120" s="5">
        <f>IFERROR(__xludf.DUMMYFUNCTION("""COMPUTED_VALUE"""),8.0)</f>
        <v>8</v>
      </c>
      <c r="B120" s="5" t="str">
        <f>IFERROR(__xludf.DUMMYFUNCTION("""COMPUTED_VALUE"""),"PE006")</f>
        <v>PE006</v>
      </c>
      <c r="C120" s="5" t="str">
        <f>IFERROR(__xludf.DUMMYFUNCTION("""COMPUTED_VALUE"""),"ABRIGO CONCRETO")</f>
        <v>ABRIGO CONCRETO</v>
      </c>
      <c r="D120" s="5" t="str">
        <f>IFERROR(__xludf.DUMMYFUNCTION("""COMPUTED_VALUE"""),"SEM PLACA")</f>
        <v>SEM PLACA</v>
      </c>
      <c r="E120" s="5" t="str">
        <f>IFERROR(__xludf.DUMMYFUNCTION("""COMPUTED_VALUE"""),"SEM BAIA")</f>
        <v>SEM BAIA</v>
      </c>
      <c r="F120" s="5" t="str">
        <f>IFERROR(__xludf.DUMMYFUNCTION("""COMPUTED_VALUE"""),"NÃO")</f>
        <v>NÃO</v>
      </c>
      <c r="G120" s="5" t="str">
        <f>IFERROR(__xludf.DUMMYFUNCTION("""COMPUTED_VALUE"""),"NÃO")</f>
        <v>NÃO</v>
      </c>
      <c r="H120" s="5" t="str">
        <f>IFERROR(__xludf.DUMMYFUNCTION("""COMPUTED_VALUE"""),"PAVIMENTADA")</f>
        <v>PAVIMENTADA</v>
      </c>
      <c r="I120" s="6" t="str">
        <f>IFERROR(__xludf.DUMMYFUNCTION("""COMPUTED_VALUE"""),"-9.54335")</f>
        <v>-9.54335</v>
      </c>
      <c r="J120" s="6" t="str">
        <f>IFERROR(__xludf.DUMMYFUNCTION("""COMPUTED_VALUE"""),"-35.62170")</f>
        <v>-35.62170</v>
      </c>
      <c r="K120" s="5" t="str">
        <f>IFERROR(__xludf.DUMMYFUNCTION("""COMPUTED_VALUE"""),"AV. GEN. LUIZ DE FRANÇA ALBUQUERQUE – RODOVIA AL-101 NORTE, 55")</f>
        <v>AV. GEN. LUIZ DE FRANÇA ALBUQUERQUE – RODOVIA AL-101 NORTE, 55</v>
      </c>
      <c r="L120" s="5" t="str">
        <f>IFERROR(__xludf.DUMMYFUNCTION("""COMPUTED_VALUE"""),"RODOVIAS")</f>
        <v>RODOVIAS</v>
      </c>
      <c r="M120" s="5" t="str">
        <f>IFERROR(__xludf.DUMMYFUNCTION("""COMPUTED_VALUE"""),"PESCARIA")</f>
        <v>PESCARIA</v>
      </c>
      <c r="N120" s="5" t="str">
        <f>IFERROR(__xludf.DUMMYFUNCTION("""COMPUTED_VALUE"""),"BAIRRO - CENTRO")</f>
        <v>BAIRRO - CENTRO</v>
      </c>
      <c r="O120" s="5" t="str">
        <f>IFERROR(__xludf.DUMMYFUNCTION("""COMPUTED_VALUE"""),"PRÓXIMO A LOJA LAJE CONSTRUÇÕES")</f>
        <v>PRÓXIMO A LOJA LAJE CONSTRUÇÕES</v>
      </c>
      <c r="P120" s="5" t="str">
        <f>IFERROR(__xludf.DUMMYFUNCTION("""COMPUTED_VALUE"""),"PRIORIDADE MÉDIA")</f>
        <v>PRIORIDADE MÉDIA</v>
      </c>
      <c r="Q120" s="5" t="str">
        <f>IFERROR(__xludf.DUMMYFUNCTION("""COMPUTED_VALUE"""),"PINTURA DA BAIA NO ASFALTO, ADEQUAÇÃO DA CALÇADA (RAMPA DE ACESSIBILIDADE E PISO TÁTIL)")</f>
        <v>PINTURA DA BAIA NO ASFALTO, ADEQUAÇÃO DA CALÇADA (RAMPA DE ACESSIBILIDADE E PISO TÁTIL)</v>
      </c>
      <c r="R120" s="5" t="str">
        <f>IFERROR(__xludf.DUMMYFUNCTION("""COMPUTED_VALUE"""),"SUBSTITUIR ABRIGO")</f>
        <v>SUBSTITUIR ABRIGO</v>
      </c>
      <c r="S120" s="7">
        <f>IFERROR(__xludf.DUMMYFUNCTION("""COMPUTED_VALUE"""),44567.0)</f>
        <v>44567</v>
      </c>
      <c r="T120" s="5"/>
      <c r="U120" s="7">
        <f>IFERROR(__xludf.DUMMYFUNCTION("""COMPUTED_VALUE"""),44567.0)</f>
        <v>44567</v>
      </c>
      <c r="V120" s="9" t="str">
        <f>IFERROR(__xludf.DUMMYFUNCTION("""COMPUTED_VALUE"""),"https://drive.google.com/uc?id=1qHpkzhFCkDfM4bDEEUcPmRBkGAiDOsvd")</f>
        <v>https://drive.google.com/uc?id=1qHpkzhFCkDfM4bDEEUcPmRBkGAiDOsvd</v>
      </c>
      <c r="W120" s="5" t="str">
        <f>IFERROR(__xludf.DUMMYFUNCTION("""COMPUTED_VALUE"""),"NÃO")</f>
        <v>NÃO</v>
      </c>
      <c r="X120" s="5" t="str">
        <f>IFERROR(__xludf.DUMMYFUNCTION("""COMPUTED_VALUE"""),"NÃO SE APLICA")</f>
        <v>NÃO SE APLICA</v>
      </c>
    </row>
    <row r="121">
      <c r="A121" s="5">
        <f>IFERROR(__xludf.DUMMYFUNCTION("""COMPUTED_VALUE"""),8.0)</f>
        <v>8</v>
      </c>
      <c r="B121" s="5" t="str">
        <f>IFERROR(__xludf.DUMMYFUNCTION("""COMPUTED_VALUE"""),"PE007")</f>
        <v>PE007</v>
      </c>
      <c r="C121" s="5" t="str">
        <f>IFERROR(__xludf.DUMMYFUNCTION("""COMPUTED_VALUE"""),"ABRIGO CONCRETO")</f>
        <v>ABRIGO CONCRETO</v>
      </c>
      <c r="D121" s="5" t="str">
        <f>IFERROR(__xludf.DUMMYFUNCTION("""COMPUTED_VALUE"""),"SEM PLACA")</f>
        <v>SEM PLACA</v>
      </c>
      <c r="E121" s="5" t="str">
        <f>IFERROR(__xludf.DUMMYFUNCTION("""COMPUTED_VALUE"""),"SEM BAIA")</f>
        <v>SEM BAIA</v>
      </c>
      <c r="F121" s="5" t="str">
        <f>IFERROR(__xludf.DUMMYFUNCTION("""COMPUTED_VALUE"""),"NÃO")</f>
        <v>NÃO</v>
      </c>
      <c r="G121" s="5" t="str">
        <f>IFERROR(__xludf.DUMMYFUNCTION("""COMPUTED_VALUE"""),"NÃO")</f>
        <v>NÃO</v>
      </c>
      <c r="H121" s="5" t="str">
        <f>IFERROR(__xludf.DUMMYFUNCTION("""COMPUTED_VALUE"""),"PAVIMENTADA")</f>
        <v>PAVIMENTADA</v>
      </c>
      <c r="I121" s="6" t="str">
        <f>IFERROR(__xludf.DUMMYFUNCTION("""COMPUTED_VALUE"""),"-9.539210")</f>
        <v>-9.539210</v>
      </c>
      <c r="J121" s="6" t="str">
        <f>IFERROR(__xludf.DUMMYFUNCTION("""COMPUTED_VALUE"""),"-35.619954")</f>
        <v>-35.619954</v>
      </c>
      <c r="K121" s="5" t="str">
        <f>IFERROR(__xludf.DUMMYFUNCTION("""COMPUTED_VALUE"""),"AV. GEN. LUIZ DE FRANÇA ALBUQUERQUE – RODOVIA AL-101 NORTE, 205")</f>
        <v>AV. GEN. LUIZ DE FRANÇA ALBUQUERQUE – RODOVIA AL-101 NORTE, 205</v>
      </c>
      <c r="L121" s="5" t="str">
        <f>IFERROR(__xludf.DUMMYFUNCTION("""COMPUTED_VALUE"""),"RODOVIAS")</f>
        <v>RODOVIAS</v>
      </c>
      <c r="M121" s="5" t="str">
        <f>IFERROR(__xludf.DUMMYFUNCTION("""COMPUTED_VALUE"""),"PESCARIA")</f>
        <v>PESCARIA</v>
      </c>
      <c r="N121" s="5" t="str">
        <f>IFERROR(__xludf.DUMMYFUNCTION("""COMPUTED_VALUE"""),"BAIRRO - CENTRO")</f>
        <v>BAIRRO - CENTRO</v>
      </c>
      <c r="O121" s="5"/>
      <c r="P121" s="5" t="str">
        <f>IFERROR(__xludf.DUMMYFUNCTION("""COMPUTED_VALUE"""),"PRIORIDADE ALTA")</f>
        <v>PRIORIDADE ALTA</v>
      </c>
      <c r="Q121" s="5" t="str">
        <f>IFERROR(__xludf.DUMMYFUNCTION("""COMPUTED_VALUE"""),"PINTURA DA BAIA NO ASFALTO, ADEQUAÇÃO DA CALÇADA (RAMPA DE ACESSIBILIDADE E PISO TÁTIL)")</f>
        <v>PINTURA DA BAIA NO ASFALTO, ADEQUAÇÃO DA CALÇADA (RAMPA DE ACESSIBILIDADE E PISO TÁTIL)</v>
      </c>
      <c r="R121" s="5" t="str">
        <f>IFERROR(__xludf.DUMMYFUNCTION("""COMPUTED_VALUE"""),"SUBSTITUIR ABRIGO")</f>
        <v>SUBSTITUIR ABRIGO</v>
      </c>
      <c r="S121" s="7">
        <f>IFERROR(__xludf.DUMMYFUNCTION("""COMPUTED_VALUE"""),44568.0)</f>
        <v>44568</v>
      </c>
      <c r="T121" s="5"/>
      <c r="U121" s="7">
        <f>IFERROR(__xludf.DUMMYFUNCTION("""COMPUTED_VALUE"""),44568.0)</f>
        <v>44568</v>
      </c>
      <c r="V121" s="9" t="str">
        <f>IFERROR(__xludf.DUMMYFUNCTION("""COMPUTED_VALUE"""),"https://drive.google.com/uc?id=1On3GRGFBQ1TkSRxUmu_R970hNNJKzIjh")</f>
        <v>https://drive.google.com/uc?id=1On3GRGFBQ1TkSRxUmu_R970hNNJKzIjh</v>
      </c>
      <c r="W121" s="5" t="str">
        <f>IFERROR(__xludf.DUMMYFUNCTION("""COMPUTED_VALUE"""),"NÃO")</f>
        <v>NÃO</v>
      </c>
      <c r="X121" s="5" t="str">
        <f>IFERROR(__xludf.DUMMYFUNCTION("""COMPUTED_VALUE"""),"NÃO SE APLICA")</f>
        <v>NÃO SE APLICA</v>
      </c>
    </row>
    <row r="122" hidden="1">
      <c r="A122" s="5">
        <f>IFERROR(__xludf.DUMMYFUNCTION("""COMPUTED_VALUE"""),8.0)</f>
        <v>8</v>
      </c>
      <c r="B122" s="5" t="str">
        <f>IFERROR(__xludf.DUMMYFUNCTION("""COMPUTED_VALUE"""),"PE008")</f>
        <v>PE008</v>
      </c>
      <c r="C122" s="5" t="str">
        <f>IFERROR(__xludf.DUMMYFUNCTION("""COMPUTED_VALUE"""),"NÃO POSSUI")</f>
        <v>NÃO POSSUI</v>
      </c>
      <c r="D122" s="5" t="str">
        <f>IFERROR(__xludf.DUMMYFUNCTION("""COMPUTED_VALUE"""),"FIXADA EM POSTE")</f>
        <v>FIXADA EM POSTE</v>
      </c>
      <c r="E122" s="5" t="str">
        <f>IFERROR(__xludf.DUMMYFUNCTION("""COMPUTED_VALUE"""),"SEM BAIA")</f>
        <v>SEM BAIA</v>
      </c>
      <c r="F122" s="5" t="str">
        <f>IFERROR(__xludf.DUMMYFUNCTION("""COMPUTED_VALUE"""),"NÃO")</f>
        <v>NÃO</v>
      </c>
      <c r="G122" s="5" t="str">
        <f>IFERROR(__xludf.DUMMYFUNCTION("""COMPUTED_VALUE"""),"NÃO")</f>
        <v>NÃO</v>
      </c>
      <c r="H122" s="5" t="str">
        <f>IFERROR(__xludf.DUMMYFUNCTION("""COMPUTED_VALUE"""),"PAVIMENTADA")</f>
        <v>PAVIMENTADA</v>
      </c>
      <c r="I122" s="6" t="str">
        <f>IFERROR(__xludf.DUMMYFUNCTION("""COMPUTED_VALUE"""),"-9.539096")</f>
        <v>-9.539096</v>
      </c>
      <c r="J122" s="6" t="str">
        <f>IFERROR(__xludf.DUMMYFUNCTION("""COMPUTED_VALUE"""),"-35.619791")</f>
        <v>-35.619791</v>
      </c>
      <c r="K122" s="5" t="str">
        <f>IFERROR(__xludf.DUMMYFUNCTION("""COMPUTED_VALUE"""),"AV. GEN. LUIZ DE FRANÇA ALBUQUERQUE – RODOVIA AL-101 NORTE, 22")</f>
        <v>AV. GEN. LUIZ DE FRANÇA ALBUQUERQUE – RODOVIA AL-101 NORTE, 22</v>
      </c>
      <c r="L122" s="5" t="str">
        <f>IFERROR(__xludf.DUMMYFUNCTION("""COMPUTED_VALUE"""),"RODOVIAS")</f>
        <v>RODOVIAS</v>
      </c>
      <c r="M122" s="5" t="str">
        <f>IFERROR(__xludf.DUMMYFUNCTION("""COMPUTED_VALUE"""),"PESCARIA")</f>
        <v>PESCARIA</v>
      </c>
      <c r="N122" s="5" t="str">
        <f>IFERROR(__xludf.DUMMYFUNCTION("""COMPUTED_VALUE"""),"CENTRO - BAIRRO")</f>
        <v>CENTRO - BAIRRO</v>
      </c>
      <c r="O122" s="5" t="str">
        <f>IFERROR(__xludf.DUMMYFUNCTION("""COMPUTED_VALUE"""),"EM FRENTE AO DEPÓSITO PESCARIA")</f>
        <v>EM FRENTE AO DEPÓSITO PESCARIA</v>
      </c>
      <c r="P122" s="5" t="str">
        <f>IFERROR(__xludf.DUMMYFUNCTION("""COMPUTED_VALUE"""),"PRIORIDADE MÉDIA")</f>
        <v>PRIORIDADE MÉDIA</v>
      </c>
      <c r="Q122" s="5" t="str">
        <f>IFERROR(__xludf.DUMMYFUNCTION("""COMPUTED_VALUE"""),"Fazer pintura da baia no asfalto e adequação da calçada com acessibilidade e piso tátil.")</f>
        <v>Fazer pintura da baia no asfalto e adequação da calçada com acessibilidade e piso tátil.</v>
      </c>
      <c r="R122" s="5" t="str">
        <f>IFERROR(__xludf.DUMMYFUNCTION("""COMPUTED_VALUE"""),"NENHUMA DAS OPÇÕES")</f>
        <v>NENHUMA DAS OPÇÕES</v>
      </c>
      <c r="S122" s="7">
        <f>IFERROR(__xludf.DUMMYFUNCTION("""COMPUTED_VALUE"""),44569.0)</f>
        <v>44569</v>
      </c>
      <c r="T122" s="5"/>
      <c r="U122" s="7">
        <f>IFERROR(__xludf.DUMMYFUNCTION("""COMPUTED_VALUE"""),44569.0)</f>
        <v>44569</v>
      </c>
      <c r="V122" s="9" t="str">
        <f>IFERROR(__xludf.DUMMYFUNCTION("""COMPUTED_VALUE"""),"https://drive.google.com/uc?id=1mNqNeooEAXeL6BYbmuXHQffyAqL7eHr6")</f>
        <v>https://drive.google.com/uc?id=1mNqNeooEAXeL6BYbmuXHQffyAqL7eHr6</v>
      </c>
      <c r="W122" s="5" t="str">
        <f>IFERROR(__xludf.DUMMYFUNCTION("""COMPUTED_VALUE"""),"NÃO")</f>
        <v>NÃO</v>
      </c>
      <c r="X122" s="5" t="str">
        <f>IFERROR(__xludf.DUMMYFUNCTION("""COMPUTED_VALUE"""),"NÃO SE APLICA")</f>
        <v>NÃO SE APLICA</v>
      </c>
    </row>
    <row r="123" hidden="1">
      <c r="A123" s="5">
        <f>IFERROR(__xludf.DUMMYFUNCTION("""COMPUTED_VALUE"""),8.0)</f>
        <v>8</v>
      </c>
      <c r="B123" s="5" t="str">
        <f>IFERROR(__xludf.DUMMYFUNCTION("""COMPUTED_VALUE"""),"PE009")</f>
        <v>PE009</v>
      </c>
      <c r="C123" s="5" t="str">
        <f>IFERROR(__xludf.DUMMYFUNCTION("""COMPUTED_VALUE"""),"NÃO POSSUI")</f>
        <v>NÃO POSSUI</v>
      </c>
      <c r="D123" s="5" t="str">
        <f>IFERROR(__xludf.DUMMYFUNCTION("""COMPUTED_VALUE"""),"FIXADA EM POSTE")</f>
        <v>FIXADA EM POSTE</v>
      </c>
      <c r="E123" s="5" t="str">
        <f>IFERROR(__xludf.DUMMYFUNCTION("""COMPUTED_VALUE"""),"SEM BAIA")</f>
        <v>SEM BAIA</v>
      </c>
      <c r="F123" s="5" t="str">
        <f>IFERROR(__xludf.DUMMYFUNCTION("""COMPUTED_VALUE"""),"NÃO")</f>
        <v>NÃO</v>
      </c>
      <c r="G123" s="5" t="str">
        <f>IFERROR(__xludf.DUMMYFUNCTION("""COMPUTED_VALUE"""),"NÃO")</f>
        <v>NÃO</v>
      </c>
      <c r="H123" s="5" t="str">
        <f>IFERROR(__xludf.DUMMYFUNCTION("""COMPUTED_VALUE"""),"NÃO PAVIMENTADA")</f>
        <v>NÃO PAVIMENTADA</v>
      </c>
      <c r="I123" s="6" t="str">
        <f>IFERROR(__xludf.DUMMYFUNCTION("""COMPUTED_VALUE"""),"-9.538057")</f>
        <v>-9.538057</v>
      </c>
      <c r="J123" s="6" t="str">
        <f>IFERROR(__xludf.DUMMYFUNCTION("""COMPUTED_VALUE"""),"-35.619225")</f>
        <v>-35.619225</v>
      </c>
      <c r="K123" s="5" t="str">
        <f>IFERROR(__xludf.DUMMYFUNCTION("""COMPUTED_VALUE"""),"AV. GEN. LUIZ DE FRANÇA ALBUQUERQUE – RODOVIA AL-101 NORTE, 22")</f>
        <v>AV. GEN. LUIZ DE FRANÇA ALBUQUERQUE – RODOVIA AL-101 NORTE, 22</v>
      </c>
      <c r="L123" s="5" t="str">
        <f>IFERROR(__xludf.DUMMYFUNCTION("""COMPUTED_VALUE"""),"RODOVIAS")</f>
        <v>RODOVIAS</v>
      </c>
      <c r="M123" s="5" t="str">
        <f>IFERROR(__xludf.DUMMYFUNCTION("""COMPUTED_VALUE"""),"PESCARIA")</f>
        <v>PESCARIA</v>
      </c>
      <c r="N123" s="5" t="str">
        <f>IFERROR(__xludf.DUMMYFUNCTION("""COMPUTED_VALUE"""),"CENTRO - BAIRRO")</f>
        <v>CENTRO - BAIRRO</v>
      </c>
      <c r="O123" s="5" t="str">
        <f>IFERROR(__xludf.DUMMYFUNCTION("""COMPUTED_VALUE"""),"EM FRENTE AO RESTAURANTE BELA VISTA")</f>
        <v>EM FRENTE AO RESTAURANTE BELA VISTA</v>
      </c>
      <c r="P123" s="5" t="str">
        <f>IFERROR(__xludf.DUMMYFUNCTION("""COMPUTED_VALUE"""),"PRIORIDADE ALTA")</f>
        <v>PRIORIDADE ALTA</v>
      </c>
      <c r="Q123" s="5" t="str">
        <f>IFERROR(__xludf.DUMMYFUNCTION("""COMPUTED_VALUE"""),"Placa danificada - Necessário substituição da placa e locação um pouco para a frente; pintura da baia no asfalto; adequação da calçada, com acessibilidade e piso tátil.")</f>
        <v>Placa danificada - Necessário substituição da placa e locação um pouco para a frente; pintura da baia no asfalto; adequação da calçada, com acessibilidade e piso tátil.</v>
      </c>
      <c r="R123" s="5" t="str">
        <f>IFERROR(__xludf.DUMMYFUNCTION("""COMPUTED_VALUE"""),"NENHUMA DAS OPÇÕES")</f>
        <v>NENHUMA DAS OPÇÕES</v>
      </c>
      <c r="S123" s="7">
        <f>IFERROR(__xludf.DUMMYFUNCTION("""COMPUTED_VALUE"""),44570.0)</f>
        <v>44570</v>
      </c>
      <c r="T123" s="5"/>
      <c r="U123" s="7">
        <f>IFERROR(__xludf.DUMMYFUNCTION("""COMPUTED_VALUE"""),44570.0)</f>
        <v>44570</v>
      </c>
      <c r="V123" s="9" t="str">
        <f>IFERROR(__xludf.DUMMYFUNCTION("""COMPUTED_VALUE"""),"https://drive.google.com/uc?id=1AR5ro3o7q8LrGIjmfoUs8n2hCvhhL2ji")</f>
        <v>https://drive.google.com/uc?id=1AR5ro3o7q8LrGIjmfoUs8n2hCvhhL2ji</v>
      </c>
      <c r="W123" s="5" t="str">
        <f>IFERROR(__xludf.DUMMYFUNCTION("""COMPUTED_VALUE"""),"NÃO")</f>
        <v>NÃO</v>
      </c>
      <c r="X123" s="5" t="str">
        <f>IFERROR(__xludf.DUMMYFUNCTION("""COMPUTED_VALUE"""),"NÃO SE APLICA")</f>
        <v>NÃO SE APLICA</v>
      </c>
    </row>
    <row r="124" hidden="1">
      <c r="A124" s="5">
        <f>IFERROR(__xludf.DUMMYFUNCTION("""COMPUTED_VALUE"""),8.0)</f>
        <v>8</v>
      </c>
      <c r="B124" s="5" t="str">
        <f>IFERROR(__xludf.DUMMYFUNCTION("""COMPUTED_VALUE"""),"PE010")</f>
        <v>PE010</v>
      </c>
      <c r="C124" s="5" t="str">
        <f>IFERROR(__xludf.DUMMYFUNCTION("""COMPUTED_VALUE"""),"NÃO POSSUI")</f>
        <v>NÃO POSSUI</v>
      </c>
      <c r="D124" s="5" t="str">
        <f>IFERROR(__xludf.DUMMYFUNCTION("""COMPUTED_VALUE"""),"FIXADA EM POSTE")</f>
        <v>FIXADA EM POSTE</v>
      </c>
      <c r="E124" s="5" t="str">
        <f>IFERROR(__xludf.DUMMYFUNCTION("""COMPUTED_VALUE"""),"SEM BAIA")</f>
        <v>SEM BAIA</v>
      </c>
      <c r="F124" s="5" t="str">
        <f>IFERROR(__xludf.DUMMYFUNCTION("""COMPUTED_VALUE"""),"NÃO")</f>
        <v>NÃO</v>
      </c>
      <c r="G124" s="5" t="str">
        <f>IFERROR(__xludf.DUMMYFUNCTION("""COMPUTED_VALUE"""),"NÃO")</f>
        <v>NÃO</v>
      </c>
      <c r="H124" s="5" t="str">
        <f>IFERROR(__xludf.DUMMYFUNCTION("""COMPUTED_VALUE"""),"NÃO PAVIMENTADA")</f>
        <v>NÃO PAVIMENTADA</v>
      </c>
      <c r="I124" s="6" t="str">
        <f>IFERROR(__xludf.DUMMYFUNCTION("""COMPUTED_VALUE"""),"-9.538038")</f>
        <v>-9.538038</v>
      </c>
      <c r="J124" s="6" t="str">
        <f>IFERROR(__xludf.DUMMYFUNCTION("""COMPUTED_VALUE"""),"-35.619314")</f>
        <v>-35.619314</v>
      </c>
      <c r="K124" s="5" t="str">
        <f>IFERROR(__xludf.DUMMYFUNCTION("""COMPUTED_VALUE"""),"AV. GEN. LUIZ DE FRANÇA ALBUQUERQUE – RODOVIA AL-101 NORTE, 22")</f>
        <v>AV. GEN. LUIZ DE FRANÇA ALBUQUERQUE – RODOVIA AL-101 NORTE, 22</v>
      </c>
      <c r="L124" s="5" t="str">
        <f>IFERROR(__xludf.DUMMYFUNCTION("""COMPUTED_VALUE"""),"RODOVIAS")</f>
        <v>RODOVIAS</v>
      </c>
      <c r="M124" s="5" t="str">
        <f>IFERROR(__xludf.DUMMYFUNCTION("""COMPUTED_VALUE"""),"PESCARIA")</f>
        <v>PESCARIA</v>
      </c>
      <c r="N124" s="5" t="str">
        <f>IFERROR(__xludf.DUMMYFUNCTION("""COMPUTED_VALUE"""),"BAIRRO - CENTRO")</f>
        <v>BAIRRO - CENTRO</v>
      </c>
      <c r="O124" s="5" t="str">
        <f>IFERROR(__xludf.DUMMYFUNCTION("""COMPUTED_VALUE"""),"EM FRENTE AO RESTAURANTE BELA VISTA")</f>
        <v>EM FRENTE AO RESTAURANTE BELA VISTA</v>
      </c>
      <c r="P124" s="5" t="str">
        <f>IFERROR(__xludf.DUMMYFUNCTION("""COMPUTED_VALUE"""),"PRIORIDADE ALTA")</f>
        <v>PRIORIDADE ALTA</v>
      </c>
      <c r="Q124" s="5" t="str">
        <f>IFERROR(__xludf.DUMMYFUNCTION("""COMPUTED_VALUE"""),"Necessário fazer pintura da baia no asfalto; pavimentação e adequação da calçada, com acessibilidade e piso tátil.")</f>
        <v>Necessário fazer pintura da baia no asfalto; pavimentação e adequação da calçada, com acessibilidade e piso tátil.</v>
      </c>
      <c r="R124" s="5" t="str">
        <f>IFERROR(__xludf.DUMMYFUNCTION("""COMPUTED_VALUE"""),"IMPLANTAR ABRIGO")</f>
        <v>IMPLANTAR ABRIGO</v>
      </c>
      <c r="S124" s="7">
        <f>IFERROR(__xludf.DUMMYFUNCTION("""COMPUTED_VALUE"""),44571.0)</f>
        <v>44571</v>
      </c>
      <c r="T124" s="5"/>
      <c r="U124" s="7">
        <f>IFERROR(__xludf.DUMMYFUNCTION("""COMPUTED_VALUE"""),44571.0)</f>
        <v>44571</v>
      </c>
      <c r="V124" s="9" t="str">
        <f>IFERROR(__xludf.DUMMYFUNCTION("""COMPUTED_VALUE"""),"https://drive.google.com/uc?id=13B8-3VIFYVdi2kUTFjcQY7gR9lpD5fwf")</f>
        <v>https://drive.google.com/uc?id=13B8-3VIFYVdi2kUTFjcQY7gR9lpD5fwf</v>
      </c>
      <c r="W124" s="5" t="str">
        <f>IFERROR(__xludf.DUMMYFUNCTION("""COMPUTED_VALUE"""),"NÃO")</f>
        <v>NÃO</v>
      </c>
      <c r="X124" s="5" t="str">
        <f>IFERROR(__xludf.DUMMYFUNCTION("""COMPUTED_VALUE"""),"NÃO SE APLICA")</f>
        <v>NÃO SE APLICA</v>
      </c>
    </row>
    <row r="125" hidden="1">
      <c r="A125" s="5">
        <f>IFERROR(__xludf.DUMMYFUNCTION("""COMPUTED_VALUE"""),8.0)</f>
        <v>8</v>
      </c>
      <c r="B125" s="5" t="str">
        <f>IFERROR(__xludf.DUMMYFUNCTION("""COMPUTED_VALUE"""),"PE011")</f>
        <v>PE011</v>
      </c>
      <c r="C125" s="5" t="str">
        <f>IFERROR(__xludf.DUMMYFUNCTION("""COMPUTED_VALUE"""),"NÃO POSSUI")</f>
        <v>NÃO POSSUI</v>
      </c>
      <c r="D125" s="5" t="str">
        <f>IFERROR(__xludf.DUMMYFUNCTION("""COMPUTED_VALUE"""),"COM SUPORTE")</f>
        <v>COM SUPORTE</v>
      </c>
      <c r="E125" s="5" t="str">
        <f>IFERROR(__xludf.DUMMYFUNCTION("""COMPUTED_VALUE"""),"SEM BAIA")</f>
        <v>SEM BAIA</v>
      </c>
      <c r="F125" s="5" t="str">
        <f>IFERROR(__xludf.DUMMYFUNCTION("""COMPUTED_VALUE"""),"NÃO")</f>
        <v>NÃO</v>
      </c>
      <c r="G125" s="5" t="str">
        <f>IFERROR(__xludf.DUMMYFUNCTION("""COMPUTED_VALUE"""),"NÃO")</f>
        <v>NÃO</v>
      </c>
      <c r="H125" s="5" t="str">
        <f>IFERROR(__xludf.DUMMYFUNCTION("""COMPUTED_VALUE"""),"NÃO PAVIMENTADA")</f>
        <v>NÃO PAVIMENTADA</v>
      </c>
      <c r="I125" s="6" t="str">
        <f>IFERROR(__xludf.DUMMYFUNCTION("""COMPUTED_VALUE"""),"-9.535198")</f>
        <v>-9.535198</v>
      </c>
      <c r="J125" s="6" t="str">
        <f>IFERROR(__xludf.DUMMYFUNCTION("""COMPUTED_VALUE"""),"-35.618029")</f>
        <v>-35.618029</v>
      </c>
      <c r="K125" s="5" t="str">
        <f>IFERROR(__xludf.DUMMYFUNCTION("""COMPUTED_VALUE"""),"AV. GEN. LUIZ DE FRANÇA ALBUQUERQUE – RODOVIA AL-101 NORTE, S/N")</f>
        <v>AV. GEN. LUIZ DE FRANÇA ALBUQUERQUE – RODOVIA AL-101 NORTE, S/N</v>
      </c>
      <c r="L125" s="5" t="str">
        <f>IFERROR(__xludf.DUMMYFUNCTION("""COMPUTED_VALUE"""),"RODOVIAS")</f>
        <v>RODOVIAS</v>
      </c>
      <c r="M125" s="5" t="str">
        <f>IFERROR(__xludf.DUMMYFUNCTION("""COMPUTED_VALUE"""),"PESCARIA")</f>
        <v>PESCARIA</v>
      </c>
      <c r="N125" s="5" t="str">
        <f>IFERROR(__xludf.DUMMYFUNCTION("""COMPUTED_VALUE"""),"BAIRRO - CENTRO")</f>
        <v>BAIRRO - CENTRO</v>
      </c>
      <c r="O125" s="5" t="str">
        <f>IFERROR(__xludf.DUMMYFUNCTION("""COMPUTED_VALUE"""),"PRÓXIMO A ENTRADA DO POVOADO SAÚDE")</f>
        <v>PRÓXIMO A ENTRADA DO POVOADO SAÚDE</v>
      </c>
      <c r="P125" s="5" t="str">
        <f>IFERROR(__xludf.DUMMYFUNCTION("""COMPUTED_VALUE"""),"PRIORIDADE ALTA")</f>
        <v>PRIORIDADE ALTA</v>
      </c>
      <c r="Q125" s="5" t="str">
        <f>IFERROR(__xludf.DUMMYFUNCTION("""COMPUTED_VALUE"""),"Necessário fazer pintura da baia no asfalto; pavimentação e adequação da calçada, com acessibilidade e piso tátil.")</f>
        <v>Necessário fazer pintura da baia no asfalto; pavimentação e adequação da calçada, com acessibilidade e piso tátil.</v>
      </c>
      <c r="R125" s="5" t="str">
        <f>IFERROR(__xludf.DUMMYFUNCTION("""COMPUTED_VALUE"""),"NENHUMA DAS OPÇÕES")</f>
        <v>NENHUMA DAS OPÇÕES</v>
      </c>
      <c r="S125" s="7">
        <f>IFERROR(__xludf.DUMMYFUNCTION("""COMPUTED_VALUE"""),44572.0)</f>
        <v>44572</v>
      </c>
      <c r="T125" s="5"/>
      <c r="U125" s="7">
        <f>IFERROR(__xludf.DUMMYFUNCTION("""COMPUTED_VALUE"""),44572.0)</f>
        <v>44572</v>
      </c>
      <c r="V125" s="9" t="str">
        <f>IFERROR(__xludf.DUMMYFUNCTION("""COMPUTED_VALUE"""),"https://drive.google.com/uc?id=18irvmmZbxNleH9MWRS9ggopbEmZFB256")</f>
        <v>https://drive.google.com/uc?id=18irvmmZbxNleH9MWRS9ggopbEmZFB256</v>
      </c>
      <c r="W125" s="5" t="str">
        <f>IFERROR(__xludf.DUMMYFUNCTION("""COMPUTED_VALUE"""),"NÃO")</f>
        <v>NÃO</v>
      </c>
      <c r="X125" s="5" t="str">
        <f>IFERROR(__xludf.DUMMYFUNCTION("""COMPUTED_VALUE"""),"NÃO SE APLICA")</f>
        <v>NÃO SE APLICA</v>
      </c>
    </row>
    <row r="126" hidden="1">
      <c r="A126" s="5">
        <f>IFERROR(__xludf.DUMMYFUNCTION("""COMPUTED_VALUE"""),8.0)</f>
        <v>8</v>
      </c>
      <c r="B126" s="5" t="str">
        <f>IFERROR(__xludf.DUMMYFUNCTION("""COMPUTED_VALUE"""),"PE012")</f>
        <v>PE012</v>
      </c>
      <c r="C126" s="5" t="str">
        <f>IFERROR(__xludf.DUMMYFUNCTION("""COMPUTED_VALUE"""),"NÃO POSSUI")</f>
        <v>NÃO POSSUI</v>
      </c>
      <c r="D126" s="5" t="str">
        <f>IFERROR(__xludf.DUMMYFUNCTION("""COMPUTED_VALUE"""),"FIXADA EM POSTE")</f>
        <v>FIXADA EM POSTE</v>
      </c>
      <c r="E126" s="5" t="str">
        <f>IFERROR(__xludf.DUMMYFUNCTION("""COMPUTED_VALUE"""),"SEM BAIA")</f>
        <v>SEM BAIA</v>
      </c>
      <c r="F126" s="5" t="str">
        <f>IFERROR(__xludf.DUMMYFUNCTION("""COMPUTED_VALUE"""),"NÃO")</f>
        <v>NÃO</v>
      </c>
      <c r="G126" s="5" t="str">
        <f>IFERROR(__xludf.DUMMYFUNCTION("""COMPUTED_VALUE"""),"NÃO")</f>
        <v>NÃO</v>
      </c>
      <c r="H126" s="5" t="str">
        <f>IFERROR(__xludf.DUMMYFUNCTION("""COMPUTED_VALUE"""),"NÃO PAVIMENTADA")</f>
        <v>NÃO PAVIMENTADA</v>
      </c>
      <c r="I126" s="6" t="str">
        <f>IFERROR(__xludf.DUMMYFUNCTION("""COMPUTED_VALUE"""),"-9.534849")</f>
        <v>-9.534849</v>
      </c>
      <c r="J126" s="6" t="str">
        <f>IFERROR(__xludf.DUMMYFUNCTION("""COMPUTED_VALUE"""),"-35.617724")</f>
        <v>-35.617724</v>
      </c>
      <c r="K126" s="5" t="str">
        <f>IFERROR(__xludf.DUMMYFUNCTION("""COMPUTED_VALUE"""),"AV. GEN. LUIZ DE FRANÇA ALBUQUERQUE – RODOVIA AL-101 NORTE, S/N")</f>
        <v>AV. GEN. LUIZ DE FRANÇA ALBUQUERQUE – RODOVIA AL-101 NORTE, S/N</v>
      </c>
      <c r="L126" s="5" t="str">
        <f>IFERROR(__xludf.DUMMYFUNCTION("""COMPUTED_VALUE"""),"RODOVIAS")</f>
        <v>RODOVIAS</v>
      </c>
      <c r="M126" s="5" t="str">
        <f>IFERROR(__xludf.DUMMYFUNCTION("""COMPUTED_VALUE"""),"PESCARIA")</f>
        <v>PESCARIA</v>
      </c>
      <c r="N126" s="5" t="str">
        <f>IFERROR(__xludf.DUMMYFUNCTION("""COMPUTED_VALUE"""),"CENTRO - BAIRRO")</f>
        <v>CENTRO - BAIRRO</v>
      </c>
      <c r="O126" s="5" t="str">
        <f>IFERROR(__xludf.DUMMYFUNCTION("""COMPUTED_VALUE"""),"PRÓXIMO A ENTRADA DO POVOADO SAÚDE")</f>
        <v>PRÓXIMO A ENTRADA DO POVOADO SAÚDE</v>
      </c>
      <c r="P126" s="5" t="str">
        <f>IFERROR(__xludf.DUMMYFUNCTION("""COMPUTED_VALUE"""),"PRIORIDADE ALTA")</f>
        <v>PRIORIDADE ALTA</v>
      </c>
      <c r="Q126" s="5" t="str">
        <f>IFERROR(__xludf.DUMMYFUNCTION("""COMPUTED_VALUE"""),"Necessário fixar placa na altura adequada; fazer pintura da baia no asfalto; pavimentação e adequação da calçada, com acessibilidade e piso tátil.")</f>
        <v>Necessário fixar placa na altura adequada; fazer pintura da baia no asfalto; pavimentação e adequação da calçada, com acessibilidade e piso tátil.</v>
      </c>
      <c r="R126" s="5" t="str">
        <f>IFERROR(__xludf.DUMMYFUNCTION("""COMPUTED_VALUE"""),"IMPLANTAR ABRIGO")</f>
        <v>IMPLANTAR ABRIGO</v>
      </c>
      <c r="S126" s="7">
        <f>IFERROR(__xludf.DUMMYFUNCTION("""COMPUTED_VALUE"""),44573.0)</f>
        <v>44573</v>
      </c>
      <c r="T126" s="5"/>
      <c r="U126" s="7">
        <f>IFERROR(__xludf.DUMMYFUNCTION("""COMPUTED_VALUE"""),44573.0)</f>
        <v>44573</v>
      </c>
      <c r="V126" s="9" t="str">
        <f>IFERROR(__xludf.DUMMYFUNCTION("""COMPUTED_VALUE"""),"https://drive.google.com/uc?id=1wN-FOl4A17m437ulTW6-smUGVmdA8ZMV")</f>
        <v>https://drive.google.com/uc?id=1wN-FOl4A17m437ulTW6-smUGVmdA8ZMV</v>
      </c>
      <c r="W126" s="5" t="str">
        <f>IFERROR(__xludf.DUMMYFUNCTION("""COMPUTED_VALUE"""),"NÃO")</f>
        <v>NÃO</v>
      </c>
      <c r="X126" s="5" t="str">
        <f>IFERROR(__xludf.DUMMYFUNCTION("""COMPUTED_VALUE"""),"NÃO SE APLICA")</f>
        <v>NÃO SE APLICA</v>
      </c>
    </row>
    <row r="127">
      <c r="A127" s="13">
        <f>IFERROR(__xludf.DUMMYFUNCTION("IMPORTRANGE(""https://docs.google.com/spreadsheets/d/11Xf8ueyQm_IkJIrLjE_knan7jqO4kbHyGCgwn2elcQA/edit#gid=972253967"", ""IPIOCA!A3:X44"")"),8.0)</f>
        <v>8</v>
      </c>
      <c r="B127" s="5" t="str">
        <f>IFERROR(__xludf.DUMMYFUNCTION("""COMPUTED_VALUE"""),"IP001")</f>
        <v>IP001</v>
      </c>
      <c r="C127" s="5" t="str">
        <f>IFERROR(__xludf.DUMMYFUNCTION("""COMPUTED_VALUE"""),"ABRIGO CONCRETO")</f>
        <v>ABRIGO CONCRETO</v>
      </c>
      <c r="D127" s="5" t="str">
        <f>IFERROR(__xludf.DUMMYFUNCTION("""COMPUTED_VALUE"""),"SEM PLACA")</f>
        <v>SEM PLACA</v>
      </c>
      <c r="E127" s="5" t="str">
        <f>IFERROR(__xludf.DUMMYFUNCTION("""COMPUTED_VALUE"""),"SEM BAIA")</f>
        <v>SEM BAIA</v>
      </c>
      <c r="F127" s="5" t="str">
        <f>IFERROR(__xludf.DUMMYFUNCTION("""COMPUTED_VALUE"""),"NÃO")</f>
        <v>NÃO</v>
      </c>
      <c r="G127" s="5" t="str">
        <f>IFERROR(__xludf.DUMMYFUNCTION("""COMPUTED_VALUE"""),"NÃO")</f>
        <v>NÃO</v>
      </c>
      <c r="H127" s="5" t="str">
        <f>IFERROR(__xludf.DUMMYFUNCTION("""COMPUTED_VALUE"""),"NÃO PAVIMENTADA")</f>
        <v>NÃO PAVIMENTADA</v>
      </c>
      <c r="I127" s="6" t="str">
        <f>IFERROR(__xludf.DUMMYFUNCTION("""COMPUTED_VALUE"""),"-9.528410")</f>
        <v>-9.528410</v>
      </c>
      <c r="J127" s="6" t="str">
        <f>IFERROR(__xludf.DUMMYFUNCTION("""COMPUTED_VALUE"""),"-35.623353")</f>
        <v>-35.623353</v>
      </c>
      <c r="K127" s="5" t="str">
        <f>IFERROR(__xludf.DUMMYFUNCTION("""COMPUTED_VALUE"""),"ESTRADA DA SAÚDE, 416")</f>
        <v>ESTRADA DA SAÚDE, 416</v>
      </c>
      <c r="L127" s="5" t="str">
        <f>IFERROR(__xludf.DUMMYFUNCTION("""COMPUTED_VALUE"""),"LOCAL")</f>
        <v>LOCAL</v>
      </c>
      <c r="M127" s="5" t="str">
        <f>IFERROR(__xludf.DUMMYFUNCTION("""COMPUTED_VALUE"""),"IPIOCA")</f>
        <v>IPIOCA</v>
      </c>
      <c r="N127" s="5" t="str">
        <f>IFERROR(__xludf.DUMMYFUNCTION("""COMPUTED_VALUE"""),"BAIRRO - CENTRO")</f>
        <v>BAIRRO - CENTRO</v>
      </c>
      <c r="O127" s="5" t="str">
        <f>IFERROR(__xludf.DUMMYFUNCTION("""COMPUTED_VALUE"""),"TERMINAL DO POVOADO DA SAÚDE")</f>
        <v>TERMINAL DO POVOADO DA SAÚDE</v>
      </c>
      <c r="P127" s="5" t="str">
        <f>IFERROR(__xludf.DUMMYFUNCTION("""COMPUTED_VALUE"""),"PRIORIDADE ALTA")</f>
        <v>PRIORIDADE ALTA</v>
      </c>
      <c r="Q127" s="5" t="str">
        <f>IFERROR(__xludf.DUMMYFUNCTION("""COMPUTED_VALUE"""),"LIMPEZA E PINTURA DO ABRIGO, ADEQUAÇÃO DA CALÇADA (RAMPA DE ACESSIBILIDADE E PISO TÁTIL)")</f>
        <v>LIMPEZA E PINTURA DO ABRIGO, ADEQUAÇÃO DA CALÇADA (RAMPA DE ACESSIBILIDADE E PISO TÁTIL)</v>
      </c>
      <c r="R127" s="5" t="str">
        <f>IFERROR(__xludf.DUMMYFUNCTION("""COMPUTED_VALUE"""),"SUBSTITUIR ABRIGO")</f>
        <v>SUBSTITUIR ABRIGO</v>
      </c>
      <c r="S127" s="7">
        <f>IFERROR(__xludf.DUMMYFUNCTION("""COMPUTED_VALUE"""),44562.0)</f>
        <v>44562</v>
      </c>
      <c r="T127" s="5"/>
      <c r="U127" s="7">
        <f>IFERROR(__xludf.DUMMYFUNCTION("""COMPUTED_VALUE"""),44562.0)</f>
        <v>44562</v>
      </c>
      <c r="V127" s="9" t="str">
        <f>IFERROR(__xludf.DUMMYFUNCTION("""COMPUTED_VALUE"""),"https://drive.google.com/uc?id=1LoOSuVYEQ8Hag7erHAYUrR-WwYK8aGwO")</f>
        <v>https://drive.google.com/uc?id=1LoOSuVYEQ8Hag7erHAYUrR-WwYK8aGwO</v>
      </c>
      <c r="W127" s="5" t="str">
        <f>IFERROR(__xludf.DUMMYFUNCTION("""COMPUTED_VALUE"""),"NÃO")</f>
        <v>NÃO</v>
      </c>
      <c r="X127" s="5" t="str">
        <f>IFERROR(__xludf.DUMMYFUNCTION("""COMPUTED_VALUE"""),"NÃO SE APLICA")</f>
        <v>NÃO SE APLICA</v>
      </c>
    </row>
    <row r="128">
      <c r="A128" s="5">
        <f>IFERROR(__xludf.DUMMYFUNCTION("""COMPUTED_VALUE"""),8.0)</f>
        <v>8</v>
      </c>
      <c r="B128" s="5" t="str">
        <f>IFERROR(__xludf.DUMMYFUNCTION("""COMPUTED_VALUE"""),"IP002")</f>
        <v>IP002</v>
      </c>
      <c r="C128" s="5" t="str">
        <f>IFERROR(__xludf.DUMMYFUNCTION("""COMPUTED_VALUE"""),"ABRIGO CONCRETO")</f>
        <v>ABRIGO CONCRETO</v>
      </c>
      <c r="D128" s="5" t="str">
        <f>IFERROR(__xludf.DUMMYFUNCTION("""COMPUTED_VALUE"""),"SEM PLACA")</f>
        <v>SEM PLACA</v>
      </c>
      <c r="E128" s="5" t="str">
        <f>IFERROR(__xludf.DUMMYFUNCTION("""COMPUTED_VALUE"""),"SEM BAIA")</f>
        <v>SEM BAIA</v>
      </c>
      <c r="F128" s="5" t="str">
        <f>IFERROR(__xludf.DUMMYFUNCTION("""COMPUTED_VALUE"""),"NÃO")</f>
        <v>NÃO</v>
      </c>
      <c r="G128" s="5" t="str">
        <f>IFERROR(__xludf.DUMMYFUNCTION("""COMPUTED_VALUE"""),"NÃO")</f>
        <v>NÃO</v>
      </c>
      <c r="H128" s="5" t="str">
        <f>IFERROR(__xludf.DUMMYFUNCTION("""COMPUTED_VALUE"""),"NÃO PAVIMENTADA")</f>
        <v>NÃO PAVIMENTADA</v>
      </c>
      <c r="I128" s="6" t="str">
        <f>IFERROR(__xludf.DUMMYFUNCTION("""COMPUTED_VALUE"""),"-9.515937")</f>
        <v>-9.515937</v>
      </c>
      <c r="J128" s="6" t="str">
        <f>IFERROR(__xludf.DUMMYFUNCTION("""COMPUTED_VALUE"""),"-35.594871")</f>
        <v>-35.594871</v>
      </c>
      <c r="K128" s="5" t="str">
        <f>IFERROR(__xludf.DUMMYFUNCTION("""COMPUTED_VALUE"""),"AV. GEN. LUIZ DE FRANÇA ALBUQUERQUE – RODOVIA AL-101 NORTE, S/N")</f>
        <v>AV. GEN. LUIZ DE FRANÇA ALBUQUERQUE – RODOVIA AL-101 NORTE, S/N</v>
      </c>
      <c r="L128" s="5" t="str">
        <f>IFERROR(__xludf.DUMMYFUNCTION("""COMPUTED_VALUE"""),"RODOVIAS")</f>
        <v>RODOVIAS</v>
      </c>
      <c r="M128" s="5" t="str">
        <f>IFERROR(__xludf.DUMMYFUNCTION("""COMPUTED_VALUE"""),"IPIOCA")</f>
        <v>IPIOCA</v>
      </c>
      <c r="N128" s="5" t="str">
        <f>IFERROR(__xludf.DUMMYFUNCTION("""COMPUTED_VALUE"""),"BAIRRO - CENTRO")</f>
        <v>BAIRRO - CENTRO</v>
      </c>
      <c r="O128" s="5" t="str">
        <f>IFERROR(__xludf.DUMMYFUNCTION("""COMPUTED_VALUE"""),"PRÓXIMO A POLÍCIA RODOVIÁRIA")</f>
        <v>PRÓXIMO A POLÍCIA RODOVIÁRIA</v>
      </c>
      <c r="P128" s="5" t="str">
        <f>IFERROR(__xludf.DUMMYFUNCTION("""COMPUTED_VALUE"""),"URGENTE")</f>
        <v>URGENTE</v>
      </c>
      <c r="Q128" s="5" t="str">
        <f>IFERROR(__xludf.DUMMYFUNCTION("""COMPUTED_VALUE"""),"SUBSTITUIÇÃO DO ABRIGO, PINTURA DA BAIA NO ASFALTO, ADEQUAÇÃO DA CALÇADA (RAMPA DE ACESSIBILIDADE E PISO TÁTIL)")</f>
        <v>SUBSTITUIÇÃO DO ABRIGO, PINTURA DA BAIA NO ASFALTO, ADEQUAÇÃO DA CALÇADA (RAMPA DE ACESSIBILIDADE E PISO TÁTIL)</v>
      </c>
      <c r="R128" s="5" t="str">
        <f>IFERROR(__xludf.DUMMYFUNCTION("""COMPUTED_VALUE"""),"NENHUMA DAS OPÇÕES")</f>
        <v>NENHUMA DAS OPÇÕES</v>
      </c>
      <c r="S128" s="7">
        <f>IFERROR(__xludf.DUMMYFUNCTION("""COMPUTED_VALUE"""),44563.0)</f>
        <v>44563</v>
      </c>
      <c r="T128" s="5"/>
      <c r="U128" s="7">
        <f>IFERROR(__xludf.DUMMYFUNCTION("""COMPUTED_VALUE"""),44563.0)</f>
        <v>44563</v>
      </c>
      <c r="V128" s="5" t="str">
        <f>IFERROR(__xludf.DUMMYFUNCTION("""COMPUTED_VALUE"""),"Atualizar foto")</f>
        <v>Atualizar foto</v>
      </c>
      <c r="W128" s="5" t="str">
        <f>IFERROR(__xludf.DUMMYFUNCTION("""COMPUTED_VALUE"""),"NÃO")</f>
        <v>NÃO</v>
      </c>
      <c r="X128" s="5" t="str">
        <f>IFERROR(__xludf.DUMMYFUNCTION("""COMPUTED_VALUE"""),"NÃO SE APLICA")</f>
        <v>NÃO SE APLICA</v>
      </c>
    </row>
    <row r="129" hidden="1">
      <c r="A129" s="5">
        <f>IFERROR(__xludf.DUMMYFUNCTION("""COMPUTED_VALUE"""),8.0)</f>
        <v>8</v>
      </c>
      <c r="B129" s="5" t="str">
        <f>IFERROR(__xludf.DUMMYFUNCTION("""COMPUTED_VALUE"""),"IP003")</f>
        <v>IP003</v>
      </c>
      <c r="C129" s="5" t="str">
        <f>IFERROR(__xludf.DUMMYFUNCTION("""COMPUTED_VALUE"""),"NÃO POSSUI")</f>
        <v>NÃO POSSUI</v>
      </c>
      <c r="D129" s="5" t="str">
        <f>IFERROR(__xludf.DUMMYFUNCTION("""COMPUTED_VALUE"""),"COM SUPORTE")</f>
        <v>COM SUPORTE</v>
      </c>
      <c r="E129" s="5" t="str">
        <f>IFERROR(__xludf.DUMMYFUNCTION("""COMPUTED_VALUE"""),"SEM BAIA")</f>
        <v>SEM BAIA</v>
      </c>
      <c r="F129" s="5" t="str">
        <f>IFERROR(__xludf.DUMMYFUNCTION("""COMPUTED_VALUE"""),"NÃO")</f>
        <v>NÃO</v>
      </c>
      <c r="G129" s="5" t="str">
        <f>IFERROR(__xludf.DUMMYFUNCTION("""COMPUTED_VALUE"""),"NÃO")</f>
        <v>NÃO</v>
      </c>
      <c r="H129" s="5" t="str">
        <f>IFERROR(__xludf.DUMMYFUNCTION("""COMPUTED_VALUE"""),"PAVIMENTADA")</f>
        <v>PAVIMENTADA</v>
      </c>
      <c r="I129" s="6" t="str">
        <f>IFERROR(__xludf.DUMMYFUNCTION("""COMPUTED_VALUE"""),"-9.529166")</f>
        <v>-9.529166</v>
      </c>
      <c r="J129" s="6" t="str">
        <f>IFERROR(__xludf.DUMMYFUNCTION("""COMPUTED_VALUE"""),"-35.622268")</f>
        <v>-35.622268</v>
      </c>
      <c r="K129" s="5" t="str">
        <f>IFERROR(__xludf.DUMMYFUNCTION("""COMPUTED_VALUE"""),"ESTRADA DA SAÚDE, 4")</f>
        <v>ESTRADA DA SAÚDE, 4</v>
      </c>
      <c r="L129" s="5" t="str">
        <f>IFERROR(__xludf.DUMMYFUNCTION("""COMPUTED_VALUE"""),"LOCAL")</f>
        <v>LOCAL</v>
      </c>
      <c r="M129" s="5" t="str">
        <f>IFERROR(__xludf.DUMMYFUNCTION("""COMPUTED_VALUE"""),"IPIOCA")</f>
        <v>IPIOCA</v>
      </c>
      <c r="N129" s="5" t="str">
        <f>IFERROR(__xludf.DUMMYFUNCTION("""COMPUTED_VALUE"""),"CENTRO - BAIRRO")</f>
        <v>CENTRO - BAIRRO</v>
      </c>
      <c r="O129" s="5" t="str">
        <f>IFERROR(__xludf.DUMMYFUNCTION("""COMPUTED_VALUE"""),"EM FRENTE A CASA 04")</f>
        <v>EM FRENTE A CASA 04</v>
      </c>
      <c r="P129" s="5" t="str">
        <f>IFERROR(__xludf.DUMMYFUNCTION("""COMPUTED_VALUE"""),"PRIORIDADE ALTA")</f>
        <v>PRIORIDADE ALTA</v>
      </c>
      <c r="Q129" s="5" t="str">
        <f>IFERROR(__xludf.DUMMYFUNCTION("""COMPUTED_VALUE"""),"ADEQUAÇÃO DA CALÇADA (RAMPA DE ACESSIBILIDADE E PISO TÁTIL), PINTURA DA BAIA NO ASFALTO")</f>
        <v>ADEQUAÇÃO DA CALÇADA (RAMPA DE ACESSIBILIDADE E PISO TÁTIL), PINTURA DA BAIA NO ASFALTO</v>
      </c>
      <c r="R129" s="5" t="str">
        <f>IFERROR(__xludf.DUMMYFUNCTION("""COMPUTED_VALUE"""),"SUBSTITUIR ABRIGO")</f>
        <v>SUBSTITUIR ABRIGO</v>
      </c>
      <c r="S129" s="7">
        <f>IFERROR(__xludf.DUMMYFUNCTION("""COMPUTED_VALUE"""),44564.0)</f>
        <v>44564</v>
      </c>
      <c r="T129" s="5"/>
      <c r="U129" s="7">
        <f>IFERROR(__xludf.DUMMYFUNCTION("""COMPUTED_VALUE"""),44564.0)</f>
        <v>44564</v>
      </c>
      <c r="V129" s="9" t="str">
        <f>IFERROR(__xludf.DUMMYFUNCTION("""COMPUTED_VALUE"""),"https://drive.google.com/uc?id=1lvUqp00An5pikW0LewiRZuxbn_1nl121")</f>
        <v>https://drive.google.com/uc?id=1lvUqp00An5pikW0LewiRZuxbn_1nl121</v>
      </c>
      <c r="W129" s="5" t="str">
        <f>IFERROR(__xludf.DUMMYFUNCTION("""COMPUTED_VALUE"""),"NÃO")</f>
        <v>NÃO</v>
      </c>
      <c r="X129" s="5" t="str">
        <f>IFERROR(__xludf.DUMMYFUNCTION("""COMPUTED_VALUE"""),"NÃO SE APLICA")</f>
        <v>NÃO SE APLICA</v>
      </c>
    </row>
    <row r="130">
      <c r="A130" s="5">
        <f>IFERROR(__xludf.DUMMYFUNCTION("""COMPUTED_VALUE"""),8.0)</f>
        <v>8</v>
      </c>
      <c r="B130" s="5" t="str">
        <f>IFERROR(__xludf.DUMMYFUNCTION("""COMPUTED_VALUE"""),"IP004")</f>
        <v>IP004</v>
      </c>
      <c r="C130" s="5" t="str">
        <f>IFERROR(__xludf.DUMMYFUNCTION("""COMPUTED_VALUE"""),"ABRIGO CONCRETO")</f>
        <v>ABRIGO CONCRETO</v>
      </c>
      <c r="D130" s="5" t="str">
        <f>IFERROR(__xludf.DUMMYFUNCTION("""COMPUTED_VALUE"""),"SEM PLACA")</f>
        <v>SEM PLACA</v>
      </c>
      <c r="E130" s="5" t="str">
        <f>IFERROR(__xludf.DUMMYFUNCTION("""COMPUTED_VALUE"""),"SEM BAIA")</f>
        <v>SEM BAIA</v>
      </c>
      <c r="F130" s="5" t="str">
        <f>IFERROR(__xludf.DUMMYFUNCTION("""COMPUTED_VALUE"""),"NÃO")</f>
        <v>NÃO</v>
      </c>
      <c r="G130" s="5" t="str">
        <f>IFERROR(__xludf.DUMMYFUNCTION("""COMPUTED_VALUE"""),"NÃO")</f>
        <v>NÃO</v>
      </c>
      <c r="H130" s="5" t="str">
        <f>IFERROR(__xludf.DUMMYFUNCTION("""COMPUTED_VALUE"""),"PAVIMENTADA")</f>
        <v>PAVIMENTADA</v>
      </c>
      <c r="I130" s="6" t="str">
        <f>IFERROR(__xludf.DUMMYFUNCTION("""COMPUTED_VALUE"""),"-9.530151")</f>
        <v>-9.530151</v>
      </c>
      <c r="J130" s="6" t="str">
        <f>IFERROR(__xludf.DUMMYFUNCTION("""COMPUTED_VALUE"""),"-35.621077")</f>
        <v>-35.621077</v>
      </c>
      <c r="K130" s="5" t="str">
        <f>IFERROR(__xludf.DUMMYFUNCTION("""COMPUTED_VALUE"""),"ESTRADA DA SAÚDE, 140")</f>
        <v>ESTRADA DA SAÚDE, 140</v>
      </c>
      <c r="L130" s="5" t="str">
        <f>IFERROR(__xludf.DUMMYFUNCTION("""COMPUTED_VALUE"""),"LOCAL")</f>
        <v>LOCAL</v>
      </c>
      <c r="M130" s="5" t="str">
        <f>IFERROR(__xludf.DUMMYFUNCTION("""COMPUTED_VALUE"""),"IPIOCA")</f>
        <v>IPIOCA</v>
      </c>
      <c r="N130" s="5" t="str">
        <f>IFERROR(__xludf.DUMMYFUNCTION("""COMPUTED_VALUE"""),"BAIRRO - CENTRO")</f>
        <v>BAIRRO - CENTRO</v>
      </c>
      <c r="O130" s="5" t="str">
        <f>IFERROR(__xludf.DUMMYFUNCTION("""COMPUTED_VALUE"""),"EM FRENTE A CASA 140")</f>
        <v>EM FRENTE A CASA 140</v>
      </c>
      <c r="P130" s="5" t="str">
        <f>IFERROR(__xludf.DUMMYFUNCTION("""COMPUTED_VALUE"""),"PRIORIDADE MÉDIA")</f>
        <v>PRIORIDADE MÉDIA</v>
      </c>
      <c r="Q130" s="5" t="str">
        <f>IFERROR(__xludf.DUMMYFUNCTION("""COMPUTED_VALUE"""),"LIMPEZA E PINTURA DO ABRIGO, PINTURA DA BAIA NO ASFALTO")</f>
        <v>LIMPEZA E PINTURA DO ABRIGO, PINTURA DA BAIA NO ASFALTO</v>
      </c>
      <c r="R130" s="5" t="str">
        <f>IFERROR(__xludf.DUMMYFUNCTION("""COMPUTED_VALUE"""),"SUBSTITUIR ABRIGO")</f>
        <v>SUBSTITUIR ABRIGO</v>
      </c>
      <c r="S130" s="7">
        <f>IFERROR(__xludf.DUMMYFUNCTION("""COMPUTED_VALUE"""),44565.0)</f>
        <v>44565</v>
      </c>
      <c r="T130" s="5"/>
      <c r="U130" s="7">
        <f>IFERROR(__xludf.DUMMYFUNCTION("""COMPUTED_VALUE"""),44565.0)</f>
        <v>44565</v>
      </c>
      <c r="V130" s="9" t="str">
        <f>IFERROR(__xludf.DUMMYFUNCTION("""COMPUTED_VALUE"""),"https://drive.google.com/uc?id=1bztit6sT6hrNM_v6tWDlIU73EDgD4-Ay")</f>
        <v>https://drive.google.com/uc?id=1bztit6sT6hrNM_v6tWDlIU73EDgD4-Ay</v>
      </c>
      <c r="W130" s="5" t="str">
        <f>IFERROR(__xludf.DUMMYFUNCTION("""COMPUTED_VALUE"""),"NÃO")</f>
        <v>NÃO</v>
      </c>
      <c r="X130" s="5" t="str">
        <f>IFERROR(__xludf.DUMMYFUNCTION("""COMPUTED_VALUE"""),"NÃO SE APLICA")</f>
        <v>NÃO SE APLICA</v>
      </c>
    </row>
    <row r="131" hidden="1">
      <c r="A131" s="5">
        <f>IFERROR(__xludf.DUMMYFUNCTION("""COMPUTED_VALUE"""),8.0)</f>
        <v>8</v>
      </c>
      <c r="B131" s="5" t="str">
        <f>IFERROR(__xludf.DUMMYFUNCTION("""COMPUTED_VALUE"""),"IP005")</f>
        <v>IP005</v>
      </c>
      <c r="C131" s="5" t="str">
        <f>IFERROR(__xludf.DUMMYFUNCTION("""COMPUTED_VALUE"""),"NÃO POSSUI")</f>
        <v>NÃO POSSUI</v>
      </c>
      <c r="D131" s="5" t="str">
        <f>IFERROR(__xludf.DUMMYFUNCTION("""COMPUTED_VALUE"""),"COM SUPORTE")</f>
        <v>COM SUPORTE</v>
      </c>
      <c r="E131" s="5" t="str">
        <f>IFERROR(__xludf.DUMMYFUNCTION("""COMPUTED_VALUE"""),"SEM BAIA")</f>
        <v>SEM BAIA</v>
      </c>
      <c r="F131" s="5" t="str">
        <f>IFERROR(__xludf.DUMMYFUNCTION("""COMPUTED_VALUE"""),"NÃO")</f>
        <v>NÃO</v>
      </c>
      <c r="G131" s="5" t="str">
        <f>IFERROR(__xludf.DUMMYFUNCTION("""COMPUTED_VALUE"""),"NÃO")</f>
        <v>NÃO</v>
      </c>
      <c r="H131" s="5" t="str">
        <f>IFERROR(__xludf.DUMMYFUNCTION("""COMPUTED_VALUE"""),"PAVIMENTADA")</f>
        <v>PAVIMENTADA</v>
      </c>
      <c r="I131" s="6" t="str">
        <f>IFERROR(__xludf.DUMMYFUNCTION("""COMPUTED_VALUE"""),"-9.530230")</f>
        <v>-9.530230</v>
      </c>
      <c r="J131" s="6" t="str">
        <f>IFERROR(__xludf.DUMMYFUNCTION("""COMPUTED_VALUE"""),"-35.621199")</f>
        <v>-35.621199</v>
      </c>
      <c r="K131" s="5" t="str">
        <f>IFERROR(__xludf.DUMMYFUNCTION("""COMPUTED_VALUE"""),"ESTRADA DA SAÚDE, 140")</f>
        <v>ESTRADA DA SAÚDE, 140</v>
      </c>
      <c r="L131" s="5" t="str">
        <f>IFERROR(__xludf.DUMMYFUNCTION("""COMPUTED_VALUE"""),"LOCAL")</f>
        <v>LOCAL</v>
      </c>
      <c r="M131" s="5" t="str">
        <f>IFERROR(__xludf.DUMMYFUNCTION("""COMPUTED_VALUE"""),"IPIOCA")</f>
        <v>IPIOCA</v>
      </c>
      <c r="N131" s="5" t="str">
        <f>IFERROR(__xludf.DUMMYFUNCTION("""COMPUTED_VALUE"""),"CENTRO - BAIRRO")</f>
        <v>CENTRO - BAIRRO</v>
      </c>
      <c r="O131" s="5" t="str">
        <f>IFERROR(__xludf.DUMMYFUNCTION("""COMPUTED_VALUE"""),"EM FRENTE A CASA 141")</f>
        <v>EM FRENTE A CASA 141</v>
      </c>
      <c r="P131" s="5" t="str">
        <f>IFERROR(__xludf.DUMMYFUNCTION("""COMPUTED_VALUE"""),"PRIORIDADE ALTA")</f>
        <v>PRIORIDADE ALTA</v>
      </c>
      <c r="Q131" s="5" t="str">
        <f>IFERROR(__xludf.DUMMYFUNCTION("""COMPUTED_VALUE"""),"PAVIMENTAÇÃO E ADEQUAÇÃO DA CALÇADA (RAMPA DE ACESSIBILIDADE E PISO TÁTIL), PINTURA DA BAIA NO ASFALTO")</f>
        <v>PAVIMENTAÇÃO E ADEQUAÇÃO DA CALÇADA (RAMPA DE ACESSIBILIDADE E PISO TÁTIL), PINTURA DA BAIA NO ASFALTO</v>
      </c>
      <c r="R131" s="5" t="str">
        <f>IFERROR(__xludf.DUMMYFUNCTION("""COMPUTED_VALUE"""),"NENHUMA DAS OPÇÕES")</f>
        <v>NENHUMA DAS OPÇÕES</v>
      </c>
      <c r="S131" s="7">
        <f>IFERROR(__xludf.DUMMYFUNCTION("""COMPUTED_VALUE"""),44566.0)</f>
        <v>44566</v>
      </c>
      <c r="T131" s="5"/>
      <c r="U131" s="7">
        <f>IFERROR(__xludf.DUMMYFUNCTION("""COMPUTED_VALUE"""),44566.0)</f>
        <v>44566</v>
      </c>
      <c r="V131" s="9" t="str">
        <f>IFERROR(__xludf.DUMMYFUNCTION("""COMPUTED_VALUE"""),"https://drive.google.com/uc?id=1tCj-WtXCHGy68rco-7heZKaSM5vup5up")</f>
        <v>https://drive.google.com/uc?id=1tCj-WtXCHGy68rco-7heZKaSM5vup5up</v>
      </c>
      <c r="W131" s="5" t="str">
        <f>IFERROR(__xludf.DUMMYFUNCTION("""COMPUTED_VALUE"""),"NÃO")</f>
        <v>NÃO</v>
      </c>
      <c r="X131" s="5" t="str">
        <f>IFERROR(__xludf.DUMMYFUNCTION("""COMPUTED_VALUE"""),"NÃO SE APLICA")</f>
        <v>NÃO SE APLICA</v>
      </c>
    </row>
    <row r="132">
      <c r="A132" s="5">
        <f>IFERROR(__xludf.DUMMYFUNCTION("""COMPUTED_VALUE"""),8.0)</f>
        <v>8</v>
      </c>
      <c r="B132" s="5" t="str">
        <f>IFERROR(__xludf.DUMMYFUNCTION("""COMPUTED_VALUE"""),"IP006")</f>
        <v>IP006</v>
      </c>
      <c r="C132" s="5" t="str">
        <f>IFERROR(__xludf.DUMMYFUNCTION("""COMPUTED_VALUE"""),"ABRIGO CONCRETO")</f>
        <v>ABRIGO CONCRETO</v>
      </c>
      <c r="D132" s="5" t="str">
        <f>IFERROR(__xludf.DUMMYFUNCTION("""COMPUTED_VALUE"""),"SEM PLACA")</f>
        <v>SEM PLACA</v>
      </c>
      <c r="E132" s="5" t="str">
        <f>IFERROR(__xludf.DUMMYFUNCTION("""COMPUTED_VALUE"""),"SEM BAIA")</f>
        <v>SEM BAIA</v>
      </c>
      <c r="F132" s="5" t="str">
        <f>IFERROR(__xludf.DUMMYFUNCTION("""COMPUTED_VALUE"""),"NÃO")</f>
        <v>NÃO</v>
      </c>
      <c r="G132" s="5" t="str">
        <f>IFERROR(__xludf.DUMMYFUNCTION("""COMPUTED_VALUE"""),"NÃO")</f>
        <v>NÃO</v>
      </c>
      <c r="H132" s="5" t="str">
        <f>IFERROR(__xludf.DUMMYFUNCTION("""COMPUTED_VALUE"""),"NÃO PAVIMENTADA")</f>
        <v>NÃO PAVIMENTADA</v>
      </c>
      <c r="I132" s="6" t="str">
        <f>IFERROR(__xludf.DUMMYFUNCTION("""COMPUTED_VALUE"""),"-9.532576")</f>
        <v>-9.532576</v>
      </c>
      <c r="J132" s="6" t="str">
        <f>IFERROR(__xludf.DUMMYFUNCTION("""COMPUTED_VALUE"""),"-35.615408")</f>
        <v>-35.615408</v>
      </c>
      <c r="K132" s="5" t="str">
        <f>IFERROR(__xludf.DUMMYFUNCTION("""COMPUTED_VALUE"""),"EM FRENTE A ENTRADA DO POVOADO SAÚDE")</f>
        <v>EM FRENTE A ENTRADA DO POVOADO SAÚDE</v>
      </c>
      <c r="L132" s="5" t="str">
        <f>IFERROR(__xludf.DUMMYFUNCTION("""COMPUTED_VALUE"""),"RODOVIAS")</f>
        <v>RODOVIAS</v>
      </c>
      <c r="M132" s="5" t="str">
        <f>IFERROR(__xludf.DUMMYFUNCTION("""COMPUTED_VALUE"""),"IPIOCA")</f>
        <v>IPIOCA</v>
      </c>
      <c r="N132" s="5" t="str">
        <f>IFERROR(__xludf.DUMMYFUNCTION("""COMPUTED_VALUE"""),"CENTRO - BAIRRO")</f>
        <v>CENTRO - BAIRRO</v>
      </c>
      <c r="O132" s="5" t="str">
        <f>IFERROR(__xludf.DUMMYFUNCTION("""COMPUTED_VALUE"""),"EM FRENTE A ENTRADA DO POVOADO SAÚDE")</f>
        <v>EM FRENTE A ENTRADA DO POVOADO SAÚDE</v>
      </c>
      <c r="P132" s="5" t="str">
        <f>IFERROR(__xludf.DUMMYFUNCTION("""COMPUTED_VALUE"""),"URGENTE")</f>
        <v>URGENTE</v>
      </c>
      <c r="Q132" s="5" t="str">
        <f>IFERROR(__xludf.DUMMYFUNCTION("""COMPUTED_VALUE"""),"SUBSTITUIÇÃO DO ABRIGO, PINTURA DA BAIA NO ASFALTO, PAVIMENTAÇÃO E ADEQUAÇÃO DA CALÇADA (RAMPA DE ACESSIBILIDADE E PISO TÁTIL), LIMPEZA DA VEGETAÇÃO")</f>
        <v>SUBSTITUIÇÃO DO ABRIGO, PINTURA DA BAIA NO ASFALTO, PAVIMENTAÇÃO E ADEQUAÇÃO DA CALÇADA (RAMPA DE ACESSIBILIDADE E PISO TÁTIL), LIMPEZA DA VEGETAÇÃO</v>
      </c>
      <c r="R132" s="5" t="str">
        <f>IFERROR(__xludf.DUMMYFUNCTION("""COMPUTED_VALUE"""),"SUBSTITUIR ABRIGO")</f>
        <v>SUBSTITUIR ABRIGO</v>
      </c>
      <c r="S132" s="7">
        <f>IFERROR(__xludf.DUMMYFUNCTION("""COMPUTED_VALUE"""),44567.0)</f>
        <v>44567</v>
      </c>
      <c r="T132" s="5"/>
      <c r="U132" s="7">
        <f>IFERROR(__xludf.DUMMYFUNCTION("""COMPUTED_VALUE"""),44567.0)</f>
        <v>44567</v>
      </c>
      <c r="V132" s="9" t="str">
        <f>IFERROR(__xludf.DUMMYFUNCTION("""COMPUTED_VALUE"""),"https://drive.google.com/uc?id=1fww6oqn9WI0VMo3Om3Qn1PKGrdh9L5aC")</f>
        <v>https://drive.google.com/uc?id=1fww6oqn9WI0VMo3Om3Qn1PKGrdh9L5aC</v>
      </c>
      <c r="W132" s="5" t="str">
        <f>IFERROR(__xludf.DUMMYFUNCTION("""COMPUTED_VALUE"""),"NÃO")</f>
        <v>NÃO</v>
      </c>
      <c r="X132" s="5" t="str">
        <f>IFERROR(__xludf.DUMMYFUNCTION("""COMPUTED_VALUE"""),"NÃO SE APLICA")</f>
        <v>NÃO SE APLICA</v>
      </c>
    </row>
    <row r="133">
      <c r="A133" s="5">
        <f>IFERROR(__xludf.DUMMYFUNCTION("""COMPUTED_VALUE"""),8.0)</f>
        <v>8</v>
      </c>
      <c r="B133" s="5" t="str">
        <f>IFERROR(__xludf.DUMMYFUNCTION("""COMPUTED_VALUE"""),"IP007")</f>
        <v>IP007</v>
      </c>
      <c r="C133" s="5" t="str">
        <f>IFERROR(__xludf.DUMMYFUNCTION("""COMPUTED_VALUE"""),"ABRIGO METÁLICO PEQUENO PORTE")</f>
        <v>ABRIGO METÁLICO PEQUENO PORTE</v>
      </c>
      <c r="D133" s="5" t="str">
        <f>IFERROR(__xludf.DUMMYFUNCTION("""COMPUTED_VALUE"""),"SEM PLACA")</f>
        <v>SEM PLACA</v>
      </c>
      <c r="E133" s="5" t="str">
        <f>IFERROR(__xludf.DUMMYFUNCTION("""COMPUTED_VALUE"""),"SEM BAIA")</f>
        <v>SEM BAIA</v>
      </c>
      <c r="F133" s="5" t="str">
        <f>IFERROR(__xludf.DUMMYFUNCTION("""COMPUTED_VALUE"""),"SIM")</f>
        <v>SIM</v>
      </c>
      <c r="G133" s="5" t="str">
        <f>IFERROR(__xludf.DUMMYFUNCTION("""COMPUTED_VALUE"""),"NÃO")</f>
        <v>NÃO</v>
      </c>
      <c r="H133" s="5" t="str">
        <f>IFERROR(__xludf.DUMMYFUNCTION("""COMPUTED_VALUE"""),"NÃO PAVIMENTADA")</f>
        <v>NÃO PAVIMENTADA</v>
      </c>
      <c r="I133" s="6" t="str">
        <f>IFERROR(__xludf.DUMMYFUNCTION("""COMPUTED_VALUE"""),"-9.532379")</f>
        <v>-9.532379</v>
      </c>
      <c r="J133" s="6" t="str">
        <f>IFERROR(__xludf.DUMMYFUNCTION("""COMPUTED_VALUE"""),"-35.615411")</f>
        <v>-35.615411</v>
      </c>
      <c r="K133" s="5" t="str">
        <f>IFERROR(__xludf.DUMMYFUNCTION("""COMPUTED_VALUE"""),"AV. GEN. LUIZ DE FRANÇA ALBUQUERQUE – RODOVIA AL-101 NORTE, S/N")</f>
        <v>AV. GEN. LUIZ DE FRANÇA ALBUQUERQUE – RODOVIA AL-101 NORTE, S/N</v>
      </c>
      <c r="L133" s="5" t="str">
        <f>IFERROR(__xludf.DUMMYFUNCTION("""COMPUTED_VALUE"""),"RODOVIAS")</f>
        <v>RODOVIAS</v>
      </c>
      <c r="M133" s="5" t="str">
        <f>IFERROR(__xludf.DUMMYFUNCTION("""COMPUTED_VALUE"""),"IPIOCA")</f>
        <v>IPIOCA</v>
      </c>
      <c r="N133" s="5" t="str">
        <f>IFERROR(__xludf.DUMMYFUNCTION("""COMPUTED_VALUE"""),"BAIRRO - CENTRO")</f>
        <v>BAIRRO - CENTRO</v>
      </c>
      <c r="O133" s="5" t="str">
        <f>IFERROR(__xludf.DUMMYFUNCTION("""COMPUTED_VALUE"""),"NA FRENTE AO CONDOMÍNIO EM FRENTE A ENTRADA DO POVOADO SAÚDE")</f>
        <v>NA FRENTE AO CONDOMÍNIO EM FRENTE A ENTRADA DO POVOADO SAÚDE</v>
      </c>
      <c r="P133" s="5" t="str">
        <f>IFERROR(__xludf.DUMMYFUNCTION("""COMPUTED_VALUE"""),"PRIORIDADE ALTA")</f>
        <v>PRIORIDADE ALTA</v>
      </c>
      <c r="Q133" s="5" t="str">
        <f>IFERROR(__xludf.DUMMYFUNCTION("""COMPUTED_VALUE"""),"PINTURA E LIMPEZA DO ABRIGO, PAVIMENTAÇÃO DA CALÇADA E ADEQUAÇÃO (PISO TÁTIL)")</f>
        <v>PINTURA E LIMPEZA DO ABRIGO, PAVIMENTAÇÃO DA CALÇADA E ADEQUAÇÃO (PISO TÁTIL)</v>
      </c>
      <c r="R133" s="5" t="str">
        <f>IFERROR(__xludf.DUMMYFUNCTION("""COMPUTED_VALUE"""),"SUBSTITUIR ABRIGO")</f>
        <v>SUBSTITUIR ABRIGO</v>
      </c>
      <c r="S133" s="7">
        <f>IFERROR(__xludf.DUMMYFUNCTION("""COMPUTED_VALUE"""),44568.0)</f>
        <v>44568</v>
      </c>
      <c r="T133" s="5"/>
      <c r="U133" s="7">
        <f>IFERROR(__xludf.DUMMYFUNCTION("""COMPUTED_VALUE"""),44568.0)</f>
        <v>44568</v>
      </c>
      <c r="V133" s="9" t="str">
        <f>IFERROR(__xludf.DUMMYFUNCTION("""COMPUTED_VALUE"""),"https://drive.google.com/uc?id=1zs06eksziFmwl2RgFhb8s3d8OI-H92Bq")</f>
        <v>https://drive.google.com/uc?id=1zs06eksziFmwl2RgFhb8s3d8OI-H92Bq</v>
      </c>
      <c r="W133" s="5" t="str">
        <f>IFERROR(__xludf.DUMMYFUNCTION("""COMPUTED_VALUE"""),"NÃO")</f>
        <v>NÃO</v>
      </c>
      <c r="X133" s="5" t="str">
        <f>IFERROR(__xludf.DUMMYFUNCTION("""COMPUTED_VALUE"""),"NÃO")</f>
        <v>NÃO</v>
      </c>
    </row>
    <row r="134" hidden="1">
      <c r="A134" s="5">
        <f>IFERROR(__xludf.DUMMYFUNCTION("""COMPUTED_VALUE"""),8.0)</f>
        <v>8</v>
      </c>
      <c r="B134" s="5" t="str">
        <f>IFERROR(__xludf.DUMMYFUNCTION("""COMPUTED_VALUE"""),"IP008")</f>
        <v>IP008</v>
      </c>
      <c r="C134" s="5" t="str">
        <f>IFERROR(__xludf.DUMMYFUNCTION("""COMPUTED_VALUE"""),"NÃO POSSUI")</f>
        <v>NÃO POSSUI</v>
      </c>
      <c r="D134" s="5" t="str">
        <f>IFERROR(__xludf.DUMMYFUNCTION("""COMPUTED_VALUE"""),"FIXADA EM POSTE")</f>
        <v>FIXADA EM POSTE</v>
      </c>
      <c r="E134" s="5" t="str">
        <f>IFERROR(__xludf.DUMMYFUNCTION("""COMPUTED_VALUE"""),"SEM BAIA")</f>
        <v>SEM BAIA</v>
      </c>
      <c r="F134" s="5" t="str">
        <f>IFERROR(__xludf.DUMMYFUNCTION("""COMPUTED_VALUE"""),"NÃO")</f>
        <v>NÃO</v>
      </c>
      <c r="G134" s="5" t="str">
        <f>IFERROR(__xludf.DUMMYFUNCTION("""COMPUTED_VALUE"""),"NÃO")</f>
        <v>NÃO</v>
      </c>
      <c r="H134" s="5" t="str">
        <f>IFERROR(__xludf.DUMMYFUNCTION("""COMPUTED_VALUE"""),"NÃO PAVIMENTADA")</f>
        <v>NÃO PAVIMENTADA</v>
      </c>
      <c r="I134" s="6" t="str">
        <f>IFERROR(__xludf.DUMMYFUNCTION("""COMPUTED_VALUE"""),"-9.530228")</f>
        <v>-9.530228</v>
      </c>
      <c r="J134" s="6" t="str">
        <f>IFERROR(__xludf.DUMMYFUNCTION("""COMPUTED_VALUE"""),"-35.610001")</f>
        <v>-35.610001</v>
      </c>
      <c r="K134" s="5" t="str">
        <f>IFERROR(__xludf.DUMMYFUNCTION("""COMPUTED_VALUE"""),"AV. GEN. LUIZ DE FRANÇA ALBUQUERQUE – RODOVIA AL-101 NORTE, S/N")</f>
        <v>AV. GEN. LUIZ DE FRANÇA ALBUQUERQUE – RODOVIA AL-101 NORTE, S/N</v>
      </c>
      <c r="L134" s="5" t="str">
        <f>IFERROR(__xludf.DUMMYFUNCTION("""COMPUTED_VALUE"""),"RODOVIAS")</f>
        <v>RODOVIAS</v>
      </c>
      <c r="M134" s="5" t="str">
        <f>IFERROR(__xludf.DUMMYFUNCTION("""COMPUTED_VALUE"""),"IPIOCA")</f>
        <v>IPIOCA</v>
      </c>
      <c r="N134" s="5" t="str">
        <f>IFERROR(__xludf.DUMMYFUNCTION("""COMPUTED_VALUE"""),"BAIRRO - CENTRO")</f>
        <v>BAIRRO - CENTRO</v>
      </c>
      <c r="O134" s="5" t="str">
        <f>IFERROR(__xludf.DUMMYFUNCTION("""COMPUTED_VALUE"""),"EM FRENTE AO SÍTIO")</f>
        <v>EM FRENTE AO SÍTIO</v>
      </c>
      <c r="P134" s="5" t="str">
        <f>IFERROR(__xludf.DUMMYFUNCTION("""COMPUTED_VALUE"""),"PRIORIDADE ALTA")</f>
        <v>PRIORIDADE ALTA</v>
      </c>
      <c r="Q134" s="5" t="str">
        <f>IFERROR(__xludf.DUMMYFUNCTION("""COMPUTED_VALUE"""),"IMPLANTAR ABRIGO, PINTURA DA BAIA NO ASFALTO, PAVIMENTAÇÃO E ADEQUAÇÃO DA CALÇADA (RAMPA DE ACESSIBILIDADE E PISO TÁTIL)")</f>
        <v>IMPLANTAR ABRIGO, PINTURA DA BAIA NO ASFALTO, PAVIMENTAÇÃO E ADEQUAÇÃO DA CALÇADA (RAMPA DE ACESSIBILIDADE E PISO TÁTIL)</v>
      </c>
      <c r="R134" s="5" t="str">
        <f>IFERROR(__xludf.DUMMYFUNCTION("""COMPUTED_VALUE"""),"NENHUMA DAS OPÇÕES")</f>
        <v>NENHUMA DAS OPÇÕES</v>
      </c>
      <c r="S134" s="7">
        <f>IFERROR(__xludf.DUMMYFUNCTION("""COMPUTED_VALUE"""),44569.0)</f>
        <v>44569</v>
      </c>
      <c r="T134" s="5"/>
      <c r="U134" s="7">
        <f>IFERROR(__xludf.DUMMYFUNCTION("""COMPUTED_VALUE"""),44569.0)</f>
        <v>44569</v>
      </c>
      <c r="V134" s="9" t="str">
        <f>IFERROR(__xludf.DUMMYFUNCTION("""COMPUTED_VALUE"""),"https://drive.google.com/uc?id=14hYiZQWeuymbeRf48Cns0MNL6psCF3pk")</f>
        <v>https://drive.google.com/uc?id=14hYiZQWeuymbeRf48Cns0MNL6psCF3pk</v>
      </c>
      <c r="W134" s="5" t="str">
        <f>IFERROR(__xludf.DUMMYFUNCTION("""COMPUTED_VALUE"""),"NÃO")</f>
        <v>NÃO</v>
      </c>
      <c r="X134" s="5" t="str">
        <f>IFERROR(__xludf.DUMMYFUNCTION("""COMPUTED_VALUE"""),"NÃO SE APLICA")</f>
        <v>NÃO SE APLICA</v>
      </c>
    </row>
    <row r="135" hidden="1">
      <c r="A135" s="5">
        <f>IFERROR(__xludf.DUMMYFUNCTION("""COMPUTED_VALUE"""),8.0)</f>
        <v>8</v>
      </c>
      <c r="B135" s="5" t="str">
        <f>IFERROR(__xludf.DUMMYFUNCTION("""COMPUTED_VALUE"""),"IP009")</f>
        <v>IP009</v>
      </c>
      <c r="C135" s="5" t="str">
        <f>IFERROR(__xludf.DUMMYFUNCTION("""COMPUTED_VALUE"""),"NÃO POSSUI")</f>
        <v>NÃO POSSUI</v>
      </c>
      <c r="D135" s="5" t="str">
        <f>IFERROR(__xludf.DUMMYFUNCTION("""COMPUTED_VALUE"""),"FIXADA EM POSTE")</f>
        <v>FIXADA EM POSTE</v>
      </c>
      <c r="E135" s="5" t="str">
        <f>IFERROR(__xludf.DUMMYFUNCTION("""COMPUTED_VALUE"""),"SEM BAIA")</f>
        <v>SEM BAIA</v>
      </c>
      <c r="F135" s="5" t="str">
        <f>IFERROR(__xludf.DUMMYFUNCTION("""COMPUTED_VALUE"""),"NÃO")</f>
        <v>NÃO</v>
      </c>
      <c r="G135" s="5" t="str">
        <f>IFERROR(__xludf.DUMMYFUNCTION("""COMPUTED_VALUE"""),"NÃO")</f>
        <v>NÃO</v>
      </c>
      <c r="H135" s="5" t="str">
        <f>IFERROR(__xludf.DUMMYFUNCTION("""COMPUTED_VALUE"""),"PAVIMENTADA")</f>
        <v>PAVIMENTADA</v>
      </c>
      <c r="I135" s="6" t="str">
        <f>IFERROR(__xludf.DUMMYFUNCTION("""COMPUTED_VALUE"""),"-9.529841")</f>
        <v>-9.529841</v>
      </c>
      <c r="J135" s="6" t="str">
        <f>IFERROR(__xludf.DUMMYFUNCTION("""COMPUTED_VALUE"""),"-35.607682")</f>
        <v>-35.607682</v>
      </c>
      <c r="K135" s="5" t="str">
        <f>IFERROR(__xludf.DUMMYFUNCTION("""COMPUTED_VALUE"""),"AV. GEN. LUIZ DE FRANÇA ALBUQUERQUE – RODOVIA AL-101 NORTE, S/N")</f>
        <v>AV. GEN. LUIZ DE FRANÇA ALBUQUERQUE – RODOVIA AL-101 NORTE, S/N</v>
      </c>
      <c r="L135" s="5" t="str">
        <f>IFERROR(__xludf.DUMMYFUNCTION("""COMPUTED_VALUE"""),"RODOVIAS")</f>
        <v>RODOVIAS</v>
      </c>
      <c r="M135" s="5" t="str">
        <f>IFERROR(__xludf.DUMMYFUNCTION("""COMPUTED_VALUE"""),"IPIOCA")</f>
        <v>IPIOCA</v>
      </c>
      <c r="N135" s="5" t="str">
        <f>IFERROR(__xludf.DUMMYFUNCTION("""COMPUTED_VALUE"""),"CENTRO - BAIRRO")</f>
        <v>CENTRO - BAIRRO</v>
      </c>
      <c r="O135" s="5" t="str">
        <f>IFERROR(__xludf.DUMMYFUNCTION("""COMPUTED_VALUE"""),"EM FRENTE AO SALINAS DE MACEIÓ RESORT")</f>
        <v>EM FRENTE AO SALINAS DE MACEIÓ RESORT</v>
      </c>
      <c r="P135" s="5" t="str">
        <f>IFERROR(__xludf.DUMMYFUNCTION("""COMPUTED_VALUE"""),"PRIORIDADE ALTA")</f>
        <v>PRIORIDADE ALTA</v>
      </c>
      <c r="Q135" s="5" t="str">
        <f>IFERROR(__xludf.DUMMYFUNCTION("""COMPUTED_VALUE"""),"PINTURA DA BAIA NO ASFALTO, PAVIMENTAÇÃO E ADEQUAÇÃO DA CALÇADA (RAMPA DE ACESSIBILIDADE E PISO TÁTIL)")</f>
        <v>PINTURA DA BAIA NO ASFALTO, PAVIMENTAÇÃO E ADEQUAÇÃO DA CALÇADA (RAMPA DE ACESSIBILIDADE E PISO TÁTIL)</v>
      </c>
      <c r="R135" s="5" t="str">
        <f>IFERROR(__xludf.DUMMYFUNCTION("""COMPUTED_VALUE"""),"NENHUMA DAS OPÇÕES")</f>
        <v>NENHUMA DAS OPÇÕES</v>
      </c>
      <c r="S135" s="7">
        <f>IFERROR(__xludf.DUMMYFUNCTION("""COMPUTED_VALUE"""),44570.0)</f>
        <v>44570</v>
      </c>
      <c r="T135" s="5"/>
      <c r="U135" s="7">
        <f>IFERROR(__xludf.DUMMYFUNCTION("""COMPUTED_VALUE"""),44570.0)</f>
        <v>44570</v>
      </c>
      <c r="V135" s="5" t="str">
        <f>IFERROR(__xludf.DUMMYFUNCTION("""COMPUTED_VALUE"""),"Atualizar foto")</f>
        <v>Atualizar foto</v>
      </c>
      <c r="W135" s="5" t="str">
        <f>IFERROR(__xludf.DUMMYFUNCTION("""COMPUTED_VALUE"""),"NÃO")</f>
        <v>NÃO</v>
      </c>
      <c r="X135" s="5" t="str">
        <f>IFERROR(__xludf.DUMMYFUNCTION("""COMPUTED_VALUE"""),"NÃO SE APLICA")</f>
        <v>NÃO SE APLICA</v>
      </c>
    </row>
    <row r="136">
      <c r="A136" s="5">
        <f>IFERROR(__xludf.DUMMYFUNCTION("""COMPUTED_VALUE"""),8.0)</f>
        <v>8</v>
      </c>
      <c r="B136" s="5" t="str">
        <f>IFERROR(__xludf.DUMMYFUNCTION("""COMPUTED_VALUE"""),"IP010")</f>
        <v>IP010</v>
      </c>
      <c r="C136" s="5" t="str">
        <f>IFERROR(__xludf.DUMMYFUNCTION("""COMPUTED_VALUE"""),"ABRIGO CONCRETO")</f>
        <v>ABRIGO CONCRETO</v>
      </c>
      <c r="D136" s="5" t="str">
        <f>IFERROR(__xludf.DUMMYFUNCTION("""COMPUTED_VALUE"""),"SEM PLACA")</f>
        <v>SEM PLACA</v>
      </c>
      <c r="E136" s="5" t="str">
        <f>IFERROR(__xludf.DUMMYFUNCTION("""COMPUTED_VALUE"""),"SEM BAIA")</f>
        <v>SEM BAIA</v>
      </c>
      <c r="F136" s="5" t="str">
        <f>IFERROR(__xludf.DUMMYFUNCTION("""COMPUTED_VALUE"""),"NÃO")</f>
        <v>NÃO</v>
      </c>
      <c r="G136" s="5" t="str">
        <f>IFERROR(__xludf.DUMMYFUNCTION("""COMPUTED_VALUE"""),"NÃO")</f>
        <v>NÃO</v>
      </c>
      <c r="H136" s="5" t="str">
        <f>IFERROR(__xludf.DUMMYFUNCTION("""COMPUTED_VALUE"""),"NÃO PAVIMENTADA")</f>
        <v>NÃO PAVIMENTADA</v>
      </c>
      <c r="I136" s="6" t="str">
        <f>IFERROR(__xludf.DUMMYFUNCTION("""COMPUTED_VALUE"""),"-9.529627")</f>
        <v>-9.529627</v>
      </c>
      <c r="J136" s="6" t="str">
        <f>IFERROR(__xludf.DUMMYFUNCTION("""COMPUTED_VALUE"""),"-35.607162")</f>
        <v>-35.607162</v>
      </c>
      <c r="K136" s="5" t="str">
        <f>IFERROR(__xludf.DUMMYFUNCTION("""COMPUTED_VALUE"""),"AV. GEN. LUIZ DE FRANÇA ALBUQUERQUE – RODOVIA AL-101 NORTE, S/N")</f>
        <v>AV. GEN. LUIZ DE FRANÇA ALBUQUERQUE – RODOVIA AL-101 NORTE, S/N</v>
      </c>
      <c r="L136" s="5" t="str">
        <f>IFERROR(__xludf.DUMMYFUNCTION("""COMPUTED_VALUE"""),"RODOVIAS")</f>
        <v>RODOVIAS</v>
      </c>
      <c r="M136" s="5" t="str">
        <f>IFERROR(__xludf.DUMMYFUNCTION("""COMPUTED_VALUE"""),"IPIOCA")</f>
        <v>IPIOCA</v>
      </c>
      <c r="N136" s="5" t="str">
        <f>IFERROR(__xludf.DUMMYFUNCTION("""COMPUTED_VALUE"""),"BAIRRO - CENTRO")</f>
        <v>BAIRRO - CENTRO</v>
      </c>
      <c r="O136" s="5" t="str">
        <f>IFERROR(__xludf.DUMMYFUNCTION("""COMPUTED_VALUE"""),"EM FRENTE AO SALINAS DE MACEIÓ RESORT")</f>
        <v>EM FRENTE AO SALINAS DE MACEIÓ RESORT</v>
      </c>
      <c r="P136" s="5" t="str">
        <f>IFERROR(__xludf.DUMMYFUNCTION("""COMPUTED_VALUE"""),"PRIORIDADE ALTA")</f>
        <v>PRIORIDADE ALTA</v>
      </c>
      <c r="Q136" s="5" t="str">
        <f>IFERROR(__xludf.DUMMYFUNCTION("""COMPUTED_VALUE"""),"LIMPEZA E PINTURA DO ABRIGO, PINTURA DA BAIA NO ASFALTO, PAVIMENTAÇÃO E ADEQUAÇÃO DA CALÇADA (RAMPA DE ACESSIBILIDADE E PISO TÁTIL)")</f>
        <v>LIMPEZA E PINTURA DO ABRIGO, PINTURA DA BAIA NO ASFALTO, PAVIMENTAÇÃO E ADEQUAÇÃO DA CALÇADA (RAMPA DE ACESSIBILIDADE E PISO TÁTIL)</v>
      </c>
      <c r="R136" s="5" t="str">
        <f>IFERROR(__xludf.DUMMYFUNCTION("""COMPUTED_VALUE"""),"SUBSTITUIR ABRIGO")</f>
        <v>SUBSTITUIR ABRIGO</v>
      </c>
      <c r="S136" s="7">
        <f>IFERROR(__xludf.DUMMYFUNCTION("""COMPUTED_VALUE"""),44571.0)</f>
        <v>44571</v>
      </c>
      <c r="T136" s="5"/>
      <c r="U136" s="7">
        <f>IFERROR(__xludf.DUMMYFUNCTION("""COMPUTED_VALUE"""),44571.0)</f>
        <v>44571</v>
      </c>
      <c r="V136" s="9" t="str">
        <f>IFERROR(__xludf.DUMMYFUNCTION("""COMPUTED_VALUE"""),"https://drive.google.com/uc?id=1QMm3IJqR6METAkgIzp50XUgs3ke1dGDI")</f>
        <v>https://drive.google.com/uc?id=1QMm3IJqR6METAkgIzp50XUgs3ke1dGDI</v>
      </c>
      <c r="W136" s="5" t="str">
        <f>IFERROR(__xludf.DUMMYFUNCTION("""COMPUTED_VALUE"""),"NÃO")</f>
        <v>NÃO</v>
      </c>
      <c r="X136" s="5" t="str">
        <f>IFERROR(__xludf.DUMMYFUNCTION("""COMPUTED_VALUE"""),"NÃO SE APLICA")</f>
        <v>NÃO SE APLICA</v>
      </c>
    </row>
    <row r="137" hidden="1">
      <c r="A137" s="5">
        <f>IFERROR(__xludf.DUMMYFUNCTION("""COMPUTED_VALUE"""),8.0)</f>
        <v>8</v>
      </c>
      <c r="B137" s="5" t="str">
        <f>IFERROR(__xludf.DUMMYFUNCTION("""COMPUTED_VALUE"""),"IP011")</f>
        <v>IP011</v>
      </c>
      <c r="C137" s="5" t="str">
        <f>IFERROR(__xludf.DUMMYFUNCTION("""COMPUTED_VALUE"""),"NÃO POSSUI")</f>
        <v>NÃO POSSUI</v>
      </c>
      <c r="D137" s="5" t="str">
        <f>IFERROR(__xludf.DUMMYFUNCTION("""COMPUTED_VALUE"""),"FIXADA EM POSTE")</f>
        <v>FIXADA EM POSTE</v>
      </c>
      <c r="E137" s="5" t="str">
        <f>IFERROR(__xludf.DUMMYFUNCTION("""COMPUTED_VALUE"""),"SEM BAIA")</f>
        <v>SEM BAIA</v>
      </c>
      <c r="F137" s="5" t="str">
        <f>IFERROR(__xludf.DUMMYFUNCTION("""COMPUTED_VALUE"""),"NÃO")</f>
        <v>NÃO</v>
      </c>
      <c r="G137" s="5" t="str">
        <f>IFERROR(__xludf.DUMMYFUNCTION("""COMPUTED_VALUE"""),"NÃO")</f>
        <v>NÃO</v>
      </c>
      <c r="H137" s="5" t="str">
        <f>IFERROR(__xludf.DUMMYFUNCTION("""COMPUTED_VALUE"""),"PAVIMENTADA COM AVARIAS")</f>
        <v>PAVIMENTADA COM AVARIAS</v>
      </c>
      <c r="I137" s="6" t="str">
        <f>IFERROR(__xludf.DUMMYFUNCTION("""COMPUTED_VALUE"""),"-9.528546")</f>
        <v>-9.528546</v>
      </c>
      <c r="J137" s="6" t="str">
        <f>IFERROR(__xludf.DUMMYFUNCTION("""COMPUTED_VALUE"""),"-35.604899")</f>
        <v>-35.604899</v>
      </c>
      <c r="K137" s="5" t="str">
        <f>IFERROR(__xludf.DUMMYFUNCTION("""COMPUTED_VALUE"""),"AV. GEN. LUIZ DE FRANÇA ALBUQUERQUE – RODOVIA AL-101 NORTE, 93")</f>
        <v>AV. GEN. LUIZ DE FRANÇA ALBUQUERQUE – RODOVIA AL-101 NORTE, 93</v>
      </c>
      <c r="L137" s="5" t="str">
        <f>IFERROR(__xludf.DUMMYFUNCTION("""COMPUTED_VALUE"""),"RODOVIAS")</f>
        <v>RODOVIAS</v>
      </c>
      <c r="M137" s="5" t="str">
        <f>IFERROR(__xludf.DUMMYFUNCTION("""COMPUTED_VALUE"""),"IPIOCA")</f>
        <v>IPIOCA</v>
      </c>
      <c r="N137" s="5" t="str">
        <f>IFERROR(__xludf.DUMMYFUNCTION("""COMPUTED_VALUE"""),"CENTRO - BAIRRO")</f>
        <v>CENTRO - BAIRRO</v>
      </c>
      <c r="O137" s="5" t="str">
        <f>IFERROR(__xludf.DUMMYFUNCTION("""COMPUTED_VALUE"""),"PRÓXIMO A PRAÇA DE IPIOCA")</f>
        <v>PRÓXIMO A PRAÇA DE IPIOCA</v>
      </c>
      <c r="P137" s="5" t="str">
        <f>IFERROR(__xludf.DUMMYFUNCTION("""COMPUTED_VALUE"""),"PRIORIDADE ALTA")</f>
        <v>PRIORIDADE ALTA</v>
      </c>
      <c r="Q137" s="5" t="str">
        <f>IFERROR(__xludf.DUMMYFUNCTION("""COMPUTED_VALUE"""),"PINTURA DA BAIA NO ASFALTO, PAVIMENTAÇÃO E ADEQUAÇÃO DA CALÇADA (RAMPA DE ACESSIBILIDADE E PISO TÁTIL)")</f>
        <v>PINTURA DA BAIA NO ASFALTO, PAVIMENTAÇÃO E ADEQUAÇÃO DA CALÇADA (RAMPA DE ACESSIBILIDADE E PISO TÁTIL)</v>
      </c>
      <c r="R137" s="5" t="str">
        <f>IFERROR(__xludf.DUMMYFUNCTION("""COMPUTED_VALUE"""),"NENHUMA DAS OPÇÕES")</f>
        <v>NENHUMA DAS OPÇÕES</v>
      </c>
      <c r="S137" s="7">
        <f>IFERROR(__xludf.DUMMYFUNCTION("""COMPUTED_VALUE"""),44572.0)</f>
        <v>44572</v>
      </c>
      <c r="T137" s="5"/>
      <c r="U137" s="7">
        <f>IFERROR(__xludf.DUMMYFUNCTION("""COMPUTED_VALUE"""),44572.0)</f>
        <v>44572</v>
      </c>
      <c r="V137" s="9" t="str">
        <f>IFERROR(__xludf.DUMMYFUNCTION("""COMPUTED_VALUE"""),"https://drive.google.com/uc?id=16pVWdK-Sdp7Bwg9N7hAVaElOv_lfExDL")</f>
        <v>https://drive.google.com/uc?id=16pVWdK-Sdp7Bwg9N7hAVaElOv_lfExDL</v>
      </c>
      <c r="W137" s="5" t="str">
        <f>IFERROR(__xludf.DUMMYFUNCTION("""COMPUTED_VALUE"""),"NÃO")</f>
        <v>NÃO</v>
      </c>
      <c r="X137" s="5" t="str">
        <f>IFERROR(__xludf.DUMMYFUNCTION("""COMPUTED_VALUE"""),"NÃO SE APLICA")</f>
        <v>NÃO SE APLICA</v>
      </c>
    </row>
    <row r="138">
      <c r="A138" s="5">
        <f>IFERROR(__xludf.DUMMYFUNCTION("""COMPUTED_VALUE"""),8.0)</f>
        <v>8</v>
      </c>
      <c r="B138" s="5" t="str">
        <f>IFERROR(__xludf.DUMMYFUNCTION("""COMPUTED_VALUE"""),"IP012")</f>
        <v>IP012</v>
      </c>
      <c r="C138" s="5" t="str">
        <f>IFERROR(__xludf.DUMMYFUNCTION("""COMPUTED_VALUE"""),"ABRIGO CONCRETO")</f>
        <v>ABRIGO CONCRETO</v>
      </c>
      <c r="D138" s="5" t="str">
        <f>IFERROR(__xludf.DUMMYFUNCTION("""COMPUTED_VALUE"""),"SEM PLACA")</f>
        <v>SEM PLACA</v>
      </c>
      <c r="E138" s="5" t="str">
        <f>IFERROR(__xludf.DUMMYFUNCTION("""COMPUTED_VALUE"""),"SEM BAIA")</f>
        <v>SEM BAIA</v>
      </c>
      <c r="F138" s="5" t="str">
        <f>IFERROR(__xludf.DUMMYFUNCTION("""COMPUTED_VALUE"""),"NÃO")</f>
        <v>NÃO</v>
      </c>
      <c r="G138" s="5" t="str">
        <f>IFERROR(__xludf.DUMMYFUNCTION("""COMPUTED_VALUE"""),"NÃO")</f>
        <v>NÃO</v>
      </c>
      <c r="H138" s="5" t="str">
        <f>IFERROR(__xludf.DUMMYFUNCTION("""COMPUTED_VALUE"""),"NÃO PAVIMENTADA")</f>
        <v>NÃO PAVIMENTADA</v>
      </c>
      <c r="I138" s="6" t="str">
        <f>IFERROR(__xludf.DUMMYFUNCTION("""COMPUTED_VALUE"""),"-9.528243")</f>
        <v>-9.528243</v>
      </c>
      <c r="J138" s="6" t="str">
        <f>IFERROR(__xludf.DUMMYFUNCTION("""COMPUTED_VALUE"""),"-35.604858")</f>
        <v>-35.604858</v>
      </c>
      <c r="K138" s="5" t="str">
        <f>IFERROR(__xludf.DUMMYFUNCTION("""COMPUTED_VALUE"""),"AV. GEN. LUIZ DE FRANÇA ALBUQUERQUE – RODOVIA AL-101 NORTE, 93")</f>
        <v>AV. GEN. LUIZ DE FRANÇA ALBUQUERQUE – RODOVIA AL-101 NORTE, 93</v>
      </c>
      <c r="L138" s="5" t="str">
        <f>IFERROR(__xludf.DUMMYFUNCTION("""COMPUTED_VALUE"""),"RODOVIAS")</f>
        <v>RODOVIAS</v>
      </c>
      <c r="M138" s="5" t="str">
        <f>IFERROR(__xludf.DUMMYFUNCTION("""COMPUTED_VALUE"""),"IPIOCA")</f>
        <v>IPIOCA</v>
      </c>
      <c r="N138" s="5" t="str">
        <f>IFERROR(__xludf.DUMMYFUNCTION("""COMPUTED_VALUE"""),"BAIRRO - CENTRO")</f>
        <v>BAIRRO - CENTRO</v>
      </c>
      <c r="O138" s="5" t="str">
        <f>IFERROR(__xludf.DUMMYFUNCTION("""COMPUTED_VALUE"""),"PRÓXIMO A PRAÇA DE IPIOCA")</f>
        <v>PRÓXIMO A PRAÇA DE IPIOCA</v>
      </c>
      <c r="P138" s="5" t="str">
        <f>IFERROR(__xludf.DUMMYFUNCTION("""COMPUTED_VALUE"""),"PRIORIDADE ALTA")</f>
        <v>PRIORIDADE ALTA</v>
      </c>
      <c r="Q138" s="5" t="str">
        <f>IFERROR(__xludf.DUMMYFUNCTION("""COMPUTED_VALUE"""),"LIMPEZA E PINTURA DO ABRIGO, PINTURA DA BAIA NO ASFALTO, ADEQUAÇÃO DA CALÇADA (RAMPA DE ACESSIBILIDADE E PISO TÁTIL).")</f>
        <v>LIMPEZA E PINTURA DO ABRIGO, PINTURA DA BAIA NO ASFALTO, ADEQUAÇÃO DA CALÇADA (RAMPA DE ACESSIBILIDADE E PISO TÁTIL).</v>
      </c>
      <c r="R138" s="5" t="str">
        <f>IFERROR(__xludf.DUMMYFUNCTION("""COMPUTED_VALUE"""),"SUBSTITUIR ABRIGO")</f>
        <v>SUBSTITUIR ABRIGO</v>
      </c>
      <c r="S138" s="7">
        <f>IFERROR(__xludf.DUMMYFUNCTION("""COMPUTED_VALUE"""),44573.0)</f>
        <v>44573</v>
      </c>
      <c r="T138" s="5"/>
      <c r="U138" s="7">
        <f>IFERROR(__xludf.DUMMYFUNCTION("""COMPUTED_VALUE"""),44573.0)</f>
        <v>44573</v>
      </c>
      <c r="V138" s="9" t="str">
        <f>IFERROR(__xludf.DUMMYFUNCTION("""COMPUTED_VALUE"""),"https://drive.google.com/uc?id=1yARrQSniqRfdsaigdzaPbYoTbjMbLxSW")</f>
        <v>https://drive.google.com/uc?id=1yARrQSniqRfdsaigdzaPbYoTbjMbLxSW</v>
      </c>
      <c r="W138" s="5" t="str">
        <f>IFERROR(__xludf.DUMMYFUNCTION("""COMPUTED_VALUE"""),"NÃO")</f>
        <v>NÃO</v>
      </c>
      <c r="X138" s="5" t="str">
        <f>IFERROR(__xludf.DUMMYFUNCTION("""COMPUTED_VALUE"""),"NÃO SE APLICA")</f>
        <v>NÃO SE APLICA</v>
      </c>
    </row>
    <row r="139" hidden="1">
      <c r="A139" s="5">
        <f>IFERROR(__xludf.DUMMYFUNCTION("""COMPUTED_VALUE"""),8.0)</f>
        <v>8</v>
      </c>
      <c r="B139" s="5" t="str">
        <f>IFERROR(__xludf.DUMMYFUNCTION("""COMPUTED_VALUE"""),"IP013")</f>
        <v>IP013</v>
      </c>
      <c r="C139" s="5" t="str">
        <f>IFERROR(__xludf.DUMMYFUNCTION("""COMPUTED_VALUE"""),"NÃO POSSUI")</f>
        <v>NÃO POSSUI</v>
      </c>
      <c r="D139" s="5" t="str">
        <f>IFERROR(__xludf.DUMMYFUNCTION("""COMPUTED_VALUE"""),"COM SUPORTE")</f>
        <v>COM SUPORTE</v>
      </c>
      <c r="E139" s="5" t="str">
        <f>IFERROR(__xludf.DUMMYFUNCTION("""COMPUTED_VALUE"""),"SEM BAIA")</f>
        <v>SEM BAIA</v>
      </c>
      <c r="F139" s="5" t="str">
        <f>IFERROR(__xludf.DUMMYFUNCTION("""COMPUTED_VALUE"""),"SIM")</f>
        <v>SIM</v>
      </c>
      <c r="G139" s="5" t="str">
        <f>IFERROR(__xludf.DUMMYFUNCTION("""COMPUTED_VALUE"""),"NÃO")</f>
        <v>NÃO</v>
      </c>
      <c r="H139" s="5" t="str">
        <f>IFERROR(__xludf.DUMMYFUNCTION("""COMPUTED_VALUE"""),"PAVIMENTADA")</f>
        <v>PAVIMENTADA</v>
      </c>
      <c r="I139" s="6" t="str">
        <f>IFERROR(__xludf.DUMMYFUNCTION("""COMPUTED_VALUE"""),"-9.528383")</f>
        <v>-9.528383</v>
      </c>
      <c r="J139" s="6" t="str">
        <f>IFERROR(__xludf.DUMMYFUNCTION("""COMPUTED_VALUE"""),"-35.607704")</f>
        <v>-35.607704</v>
      </c>
      <c r="K139" s="5" t="str">
        <f>IFERROR(__xludf.DUMMYFUNCTION("""COMPUTED_VALUE"""),"RUA MANOEL LOPES FLORENTINO DOS SANTOS, S/N")</f>
        <v>RUA MANOEL LOPES FLORENTINO DOS SANTOS, S/N</v>
      </c>
      <c r="L139" s="5" t="str">
        <f>IFERROR(__xludf.DUMMYFUNCTION("""COMPUTED_VALUE"""),"LOCAL")</f>
        <v>LOCAL</v>
      </c>
      <c r="M139" s="5" t="str">
        <f>IFERROR(__xludf.DUMMYFUNCTION("""COMPUTED_VALUE"""),"IPIOCA")</f>
        <v>IPIOCA</v>
      </c>
      <c r="N139" s="5" t="str">
        <f>IFERROR(__xludf.DUMMYFUNCTION("""COMPUTED_VALUE"""),"BAIRRO - CENTRO")</f>
        <v>BAIRRO - CENTRO</v>
      </c>
      <c r="O139" s="5" t="str">
        <f>IFERROR(__xludf.DUMMYFUNCTION("""COMPUTED_VALUE"""),"NO ALTO DE IPIOCA, EM FRENTE A IGREJA")</f>
        <v>NO ALTO DE IPIOCA, EM FRENTE A IGREJA</v>
      </c>
      <c r="P139" s="5" t="str">
        <f>IFERROR(__xludf.DUMMYFUNCTION("""COMPUTED_VALUE"""),"PRIORIDADE MÉDIA")</f>
        <v>PRIORIDADE MÉDIA</v>
      </c>
      <c r="Q139" s="5" t="str">
        <f>IFERROR(__xludf.DUMMYFUNCTION("""COMPUTED_VALUE"""),"PINTURA DA BAIA NO ASFALTO E ADEQUAÇÃO DA CALÇADA (PISO TÁTIL)")</f>
        <v>PINTURA DA BAIA NO ASFALTO E ADEQUAÇÃO DA CALÇADA (PISO TÁTIL)</v>
      </c>
      <c r="R139" s="5" t="str">
        <f>IFERROR(__xludf.DUMMYFUNCTION("""COMPUTED_VALUE"""),"NENHUMA DAS OPÇÕES")</f>
        <v>NENHUMA DAS OPÇÕES</v>
      </c>
      <c r="S139" s="7">
        <f>IFERROR(__xludf.DUMMYFUNCTION("""COMPUTED_VALUE"""),44574.0)</f>
        <v>44574</v>
      </c>
      <c r="T139" s="5"/>
      <c r="U139" s="7">
        <f>IFERROR(__xludf.DUMMYFUNCTION("""COMPUTED_VALUE"""),44574.0)</f>
        <v>44574</v>
      </c>
      <c r="V139" s="9" t="str">
        <f>IFERROR(__xludf.DUMMYFUNCTION("""COMPUTED_VALUE"""),"https://drive.google.com/uc?id=1JZZ10S0Du83HdZxuLDqSzKkUFGqI9tKC")</f>
        <v>https://drive.google.com/uc?id=1JZZ10S0Du83HdZxuLDqSzKkUFGqI9tKC</v>
      </c>
      <c r="W139" s="5" t="str">
        <f>IFERROR(__xludf.DUMMYFUNCTION("""COMPUTED_VALUE"""),"NÃO")</f>
        <v>NÃO</v>
      </c>
      <c r="X139" s="5" t="str">
        <f>IFERROR(__xludf.DUMMYFUNCTION("""COMPUTED_VALUE"""),"NÃO SE APLICA")</f>
        <v>NÃO SE APLICA</v>
      </c>
    </row>
    <row r="140" hidden="1">
      <c r="A140" s="5">
        <f>IFERROR(__xludf.DUMMYFUNCTION("""COMPUTED_VALUE"""),8.0)</f>
        <v>8</v>
      </c>
      <c r="B140" s="5" t="str">
        <f>IFERROR(__xludf.DUMMYFUNCTION("""COMPUTED_VALUE"""),"IP014")</f>
        <v>IP014</v>
      </c>
      <c r="C140" s="5" t="str">
        <f>IFERROR(__xludf.DUMMYFUNCTION("""COMPUTED_VALUE"""),"NÃO POSSUI")</f>
        <v>NÃO POSSUI</v>
      </c>
      <c r="D140" s="5" t="str">
        <f>IFERROR(__xludf.DUMMYFUNCTION("""COMPUTED_VALUE"""),"FIXADA EM POSTE")</f>
        <v>FIXADA EM POSTE</v>
      </c>
      <c r="E140" s="5" t="str">
        <f>IFERROR(__xludf.DUMMYFUNCTION("""COMPUTED_VALUE"""),"SEM BAIA")</f>
        <v>SEM BAIA</v>
      </c>
      <c r="F140" s="5" t="str">
        <f>IFERROR(__xludf.DUMMYFUNCTION("""COMPUTED_VALUE"""),"NÃO")</f>
        <v>NÃO</v>
      </c>
      <c r="G140" s="5" t="str">
        <f>IFERROR(__xludf.DUMMYFUNCTION("""COMPUTED_VALUE"""),"NÃO")</f>
        <v>NÃO</v>
      </c>
      <c r="H140" s="5" t="str">
        <f>IFERROR(__xludf.DUMMYFUNCTION("""COMPUTED_VALUE"""),"NÃO PAVIMENTADA")</f>
        <v>NÃO PAVIMENTADA</v>
      </c>
      <c r="I140" s="6" t="str">
        <f>IFERROR(__xludf.DUMMYFUNCTION("""COMPUTED_VALUE"""),"-9.526441")</f>
        <v>-9.526441</v>
      </c>
      <c r="J140" s="6" t="str">
        <f>IFERROR(__xludf.DUMMYFUNCTION("""COMPUTED_VALUE"""),"-35.605142")</f>
        <v>-35.605142</v>
      </c>
      <c r="K140" s="5" t="str">
        <f>IFERROR(__xludf.DUMMYFUNCTION("""COMPUTED_VALUE"""),"LADEIRA MANOEL LOPES FLORENTINO DOS SANTOS, 15")</f>
        <v>LADEIRA MANOEL LOPES FLORENTINO DOS SANTOS, 15</v>
      </c>
      <c r="L140" s="5" t="str">
        <f>IFERROR(__xludf.DUMMYFUNCTION("""COMPUTED_VALUE"""),"LOCAL")</f>
        <v>LOCAL</v>
      </c>
      <c r="M140" s="5" t="str">
        <f>IFERROR(__xludf.DUMMYFUNCTION("""COMPUTED_VALUE"""),"IPIOCA")</f>
        <v>IPIOCA</v>
      </c>
      <c r="N140" s="5" t="str">
        <f>IFERROR(__xludf.DUMMYFUNCTION("""COMPUTED_VALUE"""),"BAIRRO - CENTRO")</f>
        <v>BAIRRO - CENTRO</v>
      </c>
      <c r="O140" s="5" t="str">
        <f>IFERROR(__xludf.DUMMYFUNCTION("""COMPUTED_VALUE"""),"EM FRENTE A IGREJA ADVENTISTA DE IPIOCA")</f>
        <v>EM FRENTE A IGREJA ADVENTISTA DE IPIOCA</v>
      </c>
      <c r="P140" s="5" t="str">
        <f>IFERROR(__xludf.DUMMYFUNCTION("""COMPUTED_VALUE"""),"PRIORIDADE ALTA")</f>
        <v>PRIORIDADE ALTA</v>
      </c>
      <c r="Q140" s="5" t="str">
        <f>IFERROR(__xludf.DUMMYFUNCTION("""COMPUTED_VALUE"""),"PINTURA DA BAIA NO ASFALTO, PAVIMENTAÇÃO E ADEQUAÇÃO DA CALÇADA (RAMPA DE ACESSIBILIDADE E PISO TÁTIL)")</f>
        <v>PINTURA DA BAIA NO ASFALTO, PAVIMENTAÇÃO E ADEQUAÇÃO DA CALÇADA (RAMPA DE ACESSIBILIDADE E PISO TÁTIL)</v>
      </c>
      <c r="R140" s="5" t="str">
        <f>IFERROR(__xludf.DUMMYFUNCTION("""COMPUTED_VALUE"""),"NENHUMA DAS OPÇÕES")</f>
        <v>NENHUMA DAS OPÇÕES</v>
      </c>
      <c r="S140" s="7">
        <f>IFERROR(__xludf.DUMMYFUNCTION("""COMPUTED_VALUE"""),44575.0)</f>
        <v>44575</v>
      </c>
      <c r="T140" s="5"/>
      <c r="U140" s="7">
        <f>IFERROR(__xludf.DUMMYFUNCTION("""COMPUTED_VALUE"""),44575.0)</f>
        <v>44575</v>
      </c>
      <c r="V140" s="9" t="str">
        <f>IFERROR(__xludf.DUMMYFUNCTION("""COMPUTED_VALUE"""),"https://drive.google.com/uc?id=1owVTYC5rqtSp2U7nLgfYbBFEp1JiULLi")</f>
        <v>https://drive.google.com/uc?id=1owVTYC5rqtSp2U7nLgfYbBFEp1JiULLi</v>
      </c>
      <c r="W140" s="5" t="str">
        <f>IFERROR(__xludf.DUMMYFUNCTION("""COMPUTED_VALUE"""),"NÃO")</f>
        <v>NÃO</v>
      </c>
      <c r="X140" s="5" t="str">
        <f>IFERROR(__xludf.DUMMYFUNCTION("""COMPUTED_VALUE"""),"NÃO SE APLICA")</f>
        <v>NÃO SE APLICA</v>
      </c>
    </row>
    <row r="141">
      <c r="A141" s="5">
        <f>IFERROR(__xludf.DUMMYFUNCTION("""COMPUTED_VALUE"""),8.0)</f>
        <v>8</v>
      </c>
      <c r="B141" s="5" t="str">
        <f>IFERROR(__xludf.DUMMYFUNCTION("""COMPUTED_VALUE"""),"IP015")</f>
        <v>IP015</v>
      </c>
      <c r="C141" s="5" t="str">
        <f>IFERROR(__xludf.DUMMYFUNCTION("""COMPUTED_VALUE"""),"ABRIGO METÁLICO NOVO PEQUENO PORTE")</f>
        <v>ABRIGO METÁLICO NOVO PEQUENO PORTE</v>
      </c>
      <c r="D141" s="5" t="str">
        <f>IFERROR(__xludf.DUMMYFUNCTION("""COMPUTED_VALUE"""),"SEM PLACA")</f>
        <v>SEM PLACA</v>
      </c>
      <c r="E141" s="5" t="str">
        <f>IFERROR(__xludf.DUMMYFUNCTION("""COMPUTED_VALUE"""),"SEM BAIA")</f>
        <v>SEM BAIA</v>
      </c>
      <c r="F141" s="5" t="str">
        <f>IFERROR(__xludf.DUMMYFUNCTION("""COMPUTED_VALUE"""),"SIM")</f>
        <v>SIM</v>
      </c>
      <c r="G141" s="5" t="str">
        <f>IFERROR(__xludf.DUMMYFUNCTION("""COMPUTED_VALUE"""),"NÃO")</f>
        <v>NÃO</v>
      </c>
      <c r="H141" s="5" t="str">
        <f>IFERROR(__xludf.DUMMYFUNCTION("""COMPUTED_VALUE"""),"PAVIMENTADA")</f>
        <v>PAVIMENTADA</v>
      </c>
      <c r="I141" s="6" t="str">
        <f>IFERROR(__xludf.DUMMYFUNCTION("""COMPUTED_VALUE"""),"-9.526533")</f>
        <v>-9.526533</v>
      </c>
      <c r="J141" s="6" t="str">
        <f>IFERROR(__xludf.DUMMYFUNCTION("""COMPUTED_VALUE"""),"-35.603757")</f>
        <v>-35.603757</v>
      </c>
      <c r="K141" s="5" t="str">
        <f>IFERROR(__xludf.DUMMYFUNCTION("""COMPUTED_VALUE"""),"AV. GEN. LUIZ DE FRANÇA ALBUQUERQUE – RODOVIA AL-101 NORTE, S/N")</f>
        <v>AV. GEN. LUIZ DE FRANÇA ALBUQUERQUE – RODOVIA AL-101 NORTE, S/N</v>
      </c>
      <c r="L141" s="5" t="str">
        <f>IFERROR(__xludf.DUMMYFUNCTION("""COMPUTED_VALUE"""),"RODOVIAS")</f>
        <v>RODOVIAS</v>
      </c>
      <c r="M141" s="5" t="str">
        <f>IFERROR(__xludf.DUMMYFUNCTION("""COMPUTED_VALUE"""),"IPIOCA")</f>
        <v>IPIOCA</v>
      </c>
      <c r="N141" s="5" t="str">
        <f>IFERROR(__xludf.DUMMYFUNCTION("""COMPUTED_VALUE"""),"BAIRRO - CENTRO")</f>
        <v>BAIRRO - CENTRO</v>
      </c>
      <c r="O141" s="5" t="str">
        <f>IFERROR(__xludf.DUMMYFUNCTION("""COMPUTED_VALUE"""),"EM FRENTE AO POSTO IPIRANGA DA ENTRADA DO ALTO DE IPIOCA")</f>
        <v>EM FRENTE AO POSTO IPIRANGA DA ENTRADA DO ALTO DE IPIOCA</v>
      </c>
      <c r="P141" s="5" t="str">
        <f>IFERROR(__xludf.DUMMYFUNCTION("""COMPUTED_VALUE"""),"PRIORIDADE ALTA")</f>
        <v>PRIORIDADE ALTA</v>
      </c>
      <c r="Q141" s="5" t="str">
        <f>IFERROR(__xludf.DUMMYFUNCTION("""COMPUTED_VALUE"""),"REPAROS NA ESTRUTURA, PINTURA DO ABRIGO, INSTALAÇÃO DA PUBLICIDADE, PAVIMENTAÇÃO E ADEQUAÇÃO DA CALÇADA ( PISO TÁTIL)")</f>
        <v>REPAROS NA ESTRUTURA, PINTURA DO ABRIGO, INSTALAÇÃO DA PUBLICIDADE, PAVIMENTAÇÃO E ADEQUAÇÃO DA CALÇADA ( PISO TÁTIL)</v>
      </c>
      <c r="R141" s="5" t="str">
        <f>IFERROR(__xludf.DUMMYFUNCTION("""COMPUTED_VALUE"""),"NENHUMA DAS OPÇÕES")</f>
        <v>NENHUMA DAS OPÇÕES</v>
      </c>
      <c r="S141" s="7">
        <f>IFERROR(__xludf.DUMMYFUNCTION("""COMPUTED_VALUE"""),44576.0)</f>
        <v>44576</v>
      </c>
      <c r="T141" s="5"/>
      <c r="U141" s="7">
        <f>IFERROR(__xludf.DUMMYFUNCTION("""COMPUTED_VALUE"""),44576.0)</f>
        <v>44576</v>
      </c>
      <c r="V141" s="9" t="str">
        <f>IFERROR(__xludf.DUMMYFUNCTION("""COMPUTED_VALUE"""),"https://drive.google.com/uc?id=1nYKpkqdJE3Luj0p_cyGCaMXjq0HjQ_dd")</f>
        <v>https://drive.google.com/uc?id=1nYKpkqdJE3Luj0p_cyGCaMXjq0HjQ_dd</v>
      </c>
      <c r="W141" s="5" t="str">
        <f>IFERROR(__xludf.DUMMYFUNCTION("""COMPUTED_VALUE"""),"NÃO")</f>
        <v>NÃO</v>
      </c>
      <c r="X141" s="5" t="str">
        <f>IFERROR(__xludf.DUMMYFUNCTION("""COMPUTED_VALUE"""),"NÃO")</f>
        <v>NÃO</v>
      </c>
    </row>
    <row r="142">
      <c r="A142" s="5">
        <f>IFERROR(__xludf.DUMMYFUNCTION("""COMPUTED_VALUE"""),8.0)</f>
        <v>8</v>
      </c>
      <c r="B142" s="5" t="str">
        <f>IFERROR(__xludf.DUMMYFUNCTION("""COMPUTED_VALUE"""),"IP016")</f>
        <v>IP016</v>
      </c>
      <c r="C142" s="5" t="str">
        <f>IFERROR(__xludf.DUMMYFUNCTION("""COMPUTED_VALUE"""),"ABRIGO METÁLICO PEQUENO PORTE")</f>
        <v>ABRIGO METÁLICO PEQUENO PORTE</v>
      </c>
      <c r="D142" s="5" t="str">
        <f>IFERROR(__xludf.DUMMYFUNCTION("""COMPUTED_VALUE"""),"SEM PLACA")</f>
        <v>SEM PLACA</v>
      </c>
      <c r="E142" s="5" t="str">
        <f>IFERROR(__xludf.DUMMYFUNCTION("""COMPUTED_VALUE"""),"SEM BAIA")</f>
        <v>SEM BAIA</v>
      </c>
      <c r="F142" s="5" t="str">
        <f>IFERROR(__xludf.DUMMYFUNCTION("""COMPUTED_VALUE"""),"SIM")</f>
        <v>SIM</v>
      </c>
      <c r="G142" s="5" t="str">
        <f>IFERROR(__xludf.DUMMYFUNCTION("""COMPUTED_VALUE"""),"NÃO")</f>
        <v>NÃO</v>
      </c>
      <c r="H142" s="5" t="str">
        <f>IFERROR(__xludf.DUMMYFUNCTION("""COMPUTED_VALUE"""),"PAVIMENTADA")</f>
        <v>PAVIMENTADA</v>
      </c>
      <c r="I142" s="6" t="str">
        <f>IFERROR(__xludf.DUMMYFUNCTION("""COMPUTED_VALUE"""),"-9.526424")</f>
        <v>-9.526424</v>
      </c>
      <c r="J142" s="6" t="str">
        <f>IFERROR(__xludf.DUMMYFUNCTION("""COMPUTED_VALUE"""),"-35.603501")</f>
        <v>-35.603501</v>
      </c>
      <c r="K142" s="5" t="str">
        <f>IFERROR(__xludf.DUMMYFUNCTION("""COMPUTED_VALUE"""),"AV. GEN. LUIZ DE FRANÇA ALBUQUERQUE – RODOVIA AL-101 NORTE, S/N")</f>
        <v>AV. GEN. LUIZ DE FRANÇA ALBUQUERQUE – RODOVIA AL-101 NORTE, S/N</v>
      </c>
      <c r="L142" s="5" t="str">
        <f>IFERROR(__xludf.DUMMYFUNCTION("""COMPUTED_VALUE"""),"RODOVIAS")</f>
        <v>RODOVIAS</v>
      </c>
      <c r="M142" s="5" t="str">
        <f>IFERROR(__xludf.DUMMYFUNCTION("""COMPUTED_VALUE"""),"IPIOCA")</f>
        <v>IPIOCA</v>
      </c>
      <c r="N142" s="5" t="str">
        <f>IFERROR(__xludf.DUMMYFUNCTION("""COMPUTED_VALUE"""),"CENTRO - BAIRRO")</f>
        <v>CENTRO - BAIRRO</v>
      </c>
      <c r="O142" s="5" t="str">
        <f>IFERROR(__xludf.DUMMYFUNCTION("""COMPUTED_VALUE"""),"EM FRENTE AO POSTO IPIRANGA DA ENTRADA DO ALTO DE IPIOCA")</f>
        <v>EM FRENTE AO POSTO IPIRANGA DA ENTRADA DO ALTO DE IPIOCA</v>
      </c>
      <c r="P142" s="5" t="str">
        <f>IFERROR(__xludf.DUMMYFUNCTION("""COMPUTED_VALUE"""),"URGENTE")</f>
        <v>URGENTE</v>
      </c>
      <c r="Q142" s="5" t="str">
        <f>IFERROR(__xludf.DUMMYFUNCTION("""COMPUTED_VALUE"""),"SUBSTITUIÇÃO DO ABRIGO")</f>
        <v>SUBSTITUIÇÃO DO ABRIGO</v>
      </c>
      <c r="R142" s="5" t="str">
        <f>IFERROR(__xludf.DUMMYFUNCTION("""COMPUTED_VALUE"""),"NENHUMA DAS OPÇÕES")</f>
        <v>NENHUMA DAS OPÇÕES</v>
      </c>
      <c r="S142" s="7">
        <f>IFERROR(__xludf.DUMMYFUNCTION("""COMPUTED_VALUE"""),44577.0)</f>
        <v>44577</v>
      </c>
      <c r="T142" s="5"/>
      <c r="U142" s="7">
        <f>IFERROR(__xludf.DUMMYFUNCTION("""COMPUTED_VALUE"""),44577.0)</f>
        <v>44577</v>
      </c>
      <c r="V142" s="9" t="str">
        <f>IFERROR(__xludf.DUMMYFUNCTION("""COMPUTED_VALUE"""),"https://drive.google.com/uc?id=1PgRjpZYbZd86sOxkgh3OOExHClCx6z7b")</f>
        <v>https://drive.google.com/uc?id=1PgRjpZYbZd86sOxkgh3OOExHClCx6z7b</v>
      </c>
      <c r="W142" s="5" t="str">
        <f>IFERROR(__xludf.DUMMYFUNCTION("""COMPUTED_VALUE"""),"NÃO")</f>
        <v>NÃO</v>
      </c>
      <c r="X142" s="5" t="str">
        <f>IFERROR(__xludf.DUMMYFUNCTION("""COMPUTED_VALUE"""),"NÃO")</f>
        <v>NÃO</v>
      </c>
    </row>
    <row r="143" hidden="1">
      <c r="A143" s="5">
        <f>IFERROR(__xludf.DUMMYFUNCTION("""COMPUTED_VALUE"""),8.0)</f>
        <v>8</v>
      </c>
      <c r="B143" s="5" t="str">
        <f>IFERROR(__xludf.DUMMYFUNCTION("""COMPUTED_VALUE"""),"IP017")</f>
        <v>IP017</v>
      </c>
      <c r="C143" s="5" t="str">
        <f>IFERROR(__xludf.DUMMYFUNCTION("""COMPUTED_VALUE"""),"NÃO POSSUI")</f>
        <v>NÃO POSSUI</v>
      </c>
      <c r="D143" s="5" t="str">
        <f>IFERROR(__xludf.DUMMYFUNCTION("""COMPUTED_VALUE"""),"FIXADA EM POSTE")</f>
        <v>FIXADA EM POSTE</v>
      </c>
      <c r="E143" s="5" t="str">
        <f>IFERROR(__xludf.DUMMYFUNCTION("""COMPUTED_VALUE"""),"SEM BAIA")</f>
        <v>SEM BAIA</v>
      </c>
      <c r="F143" s="5" t="str">
        <f>IFERROR(__xludf.DUMMYFUNCTION("""COMPUTED_VALUE"""),"NÃO")</f>
        <v>NÃO</v>
      </c>
      <c r="G143" s="5" t="str">
        <f>IFERROR(__xludf.DUMMYFUNCTION("""COMPUTED_VALUE"""),"NÃO")</f>
        <v>NÃO</v>
      </c>
      <c r="H143" s="5" t="str">
        <f>IFERROR(__xludf.DUMMYFUNCTION("""COMPUTED_VALUE"""),"PAVIMENTADA")</f>
        <v>PAVIMENTADA</v>
      </c>
      <c r="I143" s="6" t="str">
        <f>IFERROR(__xludf.DUMMYFUNCTION("""COMPUTED_VALUE"""),"-9.524366")</f>
        <v>-9.524366</v>
      </c>
      <c r="J143" s="6" t="str">
        <f>IFERROR(__xludf.DUMMYFUNCTION("""COMPUTED_VALUE"""),"-35.602322")</f>
        <v>-35.602322</v>
      </c>
      <c r="K143" s="5" t="str">
        <f>IFERROR(__xludf.DUMMYFUNCTION("""COMPUTED_VALUE"""),"AV. GEN. LUIZ DE FRANÇA ALBUQUERQUE – RODOVIA AL-101 NORTE, 49B")</f>
        <v>AV. GEN. LUIZ DE FRANÇA ALBUQUERQUE – RODOVIA AL-101 NORTE, 49B</v>
      </c>
      <c r="L143" s="5" t="str">
        <f>IFERROR(__xludf.DUMMYFUNCTION("""COMPUTED_VALUE"""),"RODOVIAS")</f>
        <v>RODOVIAS</v>
      </c>
      <c r="M143" s="5" t="str">
        <f>IFERROR(__xludf.DUMMYFUNCTION("""COMPUTED_VALUE"""),"IPIOCA")</f>
        <v>IPIOCA</v>
      </c>
      <c r="N143" s="5" t="str">
        <f>IFERROR(__xludf.DUMMYFUNCTION("""COMPUTED_VALUE"""),"CENTRO - BAIRRO")</f>
        <v>CENTRO - BAIRRO</v>
      </c>
      <c r="O143" s="5" t="str">
        <f>IFERROR(__xludf.DUMMYFUNCTION("""COMPUTED_VALUE"""),"EM FRENTE A IGREJA BATISTA")</f>
        <v>EM FRENTE A IGREJA BATISTA</v>
      </c>
      <c r="P143" s="5" t="str">
        <f>IFERROR(__xludf.DUMMYFUNCTION("""COMPUTED_VALUE"""),"PRIORIDADE ALTA")</f>
        <v>PRIORIDADE ALTA</v>
      </c>
      <c r="Q143" s="5" t="str">
        <f>IFERROR(__xludf.DUMMYFUNCTION("""COMPUTED_VALUE"""),"IMPLANTAR ABRIGO, PINTURA DA BAIA NO ASFALTO, ADEQUAÇÃO DA CALÇADA (RAMPA DE ACESSIBILIDADE E PISO TÁTIL), ")</f>
        <v>IMPLANTAR ABRIGO, PINTURA DA BAIA NO ASFALTO, ADEQUAÇÃO DA CALÇADA (RAMPA DE ACESSIBILIDADE E PISO TÁTIL), </v>
      </c>
      <c r="R143" s="5" t="str">
        <f>IFERROR(__xludf.DUMMYFUNCTION("""COMPUTED_VALUE"""),"IMPLANTAR ABRIGO")</f>
        <v>IMPLANTAR ABRIGO</v>
      </c>
      <c r="S143" s="7">
        <f>IFERROR(__xludf.DUMMYFUNCTION("""COMPUTED_VALUE"""),44578.0)</f>
        <v>44578</v>
      </c>
      <c r="T143" s="5"/>
      <c r="U143" s="7">
        <f>IFERROR(__xludf.DUMMYFUNCTION("""COMPUTED_VALUE"""),44578.0)</f>
        <v>44578</v>
      </c>
      <c r="V143" s="9" t="str">
        <f>IFERROR(__xludf.DUMMYFUNCTION("""COMPUTED_VALUE"""),"https://drive.google.com/uc?id=1tXWu3WVPuoUQ8NRRF_2f-yrYd1_gkYYR")</f>
        <v>https://drive.google.com/uc?id=1tXWu3WVPuoUQ8NRRF_2f-yrYd1_gkYYR</v>
      </c>
      <c r="W143" s="5" t="str">
        <f>IFERROR(__xludf.DUMMYFUNCTION("""COMPUTED_VALUE"""),"NÃO")</f>
        <v>NÃO</v>
      </c>
      <c r="X143" s="5" t="str">
        <f>IFERROR(__xludf.DUMMYFUNCTION("""COMPUTED_VALUE"""),"NÃO SE APLICA")</f>
        <v>NÃO SE APLICA</v>
      </c>
    </row>
    <row r="144" hidden="1">
      <c r="A144" s="5">
        <f>IFERROR(__xludf.DUMMYFUNCTION("""COMPUTED_VALUE"""),8.0)</f>
        <v>8</v>
      </c>
      <c r="B144" s="5" t="str">
        <f>IFERROR(__xludf.DUMMYFUNCTION("""COMPUTED_VALUE"""),"IP018")</f>
        <v>IP018</v>
      </c>
      <c r="C144" s="5" t="str">
        <f>IFERROR(__xludf.DUMMYFUNCTION("""COMPUTED_VALUE"""),"NÃO POSSUI")</f>
        <v>NÃO POSSUI</v>
      </c>
      <c r="D144" s="5" t="str">
        <f>IFERROR(__xludf.DUMMYFUNCTION("""COMPUTED_VALUE"""),"FIXADA EM POSTE")</f>
        <v>FIXADA EM POSTE</v>
      </c>
      <c r="E144" s="5" t="str">
        <f>IFERROR(__xludf.DUMMYFUNCTION("""COMPUTED_VALUE"""),"SEM BAIA")</f>
        <v>SEM BAIA</v>
      </c>
      <c r="F144" s="5" t="str">
        <f>IFERROR(__xludf.DUMMYFUNCTION("""COMPUTED_VALUE"""),"NÃO")</f>
        <v>NÃO</v>
      </c>
      <c r="G144" s="5" t="str">
        <f>IFERROR(__xludf.DUMMYFUNCTION("""COMPUTED_VALUE"""),"NÃO")</f>
        <v>NÃO</v>
      </c>
      <c r="H144" s="5" t="str">
        <f>IFERROR(__xludf.DUMMYFUNCTION("""COMPUTED_VALUE"""),"NÃO PAVIMENTADA")</f>
        <v>NÃO PAVIMENTADA</v>
      </c>
      <c r="I144" s="6" t="str">
        <f>IFERROR(__xludf.DUMMYFUNCTION("""COMPUTED_VALUE"""),"-9.524281")</f>
        <v>-9.524281</v>
      </c>
      <c r="J144" s="6" t="str">
        <f>IFERROR(__xludf.DUMMYFUNCTION("""COMPUTED_VALUE"""),"-35.602062")</f>
        <v>-35.602062</v>
      </c>
      <c r="K144" s="5" t="str">
        <f>IFERROR(__xludf.DUMMYFUNCTION("""COMPUTED_VALUE"""),"AV. GEN. LUIZ DE FRANÇA ALBUQUERQUE – RODOVIA AL-101 NORTE, 49B")</f>
        <v>AV. GEN. LUIZ DE FRANÇA ALBUQUERQUE – RODOVIA AL-101 NORTE, 49B</v>
      </c>
      <c r="L144" s="5" t="str">
        <f>IFERROR(__xludf.DUMMYFUNCTION("""COMPUTED_VALUE"""),"RODOVIAS")</f>
        <v>RODOVIAS</v>
      </c>
      <c r="M144" s="5" t="str">
        <f>IFERROR(__xludf.DUMMYFUNCTION("""COMPUTED_VALUE"""),"IPIOCA")</f>
        <v>IPIOCA</v>
      </c>
      <c r="N144" s="5" t="str">
        <f>IFERROR(__xludf.DUMMYFUNCTION("""COMPUTED_VALUE"""),"CENTRO - BAIRRO")</f>
        <v>CENTRO - BAIRRO</v>
      </c>
      <c r="O144" s="5" t="str">
        <f>IFERROR(__xludf.DUMMYFUNCTION("""COMPUTED_VALUE"""),"EM FRENTE AO SÍTIO ARRUDA")</f>
        <v>EM FRENTE AO SÍTIO ARRUDA</v>
      </c>
      <c r="P144" s="5" t="str">
        <f>IFERROR(__xludf.DUMMYFUNCTION("""COMPUTED_VALUE"""),"PRIORIDADE ALTA")</f>
        <v>PRIORIDADE ALTA</v>
      </c>
      <c r="Q144" s="5" t="str">
        <f>IFERROR(__xludf.DUMMYFUNCTION("""COMPUTED_VALUE"""),"PINTURA DA BAIA NO ASFALTO, PAVIMENTAÇÃO E ADEQUAÇÃO DA CALÇADA (RAMPA DE ACESSIBILIDADE E PISO TÁTIL)")</f>
        <v>PINTURA DA BAIA NO ASFALTO, PAVIMENTAÇÃO E ADEQUAÇÃO DA CALÇADA (RAMPA DE ACESSIBILIDADE E PISO TÁTIL)</v>
      </c>
      <c r="R144" s="5" t="str">
        <f>IFERROR(__xludf.DUMMYFUNCTION("""COMPUTED_VALUE"""),"NENHUMA DAS OPÇÕES")</f>
        <v>NENHUMA DAS OPÇÕES</v>
      </c>
      <c r="S144" s="7">
        <f>IFERROR(__xludf.DUMMYFUNCTION("""COMPUTED_VALUE"""),44579.0)</f>
        <v>44579</v>
      </c>
      <c r="T144" s="5"/>
      <c r="U144" s="7">
        <f>IFERROR(__xludf.DUMMYFUNCTION("""COMPUTED_VALUE"""),44579.0)</f>
        <v>44579</v>
      </c>
      <c r="V144" s="9" t="str">
        <f>IFERROR(__xludf.DUMMYFUNCTION("""COMPUTED_VALUE"""),"https://drive.google.com/uc?id=1xneRrRsGiC-khngV9GAFLZZgSqCao7n-")</f>
        <v>https://drive.google.com/uc?id=1xneRrRsGiC-khngV9GAFLZZgSqCao7n-</v>
      </c>
      <c r="W144" s="5" t="str">
        <f>IFERROR(__xludf.DUMMYFUNCTION("""COMPUTED_VALUE"""),"NÃO")</f>
        <v>NÃO</v>
      </c>
      <c r="X144" s="5" t="str">
        <f>IFERROR(__xludf.DUMMYFUNCTION("""COMPUTED_VALUE"""),"NÃO SE APLICA")</f>
        <v>NÃO SE APLICA</v>
      </c>
    </row>
    <row r="145" hidden="1">
      <c r="A145" s="5">
        <f>IFERROR(__xludf.DUMMYFUNCTION("""COMPUTED_VALUE"""),8.0)</f>
        <v>8</v>
      </c>
      <c r="B145" s="5" t="str">
        <f>IFERROR(__xludf.DUMMYFUNCTION("""COMPUTED_VALUE"""),"IP019")</f>
        <v>IP019</v>
      </c>
      <c r="C145" s="5" t="str">
        <f>IFERROR(__xludf.DUMMYFUNCTION("""COMPUTED_VALUE"""),"NÃO POSSUI")</f>
        <v>NÃO POSSUI</v>
      </c>
      <c r="D145" s="5" t="str">
        <f>IFERROR(__xludf.DUMMYFUNCTION("""COMPUTED_VALUE"""),"FIXADA EM POSTE")</f>
        <v>FIXADA EM POSTE</v>
      </c>
      <c r="E145" s="5" t="str">
        <f>IFERROR(__xludf.DUMMYFUNCTION("""COMPUTED_VALUE"""),"SEM BAIA")</f>
        <v>SEM BAIA</v>
      </c>
      <c r="F145" s="5" t="str">
        <f>IFERROR(__xludf.DUMMYFUNCTION("""COMPUTED_VALUE"""),"NÃO")</f>
        <v>NÃO</v>
      </c>
      <c r="G145" s="5" t="str">
        <f>IFERROR(__xludf.DUMMYFUNCTION("""COMPUTED_VALUE"""),"NÃO")</f>
        <v>NÃO</v>
      </c>
      <c r="H145" s="5" t="str">
        <f>IFERROR(__xludf.DUMMYFUNCTION("""COMPUTED_VALUE"""),"NÃO PAVIMENTADA")</f>
        <v>NÃO PAVIMENTADA</v>
      </c>
      <c r="I145" s="6" t="str">
        <f>IFERROR(__xludf.DUMMYFUNCTION("""COMPUTED_VALUE"""),"-9.522685")</f>
        <v>-9.522685</v>
      </c>
      <c r="J145" s="6" t="str">
        <f>IFERROR(__xludf.DUMMYFUNCTION("""COMPUTED_VALUE"""),"-35.600851")</f>
        <v>-35.600851</v>
      </c>
      <c r="K145" s="5" t="str">
        <f>IFERROR(__xludf.DUMMYFUNCTION("""COMPUTED_VALUE"""),"AV. GEN. LUIZ DE FRANÇA ALBUQUERQUE – RODOVIA AL-101 NORTE, 43")</f>
        <v>AV. GEN. LUIZ DE FRANÇA ALBUQUERQUE – RODOVIA AL-101 NORTE, 43</v>
      </c>
      <c r="L145" s="5" t="str">
        <f>IFERROR(__xludf.DUMMYFUNCTION("""COMPUTED_VALUE"""),"RODOVIAS")</f>
        <v>RODOVIAS</v>
      </c>
      <c r="M145" s="5" t="str">
        <f>IFERROR(__xludf.DUMMYFUNCTION("""COMPUTED_VALUE"""),"IPIOCA")</f>
        <v>IPIOCA</v>
      </c>
      <c r="N145" s="5" t="str">
        <f>IFERROR(__xludf.DUMMYFUNCTION("""COMPUTED_VALUE"""),"CENTRO - BAIRRO")</f>
        <v>CENTRO - BAIRRO</v>
      </c>
      <c r="O145" s="5" t="str">
        <f>IFERROR(__xludf.DUMMYFUNCTION("""COMPUTED_VALUE"""),"PRÓXIMO A IPIOCA BEACH CLUB")</f>
        <v>PRÓXIMO A IPIOCA BEACH CLUB</v>
      </c>
      <c r="P145" s="5" t="str">
        <f>IFERROR(__xludf.DUMMYFUNCTION("""COMPUTED_VALUE"""),"PRIORIDADE ALTA")</f>
        <v>PRIORIDADE ALTA</v>
      </c>
      <c r="Q145" s="5" t="str">
        <f>IFERROR(__xludf.DUMMYFUNCTION("""COMPUTED_VALUE"""),"IMPLANTAR ABRIGO, PINTURA DA BAIA NO ASFALTO, PAVIMENTAÇÃO E ADEQUAÇÃO DA CALÇADA (RAMPA DE ACESSIBILIDADE E PISO TÁTIL)")</f>
        <v>IMPLANTAR ABRIGO, PINTURA DA BAIA NO ASFALTO, PAVIMENTAÇÃO E ADEQUAÇÃO DA CALÇADA (RAMPA DE ACESSIBILIDADE E PISO TÁTIL)</v>
      </c>
      <c r="R145" s="5" t="str">
        <f>IFERROR(__xludf.DUMMYFUNCTION("""COMPUTED_VALUE"""),"NENHUMA DAS OPÇÕES")</f>
        <v>NENHUMA DAS OPÇÕES</v>
      </c>
      <c r="S145" s="7">
        <f>IFERROR(__xludf.DUMMYFUNCTION("""COMPUTED_VALUE"""),44580.0)</f>
        <v>44580</v>
      </c>
      <c r="T145" s="5"/>
      <c r="U145" s="7">
        <f>IFERROR(__xludf.DUMMYFUNCTION("""COMPUTED_VALUE"""),44580.0)</f>
        <v>44580</v>
      </c>
      <c r="V145" s="9" t="str">
        <f>IFERROR(__xludf.DUMMYFUNCTION("""COMPUTED_VALUE"""),"https://drive.google.com/uc?id=1Y1vVYr1znAujTbtvstGECz81Vp5Vq3HZ")</f>
        <v>https://drive.google.com/uc?id=1Y1vVYr1znAujTbtvstGECz81Vp5Vq3HZ</v>
      </c>
      <c r="W145" s="5" t="str">
        <f>IFERROR(__xludf.DUMMYFUNCTION("""COMPUTED_VALUE"""),"NÃO")</f>
        <v>NÃO</v>
      </c>
      <c r="X145" s="5" t="str">
        <f>IFERROR(__xludf.DUMMYFUNCTION("""COMPUTED_VALUE"""),"NÃO SE APLICA")</f>
        <v>NÃO SE APLICA</v>
      </c>
    </row>
    <row r="146">
      <c r="A146" s="5">
        <f>IFERROR(__xludf.DUMMYFUNCTION("""COMPUTED_VALUE"""),8.0)</f>
        <v>8</v>
      </c>
      <c r="B146" s="5" t="str">
        <f>IFERROR(__xludf.DUMMYFUNCTION("""COMPUTED_VALUE"""),"IP020")</f>
        <v>IP020</v>
      </c>
      <c r="C146" s="5" t="str">
        <f>IFERROR(__xludf.DUMMYFUNCTION("""COMPUTED_VALUE"""),"ABRIGO CONCRETO")</f>
        <v>ABRIGO CONCRETO</v>
      </c>
      <c r="D146" s="5" t="str">
        <f>IFERROR(__xludf.DUMMYFUNCTION("""COMPUTED_VALUE"""),"FIXADA EM POSTE")</f>
        <v>FIXADA EM POSTE</v>
      </c>
      <c r="E146" s="5" t="str">
        <f>IFERROR(__xludf.DUMMYFUNCTION("""COMPUTED_VALUE"""),"SEM BAIA")</f>
        <v>SEM BAIA</v>
      </c>
      <c r="F146" s="5" t="str">
        <f>IFERROR(__xludf.DUMMYFUNCTION("""COMPUTED_VALUE"""),"NÃO")</f>
        <v>NÃO</v>
      </c>
      <c r="G146" s="5" t="str">
        <f>IFERROR(__xludf.DUMMYFUNCTION("""COMPUTED_VALUE"""),"NÃO")</f>
        <v>NÃO</v>
      </c>
      <c r="H146" s="5" t="str">
        <f>IFERROR(__xludf.DUMMYFUNCTION("""COMPUTED_VALUE"""),"NÃO PAVIMENTADA")</f>
        <v>NÃO PAVIMENTADA</v>
      </c>
      <c r="I146" s="6" t="str">
        <f>IFERROR(__xludf.DUMMYFUNCTION("""COMPUTED_VALUE"""),"-9.522037")</f>
        <v>-9.522037</v>
      </c>
      <c r="J146" s="6" t="str">
        <f>IFERROR(__xludf.DUMMYFUNCTION("""COMPUTED_VALUE"""),"-35.600510")</f>
        <v>-35.600510</v>
      </c>
      <c r="K146" s="5" t="str">
        <f>IFERROR(__xludf.DUMMYFUNCTION("""COMPUTED_VALUE"""),"AV. GEN. LUIZ DE FRANÇA ALBUQUERQUE – RODOVIA AL-101 NORTE, 29")</f>
        <v>AV. GEN. LUIZ DE FRANÇA ALBUQUERQUE – RODOVIA AL-101 NORTE, 29</v>
      </c>
      <c r="L146" s="5" t="str">
        <f>IFERROR(__xludf.DUMMYFUNCTION("""COMPUTED_VALUE"""),"RODOVIAS")</f>
        <v>RODOVIAS</v>
      </c>
      <c r="M146" s="5" t="str">
        <f>IFERROR(__xludf.DUMMYFUNCTION("""COMPUTED_VALUE"""),"IPIOCA")</f>
        <v>IPIOCA</v>
      </c>
      <c r="N146" s="5" t="str">
        <f>IFERROR(__xludf.DUMMYFUNCTION("""COMPUTED_VALUE"""),"BAIRRO - CENTRO")</f>
        <v>BAIRRO - CENTRO</v>
      </c>
      <c r="O146" s="5" t="str">
        <f>IFERROR(__xludf.DUMMYFUNCTION("""COMPUTED_VALUE"""),"PRÓXIMO A IPIOCA BEACH CLUB")</f>
        <v>PRÓXIMO A IPIOCA BEACH CLUB</v>
      </c>
      <c r="P146" s="5" t="str">
        <f>IFERROR(__xludf.DUMMYFUNCTION("""COMPUTED_VALUE"""),"URGENTE")</f>
        <v>URGENTE</v>
      </c>
      <c r="Q146" s="5" t="str">
        <f>IFERROR(__xludf.DUMMYFUNCTION("""COMPUTED_VALUE"""),"SUBSTITUIR ABRIGO, PINTURA DA BAIA NO ASFALTO, PAVIMENTAÇÃO E ADEQUAÇÃO DA CALÇADA (RAMPA DE ACESSIBILIDADE E PISO TÁTIL)")</f>
        <v>SUBSTITUIR ABRIGO, PINTURA DA BAIA NO ASFALTO, PAVIMENTAÇÃO E ADEQUAÇÃO DA CALÇADA (RAMPA DE ACESSIBILIDADE E PISO TÁTIL)</v>
      </c>
      <c r="R146" s="5" t="str">
        <f>IFERROR(__xludf.DUMMYFUNCTION("""COMPUTED_VALUE"""),"SUBSTITUIR ABRIGO")</f>
        <v>SUBSTITUIR ABRIGO</v>
      </c>
      <c r="S146" s="7">
        <f>IFERROR(__xludf.DUMMYFUNCTION("""COMPUTED_VALUE"""),44581.0)</f>
        <v>44581</v>
      </c>
      <c r="T146" s="5"/>
      <c r="U146" s="7">
        <f>IFERROR(__xludf.DUMMYFUNCTION("""COMPUTED_VALUE"""),44581.0)</f>
        <v>44581</v>
      </c>
      <c r="V146" s="9" t="str">
        <f>IFERROR(__xludf.DUMMYFUNCTION("""COMPUTED_VALUE"""),"https://drive.google.com/uc?id=1TV7hOotMg1fKO7tBxw_TuAEXit-Xy1Sb")</f>
        <v>https://drive.google.com/uc?id=1TV7hOotMg1fKO7tBxw_TuAEXit-Xy1Sb</v>
      </c>
      <c r="W146" s="5" t="str">
        <f>IFERROR(__xludf.DUMMYFUNCTION("""COMPUTED_VALUE"""),"NÃO")</f>
        <v>NÃO</v>
      </c>
      <c r="X146" s="5" t="str">
        <f>IFERROR(__xludf.DUMMYFUNCTION("""COMPUTED_VALUE"""),"NÃO SE APLICA")</f>
        <v>NÃO SE APLICA</v>
      </c>
    </row>
    <row r="147" hidden="1">
      <c r="A147" s="5">
        <f>IFERROR(__xludf.DUMMYFUNCTION("""COMPUTED_VALUE"""),8.0)</f>
        <v>8</v>
      </c>
      <c r="B147" s="5" t="str">
        <f>IFERROR(__xludf.DUMMYFUNCTION("""COMPUTED_VALUE"""),"IP021")</f>
        <v>IP021</v>
      </c>
      <c r="C147" s="5" t="str">
        <f>IFERROR(__xludf.DUMMYFUNCTION("""COMPUTED_VALUE"""),"NÃO POSSUI")</f>
        <v>NÃO POSSUI</v>
      </c>
      <c r="D147" s="5" t="str">
        <f>IFERROR(__xludf.DUMMYFUNCTION("""COMPUTED_VALUE"""),"COM SUPORTE")</f>
        <v>COM SUPORTE</v>
      </c>
      <c r="E147" s="5" t="str">
        <f>IFERROR(__xludf.DUMMYFUNCTION("""COMPUTED_VALUE"""),"SEM BAIA")</f>
        <v>SEM BAIA</v>
      </c>
      <c r="F147" s="5" t="str">
        <f>IFERROR(__xludf.DUMMYFUNCTION("""COMPUTED_VALUE"""),"NÃO")</f>
        <v>NÃO</v>
      </c>
      <c r="G147" s="5" t="str">
        <f>IFERROR(__xludf.DUMMYFUNCTION("""COMPUTED_VALUE"""),"NÃO")</f>
        <v>NÃO</v>
      </c>
      <c r="H147" s="5" t="str">
        <f>IFERROR(__xludf.DUMMYFUNCTION("""COMPUTED_VALUE"""),"NÃO PAVIMENTADA")</f>
        <v>NÃO PAVIMENTADA</v>
      </c>
      <c r="I147" s="6" t="str">
        <f>IFERROR(__xludf.DUMMYFUNCTION("""COMPUTED_VALUE"""),"-9.520318")</f>
        <v>-9.520318</v>
      </c>
      <c r="J147" s="6" t="str">
        <f>IFERROR(__xludf.DUMMYFUNCTION("""COMPUTED_VALUE"""),"-35.598544")</f>
        <v>-35.598544</v>
      </c>
      <c r="K147" s="5" t="str">
        <f>IFERROR(__xludf.DUMMYFUNCTION("""COMPUTED_VALUE"""),"AV. GEN. LUIZ DE FRANÇA ALBUQUERQUE – RODOVIA AL-101 NORTE, S/N")</f>
        <v>AV. GEN. LUIZ DE FRANÇA ALBUQUERQUE – RODOVIA AL-101 NORTE, S/N</v>
      </c>
      <c r="L147" s="5" t="str">
        <f>IFERROR(__xludf.DUMMYFUNCTION("""COMPUTED_VALUE"""),"RODOVIAS")</f>
        <v>RODOVIAS</v>
      </c>
      <c r="M147" s="5" t="str">
        <f>IFERROR(__xludf.DUMMYFUNCTION("""COMPUTED_VALUE"""),"IPIOCA")</f>
        <v>IPIOCA</v>
      </c>
      <c r="N147" s="5" t="str">
        <f>IFERROR(__xludf.DUMMYFUNCTION("""COMPUTED_VALUE"""),"CENTRO - BAIRRO")</f>
        <v>CENTRO - BAIRRO</v>
      </c>
      <c r="O147" s="5" t="str">
        <f>IFERROR(__xludf.DUMMYFUNCTION("""COMPUTED_VALUE"""),"PRÓXIMO AO CORREIA BAR E RESTAURANTE")</f>
        <v>PRÓXIMO AO CORREIA BAR E RESTAURANTE</v>
      </c>
      <c r="P147" s="5" t="str">
        <f>IFERROR(__xludf.DUMMYFUNCTION("""COMPUTED_VALUE"""),"PRIORIDADE ALTA")</f>
        <v>PRIORIDADE ALTA</v>
      </c>
      <c r="Q147" s="5" t="str">
        <f>IFERROR(__xludf.DUMMYFUNCTION("""COMPUTED_VALUE"""),"IMPLANTAR ABRIGO, PINTURA DA BAIA NO ASFALTO, PAVIMENTAÇÃO E ADEQUAÇÃO DA CALÇADA (RAMPA DE ACESSIBILIDADE E PISO TÁTIL)")</f>
        <v>IMPLANTAR ABRIGO, PINTURA DA BAIA NO ASFALTO, PAVIMENTAÇÃO E ADEQUAÇÃO DA CALÇADA (RAMPA DE ACESSIBILIDADE E PISO TÁTIL)</v>
      </c>
      <c r="R147" s="5" t="str">
        <f>IFERROR(__xludf.DUMMYFUNCTION("""COMPUTED_VALUE"""),"IMPLANTAR ABRIGO")</f>
        <v>IMPLANTAR ABRIGO</v>
      </c>
      <c r="S147" s="7">
        <f>IFERROR(__xludf.DUMMYFUNCTION("""COMPUTED_VALUE"""),44582.0)</f>
        <v>44582</v>
      </c>
      <c r="T147" s="5"/>
      <c r="U147" s="7">
        <f>IFERROR(__xludf.DUMMYFUNCTION("""COMPUTED_VALUE"""),44582.0)</f>
        <v>44582</v>
      </c>
      <c r="V147" s="9" t="str">
        <f>IFERROR(__xludf.DUMMYFUNCTION("""COMPUTED_VALUE"""),"https://drive.google.com/uc?id=1naq2j6vp660Sl2GA-z0mE_FI_Sc7ooVF")</f>
        <v>https://drive.google.com/uc?id=1naq2j6vp660Sl2GA-z0mE_FI_Sc7ooVF</v>
      </c>
      <c r="W147" s="5" t="str">
        <f>IFERROR(__xludf.DUMMYFUNCTION("""COMPUTED_VALUE"""),"NÃO")</f>
        <v>NÃO</v>
      </c>
      <c r="X147" s="5" t="str">
        <f>IFERROR(__xludf.DUMMYFUNCTION("""COMPUTED_VALUE"""),"NÃO SE APLICA")</f>
        <v>NÃO SE APLICA</v>
      </c>
    </row>
    <row r="148">
      <c r="A148" s="5">
        <f>IFERROR(__xludf.DUMMYFUNCTION("""COMPUTED_VALUE"""),8.0)</f>
        <v>8</v>
      </c>
      <c r="B148" s="5" t="str">
        <f>IFERROR(__xludf.DUMMYFUNCTION("""COMPUTED_VALUE"""),"IP022")</f>
        <v>IP022</v>
      </c>
      <c r="C148" s="5" t="str">
        <f>IFERROR(__xludf.DUMMYFUNCTION("""COMPUTED_VALUE"""),"ABRIGO CONCRETO")</f>
        <v>ABRIGO CONCRETO</v>
      </c>
      <c r="D148" s="5" t="str">
        <f>IFERROR(__xludf.DUMMYFUNCTION("""COMPUTED_VALUE"""),"SEM PLACA")</f>
        <v>SEM PLACA</v>
      </c>
      <c r="E148" s="5" t="str">
        <f>IFERROR(__xludf.DUMMYFUNCTION("""COMPUTED_VALUE"""),"SEM BAIA")</f>
        <v>SEM BAIA</v>
      </c>
      <c r="F148" s="5" t="str">
        <f>IFERROR(__xludf.DUMMYFUNCTION("""COMPUTED_VALUE"""),"NÃO")</f>
        <v>NÃO</v>
      </c>
      <c r="G148" s="5" t="str">
        <f>IFERROR(__xludf.DUMMYFUNCTION("""COMPUTED_VALUE"""),"NÃO")</f>
        <v>NÃO</v>
      </c>
      <c r="H148" s="5" t="str">
        <f>IFERROR(__xludf.DUMMYFUNCTION("""COMPUTED_VALUE"""),"NÃO PAVIMENTADA")</f>
        <v>NÃO PAVIMENTADA</v>
      </c>
      <c r="I148" s="6" t="str">
        <f>IFERROR(__xludf.DUMMYFUNCTION("""COMPUTED_VALUE"""),"-9.518134")</f>
        <v>-9.518134</v>
      </c>
      <c r="J148" s="6" t="str">
        <f>IFERROR(__xludf.DUMMYFUNCTION("""COMPUTED_VALUE"""),"-35.596348")</f>
        <v>-35.596348</v>
      </c>
      <c r="K148" s="5" t="str">
        <f>IFERROR(__xludf.DUMMYFUNCTION("""COMPUTED_VALUE"""),"AV. GEN. LUIZ DE FRANÇA ALBUQUERQUE – RODOVIA AL-101 NORTE, 2565")</f>
        <v>AV. GEN. LUIZ DE FRANÇA ALBUQUERQUE – RODOVIA AL-101 NORTE, 2565</v>
      </c>
      <c r="L148" s="5" t="str">
        <f>IFERROR(__xludf.DUMMYFUNCTION("""COMPUTED_VALUE"""),"RODOVIAS")</f>
        <v>RODOVIAS</v>
      </c>
      <c r="M148" s="5" t="str">
        <f>IFERROR(__xludf.DUMMYFUNCTION("""COMPUTED_VALUE"""),"IPIOCA")</f>
        <v>IPIOCA</v>
      </c>
      <c r="N148" s="5" t="str">
        <f>IFERROR(__xludf.DUMMYFUNCTION("""COMPUTED_VALUE"""),"CENTRO - BAIRRO")</f>
        <v>CENTRO - BAIRRO</v>
      </c>
      <c r="O148" s="5" t="str">
        <f>IFERROR(__xludf.DUMMYFUNCTION("""COMPUTED_VALUE"""),"EM FRENTE A IPIOCA CONSTRUÇÕES")</f>
        <v>EM FRENTE A IPIOCA CONSTRUÇÕES</v>
      </c>
      <c r="P148" s="5" t="str">
        <f>IFERROR(__xludf.DUMMYFUNCTION("""COMPUTED_VALUE"""),"PRIORIDADE ALTA")</f>
        <v>PRIORIDADE ALTA</v>
      </c>
      <c r="Q148" s="5" t="str">
        <f>IFERROR(__xludf.DUMMYFUNCTION("""COMPUTED_VALUE"""),"REPAROS NA ESTRUTURA (REBOCO DO ABRIGO), PINTURA DO ABRIGO, PAVIMENTAÇÃO E ADEQUAÇÃO DA CALÇADA ( RAMPA DE ACESSIBILIDADE E PISO TÁTIL)")</f>
        <v>REPAROS NA ESTRUTURA (REBOCO DO ABRIGO), PINTURA DO ABRIGO, PAVIMENTAÇÃO E ADEQUAÇÃO DA CALÇADA ( RAMPA DE ACESSIBILIDADE E PISO TÁTIL)</v>
      </c>
      <c r="R148" s="5" t="str">
        <f>IFERROR(__xludf.DUMMYFUNCTION("""COMPUTED_VALUE"""),"SUBSTITUIR ABRIGO")</f>
        <v>SUBSTITUIR ABRIGO</v>
      </c>
      <c r="S148" s="7">
        <f>IFERROR(__xludf.DUMMYFUNCTION("""COMPUTED_VALUE"""),44583.0)</f>
        <v>44583</v>
      </c>
      <c r="T148" s="5"/>
      <c r="U148" s="7">
        <f>IFERROR(__xludf.DUMMYFUNCTION("""COMPUTED_VALUE"""),44583.0)</f>
        <v>44583</v>
      </c>
      <c r="V148" s="9" t="str">
        <f>IFERROR(__xludf.DUMMYFUNCTION("""COMPUTED_VALUE"""),"https://drive.google.com/uc?id=19_tNinhUTj9xD4YMjeKwsqtmUj4aYpQ9")</f>
        <v>https://drive.google.com/uc?id=19_tNinhUTj9xD4YMjeKwsqtmUj4aYpQ9</v>
      </c>
      <c r="W148" s="5" t="str">
        <f>IFERROR(__xludf.DUMMYFUNCTION("""COMPUTED_VALUE"""),"NÃO")</f>
        <v>NÃO</v>
      </c>
      <c r="X148" s="5" t="str">
        <f>IFERROR(__xludf.DUMMYFUNCTION("""COMPUTED_VALUE"""),"NÃO SE APLICA")</f>
        <v>NÃO SE APLICA</v>
      </c>
    </row>
    <row r="149">
      <c r="A149" s="5">
        <f>IFERROR(__xludf.DUMMYFUNCTION("""COMPUTED_VALUE"""),8.0)</f>
        <v>8</v>
      </c>
      <c r="B149" s="5" t="str">
        <f>IFERROR(__xludf.DUMMYFUNCTION("""COMPUTED_VALUE"""),"IP023")</f>
        <v>IP023</v>
      </c>
      <c r="C149" s="5" t="str">
        <f>IFERROR(__xludf.DUMMYFUNCTION("""COMPUTED_VALUE"""),"ABRIGO CONCRETO")</f>
        <v>ABRIGO CONCRETO</v>
      </c>
      <c r="D149" s="5" t="str">
        <f>IFERROR(__xludf.DUMMYFUNCTION("""COMPUTED_VALUE"""),"SEM PLACA")</f>
        <v>SEM PLACA</v>
      </c>
      <c r="E149" s="5" t="str">
        <f>IFERROR(__xludf.DUMMYFUNCTION("""COMPUTED_VALUE"""),"SEM BAIA")</f>
        <v>SEM BAIA</v>
      </c>
      <c r="F149" s="5" t="str">
        <f>IFERROR(__xludf.DUMMYFUNCTION("""COMPUTED_VALUE"""),"NÃO")</f>
        <v>NÃO</v>
      </c>
      <c r="G149" s="5" t="str">
        <f>IFERROR(__xludf.DUMMYFUNCTION("""COMPUTED_VALUE"""),"NÃO")</f>
        <v>NÃO</v>
      </c>
      <c r="H149" s="5" t="str">
        <f>IFERROR(__xludf.DUMMYFUNCTION("""COMPUTED_VALUE"""),"NÃO PAVIMENTADA")</f>
        <v>NÃO PAVIMENTADA</v>
      </c>
      <c r="I149" s="6" t="str">
        <f>IFERROR(__xludf.DUMMYFUNCTION("""COMPUTED_VALUE"""),"-9.518160")</f>
        <v>-9.518160</v>
      </c>
      <c r="J149" s="6" t="str">
        <f>IFERROR(__xludf.DUMMYFUNCTION("""COMPUTED_VALUE"""),"-35.596497")</f>
        <v>-35.596497</v>
      </c>
      <c r="K149" s="5" t="str">
        <f>IFERROR(__xludf.DUMMYFUNCTION("""COMPUTED_VALUE"""),"AV. GEN. LUIZ DE FRANÇA ALBUQUERQUE – RODOVIA AL-101 NORTE, 2565")</f>
        <v>AV. GEN. LUIZ DE FRANÇA ALBUQUERQUE – RODOVIA AL-101 NORTE, 2565</v>
      </c>
      <c r="L149" s="5" t="str">
        <f>IFERROR(__xludf.DUMMYFUNCTION("""COMPUTED_VALUE"""),"RODOVIAS")</f>
        <v>RODOVIAS</v>
      </c>
      <c r="M149" s="5" t="str">
        <f>IFERROR(__xludf.DUMMYFUNCTION("""COMPUTED_VALUE"""),"IPIOCA")</f>
        <v>IPIOCA</v>
      </c>
      <c r="N149" s="5" t="str">
        <f>IFERROR(__xludf.DUMMYFUNCTION("""COMPUTED_VALUE"""),"BAIRRO - CENTRO")</f>
        <v>BAIRRO - CENTRO</v>
      </c>
      <c r="O149" s="5" t="str">
        <f>IFERROR(__xludf.DUMMYFUNCTION("""COMPUTED_VALUE"""),"EM FRENTE A IPIOCA CONSTRUÇÕES")</f>
        <v>EM FRENTE A IPIOCA CONSTRUÇÕES</v>
      </c>
      <c r="P149" s="5" t="str">
        <f>IFERROR(__xludf.DUMMYFUNCTION("""COMPUTED_VALUE"""),"PRIORIDADE ALTA")</f>
        <v>PRIORIDADE ALTA</v>
      </c>
      <c r="Q149" s="5" t="str">
        <f>IFERROR(__xludf.DUMMYFUNCTION("""COMPUTED_VALUE"""),"PINTURA DOABRIGO, PINTURA DA BAIA NO ASFALTO, PAVIMENTAÇÃO E ADEQUAÇÃO DA CALÇADA (RAMPA DE ACESSIBILIDADE E PISO TÁTIL)")</f>
        <v>PINTURA DOABRIGO, PINTURA DA BAIA NO ASFALTO, PAVIMENTAÇÃO E ADEQUAÇÃO DA CALÇADA (RAMPA DE ACESSIBILIDADE E PISO TÁTIL)</v>
      </c>
      <c r="R149" s="5" t="str">
        <f>IFERROR(__xludf.DUMMYFUNCTION("""COMPUTED_VALUE"""),"SUBSTITUIR ABRIGO")</f>
        <v>SUBSTITUIR ABRIGO</v>
      </c>
      <c r="S149" s="7">
        <f>IFERROR(__xludf.DUMMYFUNCTION("""COMPUTED_VALUE"""),44584.0)</f>
        <v>44584</v>
      </c>
      <c r="T149" s="5"/>
      <c r="U149" s="7">
        <f>IFERROR(__xludf.DUMMYFUNCTION("""COMPUTED_VALUE"""),44584.0)</f>
        <v>44584</v>
      </c>
      <c r="V149" s="9" t="str">
        <f>IFERROR(__xludf.DUMMYFUNCTION("""COMPUTED_VALUE"""),"https://drive.google.com/uc?id=1DmzhEWf0CqKpZCjHYOF2esPPynP-ywhm")</f>
        <v>https://drive.google.com/uc?id=1DmzhEWf0CqKpZCjHYOF2esPPynP-ywhm</v>
      </c>
      <c r="W149" s="5" t="str">
        <f>IFERROR(__xludf.DUMMYFUNCTION("""COMPUTED_VALUE"""),"NÃO")</f>
        <v>NÃO</v>
      </c>
      <c r="X149" s="5" t="str">
        <f>IFERROR(__xludf.DUMMYFUNCTION("""COMPUTED_VALUE"""),"NÃO SE APLICA")</f>
        <v>NÃO SE APLICA</v>
      </c>
    </row>
    <row r="150" hidden="1">
      <c r="A150" s="5">
        <f>IFERROR(__xludf.DUMMYFUNCTION("""COMPUTED_VALUE"""),8.0)</f>
        <v>8</v>
      </c>
      <c r="B150" s="5" t="str">
        <f>IFERROR(__xludf.DUMMYFUNCTION("""COMPUTED_VALUE"""),"IP024")</f>
        <v>IP024</v>
      </c>
      <c r="C150" s="5" t="str">
        <f>IFERROR(__xludf.DUMMYFUNCTION("""COMPUTED_VALUE"""),"NÃO POSSUI")</f>
        <v>NÃO POSSUI</v>
      </c>
      <c r="D150" s="5" t="str">
        <f>IFERROR(__xludf.DUMMYFUNCTION("""COMPUTED_VALUE"""),"COM SUPORTE")</f>
        <v>COM SUPORTE</v>
      </c>
      <c r="E150" s="5" t="str">
        <f>IFERROR(__xludf.DUMMYFUNCTION("""COMPUTED_VALUE"""),"SEM BAIA")</f>
        <v>SEM BAIA</v>
      </c>
      <c r="F150" s="5" t="str">
        <f>IFERROR(__xludf.DUMMYFUNCTION("""COMPUTED_VALUE"""),"NÃO")</f>
        <v>NÃO</v>
      </c>
      <c r="G150" s="5" t="str">
        <f>IFERROR(__xludf.DUMMYFUNCTION("""COMPUTED_VALUE"""),"NÃO")</f>
        <v>NÃO</v>
      </c>
      <c r="H150" s="5" t="str">
        <f>IFERROR(__xludf.DUMMYFUNCTION("""COMPUTED_VALUE"""),"NÃO PAVIMENTADA")</f>
        <v>NÃO PAVIMENTADA</v>
      </c>
      <c r="I150" s="6" t="str">
        <f>IFERROR(__xludf.DUMMYFUNCTION("""COMPUTED_VALUE"""),"-9.516151")</f>
        <v>-9.516151</v>
      </c>
      <c r="J150" s="6" t="str">
        <f>IFERROR(__xludf.DUMMYFUNCTION("""COMPUTED_VALUE"""),"-35.594748")</f>
        <v>-35.594748</v>
      </c>
      <c r="K150" s="5" t="str">
        <f>IFERROR(__xludf.DUMMYFUNCTION("""COMPUTED_VALUE"""),"AV. GEN. LUIZ DE FRANÇA ALBUQUERQUE – RODOVIA AL-101 NORTE, S/N")</f>
        <v>AV. GEN. LUIZ DE FRANÇA ALBUQUERQUE – RODOVIA AL-101 NORTE, S/N</v>
      </c>
      <c r="L150" s="5" t="str">
        <f>IFERROR(__xludf.DUMMYFUNCTION("""COMPUTED_VALUE"""),"RODOVIAS")</f>
        <v>RODOVIAS</v>
      </c>
      <c r="M150" s="5" t="str">
        <f>IFERROR(__xludf.DUMMYFUNCTION("""COMPUTED_VALUE"""),"IPIOCA")</f>
        <v>IPIOCA</v>
      </c>
      <c r="N150" s="5" t="str">
        <f>IFERROR(__xludf.DUMMYFUNCTION("""COMPUTED_VALUE"""),"BAIRRO - CENTRO")</f>
        <v>BAIRRO - CENTRO</v>
      </c>
      <c r="O150" s="5" t="str">
        <f>IFERROR(__xludf.DUMMYFUNCTION("""COMPUTED_VALUE"""),"EM FRENTE A POLÍCIA RODOVIÁRIA")</f>
        <v>EM FRENTE A POLÍCIA RODOVIÁRIA</v>
      </c>
      <c r="P150" s="5" t="str">
        <f>IFERROR(__xludf.DUMMYFUNCTION("""COMPUTED_VALUE"""),"PRIORIDADE ALTA")</f>
        <v>PRIORIDADE ALTA</v>
      </c>
      <c r="Q150" s="5" t="str">
        <f>IFERROR(__xludf.DUMMYFUNCTION("""COMPUTED_VALUE"""),"IMPLANTAR ABRIGO, PINTURA DA BAIA NO ASFALTO, PAVIMENTAÇÃO E ADEQUAÇÃO DA CALÇADA (RAMPA DE ACESSIBILIDADE E PISO TÁTIL)")</f>
        <v>IMPLANTAR ABRIGO, PINTURA DA BAIA NO ASFALTO, PAVIMENTAÇÃO E ADEQUAÇÃO DA CALÇADA (RAMPA DE ACESSIBILIDADE E PISO TÁTIL)</v>
      </c>
      <c r="R150" s="5" t="str">
        <f>IFERROR(__xludf.DUMMYFUNCTION("""COMPUTED_VALUE"""),"IMPLANTAR ABRIGO")</f>
        <v>IMPLANTAR ABRIGO</v>
      </c>
      <c r="S150" s="7">
        <f>IFERROR(__xludf.DUMMYFUNCTION("""COMPUTED_VALUE"""),44585.0)</f>
        <v>44585</v>
      </c>
      <c r="T150" s="5"/>
      <c r="U150" s="7">
        <f>IFERROR(__xludf.DUMMYFUNCTION("""COMPUTED_VALUE"""),44585.0)</f>
        <v>44585</v>
      </c>
      <c r="V150" s="9" t="str">
        <f>IFERROR(__xludf.DUMMYFUNCTION("""COMPUTED_VALUE"""),"https://drive.google.com/uc?id=1ETu5299qOoW-jjHimkribpv_c_epK24k")</f>
        <v>https://drive.google.com/uc?id=1ETu5299qOoW-jjHimkribpv_c_epK24k</v>
      </c>
      <c r="W150" s="5" t="str">
        <f>IFERROR(__xludf.DUMMYFUNCTION("""COMPUTED_VALUE"""),"NÃO")</f>
        <v>NÃO</v>
      </c>
      <c r="X150" s="5" t="str">
        <f>IFERROR(__xludf.DUMMYFUNCTION("""COMPUTED_VALUE"""),"NÃO SE APLICA")</f>
        <v>NÃO SE APLICA</v>
      </c>
    </row>
    <row r="151" hidden="1">
      <c r="A151" s="5">
        <f>IFERROR(__xludf.DUMMYFUNCTION("""COMPUTED_VALUE"""),8.0)</f>
        <v>8</v>
      </c>
      <c r="B151" s="5" t="str">
        <f>IFERROR(__xludf.DUMMYFUNCTION("""COMPUTED_VALUE"""),"IP025")</f>
        <v>IP025</v>
      </c>
      <c r="C151" s="5" t="str">
        <f>IFERROR(__xludf.DUMMYFUNCTION("""COMPUTED_VALUE"""),"NÃO POSSUI")</f>
        <v>NÃO POSSUI</v>
      </c>
      <c r="D151" s="5" t="str">
        <f>IFERROR(__xludf.DUMMYFUNCTION("""COMPUTED_VALUE"""),"FIXADA EM POSTE")</f>
        <v>FIXADA EM POSTE</v>
      </c>
      <c r="E151" s="5" t="str">
        <f>IFERROR(__xludf.DUMMYFUNCTION("""COMPUTED_VALUE"""),"SEM BAIA")</f>
        <v>SEM BAIA</v>
      </c>
      <c r="F151" s="5" t="str">
        <f>IFERROR(__xludf.DUMMYFUNCTION("""COMPUTED_VALUE"""),"NÃO")</f>
        <v>NÃO</v>
      </c>
      <c r="G151" s="5" t="str">
        <f>IFERROR(__xludf.DUMMYFUNCTION("""COMPUTED_VALUE"""),"NÃO")</f>
        <v>NÃO</v>
      </c>
      <c r="H151" s="5" t="str">
        <f>IFERROR(__xludf.DUMMYFUNCTION("""COMPUTED_VALUE"""),"NÃO PAVIMENTADA")</f>
        <v>NÃO PAVIMENTADA</v>
      </c>
      <c r="I151" s="6" t="str">
        <f>IFERROR(__xludf.DUMMYFUNCTION("""COMPUTED_VALUE"""),"-9.512701")</f>
        <v>-9.512701</v>
      </c>
      <c r="J151" s="6" t="str">
        <f>IFERROR(__xludf.DUMMYFUNCTION("""COMPUTED_VALUE"""),"-35.593333")</f>
        <v>-35.593333</v>
      </c>
      <c r="K151" s="5" t="str">
        <f>IFERROR(__xludf.DUMMYFUNCTION("""COMPUTED_VALUE"""),"AV. GEN. LUIZ DE FRANÇA ALBUQUERQUE – RODOVIA AL-101 NORTE, S/N")</f>
        <v>AV. GEN. LUIZ DE FRANÇA ALBUQUERQUE – RODOVIA AL-101 NORTE, S/N</v>
      </c>
      <c r="L151" s="5" t="str">
        <f>IFERROR(__xludf.DUMMYFUNCTION("""COMPUTED_VALUE"""),"RODOVIAS")</f>
        <v>RODOVIAS</v>
      </c>
      <c r="M151" s="5" t="str">
        <f>IFERROR(__xludf.DUMMYFUNCTION("""COMPUTED_VALUE"""),"IPIOCA")</f>
        <v>IPIOCA</v>
      </c>
      <c r="N151" s="5" t="str">
        <f>IFERROR(__xludf.DUMMYFUNCTION("""COMPUTED_VALUE"""),"CENTRO - BAIRRO")</f>
        <v>CENTRO - BAIRRO</v>
      </c>
      <c r="O151" s="5" t="str">
        <f>IFERROR(__xludf.DUMMYFUNCTION("""COMPUTED_VALUE"""),"EM FRENTE A COLÔNIA DE FÉRIAS NAPOLEÃO BARBOSA")</f>
        <v>EM FRENTE A COLÔNIA DE FÉRIAS NAPOLEÃO BARBOSA</v>
      </c>
      <c r="P151" s="5" t="str">
        <f>IFERROR(__xludf.DUMMYFUNCTION("""COMPUTED_VALUE"""),"PRIORIDADE ALTA")</f>
        <v>PRIORIDADE ALTA</v>
      </c>
      <c r="Q151" s="5" t="str">
        <f>IFERROR(__xludf.DUMMYFUNCTION("""COMPUTED_VALUE"""),"IMPLANTAR ABRIGO, PINTURA DA BAIA NO ASFALTO, PAVIMENTAÇÃO E ADEQUAÇÃO DA CALÇADA (RAMPA DE ACESSIBILIDADE E PISO TÁTIL)")</f>
        <v>IMPLANTAR ABRIGO, PINTURA DA BAIA NO ASFALTO, PAVIMENTAÇÃO E ADEQUAÇÃO DA CALÇADA (RAMPA DE ACESSIBILIDADE E PISO TÁTIL)</v>
      </c>
      <c r="R151" s="5" t="str">
        <f>IFERROR(__xludf.DUMMYFUNCTION("""COMPUTED_VALUE"""),"NENHUMA DAS OPÇÕES")</f>
        <v>NENHUMA DAS OPÇÕES</v>
      </c>
      <c r="S151" s="7">
        <f>IFERROR(__xludf.DUMMYFUNCTION("""COMPUTED_VALUE"""),44586.0)</f>
        <v>44586</v>
      </c>
      <c r="T151" s="5"/>
      <c r="U151" s="7">
        <f>IFERROR(__xludf.DUMMYFUNCTION("""COMPUTED_VALUE"""),44586.0)</f>
        <v>44586</v>
      </c>
      <c r="V151" s="9" t="str">
        <f>IFERROR(__xludf.DUMMYFUNCTION("""COMPUTED_VALUE"""),"https://drive.google.com/uc?id=1zjQgkCbALE2AeuKV5e-Rwid1_olLaQSY")</f>
        <v>https://drive.google.com/uc?id=1zjQgkCbALE2AeuKV5e-Rwid1_olLaQSY</v>
      </c>
      <c r="W151" s="5" t="str">
        <f>IFERROR(__xludf.DUMMYFUNCTION("""COMPUTED_VALUE"""),"NÃO")</f>
        <v>NÃO</v>
      </c>
      <c r="X151" s="5" t="str">
        <f>IFERROR(__xludf.DUMMYFUNCTION("""COMPUTED_VALUE"""),"NÃO SE APLICA")</f>
        <v>NÃO SE APLICA</v>
      </c>
    </row>
    <row r="152" hidden="1">
      <c r="A152" s="5">
        <f>IFERROR(__xludf.DUMMYFUNCTION("""COMPUTED_VALUE"""),8.0)</f>
        <v>8</v>
      </c>
      <c r="B152" s="5" t="str">
        <f>IFERROR(__xludf.DUMMYFUNCTION("""COMPUTED_VALUE"""),"IP026")</f>
        <v>IP026</v>
      </c>
      <c r="C152" s="5" t="str">
        <f>IFERROR(__xludf.DUMMYFUNCTION("""COMPUTED_VALUE"""),"NÃO POSSUI")</f>
        <v>NÃO POSSUI</v>
      </c>
      <c r="D152" s="5" t="str">
        <f>IFERROR(__xludf.DUMMYFUNCTION("""COMPUTED_VALUE"""),"FIXADA EM POSTE")</f>
        <v>FIXADA EM POSTE</v>
      </c>
      <c r="E152" s="5" t="str">
        <f>IFERROR(__xludf.DUMMYFUNCTION("""COMPUTED_VALUE"""),"SEM BAIA")</f>
        <v>SEM BAIA</v>
      </c>
      <c r="F152" s="5" t="str">
        <f>IFERROR(__xludf.DUMMYFUNCTION("""COMPUTED_VALUE"""),"NÃO")</f>
        <v>NÃO</v>
      </c>
      <c r="G152" s="5" t="str">
        <f>IFERROR(__xludf.DUMMYFUNCTION("""COMPUTED_VALUE"""),"NÃO")</f>
        <v>NÃO</v>
      </c>
      <c r="H152" s="5" t="str">
        <f>IFERROR(__xludf.DUMMYFUNCTION("""COMPUTED_VALUE"""),"NÃO PAVIMENTADA")</f>
        <v>NÃO PAVIMENTADA</v>
      </c>
      <c r="I152" s="6" t="str">
        <f>IFERROR(__xludf.DUMMYFUNCTION("""COMPUTED_VALUE"""),"-9.512822")</f>
        <v>-9.512822</v>
      </c>
      <c r="J152" s="6" t="str">
        <f>IFERROR(__xludf.DUMMYFUNCTION("""COMPUTED_VALUE"""),"-35.593480")</f>
        <v>-35.593480</v>
      </c>
      <c r="K152" s="5" t="str">
        <f>IFERROR(__xludf.DUMMYFUNCTION("""COMPUTED_VALUE"""),"AV. GEN. LUIZ DE FRANÇA ALBUQUERQUE – RODOVIA AL-101 NORTE, S/N")</f>
        <v>AV. GEN. LUIZ DE FRANÇA ALBUQUERQUE – RODOVIA AL-101 NORTE, S/N</v>
      </c>
      <c r="L152" s="5" t="str">
        <f>IFERROR(__xludf.DUMMYFUNCTION("""COMPUTED_VALUE"""),"RODOVIAS")</f>
        <v>RODOVIAS</v>
      </c>
      <c r="M152" s="5" t="str">
        <f>IFERROR(__xludf.DUMMYFUNCTION("""COMPUTED_VALUE"""),"IPIOCA")</f>
        <v>IPIOCA</v>
      </c>
      <c r="N152" s="5" t="str">
        <f>IFERROR(__xludf.DUMMYFUNCTION("""COMPUTED_VALUE"""),"BAIRRO - CENTRO")</f>
        <v>BAIRRO - CENTRO</v>
      </c>
      <c r="O152" s="5" t="str">
        <f>IFERROR(__xludf.DUMMYFUNCTION("""COMPUTED_VALUE"""),"EM FRENTE A COLÔNIA DE FÉRIAS NAPOLEÃO BARBOSA")</f>
        <v>EM FRENTE A COLÔNIA DE FÉRIAS NAPOLEÃO BARBOSA</v>
      </c>
      <c r="P152" s="5" t="str">
        <f>IFERROR(__xludf.DUMMYFUNCTION("""COMPUTED_VALUE"""),"PRIORIDADE ALTA")</f>
        <v>PRIORIDADE ALTA</v>
      </c>
      <c r="Q152" s="5" t="str">
        <f>IFERROR(__xludf.DUMMYFUNCTION("""COMPUTED_VALUE"""),"IMPLANTAR ABRIGO, PINTURA DA BAIA NO ASFALTO, PAVIMENTAÇÃO E ADEQUAÇÃO DA CALÇADA (RAMPA DE ACESSIBILIDADE E PISO TÁTIL)")</f>
        <v>IMPLANTAR ABRIGO, PINTURA DA BAIA NO ASFALTO, PAVIMENTAÇÃO E ADEQUAÇÃO DA CALÇADA (RAMPA DE ACESSIBILIDADE E PISO TÁTIL)</v>
      </c>
      <c r="R152" s="5" t="str">
        <f>IFERROR(__xludf.DUMMYFUNCTION("""COMPUTED_VALUE"""),"IMPLANTAR ABRIGO")</f>
        <v>IMPLANTAR ABRIGO</v>
      </c>
      <c r="S152" s="7">
        <f>IFERROR(__xludf.DUMMYFUNCTION("""COMPUTED_VALUE"""),44587.0)</f>
        <v>44587</v>
      </c>
      <c r="T152" s="5"/>
      <c r="U152" s="7">
        <f>IFERROR(__xludf.DUMMYFUNCTION("""COMPUTED_VALUE"""),44587.0)</f>
        <v>44587</v>
      </c>
      <c r="V152" s="9" t="str">
        <f>IFERROR(__xludf.DUMMYFUNCTION("""COMPUTED_VALUE"""),"https://drive.google.com/uc?id=1wrpxWmCL0YtpzkWnQkhohJWG1fEX6cCg")</f>
        <v>https://drive.google.com/uc?id=1wrpxWmCL0YtpzkWnQkhohJWG1fEX6cCg</v>
      </c>
      <c r="W152" s="5" t="str">
        <f>IFERROR(__xludf.DUMMYFUNCTION("""COMPUTED_VALUE"""),"NÃO")</f>
        <v>NÃO</v>
      </c>
      <c r="X152" s="5" t="str">
        <f>IFERROR(__xludf.DUMMYFUNCTION("""COMPUTED_VALUE"""),"NÃO SE APLICA")</f>
        <v>NÃO SE APLICA</v>
      </c>
    </row>
    <row r="153" hidden="1">
      <c r="A153" s="5">
        <f>IFERROR(__xludf.DUMMYFUNCTION("""COMPUTED_VALUE"""),8.0)</f>
        <v>8</v>
      </c>
      <c r="B153" s="5" t="str">
        <f>IFERROR(__xludf.DUMMYFUNCTION("""COMPUTED_VALUE"""),"IP027")</f>
        <v>IP027</v>
      </c>
      <c r="C153" s="5" t="str">
        <f>IFERROR(__xludf.DUMMYFUNCTION("""COMPUTED_VALUE"""),"NÃO POSSUI")</f>
        <v>NÃO POSSUI</v>
      </c>
      <c r="D153" s="5" t="str">
        <f>IFERROR(__xludf.DUMMYFUNCTION("""COMPUTED_VALUE"""),"FIXADA EM POSTE")</f>
        <v>FIXADA EM POSTE</v>
      </c>
      <c r="E153" s="5" t="str">
        <f>IFERROR(__xludf.DUMMYFUNCTION("""COMPUTED_VALUE"""),"SEM BAIA")</f>
        <v>SEM BAIA</v>
      </c>
      <c r="F153" s="5" t="str">
        <f>IFERROR(__xludf.DUMMYFUNCTION("""COMPUTED_VALUE"""),"NÃO")</f>
        <v>NÃO</v>
      </c>
      <c r="G153" s="5" t="str">
        <f>IFERROR(__xludf.DUMMYFUNCTION("""COMPUTED_VALUE"""),"NÃO")</f>
        <v>NÃO</v>
      </c>
      <c r="H153" s="5" t="str">
        <f>IFERROR(__xludf.DUMMYFUNCTION("""COMPUTED_VALUE"""),"PAVIMENTADA")</f>
        <v>PAVIMENTADA</v>
      </c>
      <c r="I153" s="6" t="str">
        <f>IFERROR(__xludf.DUMMYFUNCTION("""COMPUTED_VALUE"""),"-9.508450")</f>
        <v>-9.508450</v>
      </c>
      <c r="J153" s="6" t="str">
        <f>IFERROR(__xludf.DUMMYFUNCTION("""COMPUTED_VALUE"""),"-35.591504")</f>
        <v>-35.591504</v>
      </c>
      <c r="K153" s="5" t="str">
        <f>IFERROR(__xludf.DUMMYFUNCTION("""COMPUTED_VALUE"""),"AV. GEN. LUIZ DE FRANÇA ALBUQUERQUE – RODOVIA AL-101 NORTE, 7")</f>
        <v>AV. GEN. LUIZ DE FRANÇA ALBUQUERQUE – RODOVIA AL-101 NORTE, 7</v>
      </c>
      <c r="L153" s="5" t="str">
        <f>IFERROR(__xludf.DUMMYFUNCTION("""COMPUTED_VALUE"""),"RODOVIAS")</f>
        <v>RODOVIAS</v>
      </c>
      <c r="M153" s="5" t="str">
        <f>IFERROR(__xludf.DUMMYFUNCTION("""COMPUTED_VALUE"""),"IPIOCA")</f>
        <v>IPIOCA</v>
      </c>
      <c r="N153" s="5" t="str">
        <f>IFERROR(__xludf.DUMMYFUNCTION("""COMPUTED_VALUE"""),"BAIRRO - CENTRO")</f>
        <v>BAIRRO - CENTRO</v>
      </c>
      <c r="O153" s="5" t="str">
        <f>IFERROR(__xludf.DUMMYFUNCTION("""COMPUTED_VALUE"""),"EM FRENTE AO CLUBE DA BRASKEM")</f>
        <v>EM FRENTE AO CLUBE DA BRASKEM</v>
      </c>
      <c r="P153" s="5" t="str">
        <f>IFERROR(__xludf.DUMMYFUNCTION("""COMPUTED_VALUE"""),"PRIORIDADE ALTA")</f>
        <v>PRIORIDADE ALTA</v>
      </c>
      <c r="Q153" s="5" t="str">
        <f>IFERROR(__xludf.DUMMYFUNCTION("""COMPUTED_VALUE"""),"IMPLANTAR ABRIGO, PINTURA DA BAIA NO ASFALTO, PAVIMENTAÇÃO E ADEQUAÇÃO DA CALÇADA (RAMPA DE ACESSIBILIDADE E PISO TÁTIL)")</f>
        <v>IMPLANTAR ABRIGO, PINTURA DA BAIA NO ASFALTO, PAVIMENTAÇÃO E ADEQUAÇÃO DA CALÇADA (RAMPA DE ACESSIBILIDADE E PISO TÁTIL)</v>
      </c>
      <c r="R153" s="5" t="str">
        <f>IFERROR(__xludf.DUMMYFUNCTION("""COMPUTED_VALUE"""),"IMPLANTAR ABRIGO")</f>
        <v>IMPLANTAR ABRIGO</v>
      </c>
      <c r="S153" s="7">
        <f>IFERROR(__xludf.DUMMYFUNCTION("""COMPUTED_VALUE"""),44588.0)</f>
        <v>44588</v>
      </c>
      <c r="T153" s="5"/>
      <c r="U153" s="7">
        <f>IFERROR(__xludf.DUMMYFUNCTION("""COMPUTED_VALUE"""),44588.0)</f>
        <v>44588</v>
      </c>
      <c r="V153" s="9" t="str">
        <f>IFERROR(__xludf.DUMMYFUNCTION("""COMPUTED_VALUE"""),"https://drive.google.com/uc?id=1DqT6GvFjPwsrCUOzpLJeD_UEyx12tY2A")</f>
        <v>https://drive.google.com/uc?id=1DqT6GvFjPwsrCUOzpLJeD_UEyx12tY2A</v>
      </c>
      <c r="W153" s="5" t="str">
        <f>IFERROR(__xludf.DUMMYFUNCTION("""COMPUTED_VALUE"""),"NÃO")</f>
        <v>NÃO</v>
      </c>
      <c r="X153" s="5" t="str">
        <f>IFERROR(__xludf.DUMMYFUNCTION("""COMPUTED_VALUE"""),"NÃO SE APLICA")</f>
        <v>NÃO SE APLICA</v>
      </c>
    </row>
    <row r="154" hidden="1">
      <c r="A154" s="5">
        <f>IFERROR(__xludf.DUMMYFUNCTION("""COMPUTED_VALUE"""),8.0)</f>
        <v>8</v>
      </c>
      <c r="B154" s="5" t="str">
        <f>IFERROR(__xludf.DUMMYFUNCTION("""COMPUTED_VALUE"""),"IP028")</f>
        <v>IP028</v>
      </c>
      <c r="C154" s="5" t="str">
        <f>IFERROR(__xludf.DUMMYFUNCTION("""COMPUTED_VALUE"""),"NÃO POSSUI")</f>
        <v>NÃO POSSUI</v>
      </c>
      <c r="D154" s="5" t="str">
        <f>IFERROR(__xludf.DUMMYFUNCTION("""COMPUTED_VALUE"""),"FIXADA EM POSTE")</f>
        <v>FIXADA EM POSTE</v>
      </c>
      <c r="E154" s="5" t="str">
        <f>IFERROR(__xludf.DUMMYFUNCTION("""COMPUTED_VALUE"""),"SEM BAIA")</f>
        <v>SEM BAIA</v>
      </c>
      <c r="F154" s="5" t="str">
        <f>IFERROR(__xludf.DUMMYFUNCTION("""COMPUTED_VALUE"""),"NÃO")</f>
        <v>NÃO</v>
      </c>
      <c r="G154" s="5" t="str">
        <f>IFERROR(__xludf.DUMMYFUNCTION("""COMPUTED_VALUE"""),"NÃO")</f>
        <v>NÃO</v>
      </c>
      <c r="H154" s="5" t="str">
        <f>IFERROR(__xludf.DUMMYFUNCTION("""COMPUTED_VALUE"""),"NÃO PAVIMENTADA")</f>
        <v>NÃO PAVIMENTADA</v>
      </c>
      <c r="I154" s="6" t="str">
        <f>IFERROR(__xludf.DUMMYFUNCTION("""COMPUTED_VALUE"""),"-9.507929")</f>
        <v>-9.507929</v>
      </c>
      <c r="J154" s="6" t="str">
        <f>IFERROR(__xludf.DUMMYFUNCTION("""COMPUTED_VALUE"""),"-35.590945")</f>
        <v>-35.590945</v>
      </c>
      <c r="K154" s="5" t="str">
        <f>IFERROR(__xludf.DUMMYFUNCTION("""COMPUTED_VALUE"""),"AV. GEN. LUIZ DE FRANÇA ALBUQUERQUE – RODOVIA AL-101 NORTE, S/N")</f>
        <v>AV. GEN. LUIZ DE FRANÇA ALBUQUERQUE – RODOVIA AL-101 NORTE, S/N</v>
      </c>
      <c r="L154" s="5" t="str">
        <f>IFERROR(__xludf.DUMMYFUNCTION("""COMPUTED_VALUE"""),"RODOVIAS")</f>
        <v>RODOVIAS</v>
      </c>
      <c r="M154" s="5" t="str">
        <f>IFERROR(__xludf.DUMMYFUNCTION("""COMPUTED_VALUE"""),"IPIOCA")</f>
        <v>IPIOCA</v>
      </c>
      <c r="N154" s="5" t="str">
        <f>IFERROR(__xludf.DUMMYFUNCTION("""COMPUTED_VALUE"""),"CENTRO - BAIRRO")</f>
        <v>CENTRO - BAIRRO</v>
      </c>
      <c r="O154" s="5" t="str">
        <f>IFERROR(__xludf.DUMMYFUNCTION("""COMPUTED_VALUE"""),"EM FRENTE A CAPELA SÃO JOSÉ")</f>
        <v>EM FRENTE A CAPELA SÃO JOSÉ</v>
      </c>
      <c r="P154" s="5" t="str">
        <f>IFERROR(__xludf.DUMMYFUNCTION("""COMPUTED_VALUE"""),"PRIORIDADE ALTA")</f>
        <v>PRIORIDADE ALTA</v>
      </c>
      <c r="Q154" s="5" t="str">
        <f>IFERROR(__xludf.DUMMYFUNCTION("""COMPUTED_VALUE"""),"IMPLANTAR ABRIGO, PINTURA DA BAIA NO ASFALTO, PAVIMENTAÇÃO E ADEQUAÇÃO DA CALÇADA (RAMPA DE ACESSIBILIDADE E PISO TÁTIL)")</f>
        <v>IMPLANTAR ABRIGO, PINTURA DA BAIA NO ASFALTO, PAVIMENTAÇÃO E ADEQUAÇÃO DA CALÇADA (RAMPA DE ACESSIBILIDADE E PISO TÁTIL)</v>
      </c>
      <c r="R154" s="5" t="str">
        <f>IFERROR(__xludf.DUMMYFUNCTION("""COMPUTED_VALUE"""),"IMPLANTAR ABRIGO")</f>
        <v>IMPLANTAR ABRIGO</v>
      </c>
      <c r="S154" s="7">
        <f>IFERROR(__xludf.DUMMYFUNCTION("""COMPUTED_VALUE"""),44589.0)</f>
        <v>44589</v>
      </c>
      <c r="T154" s="5"/>
      <c r="U154" s="7">
        <f>IFERROR(__xludf.DUMMYFUNCTION("""COMPUTED_VALUE"""),44589.0)</f>
        <v>44589</v>
      </c>
      <c r="V154" s="9" t="str">
        <f>IFERROR(__xludf.DUMMYFUNCTION("""COMPUTED_VALUE"""),"https://drive.google.com/uc?id=1WsQVPLBIokqljz7WiBSfS4dySGeBtu1q")</f>
        <v>https://drive.google.com/uc?id=1WsQVPLBIokqljz7WiBSfS4dySGeBtu1q</v>
      </c>
      <c r="W154" s="5" t="str">
        <f>IFERROR(__xludf.DUMMYFUNCTION("""COMPUTED_VALUE"""),"NÃO")</f>
        <v>NÃO</v>
      </c>
      <c r="X154" s="5" t="str">
        <f>IFERROR(__xludf.DUMMYFUNCTION("""COMPUTED_VALUE"""),"NÃO SE APLICA")</f>
        <v>NÃO SE APLICA</v>
      </c>
    </row>
    <row r="155" hidden="1">
      <c r="A155" s="5">
        <f>IFERROR(__xludf.DUMMYFUNCTION("""COMPUTED_VALUE"""),8.0)</f>
        <v>8</v>
      </c>
      <c r="B155" s="5" t="str">
        <f>IFERROR(__xludf.DUMMYFUNCTION("""COMPUTED_VALUE"""),"IP029")</f>
        <v>IP029</v>
      </c>
      <c r="C155" s="5" t="str">
        <f>IFERROR(__xludf.DUMMYFUNCTION("""COMPUTED_VALUE"""),"NÃO POSSUI")</f>
        <v>NÃO POSSUI</v>
      </c>
      <c r="D155" s="5" t="str">
        <f>IFERROR(__xludf.DUMMYFUNCTION("""COMPUTED_VALUE"""),"FIXADA EM POSTE")</f>
        <v>FIXADA EM POSTE</v>
      </c>
      <c r="E155" s="5" t="str">
        <f>IFERROR(__xludf.DUMMYFUNCTION("""COMPUTED_VALUE"""),"SEM BAIA")</f>
        <v>SEM BAIA</v>
      </c>
      <c r="F155" s="5" t="str">
        <f>IFERROR(__xludf.DUMMYFUNCTION("""COMPUTED_VALUE"""),"NÃO")</f>
        <v>NÃO</v>
      </c>
      <c r="G155" s="5" t="str">
        <f>IFERROR(__xludf.DUMMYFUNCTION("""COMPUTED_VALUE"""),"NÃO")</f>
        <v>NÃO</v>
      </c>
      <c r="H155" s="5" t="str">
        <f>IFERROR(__xludf.DUMMYFUNCTION("""COMPUTED_VALUE"""),"NÃO PAVIMENTADA")</f>
        <v>NÃO PAVIMENTADA</v>
      </c>
      <c r="I155" s="6" t="str">
        <f>IFERROR(__xludf.DUMMYFUNCTION("""COMPUTED_VALUE"""),"-9.505930")</f>
        <v>-9.505930</v>
      </c>
      <c r="J155" s="6" t="str">
        <f>IFERROR(__xludf.DUMMYFUNCTION("""COMPUTED_VALUE"""),"-35.589436")</f>
        <v>-35.589436</v>
      </c>
      <c r="K155" s="5" t="str">
        <f>IFERROR(__xludf.DUMMYFUNCTION("""COMPUTED_VALUE"""),"AV. GEN. LUIZ DE FRANÇA ALBUQUERQUE – RODOVIA AL-101 NORTE, S/N")</f>
        <v>AV. GEN. LUIZ DE FRANÇA ALBUQUERQUE – RODOVIA AL-101 NORTE, S/N</v>
      </c>
      <c r="L155" s="5" t="str">
        <f>IFERROR(__xludf.DUMMYFUNCTION("""COMPUTED_VALUE"""),"RODOVIAS")</f>
        <v>RODOVIAS</v>
      </c>
      <c r="M155" s="5" t="str">
        <f>IFERROR(__xludf.DUMMYFUNCTION("""COMPUTED_VALUE"""),"IPIOCA")</f>
        <v>IPIOCA</v>
      </c>
      <c r="N155" s="5" t="str">
        <f>IFERROR(__xludf.DUMMYFUNCTION("""COMPUTED_VALUE"""),"CENTRO - BAIRRO")</f>
        <v>CENTRO - BAIRRO</v>
      </c>
      <c r="O155" s="5" t="str">
        <f>IFERROR(__xludf.DUMMYFUNCTION("""COMPUTED_VALUE"""),"NOS SÍTIOS ENTRE O CLUBE DA BRASKEN E HOTEL D’ANATUREZA.")</f>
        <v>NOS SÍTIOS ENTRE O CLUBE DA BRASKEN E HOTEL D’ANATUREZA.</v>
      </c>
      <c r="P155" s="5" t="str">
        <f>IFERROR(__xludf.DUMMYFUNCTION("""COMPUTED_VALUE"""),"PRIORIDADE ALTA")</f>
        <v>PRIORIDADE ALTA</v>
      </c>
      <c r="Q155" s="5" t="str">
        <f>IFERROR(__xludf.DUMMYFUNCTION("""COMPUTED_VALUE"""),"PINTURA DA BAIA NO ASFALTO, PAVIMENTAÇÃO E ADEQUAÇÃO DA CALÇADA (RAMPA DE ACESSIBILIDADE E PISO TÁTIL)")</f>
        <v>PINTURA DA BAIA NO ASFALTO, PAVIMENTAÇÃO E ADEQUAÇÃO DA CALÇADA (RAMPA DE ACESSIBILIDADE E PISO TÁTIL)</v>
      </c>
      <c r="R155" s="5" t="str">
        <f>IFERROR(__xludf.DUMMYFUNCTION("""COMPUTED_VALUE"""),"NENHUMA DAS OPÇÕES")</f>
        <v>NENHUMA DAS OPÇÕES</v>
      </c>
      <c r="S155" s="7">
        <f>IFERROR(__xludf.DUMMYFUNCTION("""COMPUTED_VALUE"""),44590.0)</f>
        <v>44590</v>
      </c>
      <c r="T155" s="5"/>
      <c r="U155" s="7">
        <f>IFERROR(__xludf.DUMMYFUNCTION("""COMPUTED_VALUE"""),44590.0)</f>
        <v>44590</v>
      </c>
      <c r="V155" s="9" t="str">
        <f>IFERROR(__xludf.DUMMYFUNCTION("""COMPUTED_VALUE"""),"https://drive.google.com/uc?id=1_jo7B5A5xKENR37jsqRFxCoC4casIHnZ")</f>
        <v>https://drive.google.com/uc?id=1_jo7B5A5xKENR37jsqRFxCoC4casIHnZ</v>
      </c>
      <c r="W155" s="5" t="str">
        <f>IFERROR(__xludf.DUMMYFUNCTION("""COMPUTED_VALUE"""),"NÃO")</f>
        <v>NÃO</v>
      </c>
      <c r="X155" s="5" t="str">
        <f>IFERROR(__xludf.DUMMYFUNCTION("""COMPUTED_VALUE"""),"NÃO SE APLICA")</f>
        <v>NÃO SE APLICA</v>
      </c>
    </row>
    <row r="156" hidden="1">
      <c r="A156" s="5">
        <f>IFERROR(__xludf.DUMMYFUNCTION("""COMPUTED_VALUE"""),8.0)</f>
        <v>8</v>
      </c>
      <c r="B156" s="5" t="str">
        <f>IFERROR(__xludf.DUMMYFUNCTION("""COMPUTED_VALUE"""),"IP030")</f>
        <v>IP030</v>
      </c>
      <c r="C156" s="5" t="str">
        <f>IFERROR(__xludf.DUMMYFUNCTION("""COMPUTED_VALUE"""),"NÃO POSSUI")</f>
        <v>NÃO POSSUI</v>
      </c>
      <c r="D156" s="5" t="str">
        <f>IFERROR(__xludf.DUMMYFUNCTION("""COMPUTED_VALUE"""),"FIXADA EM POSTE")</f>
        <v>FIXADA EM POSTE</v>
      </c>
      <c r="E156" s="5" t="str">
        <f>IFERROR(__xludf.DUMMYFUNCTION("""COMPUTED_VALUE"""),"SEM BAIA")</f>
        <v>SEM BAIA</v>
      </c>
      <c r="F156" s="5" t="str">
        <f>IFERROR(__xludf.DUMMYFUNCTION("""COMPUTED_VALUE"""),"NÃO")</f>
        <v>NÃO</v>
      </c>
      <c r="G156" s="5" t="str">
        <f>IFERROR(__xludf.DUMMYFUNCTION("""COMPUTED_VALUE"""),"NÃO")</f>
        <v>NÃO</v>
      </c>
      <c r="H156" s="5" t="str">
        <f>IFERROR(__xludf.DUMMYFUNCTION("""COMPUTED_VALUE"""),"NÃO PAVIMENTADA")</f>
        <v>NÃO PAVIMENTADA</v>
      </c>
      <c r="I156" s="6" t="str">
        <f>IFERROR(__xludf.DUMMYFUNCTION("""COMPUTED_VALUE"""),"-9.505809")</f>
        <v>-9.505809</v>
      </c>
      <c r="J156" s="6" t="str">
        <f>IFERROR(__xludf.DUMMYFUNCTION("""COMPUTED_VALUE"""),"-35.589501")</f>
        <v>-35.589501</v>
      </c>
      <c r="K156" s="5" t="str">
        <f>IFERROR(__xludf.DUMMYFUNCTION("""COMPUTED_VALUE"""),"AV. GEN. LUIZ DE FRANÇA ALBUQUERQUE – RODOVIA AL-101 NORTE, 2500")</f>
        <v>AV. GEN. LUIZ DE FRANÇA ALBUQUERQUE – RODOVIA AL-101 NORTE, 2500</v>
      </c>
      <c r="L156" s="5" t="str">
        <f>IFERROR(__xludf.DUMMYFUNCTION("""COMPUTED_VALUE"""),"RODOVIAS")</f>
        <v>RODOVIAS</v>
      </c>
      <c r="M156" s="5" t="str">
        <f>IFERROR(__xludf.DUMMYFUNCTION("""COMPUTED_VALUE"""),"IPIOCA")</f>
        <v>IPIOCA</v>
      </c>
      <c r="N156" s="5" t="str">
        <f>IFERROR(__xludf.DUMMYFUNCTION("""COMPUTED_VALUE"""),"BAIRRO - CENTRO")</f>
        <v>BAIRRO - CENTRO</v>
      </c>
      <c r="O156" s="5" t="str">
        <f>IFERROR(__xludf.DUMMYFUNCTION("""COMPUTED_VALUE"""),"NOS SÍTIOS ENTRE O CLUBE DA BRASKEN E HOTEL D’ANATUREZA.")</f>
        <v>NOS SÍTIOS ENTRE O CLUBE DA BRASKEN E HOTEL D’ANATUREZA.</v>
      </c>
      <c r="P156" s="5" t="str">
        <f>IFERROR(__xludf.DUMMYFUNCTION("""COMPUTED_VALUE"""),"PRIORIDADE ALTA")</f>
        <v>PRIORIDADE ALTA</v>
      </c>
      <c r="Q156" s="5" t="str">
        <f>IFERROR(__xludf.DUMMYFUNCTION("""COMPUTED_VALUE"""),"IMPLANTAR ABRIGO, PINTURA DA BAIA NO ASFALTO, PAVIMENTAÇÃO E ADEQUAÇÃO DA CALÇADA (RAMPA DE ACESSIBILIDADE E PISO TÁTIL)")</f>
        <v>IMPLANTAR ABRIGO, PINTURA DA BAIA NO ASFALTO, PAVIMENTAÇÃO E ADEQUAÇÃO DA CALÇADA (RAMPA DE ACESSIBILIDADE E PISO TÁTIL)</v>
      </c>
      <c r="R156" s="5" t="str">
        <f>IFERROR(__xludf.DUMMYFUNCTION("""COMPUTED_VALUE"""),"IMPLANTAR ABRIGO")</f>
        <v>IMPLANTAR ABRIGO</v>
      </c>
      <c r="S156" s="7">
        <f>IFERROR(__xludf.DUMMYFUNCTION("""COMPUTED_VALUE"""),44591.0)</f>
        <v>44591</v>
      </c>
      <c r="T156" s="5"/>
      <c r="U156" s="7">
        <f>IFERROR(__xludf.DUMMYFUNCTION("""COMPUTED_VALUE"""),44591.0)</f>
        <v>44591</v>
      </c>
      <c r="V156" s="9" t="str">
        <f>IFERROR(__xludf.DUMMYFUNCTION("""COMPUTED_VALUE"""),"https://drive.google.com/uc?id=1uB9EUKVtrzEEXyW_rqIsQxzCWTR9DN2Q")</f>
        <v>https://drive.google.com/uc?id=1uB9EUKVtrzEEXyW_rqIsQxzCWTR9DN2Q</v>
      </c>
      <c r="W156" s="5" t="str">
        <f>IFERROR(__xludf.DUMMYFUNCTION("""COMPUTED_VALUE"""),"NÃO")</f>
        <v>NÃO</v>
      </c>
      <c r="X156" s="5" t="str">
        <f>IFERROR(__xludf.DUMMYFUNCTION("""COMPUTED_VALUE"""),"NÃO SE APLICA")</f>
        <v>NÃO SE APLICA</v>
      </c>
    </row>
    <row r="157" hidden="1">
      <c r="A157" s="5">
        <f>IFERROR(__xludf.DUMMYFUNCTION("""COMPUTED_VALUE"""),8.0)</f>
        <v>8</v>
      </c>
      <c r="B157" s="5" t="str">
        <f>IFERROR(__xludf.DUMMYFUNCTION("""COMPUTED_VALUE"""),"IP031")</f>
        <v>IP031</v>
      </c>
      <c r="C157" s="5" t="str">
        <f>IFERROR(__xludf.DUMMYFUNCTION("""COMPUTED_VALUE"""),"NÃO POSSUI")</f>
        <v>NÃO POSSUI</v>
      </c>
      <c r="D157" s="5" t="str">
        <f>IFERROR(__xludf.DUMMYFUNCTION("""COMPUTED_VALUE"""),"COM SUPORTE")</f>
        <v>COM SUPORTE</v>
      </c>
      <c r="E157" s="5" t="str">
        <f>IFERROR(__xludf.DUMMYFUNCTION("""COMPUTED_VALUE"""),"SEM BAIA")</f>
        <v>SEM BAIA</v>
      </c>
      <c r="F157" s="5" t="str">
        <f>IFERROR(__xludf.DUMMYFUNCTION("""COMPUTED_VALUE"""),"NÃO")</f>
        <v>NÃO</v>
      </c>
      <c r="G157" s="5" t="str">
        <f>IFERROR(__xludf.DUMMYFUNCTION("""COMPUTED_VALUE"""),"NÃO")</f>
        <v>NÃO</v>
      </c>
      <c r="H157" s="5" t="str">
        <f>IFERROR(__xludf.DUMMYFUNCTION("""COMPUTED_VALUE"""),"NÃO PAVIMENTADA")</f>
        <v>NÃO PAVIMENTADA</v>
      </c>
      <c r="I157" s="6" t="str">
        <f>IFERROR(__xludf.DUMMYFUNCTION("""COMPUTED_VALUE"""),"-9.504304")</f>
        <v>-9.504304</v>
      </c>
      <c r="J157" s="6" t="str">
        <f>IFERROR(__xludf.DUMMYFUNCTION("""COMPUTED_VALUE"""),"-35.588291")</f>
        <v>-35.588291</v>
      </c>
      <c r="K157" s="5" t="str">
        <f>IFERROR(__xludf.DUMMYFUNCTION("""COMPUTED_VALUE"""),"AV. GEN. LUIZ DE FRANÇA ALBUQUERQUE – RODOVIA AL-101 NORTE, S/N")</f>
        <v>AV. GEN. LUIZ DE FRANÇA ALBUQUERQUE – RODOVIA AL-101 NORTE, S/N</v>
      </c>
      <c r="L157" s="5" t="str">
        <f>IFERROR(__xludf.DUMMYFUNCTION("""COMPUTED_VALUE"""),"RODOVIAS")</f>
        <v>RODOVIAS</v>
      </c>
      <c r="M157" s="5" t="str">
        <f>IFERROR(__xludf.DUMMYFUNCTION("""COMPUTED_VALUE"""),"IPIOCA")</f>
        <v>IPIOCA</v>
      </c>
      <c r="N157" s="5" t="str">
        <f>IFERROR(__xludf.DUMMYFUNCTION("""COMPUTED_VALUE"""),"CENTRO - BAIRRO")</f>
        <v>CENTRO - BAIRRO</v>
      </c>
      <c r="O157" s="5" t="str">
        <f>IFERROR(__xludf.DUMMYFUNCTION("""COMPUTED_VALUE"""),"EM FRENTE AO HOTEL D’ANATUREZA")</f>
        <v>EM FRENTE AO HOTEL D’ANATUREZA</v>
      </c>
      <c r="P157" s="5" t="str">
        <f>IFERROR(__xludf.DUMMYFUNCTION("""COMPUTED_VALUE"""),"PRIORIDADE ALTA")</f>
        <v>PRIORIDADE ALTA</v>
      </c>
      <c r="Q157" s="5" t="str">
        <f>IFERROR(__xludf.DUMMYFUNCTION("""COMPUTED_VALUE"""),"PINTURA DA BAIA NO ASFALTO, PAVIMENTAÇÃO E ADEQUAÇÃO DA CALÇADA (RAMPA DE ACESSIBILIDADE E PISO TÁTIL)")</f>
        <v>PINTURA DA BAIA NO ASFALTO, PAVIMENTAÇÃO E ADEQUAÇÃO DA CALÇADA (RAMPA DE ACESSIBILIDADE E PISO TÁTIL)</v>
      </c>
      <c r="R157" s="5" t="str">
        <f>IFERROR(__xludf.DUMMYFUNCTION("""COMPUTED_VALUE"""),"IMPLANTAR ABRIGO")</f>
        <v>IMPLANTAR ABRIGO</v>
      </c>
      <c r="S157" s="7">
        <f>IFERROR(__xludf.DUMMYFUNCTION("""COMPUTED_VALUE"""),44592.0)</f>
        <v>44592</v>
      </c>
      <c r="T157" s="5"/>
      <c r="U157" s="7">
        <f>IFERROR(__xludf.DUMMYFUNCTION("""COMPUTED_VALUE"""),44592.0)</f>
        <v>44592</v>
      </c>
      <c r="V157" s="9" t="str">
        <f>IFERROR(__xludf.DUMMYFUNCTION("""COMPUTED_VALUE"""),"https://drive.google.com/uc?id=1vSy-8dbRqYXcOm11GIm2LeVbfUgPMAHi")</f>
        <v>https://drive.google.com/uc?id=1vSy-8dbRqYXcOm11GIm2LeVbfUgPMAHi</v>
      </c>
      <c r="W157" s="5" t="str">
        <f>IFERROR(__xludf.DUMMYFUNCTION("""COMPUTED_VALUE"""),"NÃO")</f>
        <v>NÃO</v>
      </c>
      <c r="X157" s="5" t="str">
        <f>IFERROR(__xludf.DUMMYFUNCTION("""COMPUTED_VALUE"""),"NÃO SE APLICA")</f>
        <v>NÃO SE APLICA</v>
      </c>
    </row>
    <row r="158">
      <c r="A158" s="5">
        <f>IFERROR(__xludf.DUMMYFUNCTION("""COMPUTED_VALUE"""),8.0)</f>
        <v>8</v>
      </c>
      <c r="B158" s="5" t="str">
        <f>IFERROR(__xludf.DUMMYFUNCTION("""COMPUTED_VALUE"""),"IP032")</f>
        <v>IP032</v>
      </c>
      <c r="C158" s="5" t="str">
        <f>IFERROR(__xludf.DUMMYFUNCTION("""COMPUTED_VALUE"""),"ABRIGO CONCRETO")</f>
        <v>ABRIGO CONCRETO</v>
      </c>
      <c r="D158" s="5" t="str">
        <f>IFERROR(__xludf.DUMMYFUNCTION("""COMPUTED_VALUE"""),"SEM PLACA")</f>
        <v>SEM PLACA</v>
      </c>
      <c r="E158" s="5" t="str">
        <f>IFERROR(__xludf.DUMMYFUNCTION("""COMPUTED_VALUE"""),"SEM BAIA")</f>
        <v>SEM BAIA</v>
      </c>
      <c r="F158" s="5" t="str">
        <f>IFERROR(__xludf.DUMMYFUNCTION("""COMPUTED_VALUE"""),"NÃO")</f>
        <v>NÃO</v>
      </c>
      <c r="G158" s="5" t="str">
        <f>IFERROR(__xludf.DUMMYFUNCTION("""COMPUTED_VALUE"""),"NÃO")</f>
        <v>NÃO</v>
      </c>
      <c r="H158" s="5" t="str">
        <f>IFERROR(__xludf.DUMMYFUNCTION("""COMPUTED_VALUE"""),"NÃO PAVIMENTADA")</f>
        <v>NÃO PAVIMENTADA</v>
      </c>
      <c r="I158" s="6" t="str">
        <f>IFERROR(__xludf.DUMMYFUNCTION("""COMPUTED_VALUE"""),"-9.504114")</f>
        <v>-9.504114</v>
      </c>
      <c r="J158" s="6" t="str">
        <f>IFERROR(__xludf.DUMMYFUNCTION("""COMPUTED_VALUE"""),"-35.588302")</f>
        <v>-35.588302</v>
      </c>
      <c r="K158" s="5" t="str">
        <f>IFERROR(__xludf.DUMMYFUNCTION("""COMPUTED_VALUE"""),"AV. GEN. LUIZ DE FRANÇA ALBUQUERQUE – RODOVIA AL-101 NORTE, S/N")</f>
        <v>AV. GEN. LUIZ DE FRANÇA ALBUQUERQUE – RODOVIA AL-101 NORTE, S/N</v>
      </c>
      <c r="L158" s="5" t="str">
        <f>IFERROR(__xludf.DUMMYFUNCTION("""COMPUTED_VALUE"""),"RODOVIAS")</f>
        <v>RODOVIAS</v>
      </c>
      <c r="M158" s="5" t="str">
        <f>IFERROR(__xludf.DUMMYFUNCTION("""COMPUTED_VALUE"""),"IPIOCA")</f>
        <v>IPIOCA</v>
      </c>
      <c r="N158" s="5" t="str">
        <f>IFERROR(__xludf.DUMMYFUNCTION("""COMPUTED_VALUE"""),"BAIRRO - CENTRO")</f>
        <v>BAIRRO - CENTRO</v>
      </c>
      <c r="O158" s="5" t="str">
        <f>IFERROR(__xludf.DUMMYFUNCTION("""COMPUTED_VALUE"""),"EM FRENTE AO HOTEL D’ANATUREZA")</f>
        <v>EM FRENTE AO HOTEL D’ANATUREZA</v>
      </c>
      <c r="P158" s="5" t="str">
        <f>IFERROR(__xludf.DUMMYFUNCTION("""COMPUTED_VALUE"""),"PRIORIDADE ALTA")</f>
        <v>PRIORIDADE ALTA</v>
      </c>
      <c r="Q158" s="5" t="str">
        <f>IFERROR(__xludf.DUMMYFUNCTION("""COMPUTED_VALUE"""),"IMPLANTAR ABRIGO, PINTURA DA BAIA NO ASFALTO, PAVIMENTAÇÃO E ADEQUAÇÃO DA CALÇADA (RAMPA DE ACESSIBILIDADE E PISO TÁTIL)")</f>
        <v>IMPLANTAR ABRIGO, PINTURA DA BAIA NO ASFALTO, PAVIMENTAÇÃO E ADEQUAÇÃO DA CALÇADA (RAMPA DE ACESSIBILIDADE E PISO TÁTIL)</v>
      </c>
      <c r="R158" s="5" t="str">
        <f>IFERROR(__xludf.DUMMYFUNCTION("""COMPUTED_VALUE"""),"NENHUMA DAS OPÇÕES")</f>
        <v>NENHUMA DAS OPÇÕES</v>
      </c>
      <c r="S158" s="7">
        <f>IFERROR(__xludf.DUMMYFUNCTION("""COMPUTED_VALUE"""),44593.0)</f>
        <v>44593</v>
      </c>
      <c r="T158" s="5"/>
      <c r="U158" s="7">
        <f>IFERROR(__xludf.DUMMYFUNCTION("""COMPUTED_VALUE"""),44593.0)</f>
        <v>44593</v>
      </c>
      <c r="V158" s="9" t="str">
        <f>IFERROR(__xludf.DUMMYFUNCTION("""COMPUTED_VALUE"""),"https://drive.google.com/uc?id=12xpSmU-ObM05P1zB9Rn8D4DlMfFVprRb")</f>
        <v>https://drive.google.com/uc?id=12xpSmU-ObM05P1zB9Rn8D4DlMfFVprRb</v>
      </c>
      <c r="W158" s="5" t="str">
        <f>IFERROR(__xludf.DUMMYFUNCTION("""COMPUTED_VALUE"""),"NÃO")</f>
        <v>NÃO</v>
      </c>
      <c r="X158" s="5" t="str">
        <f>IFERROR(__xludf.DUMMYFUNCTION("""COMPUTED_VALUE"""),"NÃO SE APLICA")</f>
        <v>NÃO SE APLICA</v>
      </c>
    </row>
    <row r="159" hidden="1">
      <c r="A159" s="5">
        <f>IFERROR(__xludf.DUMMYFUNCTION("""COMPUTED_VALUE"""),8.0)</f>
        <v>8</v>
      </c>
      <c r="B159" s="5" t="str">
        <f>IFERROR(__xludf.DUMMYFUNCTION("""COMPUTED_VALUE"""),"IP033")</f>
        <v>IP033</v>
      </c>
      <c r="C159" s="5" t="str">
        <f>IFERROR(__xludf.DUMMYFUNCTION("""COMPUTED_VALUE"""),"NÃO POSSUI")</f>
        <v>NÃO POSSUI</v>
      </c>
      <c r="D159" s="5" t="str">
        <f>IFERROR(__xludf.DUMMYFUNCTION("""COMPUTED_VALUE"""),"FIXADA EM POSTE")</f>
        <v>FIXADA EM POSTE</v>
      </c>
      <c r="E159" s="5" t="str">
        <f>IFERROR(__xludf.DUMMYFUNCTION("""COMPUTED_VALUE"""),"SEM BAIA")</f>
        <v>SEM BAIA</v>
      </c>
      <c r="F159" s="5" t="str">
        <f>IFERROR(__xludf.DUMMYFUNCTION("""COMPUTED_VALUE"""),"NÃO")</f>
        <v>NÃO</v>
      </c>
      <c r="G159" s="5" t="str">
        <f>IFERROR(__xludf.DUMMYFUNCTION("""COMPUTED_VALUE"""),"NÃO")</f>
        <v>NÃO</v>
      </c>
      <c r="H159" s="5" t="str">
        <f>IFERROR(__xludf.DUMMYFUNCTION("""COMPUTED_VALUE"""),"NÃO PAVIMENTADA")</f>
        <v>NÃO PAVIMENTADA</v>
      </c>
      <c r="I159" s="6" t="str">
        <f>IFERROR(__xludf.DUMMYFUNCTION("""COMPUTED_VALUE"""),"-9.499317")</f>
        <v>-9.499317</v>
      </c>
      <c r="J159" s="6" t="str">
        <f>IFERROR(__xludf.DUMMYFUNCTION("""COMPUTED_VALUE"""),"-35.585217")</f>
        <v>-35.585217</v>
      </c>
      <c r="K159" s="5" t="str">
        <f>IFERROR(__xludf.DUMMYFUNCTION("""COMPUTED_VALUE"""),"AV. GEN. LUIZ DE FRANÇA ALBUQUERQUE – RODOVIA AL-101 NORTE, S/N")</f>
        <v>AV. GEN. LUIZ DE FRANÇA ALBUQUERQUE – RODOVIA AL-101 NORTE, S/N</v>
      </c>
      <c r="L159" s="5" t="str">
        <f>IFERROR(__xludf.DUMMYFUNCTION("""COMPUTED_VALUE"""),"RODOVIAS")</f>
        <v>RODOVIAS</v>
      </c>
      <c r="M159" s="5" t="str">
        <f>IFERROR(__xludf.DUMMYFUNCTION("""COMPUTED_VALUE"""),"IPIOCA")</f>
        <v>IPIOCA</v>
      </c>
      <c r="N159" s="5" t="str">
        <f>IFERROR(__xludf.DUMMYFUNCTION("""COMPUTED_VALUE"""),"CENTRO - BAIRRO")</f>
        <v>CENTRO - BAIRRO</v>
      </c>
      <c r="O159" s="5" t="str">
        <f>IFERROR(__xludf.DUMMYFUNCTION("""COMPUTED_VALUE"""),"PRÓXIMO A SUBESTAÇÃO DA EQUATORIAL E DO SÍTIO LAGO 2.")</f>
        <v>PRÓXIMO A SUBESTAÇÃO DA EQUATORIAL E DO SÍTIO LAGO 2.</v>
      </c>
      <c r="P159" s="5" t="str">
        <f>IFERROR(__xludf.DUMMYFUNCTION("""COMPUTED_VALUE"""),"PRIORIDADE ALTA")</f>
        <v>PRIORIDADE ALTA</v>
      </c>
      <c r="Q159" s="5" t="str">
        <f>IFERROR(__xludf.DUMMYFUNCTION("""COMPUTED_VALUE"""),"PINTURA DA BAIA NO ASFALTO, PAVIMENTAÇÃO E ADEQUAÇÃO DA CALÇADA (RAMPA DE ACESSIBILIDADE E PISO TÁTIL)")</f>
        <v>PINTURA DA BAIA NO ASFALTO, PAVIMENTAÇÃO E ADEQUAÇÃO DA CALÇADA (RAMPA DE ACESSIBILIDADE E PISO TÁTIL)</v>
      </c>
      <c r="R159" s="5" t="str">
        <f>IFERROR(__xludf.DUMMYFUNCTION("""COMPUTED_VALUE"""),"NENHUMA DAS OPÇÕES")</f>
        <v>NENHUMA DAS OPÇÕES</v>
      </c>
      <c r="S159" s="7">
        <f>IFERROR(__xludf.DUMMYFUNCTION("""COMPUTED_VALUE"""),44594.0)</f>
        <v>44594</v>
      </c>
      <c r="T159" s="5"/>
      <c r="U159" s="7">
        <f>IFERROR(__xludf.DUMMYFUNCTION("""COMPUTED_VALUE"""),44594.0)</f>
        <v>44594</v>
      </c>
      <c r="V159" s="9" t="str">
        <f>IFERROR(__xludf.DUMMYFUNCTION("""COMPUTED_VALUE"""),"https://drive.google.com/uc?id=1rTWWq0eb4MUXr5KS9cmt7S6k0gDk3eWA")</f>
        <v>https://drive.google.com/uc?id=1rTWWq0eb4MUXr5KS9cmt7S6k0gDk3eWA</v>
      </c>
      <c r="W159" s="5" t="str">
        <f>IFERROR(__xludf.DUMMYFUNCTION("""COMPUTED_VALUE"""),"NÃO")</f>
        <v>NÃO</v>
      </c>
      <c r="X159" s="5" t="str">
        <f>IFERROR(__xludf.DUMMYFUNCTION("""COMPUTED_VALUE"""),"NÃO SE APLICA")</f>
        <v>NÃO SE APLICA</v>
      </c>
    </row>
    <row r="160" hidden="1">
      <c r="A160" s="5">
        <f>IFERROR(__xludf.DUMMYFUNCTION("""COMPUTED_VALUE"""),8.0)</f>
        <v>8</v>
      </c>
      <c r="B160" s="5" t="str">
        <f>IFERROR(__xludf.DUMMYFUNCTION("""COMPUTED_VALUE"""),"IP034")</f>
        <v>IP034</v>
      </c>
      <c r="C160" s="5" t="str">
        <f>IFERROR(__xludf.DUMMYFUNCTION("""COMPUTED_VALUE"""),"NÃO POSSUI")</f>
        <v>NÃO POSSUI</v>
      </c>
      <c r="D160" s="5" t="str">
        <f>IFERROR(__xludf.DUMMYFUNCTION("""COMPUTED_VALUE"""),"FIXADA EM POSTE")</f>
        <v>FIXADA EM POSTE</v>
      </c>
      <c r="E160" s="5" t="str">
        <f>IFERROR(__xludf.DUMMYFUNCTION("""COMPUTED_VALUE"""),"SEM BAIA")</f>
        <v>SEM BAIA</v>
      </c>
      <c r="F160" s="5" t="str">
        <f>IFERROR(__xludf.DUMMYFUNCTION("""COMPUTED_VALUE"""),"NÃO")</f>
        <v>NÃO</v>
      </c>
      <c r="G160" s="5" t="str">
        <f>IFERROR(__xludf.DUMMYFUNCTION("""COMPUTED_VALUE"""),"NÃO")</f>
        <v>NÃO</v>
      </c>
      <c r="H160" s="5" t="str">
        <f>IFERROR(__xludf.DUMMYFUNCTION("""COMPUTED_VALUE"""),"NÃO PAVIMENTADA")</f>
        <v>NÃO PAVIMENTADA</v>
      </c>
      <c r="I160" s="6" t="str">
        <f>IFERROR(__xludf.DUMMYFUNCTION("""COMPUTED_VALUE"""),"-9.498788")</f>
        <v>-9.498788</v>
      </c>
      <c r="J160" s="6" t="str">
        <f>IFERROR(__xludf.DUMMYFUNCTION("""COMPUTED_VALUE"""),"-35.584966")</f>
        <v>-35.584966</v>
      </c>
      <c r="K160" s="5" t="str">
        <f>IFERROR(__xludf.DUMMYFUNCTION("""COMPUTED_VALUE"""),"AV. GEN. LUIZ DE FRANÇA ALBUQUERQUE – RODOVIA AL-101 NORTE, S/N")</f>
        <v>AV. GEN. LUIZ DE FRANÇA ALBUQUERQUE – RODOVIA AL-101 NORTE, S/N</v>
      </c>
      <c r="L160" s="5" t="str">
        <f>IFERROR(__xludf.DUMMYFUNCTION("""COMPUTED_VALUE"""),"RODOVIAS")</f>
        <v>RODOVIAS</v>
      </c>
      <c r="M160" s="5" t="str">
        <f>IFERROR(__xludf.DUMMYFUNCTION("""COMPUTED_VALUE"""),"IPIOCA")</f>
        <v>IPIOCA</v>
      </c>
      <c r="N160" s="5" t="str">
        <f>IFERROR(__xludf.DUMMYFUNCTION("""COMPUTED_VALUE"""),"BAIRRO - CENTRO")</f>
        <v>BAIRRO - CENTRO</v>
      </c>
      <c r="O160" s="5" t="str">
        <f>IFERROR(__xludf.DUMMYFUNCTION("""COMPUTED_VALUE"""),"EM FRENTE A SUBESTAÇÃO DA EQUATORIAL")</f>
        <v>EM FRENTE A SUBESTAÇÃO DA EQUATORIAL</v>
      </c>
      <c r="P160" s="5" t="str">
        <f>IFERROR(__xludf.DUMMYFUNCTION("""COMPUTED_VALUE"""),"PRIORIDADE ALTA")</f>
        <v>PRIORIDADE ALTA</v>
      </c>
      <c r="Q160" s="5" t="str">
        <f>IFERROR(__xludf.DUMMYFUNCTION("""COMPUTED_VALUE"""),"IMPLANTAR ABRIGO, PINTURA DA BAIA NO ASFALTO, PAVIMENTAÇÃO E ADEQUAÇÃO DA CALÇADA (RAMPA DE ACESSIBILIDADE E PISO TÁTIL)")</f>
        <v>IMPLANTAR ABRIGO, PINTURA DA BAIA NO ASFALTO, PAVIMENTAÇÃO E ADEQUAÇÃO DA CALÇADA (RAMPA DE ACESSIBILIDADE E PISO TÁTIL)</v>
      </c>
      <c r="R160" s="5" t="str">
        <f>IFERROR(__xludf.DUMMYFUNCTION("""COMPUTED_VALUE"""),"IMPLANTAR ABRIGO")</f>
        <v>IMPLANTAR ABRIGO</v>
      </c>
      <c r="S160" s="7">
        <f>IFERROR(__xludf.DUMMYFUNCTION("""COMPUTED_VALUE"""),44595.0)</f>
        <v>44595</v>
      </c>
      <c r="T160" s="5"/>
      <c r="U160" s="7">
        <f>IFERROR(__xludf.DUMMYFUNCTION("""COMPUTED_VALUE"""),44595.0)</f>
        <v>44595</v>
      </c>
      <c r="V160" s="9" t="str">
        <f>IFERROR(__xludf.DUMMYFUNCTION("""COMPUTED_VALUE"""),"https://drive.google.com/uc?id=1ZEoXy5MNfJcsE91hI4kBbx6t-OBC70dV")</f>
        <v>https://drive.google.com/uc?id=1ZEoXy5MNfJcsE91hI4kBbx6t-OBC70dV</v>
      </c>
      <c r="W160" s="5" t="str">
        <f>IFERROR(__xludf.DUMMYFUNCTION("""COMPUTED_VALUE"""),"NÃO")</f>
        <v>NÃO</v>
      </c>
      <c r="X160" s="5" t="str">
        <f>IFERROR(__xludf.DUMMYFUNCTION("""COMPUTED_VALUE"""),"NÃO SE APLICA")</f>
        <v>NÃO SE APLICA</v>
      </c>
    </row>
    <row r="161">
      <c r="A161" s="5">
        <f>IFERROR(__xludf.DUMMYFUNCTION("""COMPUTED_VALUE"""),8.0)</f>
        <v>8</v>
      </c>
      <c r="B161" s="5" t="str">
        <f>IFERROR(__xludf.DUMMYFUNCTION("""COMPUTED_VALUE"""),"IP035")</f>
        <v>IP035</v>
      </c>
      <c r="C161" s="5" t="str">
        <f>IFERROR(__xludf.DUMMYFUNCTION("""COMPUTED_VALUE"""),"ABRIGO MADEIRA PERSONALIZADO")</f>
        <v>ABRIGO MADEIRA PERSONALIZADO</v>
      </c>
      <c r="D161" s="5" t="str">
        <f>IFERROR(__xludf.DUMMYFUNCTION("""COMPUTED_VALUE"""),"FIXADA EM POSTE")</f>
        <v>FIXADA EM POSTE</v>
      </c>
      <c r="E161" s="5" t="str">
        <f>IFERROR(__xludf.DUMMYFUNCTION("""COMPUTED_VALUE"""),"SEM BAIA")</f>
        <v>SEM BAIA</v>
      </c>
      <c r="F161" s="5" t="str">
        <f>IFERROR(__xludf.DUMMYFUNCTION("""COMPUTED_VALUE"""),"SIM")</f>
        <v>SIM</v>
      </c>
      <c r="G161" s="5" t="str">
        <f>IFERROR(__xludf.DUMMYFUNCTION("""COMPUTED_VALUE"""),"NÃO")</f>
        <v>NÃO</v>
      </c>
      <c r="H161" s="5" t="str">
        <f>IFERROR(__xludf.DUMMYFUNCTION("""COMPUTED_VALUE"""),"NÃO PAVIMENTADA")</f>
        <v>NÃO PAVIMENTADA</v>
      </c>
      <c r="I161" s="6" t="str">
        <f>IFERROR(__xludf.DUMMYFUNCTION("""COMPUTED_VALUE"""),"-9.494701")</f>
        <v>-9.494701</v>
      </c>
      <c r="J161" s="6" t="str">
        <f>IFERROR(__xludf.DUMMYFUNCTION("""COMPUTED_VALUE"""),"-35.581313")</f>
        <v>-35.581313</v>
      </c>
      <c r="K161" s="5" t="str">
        <f>IFERROR(__xludf.DUMMYFUNCTION("""COMPUTED_VALUE"""),"AV. GEN. LUIZ DE FRANÇA ALBUQUERQUE – RODOVIA AL-101 NORTE, S/N")</f>
        <v>AV. GEN. LUIZ DE FRANÇA ALBUQUERQUE – RODOVIA AL-101 NORTE, S/N</v>
      </c>
      <c r="L161" s="5" t="str">
        <f>IFERROR(__xludf.DUMMYFUNCTION("""COMPUTED_VALUE"""),"RODOVIAS")</f>
        <v>RODOVIAS</v>
      </c>
      <c r="M161" s="5" t="str">
        <f>IFERROR(__xludf.DUMMYFUNCTION("""COMPUTED_VALUE"""),"IPIOCA")</f>
        <v>IPIOCA</v>
      </c>
      <c r="N161" s="5" t="str">
        <f>IFERROR(__xludf.DUMMYFUNCTION("""COMPUTED_VALUE"""),"CENTRO - BAIRRO")</f>
        <v>CENTRO - BAIRRO</v>
      </c>
      <c r="O161" s="5" t="str">
        <f>IFERROR(__xludf.DUMMYFUNCTION("""COMPUTED_VALUE"""),"EM FRENTE AO HIBISCUS BEACH CLUB")</f>
        <v>EM FRENTE AO HIBISCUS BEACH CLUB</v>
      </c>
      <c r="P161" s="5" t="str">
        <f>IFERROR(__xludf.DUMMYFUNCTION("""COMPUTED_VALUE"""),"PRIORIDADE MÉDIA")</f>
        <v>PRIORIDADE MÉDIA</v>
      </c>
      <c r="Q161" s="5" t="str">
        <f>IFERROR(__xludf.DUMMYFUNCTION("""COMPUTED_VALUE"""),"PINTURA DO ABRIGO, PINTURA DA BAIA NO ASFALTO, ADEQUAÇÃO DA CALÇADA (PISO TÁTIL)")</f>
        <v>PINTURA DO ABRIGO, PINTURA DA BAIA NO ASFALTO, ADEQUAÇÃO DA CALÇADA (PISO TÁTIL)</v>
      </c>
      <c r="R161" s="5" t="str">
        <f>IFERROR(__xludf.DUMMYFUNCTION("""COMPUTED_VALUE"""),"NENHUMA DAS OPÇÕES")</f>
        <v>NENHUMA DAS OPÇÕES</v>
      </c>
      <c r="S161" s="7">
        <f>IFERROR(__xludf.DUMMYFUNCTION("""COMPUTED_VALUE"""),44596.0)</f>
        <v>44596</v>
      </c>
      <c r="T161" s="5"/>
      <c r="U161" s="7">
        <f>IFERROR(__xludf.DUMMYFUNCTION("""COMPUTED_VALUE"""),44596.0)</f>
        <v>44596</v>
      </c>
      <c r="V161" s="9" t="str">
        <f>IFERROR(__xludf.DUMMYFUNCTION("""COMPUTED_VALUE"""),"https://drive.google.com/uc?id=1-beo2ii8iEjHaseZUIYdl6Nf-H02S9Nr")</f>
        <v>https://drive.google.com/uc?id=1-beo2ii8iEjHaseZUIYdl6Nf-H02S9Nr</v>
      </c>
      <c r="W161" s="5" t="str">
        <f>IFERROR(__xludf.DUMMYFUNCTION("""COMPUTED_VALUE"""),"NÃO")</f>
        <v>NÃO</v>
      </c>
      <c r="X161" s="5" t="str">
        <f>IFERROR(__xludf.DUMMYFUNCTION("""COMPUTED_VALUE"""),"NÃO SE APLICA")</f>
        <v>NÃO SE APLICA</v>
      </c>
    </row>
    <row r="162">
      <c r="A162" s="5">
        <f>IFERROR(__xludf.DUMMYFUNCTION("""COMPUTED_VALUE"""),8.0)</f>
        <v>8</v>
      </c>
      <c r="B162" s="5" t="str">
        <f>IFERROR(__xludf.DUMMYFUNCTION("""COMPUTED_VALUE"""),"IP036")</f>
        <v>IP036</v>
      </c>
      <c r="C162" s="5" t="str">
        <f>IFERROR(__xludf.DUMMYFUNCTION("""COMPUTED_VALUE"""),"ABRIGO MADEIRA PERSONALIZADO")</f>
        <v>ABRIGO MADEIRA PERSONALIZADO</v>
      </c>
      <c r="D162" s="5" t="str">
        <f>IFERROR(__xludf.DUMMYFUNCTION("""COMPUTED_VALUE"""),"FIXADA EM POSTE")</f>
        <v>FIXADA EM POSTE</v>
      </c>
      <c r="E162" s="5" t="str">
        <f>IFERROR(__xludf.DUMMYFUNCTION("""COMPUTED_VALUE"""),"SEM BAIA")</f>
        <v>SEM BAIA</v>
      </c>
      <c r="F162" s="5" t="str">
        <f>IFERROR(__xludf.DUMMYFUNCTION("""COMPUTED_VALUE"""),"NÃO")</f>
        <v>NÃO</v>
      </c>
      <c r="G162" s="5" t="str">
        <f>IFERROR(__xludf.DUMMYFUNCTION("""COMPUTED_VALUE"""),"NÃO")</f>
        <v>NÃO</v>
      </c>
      <c r="H162" s="5" t="str">
        <f>IFERROR(__xludf.DUMMYFUNCTION("""COMPUTED_VALUE"""),"NÃO PAVIMENTADA")</f>
        <v>NÃO PAVIMENTADA</v>
      </c>
      <c r="I162" s="6" t="str">
        <f>IFERROR(__xludf.DUMMYFUNCTION("""COMPUTED_VALUE"""),"-9.494680")</f>
        <v>-9.494680</v>
      </c>
      <c r="J162" s="6" t="str">
        <f>IFERROR(__xludf.DUMMYFUNCTION("""COMPUTED_VALUE"""),"-35.581488")</f>
        <v>-35.581488</v>
      </c>
      <c r="K162" s="5" t="str">
        <f>IFERROR(__xludf.DUMMYFUNCTION("""COMPUTED_VALUE"""),"AV. GEN. LUIZ DE FRANÇA ALBUQUERQUE – RODOVIA AL-101 NORTE, S/N")</f>
        <v>AV. GEN. LUIZ DE FRANÇA ALBUQUERQUE – RODOVIA AL-101 NORTE, S/N</v>
      </c>
      <c r="L162" s="5" t="str">
        <f>IFERROR(__xludf.DUMMYFUNCTION("""COMPUTED_VALUE"""),"RODOVIAS")</f>
        <v>RODOVIAS</v>
      </c>
      <c r="M162" s="5" t="str">
        <f>IFERROR(__xludf.DUMMYFUNCTION("""COMPUTED_VALUE"""),"IPIOCA")</f>
        <v>IPIOCA</v>
      </c>
      <c r="N162" s="5" t="str">
        <f>IFERROR(__xludf.DUMMYFUNCTION("""COMPUTED_VALUE"""),"BAIRRO - CENTRO")</f>
        <v>BAIRRO - CENTRO</v>
      </c>
      <c r="O162" s="5" t="str">
        <f>IFERROR(__xludf.DUMMYFUNCTION("""COMPUTED_VALUE"""),"EM FRENTE AO HIBISCUS BEACH CLUB")</f>
        <v>EM FRENTE AO HIBISCUS BEACH CLUB</v>
      </c>
      <c r="P162" s="5" t="str">
        <f>IFERROR(__xludf.DUMMYFUNCTION("""COMPUTED_VALUE"""),"PRIORIDADE ALTA")</f>
        <v>PRIORIDADE ALTA</v>
      </c>
      <c r="Q162" s="5" t="str">
        <f>IFERROR(__xludf.DUMMYFUNCTION("""COMPUTED_VALUE"""),"PINTURA DO ABRIGO, PINTURA DA BAIA NO ASFALTO, AUMENTAR A PAVIMENTAÇÃO DA CALÇADA, ADEQUAÇÃO DA CALÇADA (RAMPA DE ACESSIBILIDADE E PISO TÁTIL)")</f>
        <v>PINTURA DO ABRIGO, PINTURA DA BAIA NO ASFALTO, AUMENTAR A PAVIMENTAÇÃO DA CALÇADA, ADEQUAÇÃO DA CALÇADA (RAMPA DE ACESSIBILIDADE E PISO TÁTIL)</v>
      </c>
      <c r="R162" s="5" t="str">
        <f>IFERROR(__xludf.DUMMYFUNCTION("""COMPUTED_VALUE"""),"NENHUMA DAS OPÇÕES")</f>
        <v>NENHUMA DAS OPÇÕES</v>
      </c>
      <c r="S162" s="7">
        <f>IFERROR(__xludf.DUMMYFUNCTION("""COMPUTED_VALUE"""),44597.0)</f>
        <v>44597</v>
      </c>
      <c r="T162" s="5"/>
      <c r="U162" s="7">
        <f>IFERROR(__xludf.DUMMYFUNCTION("""COMPUTED_VALUE"""),44597.0)</f>
        <v>44597</v>
      </c>
      <c r="V162" s="9" t="str">
        <f>IFERROR(__xludf.DUMMYFUNCTION("""COMPUTED_VALUE"""),"https://drive.google.com/uc?id=1V5puDs0NSrFXfb3jPur5-YjafHHtaetu")</f>
        <v>https://drive.google.com/uc?id=1V5puDs0NSrFXfb3jPur5-YjafHHtaetu</v>
      </c>
      <c r="W162" s="5" t="str">
        <f>IFERROR(__xludf.DUMMYFUNCTION("""COMPUTED_VALUE"""),"NÃO")</f>
        <v>NÃO</v>
      </c>
      <c r="X162" s="5" t="str">
        <f>IFERROR(__xludf.DUMMYFUNCTION("""COMPUTED_VALUE"""),"SIM")</f>
        <v>SIM</v>
      </c>
    </row>
    <row r="163" hidden="1">
      <c r="A163" s="5">
        <f>IFERROR(__xludf.DUMMYFUNCTION("""COMPUTED_VALUE"""),8.0)</f>
        <v>8</v>
      </c>
      <c r="B163" s="5" t="str">
        <f>IFERROR(__xludf.DUMMYFUNCTION("""COMPUTED_VALUE"""),"IP037")</f>
        <v>IP037</v>
      </c>
      <c r="C163" s="5" t="str">
        <f>IFERROR(__xludf.DUMMYFUNCTION("""COMPUTED_VALUE"""),"NÃO POSSUI")</f>
        <v>NÃO POSSUI</v>
      </c>
      <c r="D163" s="5" t="str">
        <f>IFERROR(__xludf.DUMMYFUNCTION("""COMPUTED_VALUE"""),"FIXADA EM POSTE")</f>
        <v>FIXADA EM POSTE</v>
      </c>
      <c r="E163" s="5" t="str">
        <f>IFERROR(__xludf.DUMMYFUNCTION("""COMPUTED_VALUE"""),"SEM BAIA")</f>
        <v>SEM BAIA</v>
      </c>
      <c r="F163" s="5" t="str">
        <f>IFERROR(__xludf.DUMMYFUNCTION("""COMPUTED_VALUE"""),"NÃO")</f>
        <v>NÃO</v>
      </c>
      <c r="G163" s="5" t="str">
        <f>IFERROR(__xludf.DUMMYFUNCTION("""COMPUTED_VALUE"""),"NÃO")</f>
        <v>NÃO</v>
      </c>
      <c r="H163" s="5" t="str">
        <f>IFERROR(__xludf.DUMMYFUNCTION("""COMPUTED_VALUE"""),"NÃO PAVIMENTADA")</f>
        <v>NÃO PAVIMENTADA</v>
      </c>
      <c r="I163" s="6" t="str">
        <f>IFERROR(__xludf.DUMMYFUNCTION("""COMPUTED_VALUE"""),"-9.492915")</f>
        <v>-9.492915</v>
      </c>
      <c r="J163" s="6" t="str">
        <f>IFERROR(__xludf.DUMMYFUNCTION("""COMPUTED_VALUE"""),"-35.579615")</f>
        <v>-35.579615</v>
      </c>
      <c r="K163" s="5" t="str">
        <f>IFERROR(__xludf.DUMMYFUNCTION("""COMPUTED_VALUE"""),"AV. GEN. LUIZ DE FRANÇA ALBUQUERQUE – RODOVIA AL-101 NORTE, S/N")</f>
        <v>AV. GEN. LUIZ DE FRANÇA ALBUQUERQUE – RODOVIA AL-101 NORTE, S/N</v>
      </c>
      <c r="L163" s="5" t="str">
        <f>IFERROR(__xludf.DUMMYFUNCTION("""COMPUTED_VALUE"""),"RODOVIAS")</f>
        <v>RODOVIAS</v>
      </c>
      <c r="M163" s="5" t="str">
        <f>IFERROR(__xludf.DUMMYFUNCTION("""COMPUTED_VALUE"""),"IPIOCA")</f>
        <v>IPIOCA</v>
      </c>
      <c r="N163" s="5" t="str">
        <f>IFERROR(__xludf.DUMMYFUNCTION("""COMPUTED_VALUE"""),"BAIRRO - CENTRO")</f>
        <v>BAIRRO - CENTRO</v>
      </c>
      <c r="O163" s="5" t="str">
        <f>IFERROR(__xludf.DUMMYFUNCTION("""COMPUTED_VALUE"""),"PRÓXIMO AO SÍTIO SANTO ANTÔNIO")</f>
        <v>PRÓXIMO AO SÍTIO SANTO ANTÔNIO</v>
      </c>
      <c r="P163" s="5" t="str">
        <f>IFERROR(__xludf.DUMMYFUNCTION("""COMPUTED_VALUE"""),"PRIORIDADE ALTA")</f>
        <v>PRIORIDADE ALTA</v>
      </c>
      <c r="Q163" s="5" t="str">
        <f>IFERROR(__xludf.DUMMYFUNCTION("""COMPUTED_VALUE"""),"IMPLANTAR ABRIGO, PINTURA DA BAIA NO ASFALTO, PAVIMENTAÇÃO E ADEQUAÇÃO DA CALÇADA (RAMPA DE ACESSIBILIDADE E PISO TÁTIL), LIMPEZA DA VEGETAÇÃO")</f>
        <v>IMPLANTAR ABRIGO, PINTURA DA BAIA NO ASFALTO, PAVIMENTAÇÃO E ADEQUAÇÃO DA CALÇADA (RAMPA DE ACESSIBILIDADE E PISO TÁTIL), LIMPEZA DA VEGETAÇÃO</v>
      </c>
      <c r="R163" s="5" t="str">
        <f>IFERROR(__xludf.DUMMYFUNCTION("""COMPUTED_VALUE"""),"IMPLANTAR ABRIGO")</f>
        <v>IMPLANTAR ABRIGO</v>
      </c>
      <c r="S163" s="7">
        <f>IFERROR(__xludf.DUMMYFUNCTION("""COMPUTED_VALUE"""),44598.0)</f>
        <v>44598</v>
      </c>
      <c r="T163" s="5"/>
      <c r="U163" s="7">
        <f>IFERROR(__xludf.DUMMYFUNCTION("""COMPUTED_VALUE"""),44598.0)</f>
        <v>44598</v>
      </c>
      <c r="V163" s="9" t="str">
        <f>IFERROR(__xludf.DUMMYFUNCTION("""COMPUTED_VALUE"""),"https://drive.google.com/uc?id=1PABLkGpSrOu5ThPMdhsQWlGQ2W5yeTIZ")</f>
        <v>https://drive.google.com/uc?id=1PABLkGpSrOu5ThPMdhsQWlGQ2W5yeTIZ</v>
      </c>
      <c r="W163" s="5" t="str">
        <f>IFERROR(__xludf.DUMMYFUNCTION("""COMPUTED_VALUE"""),"NÃO")</f>
        <v>NÃO</v>
      </c>
      <c r="X163" s="5" t="str">
        <f>IFERROR(__xludf.DUMMYFUNCTION("""COMPUTED_VALUE"""),"NÃO SE APLICA")</f>
        <v>NÃO SE APLICA</v>
      </c>
    </row>
    <row r="164" hidden="1">
      <c r="A164" s="5">
        <f>IFERROR(__xludf.DUMMYFUNCTION("""COMPUTED_VALUE"""),8.0)</f>
        <v>8</v>
      </c>
      <c r="B164" s="5" t="str">
        <f>IFERROR(__xludf.DUMMYFUNCTION("""COMPUTED_VALUE"""),"IP038")</f>
        <v>IP038</v>
      </c>
      <c r="C164" s="5" t="str">
        <f>IFERROR(__xludf.DUMMYFUNCTION("""COMPUTED_VALUE"""),"NÃO POSSUI")</f>
        <v>NÃO POSSUI</v>
      </c>
      <c r="D164" s="5" t="str">
        <f>IFERROR(__xludf.DUMMYFUNCTION("""COMPUTED_VALUE"""),"COM SUPORTE")</f>
        <v>COM SUPORTE</v>
      </c>
      <c r="E164" s="5" t="str">
        <f>IFERROR(__xludf.DUMMYFUNCTION("""COMPUTED_VALUE"""),"SEM BAIA")</f>
        <v>SEM BAIA</v>
      </c>
      <c r="F164" s="5" t="str">
        <f>IFERROR(__xludf.DUMMYFUNCTION("""COMPUTED_VALUE"""),"NÃO")</f>
        <v>NÃO</v>
      </c>
      <c r="G164" s="5" t="str">
        <f>IFERROR(__xludf.DUMMYFUNCTION("""COMPUTED_VALUE"""),"NÃO")</f>
        <v>NÃO</v>
      </c>
      <c r="H164" s="5" t="str">
        <f>IFERROR(__xludf.DUMMYFUNCTION("""COMPUTED_VALUE"""),"NÃO PAVIMENTADA")</f>
        <v>NÃO PAVIMENTADA</v>
      </c>
      <c r="I164" s="6" t="str">
        <f>IFERROR(__xludf.DUMMYFUNCTION("""COMPUTED_VALUE"""),"-9.493113")</f>
        <v>-9.493113</v>
      </c>
      <c r="J164" s="6" t="str">
        <f>IFERROR(__xludf.DUMMYFUNCTION("""COMPUTED_VALUE"""),"-35.579703")</f>
        <v>-35.579703</v>
      </c>
      <c r="K164" s="5" t="str">
        <f>IFERROR(__xludf.DUMMYFUNCTION("""COMPUTED_VALUE"""),"AV. GEN. LUIZ DE FRANÇA ALBUQUERQUE – RODOVIA AL-101 NORTE, S/N")</f>
        <v>AV. GEN. LUIZ DE FRANÇA ALBUQUERQUE – RODOVIA AL-101 NORTE, S/N</v>
      </c>
      <c r="L164" s="5" t="str">
        <f>IFERROR(__xludf.DUMMYFUNCTION("""COMPUTED_VALUE"""),"RODOVIAS")</f>
        <v>RODOVIAS</v>
      </c>
      <c r="M164" s="5" t="str">
        <f>IFERROR(__xludf.DUMMYFUNCTION("""COMPUTED_VALUE"""),"IPIOCA")</f>
        <v>IPIOCA</v>
      </c>
      <c r="N164" s="5" t="str">
        <f>IFERROR(__xludf.DUMMYFUNCTION("""COMPUTED_VALUE"""),"CENTRO - BAIRRO")</f>
        <v>CENTRO - BAIRRO</v>
      </c>
      <c r="O164" s="5" t="str">
        <f>IFERROR(__xludf.DUMMYFUNCTION("""COMPUTED_VALUE"""),"PRÓXIMO AO SÍTIO SANTO ANTÔNIO")</f>
        <v>PRÓXIMO AO SÍTIO SANTO ANTÔNIO</v>
      </c>
      <c r="P164" s="5" t="str">
        <f>IFERROR(__xludf.DUMMYFUNCTION("""COMPUTED_VALUE"""),"PRIORIDADE ALTA")</f>
        <v>PRIORIDADE ALTA</v>
      </c>
      <c r="Q164" s="5" t="str">
        <f>IFERROR(__xludf.DUMMYFUNCTION("""COMPUTED_VALUE"""),"PINTURA DA BAIA NO ASFALTO, PAVIMENTAÇÃO E ADEQUAÇÃO DA CALÇADA (RAMPA DE ACESSIBILIDADE E PISO TÁTIL), LIMPEZA DA VEGETAÇÃO")</f>
        <v>PINTURA DA BAIA NO ASFALTO, PAVIMENTAÇÃO E ADEQUAÇÃO DA CALÇADA (RAMPA DE ACESSIBILIDADE E PISO TÁTIL), LIMPEZA DA VEGETAÇÃO</v>
      </c>
      <c r="R164" s="5" t="str">
        <f>IFERROR(__xludf.DUMMYFUNCTION("""COMPUTED_VALUE"""),"NENHUMA DAS OPÇÕES")</f>
        <v>NENHUMA DAS OPÇÕES</v>
      </c>
      <c r="S164" s="7">
        <f>IFERROR(__xludf.DUMMYFUNCTION("""COMPUTED_VALUE"""),44599.0)</f>
        <v>44599</v>
      </c>
      <c r="T164" s="5"/>
      <c r="U164" s="7">
        <f>IFERROR(__xludf.DUMMYFUNCTION("""COMPUTED_VALUE"""),44599.0)</f>
        <v>44599</v>
      </c>
      <c r="V164" s="9" t="str">
        <f>IFERROR(__xludf.DUMMYFUNCTION("""COMPUTED_VALUE"""),"https://drive.google.com/uc?id=1WxFoH1Ufqvf8F4yduFzwTEswqI-yn-rw")</f>
        <v>https://drive.google.com/uc?id=1WxFoH1Ufqvf8F4yduFzwTEswqI-yn-rw</v>
      </c>
      <c r="W164" s="5" t="str">
        <f>IFERROR(__xludf.DUMMYFUNCTION("""COMPUTED_VALUE"""),"NÃO")</f>
        <v>NÃO</v>
      </c>
      <c r="X164" s="5" t="str">
        <f>IFERROR(__xludf.DUMMYFUNCTION("""COMPUTED_VALUE"""),"NÃO SE APLICA")</f>
        <v>NÃO SE APLICA</v>
      </c>
    </row>
    <row r="165" hidden="1">
      <c r="A165" s="5">
        <f>IFERROR(__xludf.DUMMYFUNCTION("""COMPUTED_VALUE"""),8.0)</f>
        <v>8</v>
      </c>
      <c r="B165" s="5" t="str">
        <f>IFERROR(__xludf.DUMMYFUNCTION("""COMPUTED_VALUE"""),"IP039")</f>
        <v>IP039</v>
      </c>
      <c r="C165" s="5" t="str">
        <f>IFERROR(__xludf.DUMMYFUNCTION("""COMPUTED_VALUE"""),"NÃO POSSUI")</f>
        <v>NÃO POSSUI</v>
      </c>
      <c r="D165" s="5" t="str">
        <f>IFERROR(__xludf.DUMMYFUNCTION("""COMPUTED_VALUE"""),"FIXADA EM POSTE")</f>
        <v>FIXADA EM POSTE</v>
      </c>
      <c r="E165" s="5" t="str">
        <f>IFERROR(__xludf.DUMMYFUNCTION("""COMPUTED_VALUE"""),"SEM BAIA")</f>
        <v>SEM BAIA</v>
      </c>
      <c r="F165" s="5" t="str">
        <f>IFERROR(__xludf.DUMMYFUNCTION("""COMPUTED_VALUE"""),"NÃO")</f>
        <v>NÃO</v>
      </c>
      <c r="G165" s="5" t="str">
        <f>IFERROR(__xludf.DUMMYFUNCTION("""COMPUTED_VALUE"""),"NÃO")</f>
        <v>NÃO</v>
      </c>
      <c r="H165" s="5" t="str">
        <f>IFERROR(__xludf.DUMMYFUNCTION("""COMPUTED_VALUE"""),"NÃO PAVIMENTADA")</f>
        <v>NÃO PAVIMENTADA</v>
      </c>
      <c r="I165" s="6" t="str">
        <f>IFERROR(__xludf.DUMMYFUNCTION("""COMPUTED_VALUE"""),"-9.491080")</f>
        <v>-9.491080</v>
      </c>
      <c r="J165" s="6" t="str">
        <f>IFERROR(__xludf.DUMMYFUNCTION("""COMPUTED_VALUE"""),"-35.577723")</f>
        <v>-35.577723</v>
      </c>
      <c r="K165" s="5" t="str">
        <f>IFERROR(__xludf.DUMMYFUNCTION("""COMPUTED_VALUE"""),"AV. GEN. LUIZ DE FRANÇA ALBUQUERQUE – RODOVIA AL-101 NORTE, S/N")</f>
        <v>AV. GEN. LUIZ DE FRANÇA ALBUQUERQUE – RODOVIA AL-101 NORTE, S/N</v>
      </c>
      <c r="L165" s="5" t="str">
        <f>IFERROR(__xludf.DUMMYFUNCTION("""COMPUTED_VALUE"""),"RODOVIAS")</f>
        <v>RODOVIAS</v>
      </c>
      <c r="M165" s="5" t="str">
        <f>IFERROR(__xludf.DUMMYFUNCTION("""COMPUTED_VALUE"""),"IPIOCA")</f>
        <v>IPIOCA</v>
      </c>
      <c r="N165" s="5" t="str">
        <f>IFERROR(__xludf.DUMMYFUNCTION("""COMPUTED_VALUE"""),"BAIRRO - CENTRO")</f>
        <v>BAIRRO - CENTRO</v>
      </c>
      <c r="O165" s="5" t="str">
        <f>IFERROR(__xludf.DUMMYFUNCTION("""COMPUTED_VALUE"""),"PRÓXIMO AO SÍTIO SÃO GONÇALO")</f>
        <v>PRÓXIMO AO SÍTIO SÃO GONÇALO</v>
      </c>
      <c r="P165" s="5" t="str">
        <f>IFERROR(__xludf.DUMMYFUNCTION("""COMPUTED_VALUE"""),"PRIORIDADE ALTA")</f>
        <v>PRIORIDADE ALTA</v>
      </c>
      <c r="Q165" s="5" t="str">
        <f>IFERROR(__xludf.DUMMYFUNCTION("""COMPUTED_VALUE"""),"IMPLANTAR ABRIGO, PINTURA DA BAIA NO ASFALTO, PAVIMENTAÇÃO E ADEQUAÇÃO DA CALÇADA (RAMPA DE ACESSIBILIDADE E PISO TÁTIL)")</f>
        <v>IMPLANTAR ABRIGO, PINTURA DA BAIA NO ASFALTO, PAVIMENTAÇÃO E ADEQUAÇÃO DA CALÇADA (RAMPA DE ACESSIBILIDADE E PISO TÁTIL)</v>
      </c>
      <c r="R165" s="5" t="str">
        <f>IFERROR(__xludf.DUMMYFUNCTION("""COMPUTED_VALUE"""),"IMPLANTAR ABRIGO")</f>
        <v>IMPLANTAR ABRIGO</v>
      </c>
      <c r="S165" s="7">
        <f>IFERROR(__xludf.DUMMYFUNCTION("""COMPUTED_VALUE"""),44600.0)</f>
        <v>44600</v>
      </c>
      <c r="T165" s="5"/>
      <c r="U165" s="7">
        <f>IFERROR(__xludf.DUMMYFUNCTION("""COMPUTED_VALUE"""),44600.0)</f>
        <v>44600</v>
      </c>
      <c r="V165" s="9" t="str">
        <f>IFERROR(__xludf.DUMMYFUNCTION("""COMPUTED_VALUE"""),"https://drive.google.com/uc?id=1uImYfmDta7wTHNJzhLb6s81PRAqZNfZN")</f>
        <v>https://drive.google.com/uc?id=1uImYfmDta7wTHNJzhLb6s81PRAqZNfZN</v>
      </c>
      <c r="W165" s="5" t="str">
        <f>IFERROR(__xludf.DUMMYFUNCTION("""COMPUTED_VALUE"""),"NÃO")</f>
        <v>NÃO</v>
      </c>
      <c r="X165" s="5" t="str">
        <f>IFERROR(__xludf.DUMMYFUNCTION("""COMPUTED_VALUE"""),"NÃO SE APLICA")</f>
        <v>NÃO SE APLICA</v>
      </c>
    </row>
    <row r="166" hidden="1">
      <c r="A166" s="5">
        <f>IFERROR(__xludf.DUMMYFUNCTION("""COMPUTED_VALUE"""),8.0)</f>
        <v>8</v>
      </c>
      <c r="B166" s="5" t="str">
        <f>IFERROR(__xludf.DUMMYFUNCTION("""COMPUTED_VALUE"""),"IP040")</f>
        <v>IP040</v>
      </c>
      <c r="C166" s="5" t="str">
        <f>IFERROR(__xludf.DUMMYFUNCTION("""COMPUTED_VALUE"""),"NÃO POSSUI")</f>
        <v>NÃO POSSUI</v>
      </c>
      <c r="D166" s="5" t="str">
        <f>IFERROR(__xludf.DUMMYFUNCTION("""COMPUTED_VALUE"""),"FIXADA EM POSTE")</f>
        <v>FIXADA EM POSTE</v>
      </c>
      <c r="E166" s="5" t="str">
        <f>IFERROR(__xludf.DUMMYFUNCTION("""COMPUTED_VALUE"""),"SEM BAIA")</f>
        <v>SEM BAIA</v>
      </c>
      <c r="F166" s="5" t="str">
        <f>IFERROR(__xludf.DUMMYFUNCTION("""COMPUTED_VALUE"""),"NÃO")</f>
        <v>NÃO</v>
      </c>
      <c r="G166" s="5" t="str">
        <f>IFERROR(__xludf.DUMMYFUNCTION("""COMPUTED_VALUE"""),"NÃO")</f>
        <v>NÃO</v>
      </c>
      <c r="H166" s="5" t="str">
        <f>IFERROR(__xludf.DUMMYFUNCTION("""COMPUTED_VALUE"""),"NÃO PAVIMENTADA")</f>
        <v>NÃO PAVIMENTADA</v>
      </c>
      <c r="I166" s="6" t="str">
        <f>IFERROR(__xludf.DUMMYFUNCTION("""COMPUTED_VALUE"""),"-9.490833")</f>
        <v>-9.490833</v>
      </c>
      <c r="J166" s="6" t="str">
        <f>IFERROR(__xludf.DUMMYFUNCTION("""COMPUTED_VALUE"""),"-35.577329")</f>
        <v>-35.577329</v>
      </c>
      <c r="K166" s="5" t="str">
        <f>IFERROR(__xludf.DUMMYFUNCTION("""COMPUTED_VALUE"""),"AV. GEN. LUIZ DE FRANÇA ALBUQUERQUE – RODOVIA AL-101 NORTE, S/N")</f>
        <v>AV. GEN. LUIZ DE FRANÇA ALBUQUERQUE – RODOVIA AL-101 NORTE, S/N</v>
      </c>
      <c r="L166" s="5" t="str">
        <f>IFERROR(__xludf.DUMMYFUNCTION("""COMPUTED_VALUE"""),"RODOVIAS")</f>
        <v>RODOVIAS</v>
      </c>
      <c r="M166" s="5" t="str">
        <f>IFERROR(__xludf.DUMMYFUNCTION("""COMPUTED_VALUE"""),"IPIOCA")</f>
        <v>IPIOCA</v>
      </c>
      <c r="N166" s="5" t="str">
        <f>IFERROR(__xludf.DUMMYFUNCTION("""COMPUTED_VALUE"""),"CENTRO - BAIRRO")</f>
        <v>CENTRO - BAIRRO</v>
      </c>
      <c r="O166" s="5" t="str">
        <f>IFERROR(__xludf.DUMMYFUNCTION("""COMPUTED_VALUE"""),"PRÓXIMO AO SÍTIO SÃO GONÇALO")</f>
        <v>PRÓXIMO AO SÍTIO SÃO GONÇALO</v>
      </c>
      <c r="P166" s="5" t="str">
        <f>IFERROR(__xludf.DUMMYFUNCTION("""COMPUTED_VALUE"""),"PRIORIDADE ALTA")</f>
        <v>PRIORIDADE ALTA</v>
      </c>
      <c r="Q166" s="5" t="str">
        <f>IFERROR(__xludf.DUMMYFUNCTION("""COMPUTED_VALUE"""),"PINTURA DA BAIA NO ASFALTO, PAVIMENTAÇÃO E ADEQUAÇÃO DA CALÇADA (RAMPA DE ACESSIBILIDADE E PISO TÁTIL)")</f>
        <v>PINTURA DA BAIA NO ASFALTO, PAVIMENTAÇÃO E ADEQUAÇÃO DA CALÇADA (RAMPA DE ACESSIBILIDADE E PISO TÁTIL)</v>
      </c>
      <c r="R166" s="5" t="str">
        <f>IFERROR(__xludf.DUMMYFUNCTION("""COMPUTED_VALUE"""),"NENHUMA DAS OPÇÕES")</f>
        <v>NENHUMA DAS OPÇÕES</v>
      </c>
      <c r="S166" s="7">
        <f>IFERROR(__xludf.DUMMYFUNCTION("""COMPUTED_VALUE"""),44601.0)</f>
        <v>44601</v>
      </c>
      <c r="T166" s="5"/>
      <c r="U166" s="7">
        <f>IFERROR(__xludf.DUMMYFUNCTION("""COMPUTED_VALUE"""),44601.0)</f>
        <v>44601</v>
      </c>
      <c r="V166" s="9" t="str">
        <f>IFERROR(__xludf.DUMMYFUNCTION("""COMPUTED_VALUE"""),"https://drive.google.com/uc?id=1ONyTc5G77OJOGhuWfuHV9aYcYkNz_vcn")</f>
        <v>https://drive.google.com/uc?id=1ONyTc5G77OJOGhuWfuHV9aYcYkNz_vcn</v>
      </c>
      <c r="W166" s="5" t="str">
        <f>IFERROR(__xludf.DUMMYFUNCTION("""COMPUTED_VALUE"""),"NÃO")</f>
        <v>NÃO</v>
      </c>
      <c r="X166" s="5" t="str">
        <f>IFERROR(__xludf.DUMMYFUNCTION("""COMPUTED_VALUE"""),"NÃO SE APLICA")</f>
        <v>NÃO SE APLICA</v>
      </c>
    </row>
    <row r="167">
      <c r="A167" s="5">
        <f>IFERROR(__xludf.DUMMYFUNCTION("""COMPUTED_VALUE"""),8.0)</f>
        <v>8</v>
      </c>
      <c r="B167" s="5" t="str">
        <f>IFERROR(__xludf.DUMMYFUNCTION("""COMPUTED_VALUE"""),"IP041")</f>
        <v>IP041</v>
      </c>
      <c r="C167" s="5" t="str">
        <f>IFERROR(__xludf.DUMMYFUNCTION("""COMPUTED_VALUE"""),"ABRIGO CONCRETO")</f>
        <v>ABRIGO CONCRETO</v>
      </c>
      <c r="D167" s="5" t="str">
        <f>IFERROR(__xludf.DUMMYFUNCTION("""COMPUTED_VALUE"""),"FIXADA EM POSTE")</f>
        <v>FIXADA EM POSTE</v>
      </c>
      <c r="E167" s="5" t="str">
        <f>IFERROR(__xludf.DUMMYFUNCTION("""COMPUTED_VALUE"""),"SEM BAIA")</f>
        <v>SEM BAIA</v>
      </c>
      <c r="F167" s="5" t="str">
        <f>IFERROR(__xludf.DUMMYFUNCTION("""COMPUTED_VALUE"""),"NÃO")</f>
        <v>NÃO</v>
      </c>
      <c r="G167" s="5" t="str">
        <f>IFERROR(__xludf.DUMMYFUNCTION("""COMPUTED_VALUE"""),"NÃO")</f>
        <v>NÃO</v>
      </c>
      <c r="H167" s="5" t="str">
        <f>IFERROR(__xludf.DUMMYFUNCTION("""COMPUTED_VALUE"""),"NÃO PAVIMENTADA")</f>
        <v>NÃO PAVIMENTADA</v>
      </c>
      <c r="I167" s="6" t="str">
        <f>IFERROR(__xludf.DUMMYFUNCTION("""COMPUTED_VALUE"""),"-9.488593")</f>
        <v>-9.488593</v>
      </c>
      <c r="J167" s="6" t="str">
        <f>IFERROR(__xludf.DUMMYFUNCTION("""COMPUTED_VALUE"""),"-35.575600")</f>
        <v>-35.575600</v>
      </c>
      <c r="K167" s="5" t="str">
        <f>IFERROR(__xludf.DUMMYFUNCTION("""COMPUTED_VALUE"""),"AV. GEN. LUIZ DE FRANÇA ALBUQUERQUE – RODOVIA AL-101 NORTE, S/N")</f>
        <v>AV. GEN. LUIZ DE FRANÇA ALBUQUERQUE – RODOVIA AL-101 NORTE, S/N</v>
      </c>
      <c r="L167" s="5" t="str">
        <f>IFERROR(__xludf.DUMMYFUNCTION("""COMPUTED_VALUE"""),"RODOVIAS")</f>
        <v>RODOVIAS</v>
      </c>
      <c r="M167" s="5" t="str">
        <f>IFERROR(__xludf.DUMMYFUNCTION("""COMPUTED_VALUE"""),"IPIOCA")</f>
        <v>IPIOCA</v>
      </c>
      <c r="N167" s="5" t="str">
        <f>IFERROR(__xludf.DUMMYFUNCTION("""COMPUTED_VALUE"""),"BAIRRO - CENTRO")</f>
        <v>BAIRRO - CENTRO</v>
      </c>
      <c r="O167" s="5" t="str">
        <f>IFERROR(__xludf.DUMMYFUNCTION("""COMPUTED_VALUE"""),"NECESSÁRIO FAZER PROJETO E CONSTRUÇÃO DO TERMINAL.")</f>
        <v>NECESSÁRIO FAZER PROJETO E CONSTRUÇÃO DO TERMINAL.</v>
      </c>
      <c r="P167" s="5" t="str">
        <f>IFERROR(__xludf.DUMMYFUNCTION("""COMPUTED_VALUE"""),"PRIORIDADE ALTA")</f>
        <v>PRIORIDADE ALTA</v>
      </c>
      <c r="Q167" s="5" t="str">
        <f>IFERROR(__xludf.DUMMYFUNCTION("""COMPUTED_VALUE"""),"LIMNPEZA E PINTURA DOS ABRIGOS, PAVIMENTAÇÃO DO TERMINAL, ADEQUAÇÃO DA CALÇADA (RAMPA DE ACESSIBILIDADE), NECESSÁRIO FAZER PROJETO E CONSTRUÇÃO DO TERMINAL")</f>
        <v>LIMNPEZA E PINTURA DOS ABRIGOS, PAVIMENTAÇÃO DO TERMINAL, ADEQUAÇÃO DA CALÇADA (RAMPA DE ACESSIBILIDADE), NECESSÁRIO FAZER PROJETO E CONSTRUÇÃO DO TERMINAL</v>
      </c>
      <c r="R167" s="5" t="str">
        <f>IFERROR(__xludf.DUMMYFUNCTION("""COMPUTED_VALUE"""),"IMPLANTAR ABRIGO")</f>
        <v>IMPLANTAR ABRIGO</v>
      </c>
      <c r="S167" s="7">
        <f>IFERROR(__xludf.DUMMYFUNCTION("""COMPUTED_VALUE"""),44602.0)</f>
        <v>44602</v>
      </c>
      <c r="T167" s="5"/>
      <c r="U167" s="7">
        <f>IFERROR(__xludf.DUMMYFUNCTION("""COMPUTED_VALUE"""),44602.0)</f>
        <v>44602</v>
      </c>
      <c r="V167" s="9" t="str">
        <f>IFERROR(__xludf.DUMMYFUNCTION("""COMPUTED_VALUE"""),"https://drive.google.com/uc?id=1mi_wge2gz8CZccdfAt97tJboCCYH4UBo ")</f>
        <v>https://drive.google.com/uc?id=1mi_wge2gz8CZccdfAt97tJboCCYH4UBo </v>
      </c>
      <c r="W167" s="5" t="str">
        <f>IFERROR(__xludf.DUMMYFUNCTION("""COMPUTED_VALUE"""),"NÃO")</f>
        <v>NÃO</v>
      </c>
      <c r="X167" s="5" t="str">
        <f>IFERROR(__xludf.DUMMYFUNCTION("""COMPUTED_VALUE"""),"NÃO SE APLICA")</f>
        <v>NÃO SE APLICA</v>
      </c>
    </row>
    <row r="168">
      <c r="A168" s="5">
        <f>IFERROR(__xludf.DUMMYFUNCTION("""COMPUTED_VALUE"""),8.0)</f>
        <v>8</v>
      </c>
      <c r="B168" s="5" t="str">
        <f>IFERROR(__xludf.DUMMYFUNCTION("""COMPUTED_VALUE"""),"IP042")</f>
        <v>IP042</v>
      </c>
      <c r="C168" s="5" t="str">
        <f>IFERROR(__xludf.DUMMYFUNCTION("""COMPUTED_VALUE"""),"ABRIGO EUCALIPTO PEQUENO PORTE")</f>
        <v>ABRIGO EUCALIPTO PEQUENO PORTE</v>
      </c>
      <c r="D168" s="5" t="str">
        <f>IFERROR(__xludf.DUMMYFUNCTION("""COMPUTED_VALUE"""),"FIXADA EM POSTE")</f>
        <v>FIXADA EM POSTE</v>
      </c>
      <c r="E168" s="5" t="str">
        <f>IFERROR(__xludf.DUMMYFUNCTION("""COMPUTED_VALUE"""),"SEM BAIA")</f>
        <v>SEM BAIA</v>
      </c>
      <c r="F168" s="5" t="str">
        <f>IFERROR(__xludf.DUMMYFUNCTION("""COMPUTED_VALUE"""),"NÃO")</f>
        <v>NÃO</v>
      </c>
      <c r="G168" s="5" t="str">
        <f>IFERROR(__xludf.DUMMYFUNCTION("""COMPUTED_VALUE"""),"NÃO")</f>
        <v>NÃO</v>
      </c>
      <c r="H168" s="5" t="str">
        <f>IFERROR(__xludf.DUMMYFUNCTION("""COMPUTED_VALUE"""),"PAVIMENTADA")</f>
        <v>PAVIMENTADA</v>
      </c>
      <c r="I168" s="6" t="str">
        <f>IFERROR(__xludf.DUMMYFUNCTION("""COMPUTED_VALUE"""),"-9.523293")</f>
        <v>-9.523293</v>
      </c>
      <c r="J168" s="6" t="str">
        <f>IFERROR(__xludf.DUMMYFUNCTION("""COMPUTED_VALUE""")," -35.601462")</f>
        <v> -35.601462</v>
      </c>
      <c r="K168" s="5" t="str">
        <f>IFERROR(__xludf.DUMMYFUNCTION("""COMPUTED_VALUE"""),"AV. GEN. LUIZ DE FRANÇA ALBUQUERQUE – RODOVIA AL-101 NORTE, S/N")</f>
        <v>AV. GEN. LUIZ DE FRANÇA ALBUQUERQUE – RODOVIA AL-101 NORTE, S/N</v>
      </c>
      <c r="L168" s="5" t="str">
        <f>IFERROR(__xludf.DUMMYFUNCTION("""COMPUTED_VALUE"""),"RODOVIAS")</f>
        <v>RODOVIAS</v>
      </c>
      <c r="M168" s="5" t="str">
        <f>IFERROR(__xludf.DUMMYFUNCTION("""COMPUTED_VALUE"""),"IPIOCA")</f>
        <v>IPIOCA</v>
      </c>
      <c r="N168" s="5" t="str">
        <f>IFERROR(__xludf.DUMMYFUNCTION("""COMPUTED_VALUE"""),"BAIRRO - CENTRO")</f>
        <v>BAIRRO - CENTRO</v>
      </c>
      <c r="O168" s="5" t="str">
        <f>IFERROR(__xludf.DUMMYFUNCTION("""COMPUTED_VALUE"""),"EM FRENTE AO IPIOCA BEACH")</f>
        <v>EM FRENTE AO IPIOCA BEACH</v>
      </c>
      <c r="P168" s="5"/>
      <c r="Q168" s="5"/>
      <c r="R168" s="5" t="str">
        <f>IFERROR(__xludf.DUMMYFUNCTION("""COMPUTED_VALUE"""),"NENHUMA DAS OPÇÕES")</f>
        <v>NENHUMA DAS OPÇÕES</v>
      </c>
      <c r="S168" s="5"/>
      <c r="T168" s="5"/>
      <c r="U168" s="5"/>
      <c r="V168" s="5"/>
      <c r="W168" s="5"/>
      <c r="X168" s="5"/>
    </row>
    <row r="169" hidden="1">
      <c r="A169" s="13">
        <f>IFERROR(__xludf.DUMMYFUNCTION("IMPORTRANGE(""https://docs.google.com/spreadsheets/d/1-Yu0wk38BvJp_4SsDjwItRQX9X18pxzX2mfs6mvd6ac/edit#gid=1945605910"", ""CIDADE UNIVERSITÁRIA!A3:X232"")"),7.0)</f>
        <v>7</v>
      </c>
      <c r="B169" s="5" t="str">
        <f>IFERROR(__xludf.DUMMYFUNCTION("""COMPUTED_VALUE"""),"CV001")</f>
        <v>CV001</v>
      </c>
      <c r="C169" s="5" t="str">
        <f>IFERROR(__xludf.DUMMYFUNCTION("""COMPUTED_VALUE"""),"NÃO POSSUI")</f>
        <v>NÃO POSSUI</v>
      </c>
      <c r="D169" s="5" t="str">
        <f>IFERROR(__xludf.DUMMYFUNCTION("""COMPUTED_VALUE"""),"FIXADA EM POSTE")</f>
        <v>FIXADA EM POSTE</v>
      </c>
      <c r="E169" s="5" t="str">
        <f>IFERROR(__xludf.DUMMYFUNCTION("""COMPUTED_VALUE"""),"SEM BAIA")</f>
        <v>SEM BAIA</v>
      </c>
      <c r="F169" s="5" t="str">
        <f>IFERROR(__xludf.DUMMYFUNCTION("""COMPUTED_VALUE"""),"NÃO")</f>
        <v>NÃO</v>
      </c>
      <c r="G169" s="5" t="str">
        <f>IFERROR(__xludf.DUMMYFUNCTION("""COMPUTED_VALUE"""),"NÃO")</f>
        <v>NÃO</v>
      </c>
      <c r="H169" s="5" t="str">
        <f>IFERROR(__xludf.DUMMYFUNCTION("""COMPUTED_VALUE"""),"PAVIMENTADA")</f>
        <v>PAVIMENTADA</v>
      </c>
      <c r="I169" s="6" t="str">
        <f>IFERROR(__xludf.DUMMYFUNCTION("""COMPUTED_VALUE"""),"-9.531443")</f>
        <v>-9.531443</v>
      </c>
      <c r="J169" s="6" t="str">
        <f>IFERROR(__xludf.DUMMYFUNCTION("""COMPUTED_VALUE"""),"-35.794291")</f>
        <v>-35.794291</v>
      </c>
      <c r="K169" s="5" t="str">
        <f>IFERROR(__xludf.DUMMYFUNCTION("""COMPUTED_VALUE"""),"AV. JOSE MOURA ROCHA, S/N")</f>
        <v>AV. JOSE MOURA ROCHA, S/N</v>
      </c>
      <c r="L169" s="5" t="str">
        <f>IFERROR(__xludf.DUMMYFUNCTION("""COMPUTED_VALUE"""),"COLETORA")</f>
        <v>COLETORA</v>
      </c>
      <c r="M169" s="5" t="str">
        <f>IFERROR(__xludf.DUMMYFUNCTION("""COMPUTED_VALUE"""),"CIDADE UNIVERSITÁRIA")</f>
        <v>CIDADE UNIVERSITÁRIA</v>
      </c>
      <c r="N169" s="5" t="str">
        <f>IFERROR(__xludf.DUMMYFUNCTION("""COMPUTED_VALUE"""),"BAIRRO - CENTRO")</f>
        <v>BAIRRO - CENTRO</v>
      </c>
      <c r="O169" s="5" t="str">
        <f>IFERROR(__xludf.DUMMYFUNCTION("""COMPUTED_VALUE"""),"MURO EM FRENTE A CASA Nº:45")</f>
        <v>MURO EM FRENTE A CASA Nº:45</v>
      </c>
      <c r="P169" s="5" t="str">
        <f>IFERROR(__xludf.DUMMYFUNCTION("""COMPUTED_VALUE"""),"URGENTE")</f>
        <v>URGENTE</v>
      </c>
      <c r="Q169" s="5" t="str">
        <f>IFERROR(__xludf.DUMMYFUNCTION("""COMPUTED_VALUE"""),"READEQUAÇÃO DE CALÇADA COM ACESSIBILIDADE E PINTURA DE BAÍA NO ASFALTO.")</f>
        <v>READEQUAÇÃO DE CALÇADA COM ACESSIBILIDADE E PINTURA DE BAÍA NO ASFALTO.</v>
      </c>
      <c r="R169" s="5" t="str">
        <f>IFERROR(__xludf.DUMMYFUNCTION("""COMPUTED_VALUE"""),"IMPLANTAR ABRIGO")</f>
        <v>IMPLANTAR ABRIGO</v>
      </c>
      <c r="S169" s="5"/>
      <c r="T169" s="5"/>
      <c r="U169" s="5"/>
      <c r="V169" s="9" t="str">
        <f>IFERROR(__xludf.DUMMYFUNCTION("""COMPUTED_VALUE"""),"https://drive.google.com/uc?id=1Qj7gRepCB6sgseVqZw7iRIs0mtQ3CTBH")</f>
        <v>https://drive.google.com/uc?id=1Qj7gRepCB6sgseVqZw7iRIs0mtQ3CTBH</v>
      </c>
      <c r="W169" s="5" t="str">
        <f>IFERROR(__xludf.DUMMYFUNCTION("""COMPUTED_VALUE"""),"NÃO")</f>
        <v>NÃO</v>
      </c>
      <c r="X169" s="5" t="str">
        <f>IFERROR(__xludf.DUMMYFUNCTION("""COMPUTED_VALUE"""),"NÃO SE APLICA")</f>
        <v>NÃO SE APLICA</v>
      </c>
    </row>
    <row r="170" hidden="1">
      <c r="A170" s="5">
        <f>IFERROR(__xludf.DUMMYFUNCTION("""COMPUTED_VALUE"""),7.0)</f>
        <v>7</v>
      </c>
      <c r="B170" s="5" t="str">
        <f>IFERROR(__xludf.DUMMYFUNCTION("""COMPUTED_VALUE"""),"CV002")</f>
        <v>CV002</v>
      </c>
      <c r="C170" s="5" t="str">
        <f>IFERROR(__xludf.DUMMYFUNCTION("""COMPUTED_VALUE"""),"NÃO POSSUI")</f>
        <v>NÃO POSSUI</v>
      </c>
      <c r="D170" s="5" t="str">
        <f>IFERROR(__xludf.DUMMYFUNCTION("""COMPUTED_VALUE"""),"FIXADA EM POSTE")</f>
        <v>FIXADA EM POSTE</v>
      </c>
      <c r="E170" s="5" t="str">
        <f>IFERROR(__xludf.DUMMYFUNCTION("""COMPUTED_VALUE"""),"SEM BAIA")</f>
        <v>SEM BAIA</v>
      </c>
      <c r="F170" s="5" t="str">
        <f>IFERROR(__xludf.DUMMYFUNCTION("""COMPUTED_VALUE"""),"NÃO")</f>
        <v>NÃO</v>
      </c>
      <c r="G170" s="5" t="str">
        <f>IFERROR(__xludf.DUMMYFUNCTION("""COMPUTED_VALUE"""),"NÃO")</f>
        <v>NÃO</v>
      </c>
      <c r="H170" s="5" t="str">
        <f>IFERROR(__xludf.DUMMYFUNCTION("""COMPUTED_VALUE"""),"PAVIMENTADA")</f>
        <v>PAVIMENTADA</v>
      </c>
      <c r="I170" s="6" t="str">
        <f>IFERROR(__xludf.DUMMYFUNCTION("""COMPUTED_VALUE"""),"-9.5329385")</f>
        <v>-9.5329385</v>
      </c>
      <c r="J170" s="6" t="str">
        <f>IFERROR(__xludf.DUMMYFUNCTION("""COMPUTED_VALUE"""),"-35.790835")</f>
        <v>-35.790835</v>
      </c>
      <c r="K170" s="5" t="str">
        <f>IFERROR(__xludf.DUMMYFUNCTION("""COMPUTED_VALUE"""),"AV. JOSE MOURA ROCHA, S/N")</f>
        <v>AV. JOSE MOURA ROCHA, S/N</v>
      </c>
      <c r="L170" s="5" t="str">
        <f>IFERROR(__xludf.DUMMYFUNCTION("""COMPUTED_VALUE"""),"COLETORA")</f>
        <v>COLETORA</v>
      </c>
      <c r="M170" s="5" t="str">
        <f>IFERROR(__xludf.DUMMYFUNCTION("""COMPUTED_VALUE"""),"CIDADE UNIVERSITÁRIA")</f>
        <v>CIDADE UNIVERSITÁRIA</v>
      </c>
      <c r="N170" s="5" t="str">
        <f>IFERROR(__xludf.DUMMYFUNCTION("""COMPUTED_VALUE"""),"CENTRO - BAIRRO")</f>
        <v>CENTRO - BAIRRO</v>
      </c>
      <c r="O170" s="5" t="str">
        <f>IFERROR(__xludf.DUMMYFUNCTION("""COMPUTED_VALUE"""),"MURO EM FRENTE A CASA Nº:46")</f>
        <v>MURO EM FRENTE A CASA Nº:46</v>
      </c>
      <c r="P170" s="5" t="str">
        <f>IFERROR(__xludf.DUMMYFUNCTION("""COMPUTED_VALUE"""),"URGENTE")</f>
        <v>URGENTE</v>
      </c>
      <c r="Q170" s="5" t="str">
        <f>IFERROR(__xludf.DUMMYFUNCTION("""COMPUTED_VALUE"""),"READEQUAÇÃO DE CALÇADA COM ACESSIBILIDADE E PINTURA DE BAÍA NO ASFALTO.")</f>
        <v>READEQUAÇÃO DE CALÇADA COM ACESSIBILIDADE E PINTURA DE BAÍA NO ASFALTO.</v>
      </c>
      <c r="R170" s="5" t="str">
        <f>IFERROR(__xludf.DUMMYFUNCTION("""COMPUTED_VALUE"""),"IMPLANTAR ABRIGO")</f>
        <v>IMPLANTAR ABRIGO</v>
      </c>
      <c r="S170" s="5"/>
      <c r="T170" s="5"/>
      <c r="U170" s="5"/>
      <c r="V170" s="9" t="str">
        <f>IFERROR(__xludf.DUMMYFUNCTION("""COMPUTED_VALUE"""),"https://drive.google.com/uc?id=1TrA1IkjkRnZGk6eS_avjrQmE4yRW2kWw")</f>
        <v>https://drive.google.com/uc?id=1TrA1IkjkRnZGk6eS_avjrQmE4yRW2kWw</v>
      </c>
      <c r="W170" s="5" t="str">
        <f>IFERROR(__xludf.DUMMYFUNCTION("""COMPUTED_VALUE"""),"NÃO")</f>
        <v>NÃO</v>
      </c>
      <c r="X170" s="5" t="str">
        <f>IFERROR(__xludf.DUMMYFUNCTION("""COMPUTED_VALUE"""),"NÃO SE APLICA")</f>
        <v>NÃO SE APLICA</v>
      </c>
    </row>
    <row r="171" hidden="1">
      <c r="A171" s="5">
        <f>IFERROR(__xludf.DUMMYFUNCTION("""COMPUTED_VALUE"""),7.0)</f>
        <v>7</v>
      </c>
      <c r="B171" s="5" t="str">
        <f>IFERROR(__xludf.DUMMYFUNCTION("""COMPUTED_VALUE"""),"CV003")</f>
        <v>CV003</v>
      </c>
      <c r="C171" s="5" t="str">
        <f>IFERROR(__xludf.DUMMYFUNCTION("""COMPUTED_VALUE"""),"NÃO POSSUI")</f>
        <v>NÃO POSSUI</v>
      </c>
      <c r="D171" s="5" t="str">
        <f>IFERROR(__xludf.DUMMYFUNCTION("""COMPUTED_VALUE"""),"SEM PLACA")</f>
        <v>SEM PLACA</v>
      </c>
      <c r="E171" s="5" t="str">
        <f>IFERROR(__xludf.DUMMYFUNCTION("""COMPUTED_VALUE"""),"SEM BAIA")</f>
        <v>SEM BAIA</v>
      </c>
      <c r="F171" s="5" t="str">
        <f>IFERROR(__xludf.DUMMYFUNCTION("""COMPUTED_VALUE"""),"NÃO")</f>
        <v>NÃO</v>
      </c>
      <c r="G171" s="5" t="str">
        <f>IFERROR(__xludf.DUMMYFUNCTION("""COMPUTED_VALUE"""),"NÃO")</f>
        <v>NÃO</v>
      </c>
      <c r="H171" s="5" t="str">
        <f>IFERROR(__xludf.DUMMYFUNCTION("""COMPUTED_VALUE"""),"PAVIMENTADA")</f>
        <v>PAVIMENTADA</v>
      </c>
      <c r="I171" s="6" t="str">
        <f>IFERROR(__xludf.DUMMYFUNCTION("""COMPUTED_VALUE"""),"-9.529012")</f>
        <v>-9.529012</v>
      </c>
      <c r="J171" s="6" t="str">
        <f>IFERROR(__xludf.DUMMYFUNCTION("""COMPUTED_VALUE"""),"-35.790163")</f>
        <v>-35.790163</v>
      </c>
      <c r="K171" s="5" t="str">
        <f>IFERROR(__xludf.DUMMYFUNCTION("""COMPUTED_VALUE"""),"AV. JOSE MOURA ROCHA, S/N")</f>
        <v>AV. JOSE MOURA ROCHA, S/N</v>
      </c>
      <c r="L171" s="5" t="str">
        <f>IFERROR(__xludf.DUMMYFUNCTION("""COMPUTED_VALUE"""),"COLETORA")</f>
        <v>COLETORA</v>
      </c>
      <c r="M171" s="5" t="str">
        <f>IFERROR(__xludf.DUMMYFUNCTION("""COMPUTED_VALUE"""),"CIDADE UNIVERSITÁRIA")</f>
        <v>CIDADE UNIVERSITÁRIA</v>
      </c>
      <c r="N171" s="5" t="str">
        <f>IFERROR(__xludf.DUMMYFUNCTION("""COMPUTED_VALUE"""),"CENTRO - BAIRRO")</f>
        <v>CENTRO - BAIRRO</v>
      </c>
      <c r="O171" s="5" t="str">
        <f>IFERROR(__xludf.DUMMYFUNCTION("""COMPUTED_VALUE"""),"MURO EM FRENTE AO RESIDENCIAL MONTE SIÃO")</f>
        <v>MURO EM FRENTE AO RESIDENCIAL MONTE SIÃO</v>
      </c>
      <c r="P171" s="5" t="str">
        <f>IFERROR(__xludf.DUMMYFUNCTION("""COMPUTED_VALUE"""),"URGENTE")</f>
        <v>URGENTE</v>
      </c>
      <c r="Q171" s="5" t="str">
        <f>IFERROR(__xludf.DUMMYFUNCTION("""COMPUTED_VALUE"""),"READEQUAÇÃO DE CALÇADA COM ACESSIBILIDADE E PINTURA DE BAÍA NO ASFALTO.")</f>
        <v>READEQUAÇÃO DE CALÇADA COM ACESSIBILIDADE E PINTURA DE BAÍA NO ASFALTO.</v>
      </c>
      <c r="R171" s="5" t="str">
        <f>IFERROR(__xludf.DUMMYFUNCTION("""COMPUTED_VALUE"""),"IMPLANTAR ABRIGO")</f>
        <v>IMPLANTAR ABRIGO</v>
      </c>
      <c r="S171" s="5"/>
      <c r="T171" s="5"/>
      <c r="U171" s="5"/>
      <c r="V171" s="9" t="str">
        <f>IFERROR(__xludf.DUMMYFUNCTION("""COMPUTED_VALUE"""),"https://drive.google.com/file/d/1Be3P6scFrAjlHkTpYiES2yLz8PjFyYJZ")</f>
        <v>https://drive.google.com/file/d/1Be3P6scFrAjlHkTpYiES2yLz8PjFyYJZ</v>
      </c>
      <c r="W171" s="5" t="str">
        <f>IFERROR(__xludf.DUMMYFUNCTION("""COMPUTED_VALUE"""),"NÃO")</f>
        <v>NÃO</v>
      </c>
      <c r="X171" s="5" t="str">
        <f>IFERROR(__xludf.DUMMYFUNCTION("""COMPUTED_VALUE"""),"NÃO SE APLICA")</f>
        <v>NÃO SE APLICA</v>
      </c>
    </row>
    <row r="172" hidden="1">
      <c r="A172" s="5">
        <f>IFERROR(__xludf.DUMMYFUNCTION("""COMPUTED_VALUE"""),7.0)</f>
        <v>7</v>
      </c>
      <c r="B172" s="5" t="str">
        <f>IFERROR(__xludf.DUMMYFUNCTION("""COMPUTED_VALUE"""),"CV004")</f>
        <v>CV004</v>
      </c>
      <c r="C172" s="5" t="str">
        <f>IFERROR(__xludf.DUMMYFUNCTION("""COMPUTED_VALUE"""),"NÃO POSSUI")</f>
        <v>NÃO POSSUI</v>
      </c>
      <c r="D172" s="5" t="str">
        <f>IFERROR(__xludf.DUMMYFUNCTION("""COMPUTED_VALUE"""),"SEM PLACA")</f>
        <v>SEM PLACA</v>
      </c>
      <c r="E172" s="5" t="str">
        <f>IFERROR(__xludf.DUMMYFUNCTION("""COMPUTED_VALUE"""),"SEM BAIA")</f>
        <v>SEM BAIA</v>
      </c>
      <c r="F172" s="5" t="str">
        <f>IFERROR(__xludf.DUMMYFUNCTION("""COMPUTED_VALUE"""),"NÃO")</f>
        <v>NÃO</v>
      </c>
      <c r="G172" s="5" t="str">
        <f>IFERROR(__xludf.DUMMYFUNCTION("""COMPUTED_VALUE"""),"NÃO")</f>
        <v>NÃO</v>
      </c>
      <c r="H172" s="5" t="str">
        <f>IFERROR(__xludf.DUMMYFUNCTION("""COMPUTED_VALUE"""),"NÃO PAVIMENTADA")</f>
        <v>NÃO PAVIMENTADA</v>
      </c>
      <c r="I172" s="6" t="str">
        <f>IFERROR(__xludf.DUMMYFUNCTION("""COMPUTED_VALUE"""),"-9.529064")</f>
        <v>-9.529064</v>
      </c>
      <c r="J172" s="6" t="str">
        <f>IFERROR(__xludf.DUMMYFUNCTION("""COMPUTED_VALUE"""),"-35.790435")</f>
        <v>-35.790435</v>
      </c>
      <c r="K172" s="5" t="str">
        <f>IFERROR(__xludf.DUMMYFUNCTION("""COMPUTED_VALUE"""),"AV. JOSE MOURA ROCHA, Nº: 500")</f>
        <v>AV. JOSE MOURA ROCHA, Nº: 500</v>
      </c>
      <c r="L172" s="5" t="str">
        <f>IFERROR(__xludf.DUMMYFUNCTION("""COMPUTED_VALUE"""),"COLETORA")</f>
        <v>COLETORA</v>
      </c>
      <c r="M172" s="5" t="str">
        <f>IFERROR(__xludf.DUMMYFUNCTION("""COMPUTED_VALUE"""),"CIDADE UNIVERSITÁRIA")</f>
        <v>CIDADE UNIVERSITÁRIA</v>
      </c>
      <c r="N172" s="5" t="str">
        <f>IFERROR(__xludf.DUMMYFUNCTION("""COMPUTED_VALUE"""),"BAIRRO - CENTRO")</f>
        <v>BAIRRO - CENTRO</v>
      </c>
      <c r="O172" s="5" t="str">
        <f>IFERROR(__xludf.DUMMYFUNCTION("""COMPUTED_VALUE"""),"TERRENO BALDIO EM FRENTE AO RESIDENCIAL MONTE SIÃO")</f>
        <v>TERRENO BALDIO EM FRENTE AO RESIDENCIAL MONTE SIÃO</v>
      </c>
      <c r="P172" s="5" t="str">
        <f>IFERROR(__xludf.DUMMYFUNCTION("""COMPUTED_VALUE"""),"URGENTE")</f>
        <v>URGENTE</v>
      </c>
      <c r="Q172" s="5" t="str">
        <f>IFERROR(__xludf.DUMMYFUNCTION("""COMPUTED_VALUE"""),"READEQUAÇÃO DE CALÇADA COM ACESSIBILIDADE E PINTURA DE BAÍA NO ASFALTO.")</f>
        <v>READEQUAÇÃO DE CALÇADA COM ACESSIBILIDADE E PINTURA DE BAÍA NO ASFALTO.</v>
      </c>
      <c r="R172" s="5" t="str">
        <f>IFERROR(__xludf.DUMMYFUNCTION("""COMPUTED_VALUE"""),"NENHUMA DAS OPÇÕES")</f>
        <v>NENHUMA DAS OPÇÕES</v>
      </c>
      <c r="S172" s="5"/>
      <c r="T172" s="5"/>
      <c r="U172" s="5"/>
      <c r="V172" s="9" t="str">
        <f>IFERROR(__xludf.DUMMYFUNCTION("""COMPUTED_VALUE"""),"https://drive.google.com/uc?id=1Jh5ymMRWqzUJUiY2HA68-WnRDFyHPHxH")</f>
        <v>https://drive.google.com/uc?id=1Jh5ymMRWqzUJUiY2HA68-WnRDFyHPHxH</v>
      </c>
      <c r="W172" s="5" t="str">
        <f>IFERROR(__xludf.DUMMYFUNCTION("""COMPUTED_VALUE"""),"NÃO")</f>
        <v>NÃO</v>
      </c>
      <c r="X172" s="5" t="str">
        <f>IFERROR(__xludf.DUMMYFUNCTION("""COMPUTED_VALUE"""),"NÃO SE APLICA")</f>
        <v>NÃO SE APLICA</v>
      </c>
    </row>
    <row r="173">
      <c r="A173" s="5">
        <f>IFERROR(__xludf.DUMMYFUNCTION("""COMPUTED_VALUE"""),7.0)</f>
        <v>7</v>
      </c>
      <c r="B173" s="5" t="str">
        <f>IFERROR(__xludf.DUMMYFUNCTION("""COMPUTED_VALUE"""),"CV005")</f>
        <v>CV005</v>
      </c>
      <c r="C173" s="5" t="str">
        <f>IFERROR(__xludf.DUMMYFUNCTION("""COMPUTED_VALUE"""),"ABRIGO CONCRETO")</f>
        <v>ABRIGO CONCRETO</v>
      </c>
      <c r="D173" s="5" t="str">
        <f>IFERROR(__xludf.DUMMYFUNCTION("""COMPUTED_VALUE"""),"SEM PLACA")</f>
        <v>SEM PLACA</v>
      </c>
      <c r="E173" s="5" t="str">
        <f>IFERROR(__xludf.DUMMYFUNCTION("""COMPUTED_VALUE"""),"SEM BAIA")</f>
        <v>SEM BAIA</v>
      </c>
      <c r="F173" s="5" t="str">
        <f>IFERROR(__xludf.DUMMYFUNCTION("""COMPUTED_VALUE"""),"NÃO")</f>
        <v>NÃO</v>
      </c>
      <c r="G173" s="5" t="str">
        <f>IFERROR(__xludf.DUMMYFUNCTION("""COMPUTED_VALUE"""),"NÃO")</f>
        <v>NÃO</v>
      </c>
      <c r="H173" s="5" t="str">
        <f>IFERROR(__xludf.DUMMYFUNCTION("""COMPUTED_VALUE"""),"PAVIMENTADA COM AVARIAS")</f>
        <v>PAVIMENTADA COM AVARIAS</v>
      </c>
      <c r="I173" s="6" t="str">
        <f>IFERROR(__xludf.DUMMYFUNCTION("""COMPUTED_VALUE"""),"-9.530577")</f>
        <v>-9.530577</v>
      </c>
      <c r="J173" s="6" t="str">
        <f>IFERROR(__xludf.DUMMYFUNCTION("""COMPUTED_VALUE"""),"-35.785663")</f>
        <v>-35.785663</v>
      </c>
      <c r="K173" s="5" t="str">
        <f>IFERROR(__xludf.DUMMYFUNCTION("""COMPUTED_VALUE"""),"RUA PRINCIPAL DO MACEIÓ 1")</f>
        <v>RUA PRINCIPAL DO MACEIÓ 1</v>
      </c>
      <c r="L173" s="5" t="str">
        <f>IFERROR(__xludf.DUMMYFUNCTION("""COMPUTED_VALUE"""),"COLETORA")</f>
        <v>COLETORA</v>
      </c>
      <c r="M173" s="5" t="str">
        <f>IFERROR(__xludf.DUMMYFUNCTION("""COMPUTED_VALUE"""),"CIDADE UNIVERSITÁRIA")</f>
        <v>CIDADE UNIVERSITÁRIA</v>
      </c>
      <c r="N173" s="5" t="str">
        <f>IFERROR(__xludf.DUMMYFUNCTION("""COMPUTED_VALUE"""),"CENTRO - BAIRRO")</f>
        <v>CENTRO - BAIRRO</v>
      </c>
      <c r="O173" s="5" t="str">
        <f>IFERROR(__xludf.DUMMYFUNCTION("""COMPUTED_VALUE"""),"NA FRENTE DA DROGARIA DUARTE")</f>
        <v>NA FRENTE DA DROGARIA DUARTE</v>
      </c>
      <c r="P173" s="5" t="str">
        <f>IFERROR(__xludf.DUMMYFUNCTION("""COMPUTED_VALUE"""),"PRIORIDADE ALTA")</f>
        <v>PRIORIDADE ALTA</v>
      </c>
      <c r="Q173" s="5" t="str">
        <f>IFERROR(__xludf.DUMMYFUNCTION("""COMPUTED_VALUE"""),"ABRIGO DANIFICADO - REBOCO, PINTURA E ASSENTO DANIFICADO,  NECESSÁRIO FAZER LIMPEZA DA COBERTA. COMPLETAR PINTURA DA SINALIZAÇÃO DA BAÍA NO ASFALTO, READEQUAÇÃO DE CALÇADA COM ACESSIBILIDADE")</f>
        <v>ABRIGO DANIFICADO - REBOCO, PINTURA E ASSENTO DANIFICADO,  NECESSÁRIO FAZER LIMPEZA DA COBERTA. COMPLETAR PINTURA DA SINALIZAÇÃO DA BAÍA NO ASFALTO, READEQUAÇÃO DE CALÇADA COM ACESSIBILIDADE</v>
      </c>
      <c r="R173" s="5" t="str">
        <f>IFERROR(__xludf.DUMMYFUNCTION("""COMPUTED_VALUE"""),"SUBSTITUIR ABRIGO")</f>
        <v>SUBSTITUIR ABRIGO</v>
      </c>
      <c r="S173" s="5"/>
      <c r="T173" s="5"/>
      <c r="U173" s="5"/>
      <c r="V173" s="9" t="str">
        <f>IFERROR(__xludf.DUMMYFUNCTION("""COMPUTED_VALUE"""),"https://drive.google.com/uc?id=1Jh5ymMRWqzUJUiY2HA68-WnRDFyHPHxH")</f>
        <v>https://drive.google.com/uc?id=1Jh5ymMRWqzUJUiY2HA68-WnRDFyHPHxH</v>
      </c>
      <c r="W173" s="5" t="str">
        <f>IFERROR(__xludf.DUMMYFUNCTION("""COMPUTED_VALUE"""),"NÃO")</f>
        <v>NÃO</v>
      </c>
      <c r="X173" s="5" t="str">
        <f>IFERROR(__xludf.DUMMYFUNCTION("""COMPUTED_VALUE"""),"NÃO SE APLICA")</f>
        <v>NÃO SE APLICA</v>
      </c>
    </row>
    <row r="174" hidden="1">
      <c r="A174" s="5">
        <f>IFERROR(__xludf.DUMMYFUNCTION("""COMPUTED_VALUE"""),7.0)</f>
        <v>7</v>
      </c>
      <c r="B174" s="5" t="str">
        <f>IFERROR(__xludf.DUMMYFUNCTION("""COMPUTED_VALUE"""),"CV006")</f>
        <v>CV006</v>
      </c>
      <c r="C174" s="5" t="str">
        <f>IFERROR(__xludf.DUMMYFUNCTION("""COMPUTED_VALUE"""),"NÃO POSSUI")</f>
        <v>NÃO POSSUI</v>
      </c>
      <c r="D174" s="5" t="str">
        <f>IFERROR(__xludf.DUMMYFUNCTION("""COMPUTED_VALUE"""),"FIXADA EM POSTE")</f>
        <v>FIXADA EM POSTE</v>
      </c>
      <c r="E174" s="5" t="str">
        <f>IFERROR(__xludf.DUMMYFUNCTION("""COMPUTED_VALUE"""),"SEM BAIA")</f>
        <v>SEM BAIA</v>
      </c>
      <c r="F174" s="5" t="str">
        <f>IFERROR(__xludf.DUMMYFUNCTION("""COMPUTED_VALUE"""),"NÃO")</f>
        <v>NÃO</v>
      </c>
      <c r="G174" s="5" t="str">
        <f>IFERROR(__xludf.DUMMYFUNCTION("""COMPUTED_VALUE"""),"NÃO")</f>
        <v>NÃO</v>
      </c>
      <c r="H174" s="5" t="str">
        <f>IFERROR(__xludf.DUMMYFUNCTION("""COMPUTED_VALUE"""),"PAVIMENTADA")</f>
        <v>PAVIMENTADA</v>
      </c>
      <c r="I174" s="6" t="str">
        <f>IFERROR(__xludf.DUMMYFUNCTION("""COMPUTED_VALUE"""),"-9.53023")</f>
        <v>-9.53023</v>
      </c>
      <c r="J174" s="6" t="str">
        <f>IFERROR(__xludf.DUMMYFUNCTION("""COMPUTED_VALUE"""),"-35.78422")</f>
        <v>-35.78422</v>
      </c>
      <c r="K174" s="5" t="str">
        <f>IFERROR(__xludf.DUMMYFUNCTION("""COMPUTED_VALUE"""),"AV. LATERAL AO RES. MACEIÓ 1")</f>
        <v>AV. LATERAL AO RES. MACEIÓ 1</v>
      </c>
      <c r="L174" s="5" t="str">
        <f>IFERROR(__xludf.DUMMYFUNCTION("""COMPUTED_VALUE"""),"COLETORA")</f>
        <v>COLETORA</v>
      </c>
      <c r="M174" s="5" t="str">
        <f>IFERROR(__xludf.DUMMYFUNCTION("""COMPUTED_VALUE"""),"CIDADE UNIVERSITÁRIA")</f>
        <v>CIDADE UNIVERSITÁRIA</v>
      </c>
      <c r="N174" s="5" t="str">
        <f>IFERROR(__xludf.DUMMYFUNCTION("""COMPUTED_VALUE"""),"INTEGRAÇÃO")</f>
        <v>INTEGRAÇÃO</v>
      </c>
      <c r="O174" s="5"/>
      <c r="P174" s="5" t="str">
        <f>IFERROR(__xludf.DUMMYFUNCTION("""COMPUTED_VALUE"""),"PRIORIDADE MÉDIA")</f>
        <v>PRIORIDADE MÉDIA</v>
      </c>
      <c r="Q174" s="5" t="str">
        <f>IFERROR(__xludf.DUMMYFUNCTION("""COMPUTED_VALUE"""),"READEQUAÇÃO DE CALÇADA COM ACESSIBILIDADE E PINTURA DE BAÍA NO ASFALTO.")</f>
        <v>READEQUAÇÃO DE CALÇADA COM ACESSIBILIDADE E PINTURA DE BAÍA NO ASFALTO.</v>
      </c>
      <c r="R174" s="5" t="str">
        <f>IFERROR(__xludf.DUMMYFUNCTION("""COMPUTED_VALUE"""),"NENHUMA DAS OPÇÕES")</f>
        <v>NENHUMA DAS OPÇÕES</v>
      </c>
      <c r="S174" s="5"/>
      <c r="T174" s="5"/>
      <c r="U174" s="5"/>
      <c r="V174" s="9" t="str">
        <f>IFERROR(__xludf.DUMMYFUNCTION("""COMPUTED_VALUE"""),"https://drive.google.com/uc?id=1Bp2NRvqoASyGzVq4QvYPMG6ACfYXoClY
")</f>
        <v>https://drive.google.com/uc?id=1Bp2NRvqoASyGzVq4QvYPMG6ACfYXoClY
</v>
      </c>
      <c r="W174" s="5" t="str">
        <f>IFERROR(__xludf.DUMMYFUNCTION("""COMPUTED_VALUE"""),"NÃO")</f>
        <v>NÃO</v>
      </c>
      <c r="X174" s="5" t="str">
        <f>IFERROR(__xludf.DUMMYFUNCTION("""COMPUTED_VALUE"""),"NÃO SE APLICA")</f>
        <v>NÃO SE APLICA</v>
      </c>
    </row>
    <row r="175" hidden="1">
      <c r="A175" s="5">
        <f>IFERROR(__xludf.DUMMYFUNCTION("""COMPUTED_VALUE"""),7.0)</f>
        <v>7</v>
      </c>
      <c r="B175" s="5" t="str">
        <f>IFERROR(__xludf.DUMMYFUNCTION("""COMPUTED_VALUE"""),"CV007")</f>
        <v>CV007</v>
      </c>
      <c r="C175" s="5" t="str">
        <f>IFERROR(__xludf.DUMMYFUNCTION("""COMPUTED_VALUE"""),"NÃO POSSUI")</f>
        <v>NÃO POSSUI</v>
      </c>
      <c r="D175" s="5" t="str">
        <f>IFERROR(__xludf.DUMMYFUNCTION("""COMPUTED_VALUE"""),"FIXADA EM POSTE")</f>
        <v>FIXADA EM POSTE</v>
      </c>
      <c r="E175" s="5" t="str">
        <f>IFERROR(__xludf.DUMMYFUNCTION("""COMPUTED_VALUE"""),"SEM BAIA")</f>
        <v>SEM BAIA</v>
      </c>
      <c r="F175" s="5" t="str">
        <f>IFERROR(__xludf.DUMMYFUNCTION("""COMPUTED_VALUE"""),"NÃO")</f>
        <v>NÃO</v>
      </c>
      <c r="G175" s="5" t="str">
        <f>IFERROR(__xludf.DUMMYFUNCTION("""COMPUTED_VALUE"""),"NÃO")</f>
        <v>NÃO</v>
      </c>
      <c r="H175" s="5" t="str">
        <f>IFERROR(__xludf.DUMMYFUNCTION("""COMPUTED_VALUE"""),"PAVIMENTADA")</f>
        <v>PAVIMENTADA</v>
      </c>
      <c r="I175" s="6" t="str">
        <f>IFERROR(__xludf.DUMMYFUNCTION("""COMPUTED_VALUE"""),"-9.527763")</f>
        <v>-9.527763</v>
      </c>
      <c r="J175" s="6" t="str">
        <f>IFERROR(__xludf.DUMMYFUNCTION("""COMPUTED_VALUE"""),"-35.78619")</f>
        <v>-35.78619</v>
      </c>
      <c r="K175" s="5" t="str">
        <f>IFERROR(__xludf.DUMMYFUNCTION("""COMPUTED_VALUE"""),"AV. 1 - PRINCIPAL DO MACEIÓ 1")</f>
        <v>AV. 1 - PRINCIPAL DO MACEIÓ 1</v>
      </c>
      <c r="L175" s="5" t="str">
        <f>IFERROR(__xludf.DUMMYFUNCTION("""COMPUTED_VALUE"""),"COLETORA")</f>
        <v>COLETORA</v>
      </c>
      <c r="M175" s="5" t="str">
        <f>IFERROR(__xludf.DUMMYFUNCTION("""COMPUTED_VALUE"""),"CIDADE UNIVERSITÁRIA")</f>
        <v>CIDADE UNIVERSITÁRIA</v>
      </c>
      <c r="N175" s="5" t="str">
        <f>IFERROR(__xludf.DUMMYFUNCTION("""COMPUTED_VALUE"""),"INTEGRAÇÃO")</f>
        <v>INTEGRAÇÃO</v>
      </c>
      <c r="O175" s="5" t="str">
        <f>IFERROR(__xludf.DUMMYFUNCTION("""COMPUTED_VALUE"""),"NA FRENTE DA QUADRA DE ESPORTES DO RESIDENCIAL MACEIÓ")</f>
        <v>NA FRENTE DA QUADRA DE ESPORTES DO RESIDENCIAL MACEIÓ</v>
      </c>
      <c r="P175" s="5" t="str">
        <f>IFERROR(__xludf.DUMMYFUNCTION("""COMPUTED_VALUE"""),"PRIORIDADE BAIXA")</f>
        <v>PRIORIDADE BAIXA</v>
      </c>
      <c r="Q175" s="5" t="str">
        <f>IFERROR(__xludf.DUMMYFUNCTION("""COMPUTED_VALUE"""),"READEQUAÇÃO DE CALÇADA COM ACESSIBILIDADE.")</f>
        <v>READEQUAÇÃO DE CALÇADA COM ACESSIBILIDADE.</v>
      </c>
      <c r="R175" s="5" t="str">
        <f>IFERROR(__xludf.DUMMYFUNCTION("""COMPUTED_VALUE"""),"NENHUMA DAS OPÇÕES")</f>
        <v>NENHUMA DAS OPÇÕES</v>
      </c>
      <c r="S175" s="5"/>
      <c r="T175" s="5"/>
      <c r="U175" s="5"/>
      <c r="V175" s="9" t="str">
        <f>IFERROR(__xludf.DUMMYFUNCTION("""COMPUTED_VALUE"""),"https://drive.google.com/uc?id=1ogQwmq23lWqi5eYB2ZgdlR7HEXxikfSI")</f>
        <v>https://drive.google.com/uc?id=1ogQwmq23lWqi5eYB2ZgdlR7HEXxikfSI</v>
      </c>
      <c r="W175" s="5" t="str">
        <f>IFERROR(__xludf.DUMMYFUNCTION("""COMPUTED_VALUE"""),"NÃO")</f>
        <v>NÃO</v>
      </c>
      <c r="X175" s="5" t="str">
        <f>IFERROR(__xludf.DUMMYFUNCTION("""COMPUTED_VALUE"""),"NÃO SE APLICA")</f>
        <v>NÃO SE APLICA</v>
      </c>
    </row>
    <row r="176" hidden="1">
      <c r="A176" s="5">
        <f>IFERROR(__xludf.DUMMYFUNCTION("""COMPUTED_VALUE"""),7.0)</f>
        <v>7</v>
      </c>
      <c r="B176" s="5" t="str">
        <f>IFERROR(__xludf.DUMMYFUNCTION("""COMPUTED_VALUE"""),"CV008")</f>
        <v>CV008</v>
      </c>
      <c r="C176" s="5" t="str">
        <f>IFERROR(__xludf.DUMMYFUNCTION("""COMPUTED_VALUE"""),"NÃO POSSUI")</f>
        <v>NÃO POSSUI</v>
      </c>
      <c r="D176" s="5" t="str">
        <f>IFERROR(__xludf.DUMMYFUNCTION("""COMPUTED_VALUE"""),"FIXADA EM POSTE")</f>
        <v>FIXADA EM POSTE</v>
      </c>
      <c r="E176" s="5" t="str">
        <f>IFERROR(__xludf.DUMMYFUNCTION("""COMPUTED_VALUE"""),"SEM BAIA")</f>
        <v>SEM BAIA</v>
      </c>
      <c r="F176" s="5" t="str">
        <f>IFERROR(__xludf.DUMMYFUNCTION("""COMPUTED_VALUE"""),"NÃO")</f>
        <v>NÃO</v>
      </c>
      <c r="G176" s="5" t="str">
        <f>IFERROR(__xludf.DUMMYFUNCTION("""COMPUTED_VALUE"""),"NÃO")</f>
        <v>NÃO</v>
      </c>
      <c r="H176" s="5" t="str">
        <f>IFERROR(__xludf.DUMMYFUNCTION("""COMPUTED_VALUE"""),"PAVIMENTADA")</f>
        <v>PAVIMENTADA</v>
      </c>
      <c r="I176" s="6" t="str">
        <f>IFERROR(__xludf.DUMMYFUNCTION("""COMPUTED_VALUE"""),"-9.52591")</f>
        <v>-9.52591</v>
      </c>
      <c r="J176" s="6" t="str">
        <f>IFERROR(__xludf.DUMMYFUNCTION("""COMPUTED_VALUE"""),"-35.78455")</f>
        <v>-35.78455</v>
      </c>
      <c r="K176" s="5" t="str">
        <f>IFERROR(__xludf.DUMMYFUNCTION("""COMPUTED_VALUE"""),"RESIDENCIAL MACEIO 1")</f>
        <v>RESIDENCIAL MACEIO 1</v>
      </c>
      <c r="L176" s="5" t="str">
        <f>IFERROR(__xludf.DUMMYFUNCTION("""COMPUTED_VALUE"""),"COLETORA")</f>
        <v>COLETORA</v>
      </c>
      <c r="M176" s="5" t="str">
        <f>IFERROR(__xludf.DUMMYFUNCTION("""COMPUTED_VALUE"""),"CIDADE UNIVERSITÁRIA")</f>
        <v>CIDADE UNIVERSITÁRIA</v>
      </c>
      <c r="N176" s="5" t="str">
        <f>IFERROR(__xludf.DUMMYFUNCTION("""COMPUTED_VALUE"""),"INTEGRAÇÃO")</f>
        <v>INTEGRAÇÃO</v>
      </c>
      <c r="O176" s="5" t="str">
        <f>IFERROR(__xludf.DUMMYFUNCTION("""COMPUTED_VALUE"""),"EM FRENTE A CASA, Nº 805A")</f>
        <v>EM FRENTE A CASA, Nº 805A</v>
      </c>
      <c r="P176" s="5" t="str">
        <f>IFERROR(__xludf.DUMMYFUNCTION("""COMPUTED_VALUE"""),"PRIORIDADE MÉDIA")</f>
        <v>PRIORIDADE MÉDIA</v>
      </c>
      <c r="Q176" s="5" t="str">
        <f>IFERROR(__xludf.DUMMYFUNCTION("""COMPUTED_VALUE"""),"READEQUAÇÃO DE CALÇADA COM ACESSIBILIDADE E PINTURA DE BAÍA NO ASFALTO.")</f>
        <v>READEQUAÇÃO DE CALÇADA COM ACESSIBILIDADE E PINTURA DE BAÍA NO ASFALTO.</v>
      </c>
      <c r="R176" s="5" t="str">
        <f>IFERROR(__xludf.DUMMYFUNCTION("""COMPUTED_VALUE"""),"NENHUMA DAS OPÇÕES")</f>
        <v>NENHUMA DAS OPÇÕES</v>
      </c>
      <c r="S176" s="5"/>
      <c r="T176" s="5"/>
      <c r="U176" s="5"/>
      <c r="V176" s="9" t="str">
        <f>IFERROR(__xludf.DUMMYFUNCTION("""COMPUTED_VALUE"""),"https://drive.google.com/uc?id=1bszI49kWvUGrgw9UfHM0AvGAkPwpWpxu")</f>
        <v>https://drive.google.com/uc?id=1bszI49kWvUGrgw9UfHM0AvGAkPwpWpxu</v>
      </c>
      <c r="W176" s="5" t="str">
        <f>IFERROR(__xludf.DUMMYFUNCTION("""COMPUTED_VALUE"""),"NÃO")</f>
        <v>NÃO</v>
      </c>
      <c r="X176" s="5" t="str">
        <f>IFERROR(__xludf.DUMMYFUNCTION("""COMPUTED_VALUE"""),"NÃO SE APLICA")</f>
        <v>NÃO SE APLICA</v>
      </c>
    </row>
    <row r="177" hidden="1">
      <c r="A177" s="5">
        <f>IFERROR(__xludf.DUMMYFUNCTION("""COMPUTED_VALUE"""),7.0)</f>
        <v>7</v>
      </c>
      <c r="B177" s="5" t="str">
        <f>IFERROR(__xludf.DUMMYFUNCTION("""COMPUTED_VALUE"""),"CV009")</f>
        <v>CV009</v>
      </c>
      <c r="C177" s="5" t="str">
        <f>IFERROR(__xludf.DUMMYFUNCTION("""COMPUTED_VALUE"""),"NÃO POSSUI")</f>
        <v>NÃO POSSUI</v>
      </c>
      <c r="D177" s="5" t="str">
        <f>IFERROR(__xludf.DUMMYFUNCTION("""COMPUTED_VALUE"""),"COM SUPORTE")</f>
        <v>COM SUPORTE</v>
      </c>
      <c r="E177" s="5" t="str">
        <f>IFERROR(__xludf.DUMMYFUNCTION("""COMPUTED_VALUE"""),"SEM BAIA")</f>
        <v>SEM BAIA</v>
      </c>
      <c r="F177" s="5" t="str">
        <f>IFERROR(__xludf.DUMMYFUNCTION("""COMPUTED_VALUE"""),"NÃO")</f>
        <v>NÃO</v>
      </c>
      <c r="G177" s="5" t="str">
        <f>IFERROR(__xludf.DUMMYFUNCTION("""COMPUTED_VALUE"""),"NÃO")</f>
        <v>NÃO</v>
      </c>
      <c r="H177" s="5" t="str">
        <f>IFERROR(__xludf.DUMMYFUNCTION("""COMPUTED_VALUE"""),"PAVIMENTADA")</f>
        <v>PAVIMENTADA</v>
      </c>
      <c r="I177" s="6" t="str">
        <f>IFERROR(__xludf.DUMMYFUNCTION("""COMPUTED_VALUE"""),"-9.52599")</f>
        <v>-9.52599</v>
      </c>
      <c r="J177" s="6" t="str">
        <f>IFERROR(__xludf.DUMMYFUNCTION("""COMPUTED_VALUE"""),"-35.78201")</f>
        <v>-35.78201</v>
      </c>
      <c r="K177" s="5" t="str">
        <f>IFERROR(__xludf.DUMMYFUNCTION("""COMPUTED_VALUE"""),"RESIDENCIAL MACEIO 1")</f>
        <v>RESIDENCIAL MACEIO 1</v>
      </c>
      <c r="L177" s="5" t="str">
        <f>IFERROR(__xludf.DUMMYFUNCTION("""COMPUTED_VALUE"""),"COLETORA")</f>
        <v>COLETORA</v>
      </c>
      <c r="M177" s="5" t="str">
        <f>IFERROR(__xludf.DUMMYFUNCTION("""COMPUTED_VALUE"""),"CIDADE UNIVERSITÁRIA")</f>
        <v>CIDADE UNIVERSITÁRIA</v>
      </c>
      <c r="N177" s="5" t="str">
        <f>IFERROR(__xludf.DUMMYFUNCTION("""COMPUTED_VALUE"""),"INTEGRAÇÃO")</f>
        <v>INTEGRAÇÃO</v>
      </c>
      <c r="O177" s="5" t="str">
        <f>IFERROR(__xludf.DUMMYFUNCTION("""COMPUTED_VALUE"""),"EM FRENTE A CASA, Nº 1077A")</f>
        <v>EM FRENTE A CASA, Nº 1077A</v>
      </c>
      <c r="P177" s="5" t="str">
        <f>IFERROR(__xludf.DUMMYFUNCTION("""COMPUTED_VALUE"""),"PRIORIDADE MÉDIA")</f>
        <v>PRIORIDADE MÉDIA</v>
      </c>
      <c r="Q177" s="5" t="str">
        <f>IFERROR(__xludf.DUMMYFUNCTION("""COMPUTED_VALUE"""),"READEQUAÇÃO DE CALÇADA COM ACESSIBILIDADE E PINTURA DE BAÍA NO ASFALTO.")</f>
        <v>READEQUAÇÃO DE CALÇADA COM ACESSIBILIDADE E PINTURA DE BAÍA NO ASFALTO.</v>
      </c>
      <c r="R177" s="5" t="str">
        <f>IFERROR(__xludf.DUMMYFUNCTION("""COMPUTED_VALUE"""),"NENHUMA DAS OPÇÕES")</f>
        <v>NENHUMA DAS OPÇÕES</v>
      </c>
      <c r="S177" s="5"/>
      <c r="T177" s="5"/>
      <c r="U177" s="5"/>
      <c r="V177" s="9" t="str">
        <f>IFERROR(__xludf.DUMMYFUNCTION("""COMPUTED_VALUE"""),"https://drive.google.com/uc?id=1CD8fNqLfNw4FDTfeBQPApLT27l6S-iV6")</f>
        <v>https://drive.google.com/uc?id=1CD8fNqLfNw4FDTfeBQPApLT27l6S-iV6</v>
      </c>
      <c r="W177" s="5" t="str">
        <f>IFERROR(__xludf.DUMMYFUNCTION("""COMPUTED_VALUE"""),"NÃO")</f>
        <v>NÃO</v>
      </c>
      <c r="X177" s="5" t="str">
        <f>IFERROR(__xludf.DUMMYFUNCTION("""COMPUTED_VALUE"""),"NÃO SE APLICA")</f>
        <v>NÃO SE APLICA</v>
      </c>
    </row>
    <row r="178" hidden="1">
      <c r="A178" s="5">
        <f>IFERROR(__xludf.DUMMYFUNCTION("""COMPUTED_VALUE"""),7.0)</f>
        <v>7</v>
      </c>
      <c r="B178" s="5" t="str">
        <f>IFERROR(__xludf.DUMMYFUNCTION("""COMPUTED_VALUE"""),"CV010")</f>
        <v>CV010</v>
      </c>
      <c r="C178" s="5" t="str">
        <f>IFERROR(__xludf.DUMMYFUNCTION("""COMPUTED_VALUE"""),"NÃO POSSUI")</f>
        <v>NÃO POSSUI</v>
      </c>
      <c r="D178" s="5" t="str">
        <f>IFERROR(__xludf.DUMMYFUNCTION("""COMPUTED_VALUE"""),"COM SUPORTE")</f>
        <v>COM SUPORTE</v>
      </c>
      <c r="E178" s="5" t="str">
        <f>IFERROR(__xludf.DUMMYFUNCTION("""COMPUTED_VALUE"""),"SEM BAIA")</f>
        <v>SEM BAIA</v>
      </c>
      <c r="F178" s="5" t="str">
        <f>IFERROR(__xludf.DUMMYFUNCTION("""COMPUTED_VALUE"""),"NÃO")</f>
        <v>NÃO</v>
      </c>
      <c r="G178" s="5" t="str">
        <f>IFERROR(__xludf.DUMMYFUNCTION("""COMPUTED_VALUE"""),"NÃO")</f>
        <v>NÃO</v>
      </c>
      <c r="H178" s="5" t="str">
        <f>IFERROR(__xludf.DUMMYFUNCTION("""COMPUTED_VALUE"""),"PAVIMENTADA COM AVARIAS")</f>
        <v>PAVIMENTADA COM AVARIAS</v>
      </c>
      <c r="I178" s="6" t="str">
        <f>IFERROR(__xludf.DUMMYFUNCTION("""COMPUTED_VALUE"""),"-9.527528")</f>
        <v>-9.527528</v>
      </c>
      <c r="J178" s="6" t="str">
        <f>IFERROR(__xludf.DUMMYFUNCTION("""COMPUTED_VALUE"""),"-35.781730")</f>
        <v>-35.781730</v>
      </c>
      <c r="K178" s="5" t="str">
        <f>IFERROR(__xludf.DUMMYFUNCTION("""COMPUTED_VALUE"""),"RUA FORLATEZA")</f>
        <v>RUA FORLATEZA</v>
      </c>
      <c r="L178" s="5" t="str">
        <f>IFERROR(__xludf.DUMMYFUNCTION("""COMPUTED_VALUE"""),"COLETORA")</f>
        <v>COLETORA</v>
      </c>
      <c r="M178" s="5" t="str">
        <f>IFERROR(__xludf.DUMMYFUNCTION("""COMPUTED_VALUE"""),"CIDADE UNIVERSITÁRIA")</f>
        <v>CIDADE UNIVERSITÁRIA</v>
      </c>
      <c r="N178" s="5" t="str">
        <f>IFERROR(__xludf.DUMMYFUNCTION("""COMPUTED_VALUE"""),"INTEGRAÇÃO")</f>
        <v>INTEGRAÇÃO</v>
      </c>
      <c r="O178" s="5" t="str">
        <f>IFERROR(__xludf.DUMMYFUNCTION("""COMPUTED_VALUE"""),"EM FRENTE AO BL FRUTAS")</f>
        <v>EM FRENTE AO BL FRUTAS</v>
      </c>
      <c r="P178" s="5" t="str">
        <f>IFERROR(__xludf.DUMMYFUNCTION("""COMPUTED_VALUE"""),"PRIORIDADE MÉDIA")</f>
        <v>PRIORIDADE MÉDIA</v>
      </c>
      <c r="Q178" s="5" t="str">
        <f>IFERROR(__xludf.DUMMYFUNCTION("""COMPUTED_VALUE"""),"READEQUAÇÃO DE CALÇADA COM ACESSIBILIDADE E PINTURA DE BAÍA NO ASFALTO, LIMPEZA DE VEGETAÇÃO SELVAGEM CRESCENTE.")</f>
        <v>READEQUAÇÃO DE CALÇADA COM ACESSIBILIDADE E PINTURA DE BAÍA NO ASFALTO, LIMPEZA DE VEGETAÇÃO SELVAGEM CRESCENTE.</v>
      </c>
      <c r="R178" s="5" t="str">
        <f>IFERROR(__xludf.DUMMYFUNCTION("""COMPUTED_VALUE"""),"NENHUMA DAS OPÇÕES")</f>
        <v>NENHUMA DAS OPÇÕES</v>
      </c>
      <c r="S178" s="5"/>
      <c r="T178" s="5"/>
      <c r="U178" s="5"/>
      <c r="V178" s="9" t="str">
        <f>IFERROR(__xludf.DUMMYFUNCTION("""COMPUTED_VALUE"""),"https://drive.google.com/uc?id=1JzquAYXae1Qq4xfydLyGr3q1x6Gum2QR/view?usp=sharing")</f>
        <v>https://drive.google.com/uc?id=1JzquAYXae1Qq4xfydLyGr3q1x6Gum2QR/view?usp=sharing</v>
      </c>
      <c r="W178" s="5" t="str">
        <f>IFERROR(__xludf.DUMMYFUNCTION("""COMPUTED_VALUE"""),"NÃO")</f>
        <v>NÃO</v>
      </c>
      <c r="X178" s="5" t="str">
        <f>IFERROR(__xludf.DUMMYFUNCTION("""COMPUTED_VALUE"""),"NÃO SE APLICA")</f>
        <v>NÃO SE APLICA</v>
      </c>
    </row>
    <row r="179" hidden="1">
      <c r="A179" s="5">
        <f>IFERROR(__xludf.DUMMYFUNCTION("""COMPUTED_VALUE"""),7.0)</f>
        <v>7</v>
      </c>
      <c r="B179" s="5" t="str">
        <f>IFERROR(__xludf.DUMMYFUNCTION("""COMPUTED_VALUE"""),"CV011")</f>
        <v>CV011</v>
      </c>
      <c r="C179" s="5" t="str">
        <f>IFERROR(__xludf.DUMMYFUNCTION("""COMPUTED_VALUE"""),"NÃO POSSUI")</f>
        <v>NÃO POSSUI</v>
      </c>
      <c r="D179" s="5" t="str">
        <f>IFERROR(__xludf.DUMMYFUNCTION("""COMPUTED_VALUE"""),"COM SUPORTE")</f>
        <v>COM SUPORTE</v>
      </c>
      <c r="E179" s="5" t="str">
        <f>IFERROR(__xludf.DUMMYFUNCTION("""COMPUTED_VALUE"""),"SEM BAIA")</f>
        <v>SEM BAIA</v>
      </c>
      <c r="F179" s="5" t="str">
        <f>IFERROR(__xludf.DUMMYFUNCTION("""COMPUTED_VALUE"""),"NÃO")</f>
        <v>NÃO</v>
      </c>
      <c r="G179" s="5" t="str">
        <f>IFERROR(__xludf.DUMMYFUNCTION("""COMPUTED_VALUE"""),"NÃO")</f>
        <v>NÃO</v>
      </c>
      <c r="H179" s="5" t="str">
        <f>IFERROR(__xludf.DUMMYFUNCTION("""COMPUTED_VALUE"""),"PAVIMENTADA COM AVARIAS")</f>
        <v>PAVIMENTADA COM AVARIAS</v>
      </c>
      <c r="I179" s="6" t="str">
        <f>IFERROR(__xludf.DUMMYFUNCTION("""COMPUTED_VALUE"""),"-9.529417")</f>
        <v>-9.529417</v>
      </c>
      <c r="J179" s="6" t="str">
        <f>IFERROR(__xludf.DUMMYFUNCTION("""COMPUTED_VALUE"""),"-35.782750")</f>
        <v>-35.782750</v>
      </c>
      <c r="K179" s="5" t="str">
        <f>IFERROR(__xludf.DUMMYFUNCTION("""COMPUTED_VALUE"""),"AV B S/N")</f>
        <v>AV B S/N</v>
      </c>
      <c r="L179" s="5" t="str">
        <f>IFERROR(__xludf.DUMMYFUNCTION("""COMPUTED_VALUE"""),"COLETORA")</f>
        <v>COLETORA</v>
      </c>
      <c r="M179" s="5" t="str">
        <f>IFERROR(__xludf.DUMMYFUNCTION("""COMPUTED_VALUE"""),"CIDADE UNIVERSITÁRIA")</f>
        <v>CIDADE UNIVERSITÁRIA</v>
      </c>
      <c r="N179" s="5" t="str">
        <f>IFERROR(__xludf.DUMMYFUNCTION("""COMPUTED_VALUE"""),"INTEGRAÇÃO")</f>
        <v>INTEGRAÇÃO</v>
      </c>
      <c r="O179" s="5" t="str">
        <f>IFERROR(__xludf.DUMMYFUNCTION("""COMPUTED_VALUE"""),"EM FRENTE A PRAÇA")</f>
        <v>EM FRENTE A PRAÇA</v>
      </c>
      <c r="P179" s="5" t="str">
        <f>IFERROR(__xludf.DUMMYFUNCTION("""COMPUTED_VALUE"""),"PRIORIDADE MÉDIA")</f>
        <v>PRIORIDADE MÉDIA</v>
      </c>
      <c r="Q179" s="5" t="str">
        <f>IFERROR(__xludf.DUMMYFUNCTION("""COMPUTED_VALUE"""),"READEQUAÇÃO DE CALÇADA COM ACESSIBILIDADE E PINTURA DE BAÍA NO ASFALTO.")</f>
        <v>READEQUAÇÃO DE CALÇADA COM ACESSIBILIDADE E PINTURA DE BAÍA NO ASFALTO.</v>
      </c>
      <c r="R179" s="5" t="str">
        <f>IFERROR(__xludf.DUMMYFUNCTION("""COMPUTED_VALUE"""),"NENHUMA DAS OPÇÕES")</f>
        <v>NENHUMA DAS OPÇÕES</v>
      </c>
      <c r="S179" s="5"/>
      <c r="T179" s="5"/>
      <c r="U179" s="5"/>
      <c r="V179" s="9" t="str">
        <f>IFERROR(__xludf.DUMMYFUNCTION("""COMPUTED_VALUE"""),"https://drive.google.com/uc?id=13qS87G6B_GVjOq-zKLXFM0OPxsyw2lGo")</f>
        <v>https://drive.google.com/uc?id=13qS87G6B_GVjOq-zKLXFM0OPxsyw2lGo</v>
      </c>
      <c r="W179" s="5" t="str">
        <f>IFERROR(__xludf.DUMMYFUNCTION("""COMPUTED_VALUE"""),"NÃO")</f>
        <v>NÃO</v>
      </c>
      <c r="X179" s="5" t="str">
        <f>IFERROR(__xludf.DUMMYFUNCTION("""COMPUTED_VALUE"""),"NÃO SE APLICA")</f>
        <v>NÃO SE APLICA</v>
      </c>
    </row>
    <row r="180" hidden="1">
      <c r="A180" s="5">
        <f>IFERROR(__xludf.DUMMYFUNCTION("""COMPUTED_VALUE"""),7.0)</f>
        <v>7</v>
      </c>
      <c r="B180" s="5" t="str">
        <f>IFERROR(__xludf.DUMMYFUNCTION("""COMPUTED_VALUE"""),"CV012")</f>
        <v>CV012</v>
      </c>
      <c r="C180" s="5" t="str">
        <f>IFERROR(__xludf.DUMMYFUNCTION("""COMPUTED_VALUE"""),"NÃO POSSUI")</f>
        <v>NÃO POSSUI</v>
      </c>
      <c r="D180" s="5" t="str">
        <f>IFERROR(__xludf.DUMMYFUNCTION("""COMPUTED_VALUE"""),"COM SUPORTE")</f>
        <v>COM SUPORTE</v>
      </c>
      <c r="E180" s="5" t="str">
        <f>IFERROR(__xludf.DUMMYFUNCTION("""COMPUTED_VALUE"""),"SEM BAIA")</f>
        <v>SEM BAIA</v>
      </c>
      <c r="F180" s="5" t="str">
        <f>IFERROR(__xludf.DUMMYFUNCTION("""COMPUTED_VALUE"""),"NÃO")</f>
        <v>NÃO</v>
      </c>
      <c r="G180" s="5" t="str">
        <f>IFERROR(__xludf.DUMMYFUNCTION("""COMPUTED_VALUE"""),"NÃO")</f>
        <v>NÃO</v>
      </c>
      <c r="H180" s="5" t="str">
        <f>IFERROR(__xludf.DUMMYFUNCTION("""COMPUTED_VALUE"""),"PAVIMENTADA")</f>
        <v>PAVIMENTADA</v>
      </c>
      <c r="I180" s="6" t="str">
        <f>IFERROR(__xludf.DUMMYFUNCTION("""COMPUTED_VALUE"""),"-9.530818")</f>
        <v>-9.530818</v>
      </c>
      <c r="J180" s="6" t="str">
        <f>IFERROR(__xludf.DUMMYFUNCTION("""COMPUTED_VALUE"""),"-35.782335")</f>
        <v>-35.782335</v>
      </c>
      <c r="K180" s="5" t="str">
        <f>IFERROR(__xludf.DUMMYFUNCTION("""COMPUTED_VALUE"""),"AV. DE ENTRADA DO RES. MACEIÓ I")</f>
        <v>AV. DE ENTRADA DO RES. MACEIÓ I</v>
      </c>
      <c r="L180" s="5" t="str">
        <f>IFERROR(__xludf.DUMMYFUNCTION("""COMPUTED_VALUE"""),"COLETORA")</f>
        <v>COLETORA</v>
      </c>
      <c r="M180" s="5" t="str">
        <f>IFERROR(__xludf.DUMMYFUNCTION("""COMPUTED_VALUE"""),"CIDADE UNIVERSITÁRIA")</f>
        <v>CIDADE UNIVERSITÁRIA</v>
      </c>
      <c r="N180" s="5" t="str">
        <f>IFERROR(__xludf.DUMMYFUNCTION("""COMPUTED_VALUE"""),"INTEGRAÇÃO")</f>
        <v>INTEGRAÇÃO</v>
      </c>
      <c r="O180" s="5" t="str">
        <f>IFERROR(__xludf.DUMMYFUNCTION("""COMPUTED_VALUE"""),"EM FRENTE AO RES. GRAND JARDIM DOS EUCALÍPTOS")</f>
        <v>EM FRENTE AO RES. GRAND JARDIM DOS EUCALÍPTOS</v>
      </c>
      <c r="P180" s="5" t="str">
        <f>IFERROR(__xludf.DUMMYFUNCTION("""COMPUTED_VALUE"""),"PRIORIDADE MÉDIA")</f>
        <v>PRIORIDADE MÉDIA</v>
      </c>
      <c r="Q180" s="5" t="str">
        <f>IFERROR(__xludf.DUMMYFUNCTION("""COMPUTED_VALUE"""),"READEQUAÇÃO DE CALÇADA COM ACESSIBILIDADE E PINTURA DE BAÍA NO ASFALTO, LIMPEZA DE VEGETAÇÃO SELVAGEM CRESCENTE.")</f>
        <v>READEQUAÇÃO DE CALÇADA COM ACESSIBILIDADE E PINTURA DE BAÍA NO ASFALTO, LIMPEZA DE VEGETAÇÃO SELVAGEM CRESCENTE.</v>
      </c>
      <c r="R180" s="5" t="str">
        <f>IFERROR(__xludf.DUMMYFUNCTION("""COMPUTED_VALUE"""),"NENHUMA DAS OPÇÕES")</f>
        <v>NENHUMA DAS OPÇÕES</v>
      </c>
      <c r="S180" s="5"/>
      <c r="T180" s="5"/>
      <c r="U180" s="5"/>
      <c r="V180" s="9" t="str">
        <f>IFERROR(__xludf.DUMMYFUNCTION("""COMPUTED_VALUE"""),"https://drive.google.com/uc?id=1hK4EtX-P0fSwXk6pG_W2UCWDC2HVKbT_")</f>
        <v>https://drive.google.com/uc?id=1hK4EtX-P0fSwXk6pG_W2UCWDC2HVKbT_</v>
      </c>
      <c r="W180" s="5" t="str">
        <f>IFERROR(__xludf.DUMMYFUNCTION("""COMPUTED_VALUE"""),"NÃO")</f>
        <v>NÃO</v>
      </c>
      <c r="X180" s="5" t="str">
        <f>IFERROR(__xludf.DUMMYFUNCTION("""COMPUTED_VALUE"""),"NÃO SE APLICA")</f>
        <v>NÃO SE APLICA</v>
      </c>
    </row>
    <row r="181" hidden="1">
      <c r="A181" s="5">
        <f>IFERROR(__xludf.DUMMYFUNCTION("""COMPUTED_VALUE"""),7.0)</f>
        <v>7</v>
      </c>
      <c r="B181" s="5" t="str">
        <f>IFERROR(__xludf.DUMMYFUNCTION("""COMPUTED_VALUE"""),"CV013")</f>
        <v>CV013</v>
      </c>
      <c r="C181" s="5" t="str">
        <f>IFERROR(__xludf.DUMMYFUNCTION("""COMPUTED_VALUE"""),"NÃO POSSUI")</f>
        <v>NÃO POSSUI</v>
      </c>
      <c r="D181" s="5" t="str">
        <f>IFERROR(__xludf.DUMMYFUNCTION("""COMPUTED_VALUE"""),"FIXADA EM POSTE")</f>
        <v>FIXADA EM POSTE</v>
      </c>
      <c r="E181" s="5" t="str">
        <f>IFERROR(__xludf.DUMMYFUNCTION("""COMPUTED_VALUE"""),"SEM BAIA")</f>
        <v>SEM BAIA</v>
      </c>
      <c r="F181" s="5" t="str">
        <f>IFERROR(__xludf.DUMMYFUNCTION("""COMPUTED_VALUE"""),"NÃO")</f>
        <v>NÃO</v>
      </c>
      <c r="G181" s="5" t="str">
        <f>IFERROR(__xludf.DUMMYFUNCTION("""COMPUTED_VALUE"""),"NÃO")</f>
        <v>NÃO</v>
      </c>
      <c r="H181" s="5" t="str">
        <f>IFERROR(__xludf.DUMMYFUNCTION("""COMPUTED_VALUE"""),"PAVIMENTADA")</f>
        <v>PAVIMENTADA</v>
      </c>
      <c r="I181" s="6" t="str">
        <f>IFERROR(__xludf.DUMMYFUNCTION("""COMPUTED_VALUE"""),"-9.53280")</f>
        <v>-9.53280</v>
      </c>
      <c r="J181" s="6" t="str">
        <f>IFERROR(__xludf.DUMMYFUNCTION("""COMPUTED_VALUE"""),"-35.78619")</f>
        <v>-35.78619</v>
      </c>
      <c r="K181" s="5" t="str">
        <f>IFERROR(__xludf.DUMMYFUNCTION("""COMPUTED_VALUE"""),"AV. DE ENTRADA DO RES. MACEIÓ 1 ")</f>
        <v>AV. DE ENTRADA DO RES. MACEIÓ 1 </v>
      </c>
      <c r="L181" s="5" t="str">
        <f>IFERROR(__xludf.DUMMYFUNCTION("""COMPUTED_VALUE"""),"COLETORA")</f>
        <v>COLETORA</v>
      </c>
      <c r="M181" s="5" t="str">
        <f>IFERROR(__xludf.DUMMYFUNCTION("""COMPUTED_VALUE"""),"CIDADE UNIVERSITÁRIA")</f>
        <v>CIDADE UNIVERSITÁRIA</v>
      </c>
      <c r="N181" s="5" t="str">
        <f>IFERROR(__xludf.DUMMYFUNCTION("""COMPUTED_VALUE"""),"INTEGRAÇÃO")</f>
        <v>INTEGRAÇÃO</v>
      </c>
      <c r="O181" s="5" t="str">
        <f>IFERROR(__xludf.DUMMYFUNCTION("""COMPUTED_VALUE"""),"ENTRADA DO RESIDENCIAL GRAND JARDIM DAS PALMEIRAS")</f>
        <v>ENTRADA DO RESIDENCIAL GRAND JARDIM DAS PALMEIRAS</v>
      </c>
      <c r="P181" s="5" t="str">
        <f>IFERROR(__xludf.DUMMYFUNCTION("""COMPUTED_VALUE"""),"PRIORIDADE MÉDIA")</f>
        <v>PRIORIDADE MÉDIA</v>
      </c>
      <c r="Q181" s="5" t="str">
        <f>IFERROR(__xludf.DUMMYFUNCTION("""COMPUTED_VALUE"""),"READEQUAÇÃO DE CALÇADA COM ACESSIBILIDADE E PINTURA DE BAÍA NO ASFALTO.")</f>
        <v>READEQUAÇÃO DE CALÇADA COM ACESSIBILIDADE E PINTURA DE BAÍA NO ASFALTO.</v>
      </c>
      <c r="R181" s="5" t="str">
        <f>IFERROR(__xludf.DUMMYFUNCTION("""COMPUTED_VALUE"""),"NENHUMA DAS OPÇÕES")</f>
        <v>NENHUMA DAS OPÇÕES</v>
      </c>
      <c r="S181" s="5"/>
      <c r="T181" s="5"/>
      <c r="U181" s="5"/>
      <c r="V181" s="9" t="str">
        <f>IFERROR(__xludf.DUMMYFUNCTION("""COMPUTED_VALUE"""),"https://drive.google.com/uc?id=1iCZGSuEh5BmP_TwqPcfAeK_gftwWHydl")</f>
        <v>https://drive.google.com/uc?id=1iCZGSuEh5BmP_TwqPcfAeK_gftwWHydl</v>
      </c>
      <c r="W181" s="5" t="str">
        <f>IFERROR(__xludf.DUMMYFUNCTION("""COMPUTED_VALUE"""),"NÃO")</f>
        <v>NÃO</v>
      </c>
      <c r="X181" s="5" t="str">
        <f>IFERROR(__xludf.DUMMYFUNCTION("""COMPUTED_VALUE"""),"NÃO SE APLICA")</f>
        <v>NÃO SE APLICA</v>
      </c>
    </row>
    <row r="182" hidden="1">
      <c r="A182" s="5">
        <f>IFERROR(__xludf.DUMMYFUNCTION("""COMPUTED_VALUE"""),7.0)</f>
        <v>7</v>
      </c>
      <c r="B182" s="5" t="str">
        <f>IFERROR(__xludf.DUMMYFUNCTION("""COMPUTED_VALUE"""),"CV014")</f>
        <v>CV014</v>
      </c>
      <c r="C182" s="5" t="str">
        <f>IFERROR(__xludf.DUMMYFUNCTION("""COMPUTED_VALUE"""),"NÃO POSSUI")</f>
        <v>NÃO POSSUI</v>
      </c>
      <c r="D182" s="5" t="str">
        <f>IFERROR(__xludf.DUMMYFUNCTION("""COMPUTED_VALUE"""),"FIXADA EM POSTE")</f>
        <v>FIXADA EM POSTE</v>
      </c>
      <c r="E182" s="5" t="str">
        <f>IFERROR(__xludf.DUMMYFUNCTION("""COMPUTED_VALUE"""),"SEM BAIA")</f>
        <v>SEM BAIA</v>
      </c>
      <c r="F182" s="5" t="str">
        <f>IFERROR(__xludf.DUMMYFUNCTION("""COMPUTED_VALUE"""),"NÃO")</f>
        <v>NÃO</v>
      </c>
      <c r="G182" s="5" t="str">
        <f>IFERROR(__xludf.DUMMYFUNCTION("""COMPUTED_VALUE"""),"NÃO")</f>
        <v>NÃO</v>
      </c>
      <c r="H182" s="5" t="str">
        <f>IFERROR(__xludf.DUMMYFUNCTION("""COMPUTED_VALUE"""),"PAVIMENTADA COM AVARIAS")</f>
        <v>PAVIMENTADA COM AVARIAS</v>
      </c>
      <c r="I182" s="6" t="str">
        <f>IFERROR(__xludf.DUMMYFUNCTION("""COMPUTED_VALUE"""),"-9.522367")</f>
        <v>-9.522367</v>
      </c>
      <c r="J182" s="6" t="str">
        <f>IFERROR(__xludf.DUMMYFUNCTION("""COMPUTED_VALUE"""),"-35.780523")</f>
        <v>-35.780523</v>
      </c>
      <c r="K182" s="5" t="str">
        <f>IFERROR(__xludf.DUMMYFUNCTION("""COMPUTED_VALUE"""),"FINAL DO RESIDENCIAL MACEIÓ 1")</f>
        <v>FINAL DO RESIDENCIAL MACEIÓ 1</v>
      </c>
      <c r="L182" s="5" t="str">
        <f>IFERROR(__xludf.DUMMYFUNCTION("""COMPUTED_VALUE"""),"COLETORA")</f>
        <v>COLETORA</v>
      </c>
      <c r="M182" s="5" t="str">
        <f>IFERROR(__xludf.DUMMYFUNCTION("""COMPUTED_VALUE"""),"CIDADE UNIVERSITÁRIA")</f>
        <v>CIDADE UNIVERSITÁRIA</v>
      </c>
      <c r="N182" s="5" t="str">
        <f>IFERROR(__xludf.DUMMYFUNCTION("""COMPUTED_VALUE"""),"INTEGRAÇÃO")</f>
        <v>INTEGRAÇÃO</v>
      </c>
      <c r="O182" s="5" t="str">
        <f>IFERROR(__xludf.DUMMYFUNCTION("""COMPUTED_VALUE"""),"EM FRENTE A MERCEARIA PONTO FINAL")</f>
        <v>EM FRENTE A MERCEARIA PONTO FINAL</v>
      </c>
      <c r="P182" s="5" t="str">
        <f>IFERROR(__xludf.DUMMYFUNCTION("""COMPUTED_VALUE"""),"PRIORIDADE MÉDIA")</f>
        <v>PRIORIDADE MÉDIA</v>
      </c>
      <c r="Q182" s="5" t="str">
        <f>IFERROR(__xludf.DUMMYFUNCTION("""COMPUTED_VALUE"""),"READEQUAÇÃO DE CALÇADA COM ACESSIBILIDADE E PINTURA DE BAÍA NO ASFALTO.")</f>
        <v>READEQUAÇÃO DE CALÇADA COM ACESSIBILIDADE E PINTURA DE BAÍA NO ASFALTO.</v>
      </c>
      <c r="R182" s="5" t="str">
        <f>IFERROR(__xludf.DUMMYFUNCTION("""COMPUTED_VALUE"""),"NENHUMA DAS OPÇÕES")</f>
        <v>NENHUMA DAS OPÇÕES</v>
      </c>
      <c r="S182" s="5"/>
      <c r="T182" s="5"/>
      <c r="U182" s="5"/>
      <c r="V182" s="9" t="str">
        <f>IFERROR(__xludf.DUMMYFUNCTION("""COMPUTED_VALUE"""),"https://drive.google.com/uc?id=1aZgzJL-3yvwgdMIkVstunMy4hoQuBe1J")</f>
        <v>https://drive.google.com/uc?id=1aZgzJL-3yvwgdMIkVstunMy4hoQuBe1J</v>
      </c>
      <c r="W182" s="5" t="str">
        <f>IFERROR(__xludf.DUMMYFUNCTION("""COMPUTED_VALUE"""),"NÃO")</f>
        <v>NÃO</v>
      </c>
      <c r="X182" s="5" t="str">
        <f>IFERROR(__xludf.DUMMYFUNCTION("""COMPUTED_VALUE"""),"NÃO SE APLICA")</f>
        <v>NÃO SE APLICA</v>
      </c>
    </row>
    <row r="183" hidden="1">
      <c r="A183" s="5">
        <f>IFERROR(__xludf.DUMMYFUNCTION("""COMPUTED_VALUE"""),7.0)</f>
        <v>7</v>
      </c>
      <c r="B183" s="5" t="str">
        <f>IFERROR(__xludf.DUMMYFUNCTION("""COMPUTED_VALUE"""),"CV015")</f>
        <v>CV015</v>
      </c>
      <c r="C183" s="5" t="str">
        <f>IFERROR(__xludf.DUMMYFUNCTION("""COMPUTED_VALUE"""),"NÃO POSSUI")</f>
        <v>NÃO POSSUI</v>
      </c>
      <c r="D183" s="5" t="str">
        <f>IFERROR(__xludf.DUMMYFUNCTION("""COMPUTED_VALUE"""),"COM SUPORTE")</f>
        <v>COM SUPORTE</v>
      </c>
      <c r="E183" s="5" t="str">
        <f>IFERROR(__xludf.DUMMYFUNCTION("""COMPUTED_VALUE"""),"SEM BAIA")</f>
        <v>SEM BAIA</v>
      </c>
      <c r="F183" s="5" t="str">
        <f>IFERROR(__xludf.DUMMYFUNCTION("""COMPUTED_VALUE"""),"NÃO")</f>
        <v>NÃO</v>
      </c>
      <c r="G183" s="5" t="str">
        <f>IFERROR(__xludf.DUMMYFUNCTION("""COMPUTED_VALUE"""),"NÃO")</f>
        <v>NÃO</v>
      </c>
      <c r="H183" s="5" t="str">
        <f>IFERROR(__xludf.DUMMYFUNCTION("""COMPUTED_VALUE"""),"PAVIMENTADA")</f>
        <v>PAVIMENTADA</v>
      </c>
      <c r="I183" s="6" t="str">
        <f>IFERROR(__xludf.DUMMYFUNCTION("""COMPUTED_VALUE"""),"-9.52559")</f>
        <v>-9.52559</v>
      </c>
      <c r="J183" s="6" t="str">
        <f>IFERROR(__xludf.DUMMYFUNCTION("""COMPUTED_VALUE"""),"-35.77809")</f>
        <v>-35.77809</v>
      </c>
      <c r="K183" s="5" t="str">
        <f>IFERROR(__xludf.DUMMYFUNCTION("""COMPUTED_VALUE"""),"RESIDENCIAL MACEIÓ 1")</f>
        <v>RESIDENCIAL MACEIÓ 1</v>
      </c>
      <c r="L183" s="5" t="str">
        <f>IFERROR(__xludf.DUMMYFUNCTION("""COMPUTED_VALUE"""),"COLETORA")</f>
        <v>COLETORA</v>
      </c>
      <c r="M183" s="5" t="str">
        <f>IFERROR(__xludf.DUMMYFUNCTION("""COMPUTED_VALUE"""),"CIDADE UNIVERSITÁRIA")</f>
        <v>CIDADE UNIVERSITÁRIA</v>
      </c>
      <c r="N183" s="5" t="str">
        <f>IFERROR(__xludf.DUMMYFUNCTION("""COMPUTED_VALUE"""),"INTEGRAÇÃO")</f>
        <v>INTEGRAÇÃO</v>
      </c>
      <c r="O183" s="5" t="str">
        <f>IFERROR(__xludf.DUMMYFUNCTION("""COMPUTED_VALUE"""),"EM FRENTE A CRECHE VALENTE NO RESIDENCIAL MACEIÓ")</f>
        <v>EM FRENTE A CRECHE VALENTE NO RESIDENCIAL MACEIÓ</v>
      </c>
      <c r="P183" s="5" t="str">
        <f>IFERROR(__xludf.DUMMYFUNCTION("""COMPUTED_VALUE"""),"PRIORIDADE MÉDIA")</f>
        <v>PRIORIDADE MÉDIA</v>
      </c>
      <c r="Q183" s="5" t="str">
        <f>IFERROR(__xludf.DUMMYFUNCTION("""COMPUTED_VALUE"""),"READEQUAÇÃO DE CALÇADA COM ACESSIBILIDADE E PINTURA DE BAÍA NO ASFALTO, LIMPEZA DE VEGETAÇÃO SELVAGEM CRESCENTE.")</f>
        <v>READEQUAÇÃO DE CALÇADA COM ACESSIBILIDADE E PINTURA DE BAÍA NO ASFALTO, LIMPEZA DE VEGETAÇÃO SELVAGEM CRESCENTE.</v>
      </c>
      <c r="R183" s="5" t="str">
        <f>IFERROR(__xludf.DUMMYFUNCTION("""COMPUTED_VALUE"""),"NENHUMA DAS OPÇÕES")</f>
        <v>NENHUMA DAS OPÇÕES</v>
      </c>
      <c r="S183" s="5"/>
      <c r="T183" s="5"/>
      <c r="U183" s="5"/>
      <c r="V183" s="9" t="str">
        <f>IFERROR(__xludf.DUMMYFUNCTION("""COMPUTED_VALUE"""),"https://drive.google.com/uc?id=1HUAYK4X2WNSC3w-xfvbMDrtRfK9n5jB1")</f>
        <v>https://drive.google.com/uc?id=1HUAYK4X2WNSC3w-xfvbMDrtRfK9n5jB1</v>
      </c>
      <c r="W183" s="5" t="str">
        <f>IFERROR(__xludf.DUMMYFUNCTION("""COMPUTED_VALUE"""),"NÃO")</f>
        <v>NÃO</v>
      </c>
      <c r="X183" s="5" t="str">
        <f>IFERROR(__xludf.DUMMYFUNCTION("""COMPUTED_VALUE"""),"NÃO SE APLICA")</f>
        <v>NÃO SE APLICA</v>
      </c>
    </row>
    <row r="184" hidden="1">
      <c r="A184" s="5">
        <f>IFERROR(__xludf.DUMMYFUNCTION("""COMPUTED_VALUE"""),7.0)</f>
        <v>7</v>
      </c>
      <c r="B184" s="5" t="str">
        <f>IFERROR(__xludf.DUMMYFUNCTION("""COMPUTED_VALUE"""),"CV016")</f>
        <v>CV016</v>
      </c>
      <c r="C184" s="5" t="str">
        <f>IFERROR(__xludf.DUMMYFUNCTION("""COMPUTED_VALUE"""),"NÃO POSSUI")</f>
        <v>NÃO POSSUI</v>
      </c>
      <c r="D184" s="5" t="str">
        <f>IFERROR(__xludf.DUMMYFUNCTION("""COMPUTED_VALUE"""),"COM SUPORTE")</f>
        <v>COM SUPORTE</v>
      </c>
      <c r="E184" s="5" t="str">
        <f>IFERROR(__xludf.DUMMYFUNCTION("""COMPUTED_VALUE"""),"SEM BAIA")</f>
        <v>SEM BAIA</v>
      </c>
      <c r="F184" s="5" t="str">
        <f>IFERROR(__xludf.DUMMYFUNCTION("""COMPUTED_VALUE"""),"NÃO")</f>
        <v>NÃO</v>
      </c>
      <c r="G184" s="5" t="str">
        <f>IFERROR(__xludf.DUMMYFUNCTION("""COMPUTED_VALUE"""),"NÃO")</f>
        <v>NÃO</v>
      </c>
      <c r="H184" s="5" t="str">
        <f>IFERROR(__xludf.DUMMYFUNCTION("""COMPUTED_VALUE"""),"PAVIMENTADA")</f>
        <v>PAVIMENTADA</v>
      </c>
      <c r="I184" s="6" t="str">
        <f>IFERROR(__xludf.DUMMYFUNCTION("""COMPUTED_VALUE"""),"-9.521377")</f>
        <v>-9.521377</v>
      </c>
      <c r="J184" s="6" t="str">
        <f>IFERROR(__xludf.DUMMYFUNCTION("""COMPUTED_VALUE"""),"-35.778290")</f>
        <v>-35.778290</v>
      </c>
      <c r="K184" s="5" t="str">
        <f>IFERROR(__xludf.DUMMYFUNCTION("""COMPUTED_VALUE"""),"AV. BOSQUE DA CIMEIRA, S/N")</f>
        <v>AV. BOSQUE DA CIMEIRA, S/N</v>
      </c>
      <c r="L184" s="5" t="str">
        <f>IFERROR(__xludf.DUMMYFUNCTION("""COMPUTED_VALUE"""),"COLETORA")</f>
        <v>COLETORA</v>
      </c>
      <c r="M184" s="5" t="str">
        <f>IFERROR(__xludf.DUMMYFUNCTION("""COMPUTED_VALUE"""),"CIDADE UNIVERSITÁRIA")</f>
        <v>CIDADE UNIVERSITÁRIA</v>
      </c>
      <c r="N184" s="5" t="str">
        <f>IFERROR(__xludf.DUMMYFUNCTION("""COMPUTED_VALUE"""),"INTEGRAÇÃO")</f>
        <v>INTEGRAÇÃO</v>
      </c>
      <c r="O184" s="5" t="str">
        <f>IFERROR(__xludf.DUMMYFUNCTION("""COMPUTED_VALUE"""),"EM FRENTE AO RES. GRAND JARDIM DAS AMENDOEIRAS")</f>
        <v>EM FRENTE AO RES. GRAND JARDIM DAS AMENDOEIRAS</v>
      </c>
      <c r="P184" s="5" t="str">
        <f>IFERROR(__xludf.DUMMYFUNCTION("""COMPUTED_VALUE"""),"PRIORIDADE MÉDIA")</f>
        <v>PRIORIDADE MÉDIA</v>
      </c>
      <c r="Q184" s="5" t="str">
        <f>IFERROR(__xludf.DUMMYFUNCTION("""COMPUTED_VALUE"""),"READEQUAÇÃO DE CALÇADA COM ACESSIBILIDADE E PINTURA DE BAÍA NO ASFALTO.")</f>
        <v>READEQUAÇÃO DE CALÇADA COM ACESSIBILIDADE E PINTURA DE BAÍA NO ASFALTO.</v>
      </c>
      <c r="R184" s="5" t="str">
        <f>IFERROR(__xludf.DUMMYFUNCTION("""COMPUTED_VALUE"""),"NENHUMA DAS OPÇÕES")</f>
        <v>NENHUMA DAS OPÇÕES</v>
      </c>
      <c r="S184" s="5"/>
      <c r="T184" s="5"/>
      <c r="U184" s="5"/>
      <c r="V184" s="9" t="str">
        <f>IFERROR(__xludf.DUMMYFUNCTION("""COMPUTED_VALUE"""),"https://drive.google.com/uc?id=1iwwHkgdpx5w0agZztp9LDHBpH_1ISeNC")</f>
        <v>https://drive.google.com/uc?id=1iwwHkgdpx5w0agZztp9LDHBpH_1ISeNC</v>
      </c>
      <c r="W184" s="5" t="str">
        <f>IFERROR(__xludf.DUMMYFUNCTION("""COMPUTED_VALUE"""),"NÃO")</f>
        <v>NÃO</v>
      </c>
      <c r="X184" s="5" t="str">
        <f>IFERROR(__xludf.DUMMYFUNCTION("""COMPUTED_VALUE"""),"NÃO SE APLICA")</f>
        <v>NÃO SE APLICA</v>
      </c>
    </row>
    <row r="185" hidden="1">
      <c r="A185" s="5">
        <f>IFERROR(__xludf.DUMMYFUNCTION("""COMPUTED_VALUE"""),7.0)</f>
        <v>7</v>
      </c>
      <c r="B185" s="5" t="str">
        <f>IFERROR(__xludf.DUMMYFUNCTION("""COMPUTED_VALUE"""),"CV017")</f>
        <v>CV017</v>
      </c>
      <c r="C185" s="5" t="str">
        <f>IFERROR(__xludf.DUMMYFUNCTION("""COMPUTED_VALUE"""),"NÃO POSSUI")</f>
        <v>NÃO POSSUI</v>
      </c>
      <c r="D185" s="5" t="str">
        <f>IFERROR(__xludf.DUMMYFUNCTION("""COMPUTED_VALUE"""),"COM SUPORTE")</f>
        <v>COM SUPORTE</v>
      </c>
      <c r="E185" s="5" t="str">
        <f>IFERROR(__xludf.DUMMYFUNCTION("""COMPUTED_VALUE"""),"SEM BAIA")</f>
        <v>SEM BAIA</v>
      </c>
      <c r="F185" s="5" t="str">
        <f>IFERROR(__xludf.DUMMYFUNCTION("""COMPUTED_VALUE"""),"NÃO")</f>
        <v>NÃO</v>
      </c>
      <c r="G185" s="5" t="str">
        <f>IFERROR(__xludf.DUMMYFUNCTION("""COMPUTED_VALUE"""),"NÃO")</f>
        <v>NÃO</v>
      </c>
      <c r="H185" s="5" t="str">
        <f>IFERROR(__xludf.DUMMYFUNCTION("""COMPUTED_VALUE"""),"PAVIMENTADA")</f>
        <v>PAVIMENTADA</v>
      </c>
      <c r="I185" s="6" t="str">
        <f>IFERROR(__xludf.DUMMYFUNCTION("""COMPUTED_VALUE"""),"-9.524708")</f>
        <v>-9.524708</v>
      </c>
      <c r="J185" s="6" t="str">
        <f>IFERROR(__xludf.DUMMYFUNCTION("""COMPUTED_VALUE"""),"-35.775750")</f>
        <v>-35.775750</v>
      </c>
      <c r="K185" s="5" t="str">
        <f>IFERROR(__xludf.DUMMYFUNCTION("""COMPUTED_VALUE"""),"ALAMENDA DAS AMENDOEIRAS, S/n")</f>
        <v>ALAMENDA DAS AMENDOEIRAS, S/n</v>
      </c>
      <c r="L185" s="5" t="str">
        <f>IFERROR(__xludf.DUMMYFUNCTION("""COMPUTED_VALUE"""),"COLETORA")</f>
        <v>COLETORA</v>
      </c>
      <c r="M185" s="5" t="str">
        <f>IFERROR(__xludf.DUMMYFUNCTION("""COMPUTED_VALUE"""),"CIDADE UNIVERSITÁRIA")</f>
        <v>CIDADE UNIVERSITÁRIA</v>
      </c>
      <c r="N185" s="5" t="str">
        <f>IFERROR(__xludf.DUMMYFUNCTION("""COMPUTED_VALUE"""),"INTEGRAÇÃO")</f>
        <v>INTEGRAÇÃO</v>
      </c>
      <c r="O185" s="5" t="str">
        <f>IFERROR(__xludf.DUMMYFUNCTION("""COMPUTED_VALUE"""),"EM FRENTE AO RES. GRAND JARDIM DAS TULIPAS")</f>
        <v>EM FRENTE AO RES. GRAND JARDIM DAS TULIPAS</v>
      </c>
      <c r="P185" s="5" t="str">
        <f>IFERROR(__xludf.DUMMYFUNCTION("""COMPUTED_VALUE"""),"PRIORIDADE MÉDIA")</f>
        <v>PRIORIDADE MÉDIA</v>
      </c>
      <c r="Q185" s="5" t="str">
        <f>IFERROR(__xludf.DUMMYFUNCTION("""COMPUTED_VALUE"""),"READEQUAÇÃO DE CALÇADA COM ACESSIBILIDADE E PINTURA DE BAÍA NO ASFALTO, LIMPEZA DE VEGETAÇÃO SELVAGEM CRESCENTE.")</f>
        <v>READEQUAÇÃO DE CALÇADA COM ACESSIBILIDADE E PINTURA DE BAÍA NO ASFALTO, LIMPEZA DE VEGETAÇÃO SELVAGEM CRESCENTE.</v>
      </c>
      <c r="R185" s="5" t="str">
        <f>IFERROR(__xludf.DUMMYFUNCTION("""COMPUTED_VALUE"""),"NENHUMA DAS OPÇÕES")</f>
        <v>NENHUMA DAS OPÇÕES</v>
      </c>
      <c r="S185" s="5"/>
      <c r="T185" s="5"/>
      <c r="U185" s="5"/>
      <c r="V185" s="9" t="str">
        <f>IFERROR(__xludf.DUMMYFUNCTION("""COMPUTED_VALUE"""),"https://drive.google.com/uc?id=1Kq9Gzx2BQJliIj1RiDTYkmiyokxr0LgU")</f>
        <v>https://drive.google.com/uc?id=1Kq9Gzx2BQJliIj1RiDTYkmiyokxr0LgU</v>
      </c>
      <c r="W185" s="5" t="str">
        <f>IFERROR(__xludf.DUMMYFUNCTION("""COMPUTED_VALUE"""),"NÃO")</f>
        <v>NÃO</v>
      </c>
      <c r="X185" s="5" t="str">
        <f>IFERROR(__xludf.DUMMYFUNCTION("""COMPUTED_VALUE"""),"NÃO SE APLICA")</f>
        <v>NÃO SE APLICA</v>
      </c>
    </row>
    <row r="186" hidden="1">
      <c r="A186" s="5">
        <f>IFERROR(__xludf.DUMMYFUNCTION("""COMPUTED_VALUE"""),7.0)</f>
        <v>7</v>
      </c>
      <c r="B186" s="5" t="str">
        <f>IFERROR(__xludf.DUMMYFUNCTION("""COMPUTED_VALUE"""),"CV018")</f>
        <v>CV018</v>
      </c>
      <c r="C186" s="5" t="str">
        <f>IFERROR(__xludf.DUMMYFUNCTION("""COMPUTED_VALUE"""),"NÃO POSSUI")</f>
        <v>NÃO POSSUI</v>
      </c>
      <c r="D186" s="5" t="str">
        <f>IFERROR(__xludf.DUMMYFUNCTION("""COMPUTED_VALUE"""),"COM SUPORTE")</f>
        <v>COM SUPORTE</v>
      </c>
      <c r="E186" s="5" t="str">
        <f>IFERROR(__xludf.DUMMYFUNCTION("""COMPUTED_VALUE"""),"SEM BAIA")</f>
        <v>SEM BAIA</v>
      </c>
      <c r="F186" s="5" t="str">
        <f>IFERROR(__xludf.DUMMYFUNCTION("""COMPUTED_VALUE"""),"NÃO")</f>
        <v>NÃO</v>
      </c>
      <c r="G186" s="5" t="str">
        <f>IFERROR(__xludf.DUMMYFUNCTION("""COMPUTED_VALUE"""),"NÃO")</f>
        <v>NÃO</v>
      </c>
      <c r="H186" s="5" t="str">
        <f>IFERROR(__xludf.DUMMYFUNCTION("""COMPUTED_VALUE"""),"PAVIMENTADA")</f>
        <v>PAVIMENTADA</v>
      </c>
      <c r="I186" s="6" t="str">
        <f>IFERROR(__xludf.DUMMYFUNCTION("""COMPUTED_VALUE"""),"-9.52641")</f>
        <v>-9.52641</v>
      </c>
      <c r="J186" s="6" t="str">
        <f>IFERROR(__xludf.DUMMYFUNCTION("""COMPUTED_VALUE"""),"-35.77988")</f>
        <v>-35.77988</v>
      </c>
      <c r="K186" s="5" t="str">
        <f>IFERROR(__xludf.DUMMYFUNCTION("""COMPUTED_VALUE"""),"RESIDENCIAL MACEIÓ 1")</f>
        <v>RESIDENCIAL MACEIÓ 1</v>
      </c>
      <c r="L186" s="5" t="str">
        <f>IFERROR(__xludf.DUMMYFUNCTION("""COMPUTED_VALUE"""),"COLETORA")</f>
        <v>COLETORA</v>
      </c>
      <c r="M186" s="5" t="str">
        <f>IFERROR(__xludf.DUMMYFUNCTION("""COMPUTED_VALUE"""),"CIDADE UNIVERSITÁRIA")</f>
        <v>CIDADE UNIVERSITÁRIA</v>
      </c>
      <c r="N186" s="5" t="str">
        <f>IFERROR(__xludf.DUMMYFUNCTION("""COMPUTED_VALUE"""),"INTEGRAÇÃO")</f>
        <v>INTEGRAÇÃO</v>
      </c>
      <c r="O186" s="5" t="str">
        <f>IFERROR(__xludf.DUMMYFUNCTION("""COMPUTED_VALUE"""),"EM FRENTE A PRAÇA")</f>
        <v>EM FRENTE A PRAÇA</v>
      </c>
      <c r="P186" s="5" t="str">
        <f>IFERROR(__xludf.DUMMYFUNCTION("""COMPUTED_VALUE"""),"PRIORIDADE MÉDIA")</f>
        <v>PRIORIDADE MÉDIA</v>
      </c>
      <c r="Q186" s="5" t="str">
        <f>IFERROR(__xludf.DUMMYFUNCTION("""COMPUTED_VALUE"""),"READEQUAÇÃO DE CALÇADA COM ACESSIBILIDADE E PINTURA DE BAÍA NO ASFALTO.")</f>
        <v>READEQUAÇÃO DE CALÇADA COM ACESSIBILIDADE E PINTURA DE BAÍA NO ASFALTO.</v>
      </c>
      <c r="R186" s="5" t="str">
        <f>IFERROR(__xludf.DUMMYFUNCTION("""COMPUTED_VALUE"""),"NENHUMA DAS OPÇÕES")</f>
        <v>NENHUMA DAS OPÇÕES</v>
      </c>
      <c r="S186" s="5"/>
      <c r="T186" s="5"/>
      <c r="U186" s="5"/>
      <c r="V186" s="9" t="str">
        <f>IFERROR(__xludf.DUMMYFUNCTION("""COMPUTED_VALUE"""),"https://drive.google.com/uc?id=1Upyf2zlcyahnSQbP6DQhAVhl7qQisb_m")</f>
        <v>https://drive.google.com/uc?id=1Upyf2zlcyahnSQbP6DQhAVhl7qQisb_m</v>
      </c>
      <c r="W186" s="5" t="str">
        <f>IFERROR(__xludf.DUMMYFUNCTION("""COMPUTED_VALUE"""),"NÃO")</f>
        <v>NÃO</v>
      </c>
      <c r="X186" s="5" t="str">
        <f>IFERROR(__xludf.DUMMYFUNCTION("""COMPUTED_VALUE"""),"NÃO SE APLICA")</f>
        <v>NÃO SE APLICA</v>
      </c>
    </row>
    <row r="187">
      <c r="A187" s="5">
        <f>IFERROR(__xludf.DUMMYFUNCTION("""COMPUTED_VALUE"""),7.0)</f>
        <v>7</v>
      </c>
      <c r="B187" s="5" t="str">
        <f>IFERROR(__xludf.DUMMYFUNCTION("""COMPUTED_VALUE"""),"CV021")</f>
        <v>CV021</v>
      </c>
      <c r="C187" s="5" t="str">
        <f>IFERROR(__xludf.DUMMYFUNCTION("""COMPUTED_VALUE"""),"ABRIGO CONCRETO")</f>
        <v>ABRIGO CONCRETO</v>
      </c>
      <c r="D187" s="5" t="str">
        <f>IFERROR(__xludf.DUMMYFUNCTION("""COMPUTED_VALUE"""),"FIXADA EM POSTE")</f>
        <v>FIXADA EM POSTE</v>
      </c>
      <c r="E187" s="5" t="str">
        <f>IFERROR(__xludf.DUMMYFUNCTION("""COMPUTED_VALUE"""),"SEM BAIA")</f>
        <v>SEM BAIA</v>
      </c>
      <c r="F187" s="5" t="str">
        <f>IFERROR(__xludf.DUMMYFUNCTION("""COMPUTED_VALUE"""),"NÃO")</f>
        <v>NÃO</v>
      </c>
      <c r="G187" s="5" t="str">
        <f>IFERROR(__xludf.DUMMYFUNCTION("""COMPUTED_VALUE"""),"NÃO")</f>
        <v>NÃO</v>
      </c>
      <c r="H187" s="5" t="str">
        <f>IFERROR(__xludf.DUMMYFUNCTION("""COMPUTED_VALUE"""),"PAVIMENTADA")</f>
        <v>PAVIMENTADA</v>
      </c>
      <c r="I187" s="6" t="str">
        <f>IFERROR(__xludf.DUMMYFUNCTION("""COMPUTED_VALUE"""),"-9.532768")</f>
        <v>-9.532768</v>
      </c>
      <c r="J187" s="6" t="str">
        <f>IFERROR(__xludf.DUMMYFUNCTION("""COMPUTED_VALUE"""),"-35.776843")</f>
        <v>-35.776843</v>
      </c>
      <c r="K187" s="5" t="str">
        <f>IFERROR(__xludf.DUMMYFUNCTION("""COMPUTED_VALUE"""),"JARDIM ROYAL - 4ª ROTATÓRIA")</f>
        <v>JARDIM ROYAL - 4ª ROTATÓRIA</v>
      </c>
      <c r="L187" s="5" t="str">
        <f>IFERROR(__xludf.DUMMYFUNCTION("""COMPUTED_VALUE"""),"COLETORA")</f>
        <v>COLETORA</v>
      </c>
      <c r="M187" s="5" t="str">
        <f>IFERROR(__xludf.DUMMYFUNCTION("""COMPUTED_VALUE"""),"CIDADE UNIVERSITÁRIA")</f>
        <v>CIDADE UNIVERSITÁRIA</v>
      </c>
      <c r="N187" s="5" t="str">
        <f>IFERROR(__xludf.DUMMYFUNCTION("""COMPUTED_VALUE"""),"BAIRRO - CENTRO / CENTRO - BAIRRO")</f>
        <v>BAIRRO - CENTRO / CENTRO - BAIRRO</v>
      </c>
      <c r="O187" s="5" t="str">
        <f>IFERROR(__xludf.DUMMYFUNCTION("""COMPUTED_VALUE"""),"C. STIVE CARROS, EM FRENTE A GREEN SERRALHARIA")</f>
        <v>C. STIVE CARROS, EM FRENTE A GREEN SERRALHARIA</v>
      </c>
      <c r="P187" s="5" t="str">
        <f>IFERROR(__xludf.DUMMYFUNCTION("""COMPUTED_VALUE"""),"PRIORIDADE ALTA")</f>
        <v>PRIORIDADE ALTA</v>
      </c>
      <c r="Q187" s="5" t="str">
        <f>IFERROR(__xludf.DUMMYFUNCTION("""COMPUTED_VALUE"""),"ABRIGO DANIFICADO - REBOCO, PINTURA E ASSENTO DANIFICADO,  NECESSÁRIO FAZER LIMPEZA DA COBERTA. COMPLETAR PINTURA DA SINALIZAÇÃO DA BAÍA NO ASFALTO, READEQUAÇÃO DE CALÇADA COM ACESSIBILIDADE.")</f>
        <v>ABRIGO DANIFICADO - REBOCO, PINTURA E ASSENTO DANIFICADO,  NECESSÁRIO FAZER LIMPEZA DA COBERTA. COMPLETAR PINTURA DA SINALIZAÇÃO DA BAÍA NO ASFALTO, READEQUAÇÃO DE CALÇADA COM ACESSIBILIDADE.</v>
      </c>
      <c r="R187" s="5" t="str">
        <f>IFERROR(__xludf.DUMMYFUNCTION("""COMPUTED_VALUE"""),"SUBSTITUIR ABRIGO")</f>
        <v>SUBSTITUIR ABRIGO</v>
      </c>
      <c r="S187" s="5"/>
      <c r="T187" s="5"/>
      <c r="U187" s="5"/>
      <c r="V187" s="9" t="str">
        <f>IFERROR(__xludf.DUMMYFUNCTION("""COMPUTED_VALUE"""),"https://drive.google.com/uc?id=1ruCYmjHPA9z_63W-nVFMF2wQWz7S905M")</f>
        <v>https://drive.google.com/uc?id=1ruCYmjHPA9z_63W-nVFMF2wQWz7S905M</v>
      </c>
      <c r="W187" s="5" t="str">
        <f>IFERROR(__xludf.DUMMYFUNCTION("""COMPUTED_VALUE"""),"NÃO")</f>
        <v>NÃO</v>
      </c>
      <c r="X187" s="5" t="str">
        <f>IFERROR(__xludf.DUMMYFUNCTION("""COMPUTED_VALUE"""),"NÃO SE APLICA")</f>
        <v>NÃO SE APLICA</v>
      </c>
    </row>
    <row r="188" hidden="1">
      <c r="A188" s="5">
        <f>IFERROR(__xludf.DUMMYFUNCTION("""COMPUTED_VALUE"""),7.0)</f>
        <v>7</v>
      </c>
      <c r="B188" s="5" t="str">
        <f>IFERROR(__xludf.DUMMYFUNCTION("""COMPUTED_VALUE"""),"CV022")</f>
        <v>CV022</v>
      </c>
      <c r="C188" s="5" t="str">
        <f>IFERROR(__xludf.DUMMYFUNCTION("""COMPUTED_VALUE"""),"NÃO POSSUI")</f>
        <v>NÃO POSSUI</v>
      </c>
      <c r="D188" s="5" t="str">
        <f>IFERROR(__xludf.DUMMYFUNCTION("""COMPUTED_VALUE"""),"FIXADA EM POSTE")</f>
        <v>FIXADA EM POSTE</v>
      </c>
      <c r="E188" s="5" t="str">
        <f>IFERROR(__xludf.DUMMYFUNCTION("""COMPUTED_VALUE"""),"SEM BAIA")</f>
        <v>SEM BAIA</v>
      </c>
      <c r="F188" s="5" t="str">
        <f>IFERROR(__xludf.DUMMYFUNCTION("""COMPUTED_VALUE"""),"NÃO")</f>
        <v>NÃO</v>
      </c>
      <c r="G188" s="5" t="str">
        <f>IFERROR(__xludf.DUMMYFUNCTION("""COMPUTED_VALUE"""),"NÃO")</f>
        <v>NÃO</v>
      </c>
      <c r="H188" s="5" t="str">
        <f>IFERROR(__xludf.DUMMYFUNCTION("""COMPUTED_VALUE"""),"PAVIMENTADA")</f>
        <v>PAVIMENTADA</v>
      </c>
      <c r="I188" s="6" t="str">
        <f>IFERROR(__xludf.DUMMYFUNCTION("""COMPUTED_VALUE"""),"-9.53363")</f>
        <v>-9.53363</v>
      </c>
      <c r="J188" s="6" t="str">
        <f>IFERROR(__xludf.DUMMYFUNCTION("""COMPUTED_VALUE"""),"-35.77845")</f>
        <v>-35.77845</v>
      </c>
      <c r="K188" s="5" t="str">
        <f>IFERROR(__xludf.DUMMYFUNCTION("""COMPUTED_VALUE"""),"JARDIM ROYAL - 3ª ROTATÓRIA")</f>
        <v>JARDIM ROYAL - 3ª ROTATÓRIA</v>
      </c>
      <c r="L188" s="5" t="str">
        <f>IFERROR(__xludf.DUMMYFUNCTION("""COMPUTED_VALUE"""),"COLETORA")</f>
        <v>COLETORA</v>
      </c>
      <c r="M188" s="5" t="str">
        <f>IFERROR(__xludf.DUMMYFUNCTION("""COMPUTED_VALUE"""),"CIDADE UNIVERSITÁRIA")</f>
        <v>CIDADE UNIVERSITÁRIA</v>
      </c>
      <c r="N188" s="5" t="str">
        <f>IFERROR(__xludf.DUMMYFUNCTION("""COMPUTED_VALUE"""),"BAIRRO - CENTRO / CENTRO - BAIRRO")</f>
        <v>BAIRRO - CENTRO / CENTRO - BAIRRO</v>
      </c>
      <c r="O188" s="5" t="str">
        <f>IFERROR(__xludf.DUMMYFUNCTION("""COMPUTED_VALUE"""),"EM FRENTE A CASA Nº: 946, PRÓXIMO AO RESTAURANTE KIT ESPETO")</f>
        <v>EM FRENTE A CASA Nº: 946, PRÓXIMO AO RESTAURANTE KIT ESPETO</v>
      </c>
      <c r="P188" s="5" t="str">
        <f>IFERROR(__xludf.DUMMYFUNCTION("""COMPUTED_VALUE"""),"URGENTE")</f>
        <v>URGENTE</v>
      </c>
      <c r="Q188" s="5" t="str">
        <f>IFERROR(__xludf.DUMMYFUNCTION("""COMPUTED_VALUE"""),"READEQUAÇÃO DE CALÇADA COM ACESSIBILIDADE E PINTURA DE BAÍA NO ASFALTO, IMPLANTAÇÃO DE PLACA EM POSTE, LIMPEZA DE VEGETAÇÃO SELVAGEM CRESCENTE.")</f>
        <v>READEQUAÇÃO DE CALÇADA COM ACESSIBILIDADE E PINTURA DE BAÍA NO ASFALTO, IMPLANTAÇÃO DE PLACA EM POSTE, LIMPEZA DE VEGETAÇÃO SELVAGEM CRESCENTE.</v>
      </c>
      <c r="R188" s="5" t="str">
        <f>IFERROR(__xludf.DUMMYFUNCTION("""COMPUTED_VALUE"""),"NENHUMA DAS OPÇÕES")</f>
        <v>NENHUMA DAS OPÇÕES</v>
      </c>
      <c r="S188" s="5"/>
      <c r="T188" s="5"/>
      <c r="U188" s="5"/>
      <c r="V188" s="9" t="str">
        <f>IFERROR(__xludf.DUMMYFUNCTION("""COMPUTED_VALUE"""),"https://drive.google.com/uc?id=1SWcpVUnOFPOuBx8zcC2itUEps_r_an3o")</f>
        <v>https://drive.google.com/uc?id=1SWcpVUnOFPOuBx8zcC2itUEps_r_an3o</v>
      </c>
      <c r="W188" s="5" t="str">
        <f>IFERROR(__xludf.DUMMYFUNCTION("""COMPUTED_VALUE"""),"NÃO")</f>
        <v>NÃO</v>
      </c>
      <c r="X188" s="5" t="str">
        <f>IFERROR(__xludf.DUMMYFUNCTION("""COMPUTED_VALUE"""),"NÃO SE APLICA")</f>
        <v>NÃO SE APLICA</v>
      </c>
    </row>
    <row r="189">
      <c r="A189" s="5">
        <f>IFERROR(__xludf.DUMMYFUNCTION("""COMPUTED_VALUE"""),7.0)</f>
        <v>7</v>
      </c>
      <c r="B189" s="5" t="str">
        <f>IFERROR(__xludf.DUMMYFUNCTION("""COMPUTED_VALUE"""),"CV023")</f>
        <v>CV023</v>
      </c>
      <c r="C189" s="5" t="str">
        <f>IFERROR(__xludf.DUMMYFUNCTION("""COMPUTED_VALUE"""),"ABRIGO CONCRETO")</f>
        <v>ABRIGO CONCRETO</v>
      </c>
      <c r="D189" s="5" t="str">
        <f>IFERROR(__xludf.DUMMYFUNCTION("""COMPUTED_VALUE"""),"SEM PLACA")</f>
        <v>SEM PLACA</v>
      </c>
      <c r="E189" s="5" t="str">
        <f>IFERROR(__xludf.DUMMYFUNCTION("""COMPUTED_VALUE"""),"SEM BAIA")</f>
        <v>SEM BAIA</v>
      </c>
      <c r="F189" s="5" t="str">
        <f>IFERROR(__xludf.DUMMYFUNCTION("""COMPUTED_VALUE"""),"NÃO")</f>
        <v>NÃO</v>
      </c>
      <c r="G189" s="5" t="str">
        <f>IFERROR(__xludf.DUMMYFUNCTION("""COMPUTED_VALUE"""),"NÃO")</f>
        <v>NÃO</v>
      </c>
      <c r="H189" s="5" t="str">
        <f>IFERROR(__xludf.DUMMYFUNCTION("""COMPUTED_VALUE"""),"PAVIMENTADA")</f>
        <v>PAVIMENTADA</v>
      </c>
      <c r="I189" s="6" t="str">
        <f>IFERROR(__xludf.DUMMYFUNCTION("""COMPUTED_VALUE"""),"-9.53452")</f>
        <v>-9.53452</v>
      </c>
      <c r="J189" s="6" t="str">
        <f>IFERROR(__xludf.DUMMYFUNCTION("""COMPUTED_VALUE"""),"-35.78005")</f>
        <v>-35.78005</v>
      </c>
      <c r="K189" s="5" t="str">
        <f>IFERROR(__xludf.DUMMYFUNCTION("""COMPUTED_VALUE"""),"JARDIM ROYAL - 2ª ROTATÓRIA")</f>
        <v>JARDIM ROYAL - 2ª ROTATÓRIA</v>
      </c>
      <c r="L189" s="5" t="str">
        <f>IFERROR(__xludf.DUMMYFUNCTION("""COMPUTED_VALUE"""),"COLETORA")</f>
        <v>COLETORA</v>
      </c>
      <c r="M189" s="5" t="str">
        <f>IFERROR(__xludf.DUMMYFUNCTION("""COMPUTED_VALUE"""),"CIDADE UNIVERSITÁRIA")</f>
        <v>CIDADE UNIVERSITÁRIA</v>
      </c>
      <c r="N189" s="5" t="str">
        <f>IFERROR(__xludf.DUMMYFUNCTION("""COMPUTED_VALUE"""),"CENTRO - BAIRRO")</f>
        <v>CENTRO - BAIRRO</v>
      </c>
      <c r="O189" s="5" t="str">
        <f>IFERROR(__xludf.DUMMYFUNCTION("""COMPUTED_VALUE"""),"PRÓXIMO A CASA 4")</f>
        <v>PRÓXIMO A CASA 4</v>
      </c>
      <c r="P189" s="5" t="str">
        <f>IFERROR(__xludf.DUMMYFUNCTION("""COMPUTED_VALUE"""),"PRIORIDADE ALTA")</f>
        <v>PRIORIDADE ALTA</v>
      </c>
      <c r="Q189" s="5" t="str">
        <f>IFERROR(__xludf.DUMMYFUNCTION("""COMPUTED_VALUE"""),"ABRIGO DANIFICADO - REBOCO, PINTURA E ASSENTO DANIFICADO,  NECESSÁRIO FAZER LIMPEZA DA COBERTA. COMPLETAR PINTURA DA SINALIZAÇÃO DA BAÍA NO ASFALTO, READEQUAÇÃO DE CALÇADA COM ACESSIBILIDADE.")</f>
        <v>ABRIGO DANIFICADO - REBOCO, PINTURA E ASSENTO DANIFICADO,  NECESSÁRIO FAZER LIMPEZA DA COBERTA. COMPLETAR PINTURA DA SINALIZAÇÃO DA BAÍA NO ASFALTO, READEQUAÇÃO DE CALÇADA COM ACESSIBILIDADE.</v>
      </c>
      <c r="R189" s="5" t="str">
        <f>IFERROR(__xludf.DUMMYFUNCTION("""COMPUTED_VALUE"""),"SUBSTITUIR ABRIGO")</f>
        <v>SUBSTITUIR ABRIGO</v>
      </c>
      <c r="S189" s="5"/>
      <c r="T189" s="5"/>
      <c r="U189" s="5"/>
      <c r="V189" s="9" t="str">
        <f>IFERROR(__xludf.DUMMYFUNCTION("""COMPUTED_VALUE"""),"https://drive.google.com/uc?id=1XnzFTq0q4ZyVWv8IJ-KuXTfCRE7M79KE")</f>
        <v>https://drive.google.com/uc?id=1XnzFTq0q4ZyVWv8IJ-KuXTfCRE7M79KE</v>
      </c>
      <c r="W189" s="5" t="str">
        <f>IFERROR(__xludf.DUMMYFUNCTION("""COMPUTED_VALUE"""),"NÃO")</f>
        <v>NÃO</v>
      </c>
      <c r="X189" s="5" t="str">
        <f>IFERROR(__xludf.DUMMYFUNCTION("""COMPUTED_VALUE"""),"NÃO SE APLICA")</f>
        <v>NÃO SE APLICA</v>
      </c>
    </row>
    <row r="190" hidden="1">
      <c r="A190" s="5">
        <f>IFERROR(__xludf.DUMMYFUNCTION("""COMPUTED_VALUE"""),7.0)</f>
        <v>7</v>
      </c>
      <c r="B190" s="5" t="str">
        <f>IFERROR(__xludf.DUMMYFUNCTION("""COMPUTED_VALUE"""),"CV024")</f>
        <v>CV024</v>
      </c>
      <c r="C190" s="5" t="str">
        <f>IFERROR(__xludf.DUMMYFUNCTION("""COMPUTED_VALUE"""),"NÃO POSSUI")</f>
        <v>NÃO POSSUI</v>
      </c>
      <c r="D190" s="5" t="str">
        <f>IFERROR(__xludf.DUMMYFUNCTION("""COMPUTED_VALUE"""),"FIXADA EM POSTE")</f>
        <v>FIXADA EM POSTE</v>
      </c>
      <c r="E190" s="5" t="str">
        <f>IFERROR(__xludf.DUMMYFUNCTION("""COMPUTED_VALUE"""),"SEM BAIA")</f>
        <v>SEM BAIA</v>
      </c>
      <c r="F190" s="5" t="str">
        <f>IFERROR(__xludf.DUMMYFUNCTION("""COMPUTED_VALUE"""),"NÃO")</f>
        <v>NÃO</v>
      </c>
      <c r="G190" s="5" t="str">
        <f>IFERROR(__xludf.DUMMYFUNCTION("""COMPUTED_VALUE"""),"NÃO")</f>
        <v>NÃO</v>
      </c>
      <c r="H190" s="5" t="str">
        <f>IFERROR(__xludf.DUMMYFUNCTION("""COMPUTED_VALUE"""),"PAVIMENTADA")</f>
        <v>PAVIMENTADA</v>
      </c>
      <c r="I190" s="6" t="str">
        <f>IFERROR(__xludf.DUMMYFUNCTION("""COMPUTED_VALUE"""),"-9.53410")</f>
        <v>-9.53410</v>
      </c>
      <c r="J190" s="6" t="str">
        <f>IFERROR(__xludf.DUMMYFUNCTION("""COMPUTED_VALUE"""),"-35.78039")</f>
        <v>-35.78039</v>
      </c>
      <c r="K190" s="5" t="str">
        <f>IFERROR(__xludf.DUMMYFUNCTION("""COMPUTED_VALUE"""),"JARDIM ROYAL - 2ª ROTATÓRIA")</f>
        <v>JARDIM ROYAL - 2ª ROTATÓRIA</v>
      </c>
      <c r="L190" s="5" t="str">
        <f>IFERROR(__xludf.DUMMYFUNCTION("""COMPUTED_VALUE"""),"COLETORA")</f>
        <v>COLETORA</v>
      </c>
      <c r="M190" s="5" t="str">
        <f>IFERROR(__xludf.DUMMYFUNCTION("""COMPUTED_VALUE"""),"CIDADE UNIVERSITÁRIA")</f>
        <v>CIDADE UNIVERSITÁRIA</v>
      </c>
      <c r="N190" s="5" t="str">
        <f>IFERROR(__xludf.DUMMYFUNCTION("""COMPUTED_VALUE"""),"INTEGRAÇÃO")</f>
        <v>INTEGRAÇÃO</v>
      </c>
      <c r="O190" s="5" t="str">
        <f>IFERROR(__xludf.DUMMYFUNCTION("""COMPUTED_VALUE"""),"HORTI-FRUT – MERCADINHO ROYAL")</f>
        <v>HORTI-FRUT – MERCADINHO ROYAL</v>
      </c>
      <c r="P190" s="5" t="str">
        <f>IFERROR(__xludf.DUMMYFUNCTION("""COMPUTED_VALUE"""),"PRIORIDADE MÉDIA")</f>
        <v>PRIORIDADE MÉDIA</v>
      </c>
      <c r="Q190" s="5" t="str">
        <f>IFERROR(__xludf.DUMMYFUNCTION("""COMPUTED_VALUE"""),"READEQUAÇÃO DE CALÇADA COM ACESSIBILIDADE, IMPLANTAÇÃO DE NOVA PLACA EM POSTE.")</f>
        <v>READEQUAÇÃO DE CALÇADA COM ACESSIBILIDADE, IMPLANTAÇÃO DE NOVA PLACA EM POSTE.</v>
      </c>
      <c r="R190" s="5" t="str">
        <f>IFERROR(__xludf.DUMMYFUNCTION("""COMPUTED_VALUE"""),"IMPLANTAR ABRIGO")</f>
        <v>IMPLANTAR ABRIGO</v>
      </c>
      <c r="S190" s="5"/>
      <c r="T190" s="5"/>
      <c r="U190" s="5"/>
      <c r="V190" s="9" t="str">
        <f>IFERROR(__xludf.DUMMYFUNCTION("""COMPUTED_VALUE"""),"https://drive.google.com/uc?id=1Eod_4LWr24B_8QR5DhZFlnxgrD47nJK_")</f>
        <v>https://drive.google.com/uc?id=1Eod_4LWr24B_8QR5DhZFlnxgrD47nJK_</v>
      </c>
      <c r="W190" s="5" t="str">
        <f>IFERROR(__xludf.DUMMYFUNCTION("""COMPUTED_VALUE"""),"NÃO")</f>
        <v>NÃO</v>
      </c>
      <c r="X190" s="5" t="str">
        <f>IFERROR(__xludf.DUMMYFUNCTION("""COMPUTED_VALUE"""),"NÃO SE APLICA")</f>
        <v>NÃO SE APLICA</v>
      </c>
    </row>
    <row r="191" hidden="1">
      <c r="A191" s="5">
        <f>IFERROR(__xludf.DUMMYFUNCTION("""COMPUTED_VALUE"""),7.0)</f>
        <v>7</v>
      </c>
      <c r="B191" s="5" t="str">
        <f>IFERROR(__xludf.DUMMYFUNCTION("""COMPUTED_VALUE"""),"CV025")</f>
        <v>CV025</v>
      </c>
      <c r="C191" s="5" t="str">
        <f>IFERROR(__xludf.DUMMYFUNCTION("""COMPUTED_VALUE"""),"NÃO POSSUI")</f>
        <v>NÃO POSSUI</v>
      </c>
      <c r="D191" s="5" t="str">
        <f>IFERROR(__xludf.DUMMYFUNCTION("""COMPUTED_VALUE"""),"FIXADA EM POSTE")</f>
        <v>FIXADA EM POSTE</v>
      </c>
      <c r="E191" s="5" t="str">
        <f>IFERROR(__xludf.DUMMYFUNCTION("""COMPUTED_VALUE"""),"SEM BAIA")</f>
        <v>SEM BAIA</v>
      </c>
      <c r="F191" s="5" t="str">
        <f>IFERROR(__xludf.DUMMYFUNCTION("""COMPUTED_VALUE"""),"NÃO")</f>
        <v>NÃO</v>
      </c>
      <c r="G191" s="5" t="str">
        <f>IFERROR(__xludf.DUMMYFUNCTION("""COMPUTED_VALUE"""),"NÃO")</f>
        <v>NÃO</v>
      </c>
      <c r="H191" s="5" t="str">
        <f>IFERROR(__xludf.DUMMYFUNCTION("""COMPUTED_VALUE"""),"PAVIMENTADA")</f>
        <v>PAVIMENTADA</v>
      </c>
      <c r="I191" s="6" t="str">
        <f>IFERROR(__xludf.DUMMYFUNCTION("""COMPUTED_VALUE"""),"-9.53543")</f>
        <v>-9.53543</v>
      </c>
      <c r="J191" s="6" t="str">
        <f>IFERROR(__xludf.DUMMYFUNCTION("""COMPUTED_VALUE"""),"-35.78161")</f>
        <v>-35.78161</v>
      </c>
      <c r="K191" s="5" t="str">
        <f>IFERROR(__xludf.DUMMYFUNCTION("""COMPUTED_VALUE"""),"JARDIM ROYAL - 1ª ROTATÓRIA")</f>
        <v>JARDIM ROYAL - 1ª ROTATÓRIA</v>
      </c>
      <c r="L191" s="5" t="str">
        <f>IFERROR(__xludf.DUMMYFUNCTION("""COMPUTED_VALUE"""),"COLETORA")</f>
        <v>COLETORA</v>
      </c>
      <c r="M191" s="5" t="str">
        <f>IFERROR(__xludf.DUMMYFUNCTION("""COMPUTED_VALUE"""),"CIDADE UNIVERSITÁRIA")</f>
        <v>CIDADE UNIVERSITÁRIA</v>
      </c>
      <c r="N191" s="5" t="str">
        <f>IFERROR(__xludf.DUMMYFUNCTION("""COMPUTED_VALUE"""),"BAIRRO - CENTRO / CENTRO - BAIRRO")</f>
        <v>BAIRRO - CENTRO / CENTRO - BAIRRO</v>
      </c>
      <c r="O191" s="5" t="str">
        <f>IFERROR(__xludf.DUMMYFUNCTION("""COMPUTED_VALUE"""),"EM FRENTE A CASA DA COXINHA")</f>
        <v>EM FRENTE A CASA DA COXINHA</v>
      </c>
      <c r="P191" s="5" t="str">
        <f>IFERROR(__xludf.DUMMYFUNCTION("""COMPUTED_VALUE"""),"PRIORIDADE MÉDIA")</f>
        <v>PRIORIDADE MÉDIA</v>
      </c>
      <c r="Q191" s="5" t="str">
        <f>IFERROR(__xludf.DUMMYFUNCTION("""COMPUTED_VALUE"""),"READEQUAÇÃO DE CALÇADA COM ACESSIBILIDADE")</f>
        <v>READEQUAÇÃO DE CALÇADA COM ACESSIBILIDADE</v>
      </c>
      <c r="R191" s="5" t="str">
        <f>IFERROR(__xludf.DUMMYFUNCTION("""COMPUTED_VALUE"""),"NENHUMA DAS OPÇÕES")</f>
        <v>NENHUMA DAS OPÇÕES</v>
      </c>
      <c r="S191" s="5"/>
      <c r="T191" s="5"/>
      <c r="U191" s="5"/>
      <c r="V191" s="9" t="str">
        <f>IFERROR(__xludf.DUMMYFUNCTION("""COMPUTED_VALUE"""),"https://drive.google.com/uc?id=1UNmi9H2rTyWc512dgK3LnloavivkvhIy")</f>
        <v>https://drive.google.com/uc?id=1UNmi9H2rTyWc512dgK3LnloavivkvhIy</v>
      </c>
      <c r="W191" s="5" t="str">
        <f>IFERROR(__xludf.DUMMYFUNCTION("""COMPUTED_VALUE"""),"NÃO")</f>
        <v>NÃO</v>
      </c>
      <c r="X191" s="5" t="str">
        <f>IFERROR(__xludf.DUMMYFUNCTION("""COMPUTED_VALUE"""),"NÃO SE APLICA")</f>
        <v>NÃO SE APLICA</v>
      </c>
    </row>
    <row r="192" hidden="1">
      <c r="A192" s="5">
        <f>IFERROR(__xludf.DUMMYFUNCTION("""COMPUTED_VALUE"""),7.0)</f>
        <v>7</v>
      </c>
      <c r="B192" s="5" t="str">
        <f>IFERROR(__xludf.DUMMYFUNCTION("""COMPUTED_VALUE"""),"CV026")</f>
        <v>CV026</v>
      </c>
      <c r="C192" s="5" t="str">
        <f>IFERROR(__xludf.DUMMYFUNCTION("""COMPUTED_VALUE"""),"NÃO POSSUI")</f>
        <v>NÃO POSSUI</v>
      </c>
      <c r="D192" s="5" t="str">
        <f>IFERROR(__xludf.DUMMYFUNCTION("""COMPUTED_VALUE"""),"SEM PLACA")</f>
        <v>SEM PLACA</v>
      </c>
      <c r="E192" s="5" t="str">
        <f>IFERROR(__xludf.DUMMYFUNCTION("""COMPUTED_VALUE"""),"SEM BAIA")</f>
        <v>SEM BAIA</v>
      </c>
      <c r="F192" s="5" t="str">
        <f>IFERROR(__xludf.DUMMYFUNCTION("""COMPUTED_VALUE"""),"NÃO")</f>
        <v>NÃO</v>
      </c>
      <c r="G192" s="5" t="str">
        <f>IFERROR(__xludf.DUMMYFUNCTION("""COMPUTED_VALUE"""),"NÃO")</f>
        <v>NÃO</v>
      </c>
      <c r="H192" s="5" t="str">
        <f>IFERROR(__xludf.DUMMYFUNCTION("""COMPUTED_VALUE"""),"PAVIMENTADA COM AVARIAS")</f>
        <v>PAVIMENTADA COM AVARIAS</v>
      </c>
      <c r="I192" s="6" t="str">
        <f>IFERROR(__xludf.DUMMYFUNCTION("""COMPUTED_VALUE"""),"-9.53574")</f>
        <v>-9.53574</v>
      </c>
      <c r="J192" s="6" t="str">
        <f>IFERROR(__xludf.DUMMYFUNCTION("""COMPUTED_VALUE"""),"-35.78222")</f>
        <v>-35.78222</v>
      </c>
      <c r="K192" s="5" t="str">
        <f>IFERROR(__xludf.DUMMYFUNCTION("""COMPUTED_VALUE"""),"JARDIM ROYAL - 1ª ROTATÓRIA")</f>
        <v>JARDIM ROYAL - 1ª ROTATÓRIA</v>
      </c>
      <c r="L192" s="5" t="str">
        <f>IFERROR(__xludf.DUMMYFUNCTION("""COMPUTED_VALUE"""),"COLETORA")</f>
        <v>COLETORA</v>
      </c>
      <c r="M192" s="5" t="str">
        <f>IFERROR(__xludf.DUMMYFUNCTION("""COMPUTED_VALUE"""),"CIDADE UNIVERSITÁRIA")</f>
        <v>CIDADE UNIVERSITÁRIA</v>
      </c>
      <c r="N192" s="5" t="str">
        <f>IFERROR(__xludf.DUMMYFUNCTION("""COMPUTED_VALUE"""),"BAIRRO - CENTRO / CENTRO - BAIRRO")</f>
        <v>BAIRRO - CENTRO / CENTRO - BAIRRO</v>
      </c>
      <c r="O192" s="5" t="str">
        <f>IFERROR(__xludf.DUMMYFUNCTION("""COMPUTED_VALUE"""),"CASA 06 – QD: H1")</f>
        <v>CASA 06 – QD: H1</v>
      </c>
      <c r="P192" s="5" t="str">
        <f>IFERROR(__xludf.DUMMYFUNCTION("""COMPUTED_VALUE"""),"URGENTE")</f>
        <v>URGENTE</v>
      </c>
      <c r="Q192" s="5" t="str">
        <f>IFERROR(__xludf.DUMMYFUNCTION("""COMPUTED_VALUE"""),"READEQUAÇÃO DE CALÇADA COM ACESSIBILIDADE")</f>
        <v>READEQUAÇÃO DE CALÇADA COM ACESSIBILIDADE</v>
      </c>
      <c r="R192" s="5" t="str">
        <f>IFERROR(__xludf.DUMMYFUNCTION("""COMPUTED_VALUE"""),"NENHUMA DAS OPÇÕES")</f>
        <v>NENHUMA DAS OPÇÕES</v>
      </c>
      <c r="S192" s="5"/>
      <c r="T192" s="5"/>
      <c r="U192" s="5"/>
      <c r="V192" s="9" t="str">
        <f>IFERROR(__xludf.DUMMYFUNCTION("""COMPUTED_VALUE"""),"https://drive.google.com/uc?id=1hdG7-dQ_yauLbrowDEB67eB7nt7R1qkf")</f>
        <v>https://drive.google.com/uc?id=1hdG7-dQ_yauLbrowDEB67eB7nt7R1qkf</v>
      </c>
      <c r="W192" s="5" t="str">
        <f>IFERROR(__xludf.DUMMYFUNCTION("""COMPUTED_VALUE"""),"NÃO")</f>
        <v>NÃO</v>
      </c>
      <c r="X192" s="5" t="str">
        <f>IFERROR(__xludf.DUMMYFUNCTION("""COMPUTED_VALUE"""),"NÃO SE APLICA")</f>
        <v>NÃO SE APLICA</v>
      </c>
    </row>
    <row r="193" hidden="1">
      <c r="A193" s="5">
        <f>IFERROR(__xludf.DUMMYFUNCTION("""COMPUTED_VALUE"""),7.0)</f>
        <v>7</v>
      </c>
      <c r="B193" s="5" t="str">
        <f>IFERROR(__xludf.DUMMYFUNCTION("""COMPUTED_VALUE"""),"CV027")</f>
        <v>CV027</v>
      </c>
      <c r="C193" s="5" t="str">
        <f>IFERROR(__xludf.DUMMYFUNCTION("""COMPUTED_VALUE"""),"NÃO POSSUI")</f>
        <v>NÃO POSSUI</v>
      </c>
      <c r="D193" s="5" t="str">
        <f>IFERROR(__xludf.DUMMYFUNCTION("""COMPUTED_VALUE"""),"FIXADA EM POSTE")</f>
        <v>FIXADA EM POSTE</v>
      </c>
      <c r="E193" s="5" t="str">
        <f>IFERROR(__xludf.DUMMYFUNCTION("""COMPUTED_VALUE"""),"SEM BAIA")</f>
        <v>SEM BAIA</v>
      </c>
      <c r="F193" s="5" t="str">
        <f>IFERROR(__xludf.DUMMYFUNCTION("""COMPUTED_VALUE"""),"NÃO")</f>
        <v>NÃO</v>
      </c>
      <c r="G193" s="5" t="str">
        <f>IFERROR(__xludf.DUMMYFUNCTION("""COMPUTED_VALUE"""),"NÃO")</f>
        <v>NÃO</v>
      </c>
      <c r="H193" s="5" t="str">
        <f>IFERROR(__xludf.DUMMYFUNCTION("""COMPUTED_VALUE"""),"PAVIMENTADA")</f>
        <v>PAVIMENTADA</v>
      </c>
      <c r="I193" s="6" t="str">
        <f>IFERROR(__xludf.DUMMYFUNCTION("""COMPUTED_VALUE"""),"-9.536556")</f>
        <v>-9.536556</v>
      </c>
      <c r="J193" s="6" t="str">
        <f>IFERROR(__xludf.DUMMYFUNCTION("""COMPUTED_VALUE"""),"-35.779023")</f>
        <v>-35.779023</v>
      </c>
      <c r="K193" s="5" t="str">
        <f>IFERROR(__xludf.DUMMYFUNCTION("""COMPUTED_VALUE"""),"JARDIM ROYAL")</f>
        <v>JARDIM ROYAL</v>
      </c>
      <c r="L193" s="5" t="str">
        <f>IFERROR(__xludf.DUMMYFUNCTION("""COMPUTED_VALUE"""),"COLETORA")</f>
        <v>COLETORA</v>
      </c>
      <c r="M193" s="5" t="str">
        <f>IFERROR(__xludf.DUMMYFUNCTION("""COMPUTED_VALUE"""),"CIDADE UNIVERSITÁRIA")</f>
        <v>CIDADE UNIVERSITÁRIA</v>
      </c>
      <c r="N193" s="5" t="str">
        <f>IFERROR(__xludf.DUMMYFUNCTION("""COMPUTED_VALUE"""),"CENTRO - BAIRRO")</f>
        <v>CENTRO - BAIRRO</v>
      </c>
      <c r="O193" s="5" t="str">
        <f>IFERROR(__xludf.DUMMYFUNCTION("""COMPUTED_VALUE"""),"PRÓXIMO A CASA MISSIONÁRIA")</f>
        <v>PRÓXIMO A CASA MISSIONÁRIA</v>
      </c>
      <c r="P193" s="5" t="str">
        <f>IFERROR(__xludf.DUMMYFUNCTION("""COMPUTED_VALUE"""),"PRIORIDADE MÉDIA")</f>
        <v>PRIORIDADE MÉDIA</v>
      </c>
      <c r="Q193" s="5" t="str">
        <f>IFERROR(__xludf.DUMMYFUNCTION("""COMPUTED_VALUE"""),"READEQUAÇÃO DE CALÇADA COM ACESSIBILIDADE")</f>
        <v>READEQUAÇÃO DE CALÇADA COM ACESSIBILIDADE</v>
      </c>
      <c r="R193" s="5" t="str">
        <f>IFERROR(__xludf.DUMMYFUNCTION("""COMPUTED_VALUE"""),"NENHUMA DAS OPÇÕES")</f>
        <v>NENHUMA DAS OPÇÕES</v>
      </c>
      <c r="S193" s="5"/>
      <c r="T193" s="5"/>
      <c r="U193" s="5"/>
      <c r="V193" s="9" t="str">
        <f>IFERROR(__xludf.DUMMYFUNCTION("""COMPUTED_VALUE"""),"https://drive.google.com/uc?id=183uPZ0tJaPusU12VPAgMknd2t0l9AGoI")</f>
        <v>https://drive.google.com/uc?id=183uPZ0tJaPusU12VPAgMknd2t0l9AGoI</v>
      </c>
      <c r="W193" s="5" t="str">
        <f>IFERROR(__xludf.DUMMYFUNCTION("""COMPUTED_VALUE"""),"NÃO")</f>
        <v>NÃO</v>
      </c>
      <c r="X193" s="5" t="str">
        <f>IFERROR(__xludf.DUMMYFUNCTION("""COMPUTED_VALUE"""),"NÃO SE APLICA")</f>
        <v>NÃO SE APLICA</v>
      </c>
    </row>
    <row r="194" hidden="1">
      <c r="A194" s="5">
        <f>IFERROR(__xludf.DUMMYFUNCTION("""COMPUTED_VALUE"""),7.0)</f>
        <v>7</v>
      </c>
      <c r="B194" s="5" t="str">
        <f>IFERROR(__xludf.DUMMYFUNCTION("""COMPUTED_VALUE"""),"CV028")</f>
        <v>CV028</v>
      </c>
      <c r="C194" s="5" t="str">
        <f>IFERROR(__xludf.DUMMYFUNCTION("""COMPUTED_VALUE"""),"NÃO POSSUI")</f>
        <v>NÃO POSSUI</v>
      </c>
      <c r="D194" s="5" t="str">
        <f>IFERROR(__xludf.DUMMYFUNCTION("""COMPUTED_VALUE"""),"COM SUPORTE")</f>
        <v>COM SUPORTE</v>
      </c>
      <c r="E194" s="5" t="str">
        <f>IFERROR(__xludf.DUMMYFUNCTION("""COMPUTED_VALUE"""),"SEM BAIA")</f>
        <v>SEM BAIA</v>
      </c>
      <c r="F194" s="5" t="str">
        <f>IFERROR(__xludf.DUMMYFUNCTION("""COMPUTED_VALUE"""),"NÃO")</f>
        <v>NÃO</v>
      </c>
      <c r="G194" s="5" t="str">
        <f>IFERROR(__xludf.DUMMYFUNCTION("""COMPUTED_VALUE"""),"NÃO")</f>
        <v>NÃO</v>
      </c>
      <c r="H194" s="5" t="str">
        <f>IFERROR(__xludf.DUMMYFUNCTION("""COMPUTED_VALUE"""),"PAVIMENTADA")</f>
        <v>PAVIMENTADA</v>
      </c>
      <c r="I194" s="6" t="str">
        <f>IFERROR(__xludf.DUMMYFUNCTION("""COMPUTED_VALUE"""),"-9.536915")</f>
        <v>-9.536915</v>
      </c>
      <c r="J194" s="6" t="str">
        <f>IFERROR(__xludf.DUMMYFUNCTION("""COMPUTED_VALUE"""),"-35.784747")</f>
        <v>-35.784747</v>
      </c>
      <c r="K194" s="5" t="str">
        <f>IFERROR(__xludf.DUMMYFUNCTION("""COMPUTED_VALUE"""),"RUA DOUTOR JURACY PEREIRA, S/N")</f>
        <v>RUA DOUTOR JURACY PEREIRA, S/N</v>
      </c>
      <c r="L194" s="5" t="str">
        <f>IFERROR(__xludf.DUMMYFUNCTION("""COMPUTED_VALUE"""),"COLETORA")</f>
        <v>COLETORA</v>
      </c>
      <c r="M194" s="5" t="str">
        <f>IFERROR(__xludf.DUMMYFUNCTION("""COMPUTED_VALUE"""),"CIDADE UNIVERSITÁRIA")</f>
        <v>CIDADE UNIVERSITÁRIA</v>
      </c>
      <c r="N194" s="5" t="str">
        <f>IFERROR(__xludf.DUMMYFUNCTION("""COMPUTED_VALUE"""),"CENTRO - BAIRRO")</f>
        <v>CENTRO - BAIRRO</v>
      </c>
      <c r="O194" s="5" t="str">
        <f>IFERROR(__xludf.DUMMYFUNCTION("""COMPUTED_VALUE"""),"EM FRENTE AO COLÉGIO ERALDO GOMES")</f>
        <v>EM FRENTE AO COLÉGIO ERALDO GOMES</v>
      </c>
      <c r="P194" s="5" t="str">
        <f>IFERROR(__xludf.DUMMYFUNCTION("""COMPUTED_VALUE"""),"PRIORIDADE ALTA")</f>
        <v>PRIORIDADE ALTA</v>
      </c>
      <c r="Q194" s="5" t="str">
        <f>IFERROR(__xludf.DUMMYFUNCTION("""COMPUTED_VALUE"""),"PLACA PARA SER RETIRADA DEVIDO A EXTINÇÃO DA PASSAGEM DAS LINHAS DE ÔNIBUS NESTE SENTIDO DA VIA.")</f>
        <v>PLACA PARA SER RETIRADA DEVIDO A EXTINÇÃO DA PASSAGEM DAS LINHAS DE ÔNIBUS NESTE SENTIDO DA VIA.</v>
      </c>
      <c r="R194" s="5" t="str">
        <f>IFERROR(__xludf.DUMMYFUNCTION("""COMPUTED_VALUE"""),"NENHUMA DAS OPÇÕES")</f>
        <v>NENHUMA DAS OPÇÕES</v>
      </c>
      <c r="S194" s="5"/>
      <c r="T194" s="5"/>
      <c r="U194" s="5"/>
      <c r="V194" s="9" t="str">
        <f>IFERROR(__xludf.DUMMYFUNCTION("""COMPUTED_VALUE"""),"https://drive.google.com/uc?id=1hp_Jbz5ZA73pOZZRulhO1c0rTnX80PSF")</f>
        <v>https://drive.google.com/uc?id=1hp_Jbz5ZA73pOZZRulhO1c0rTnX80PSF</v>
      </c>
      <c r="W194" s="5" t="str">
        <f>IFERROR(__xludf.DUMMYFUNCTION("""COMPUTED_VALUE"""),"NÃO")</f>
        <v>NÃO</v>
      </c>
      <c r="X194" s="5" t="str">
        <f>IFERROR(__xludf.DUMMYFUNCTION("""COMPUTED_VALUE"""),"NÃO SE APLICA")</f>
        <v>NÃO SE APLICA</v>
      </c>
    </row>
    <row r="195">
      <c r="A195" s="5">
        <f>IFERROR(__xludf.DUMMYFUNCTION("""COMPUTED_VALUE"""),7.0)</f>
        <v>7</v>
      </c>
      <c r="B195" s="5" t="str">
        <f>IFERROR(__xludf.DUMMYFUNCTION("""COMPUTED_VALUE"""),"CV029")</f>
        <v>CV029</v>
      </c>
      <c r="C195" s="5" t="str">
        <f>IFERROR(__xludf.DUMMYFUNCTION("""COMPUTED_VALUE"""),"ABRIGO CONCRETO")</f>
        <v>ABRIGO CONCRETO</v>
      </c>
      <c r="D195" s="5" t="str">
        <f>IFERROR(__xludf.DUMMYFUNCTION("""COMPUTED_VALUE"""),"SEM PLACA")</f>
        <v>SEM PLACA</v>
      </c>
      <c r="E195" s="5" t="str">
        <f>IFERROR(__xludf.DUMMYFUNCTION("""COMPUTED_VALUE"""),"SEM BAIA")</f>
        <v>SEM BAIA</v>
      </c>
      <c r="F195" s="5" t="str">
        <f>IFERROR(__xludf.DUMMYFUNCTION("""COMPUTED_VALUE"""),"NÃO")</f>
        <v>NÃO</v>
      </c>
      <c r="G195" s="5" t="str">
        <f>IFERROR(__xludf.DUMMYFUNCTION("""COMPUTED_VALUE"""),"NÃO")</f>
        <v>NÃO</v>
      </c>
      <c r="H195" s="5" t="str">
        <f>IFERROR(__xludf.DUMMYFUNCTION("""COMPUTED_VALUE"""),"PAVIMENTADA COM AVARIAS")</f>
        <v>PAVIMENTADA COM AVARIAS</v>
      </c>
      <c r="I195" s="6" t="str">
        <f>IFERROR(__xludf.DUMMYFUNCTION("""COMPUTED_VALUE"""),"-9.536969")</f>
        <v>-9.536969</v>
      </c>
      <c r="J195" s="6" t="str">
        <f>IFERROR(__xludf.DUMMYFUNCTION("""COMPUTED_VALUE"""),"-35.784943")</f>
        <v>-35.784943</v>
      </c>
      <c r="K195" s="5" t="str">
        <f>IFERROR(__xludf.DUMMYFUNCTION("""COMPUTED_VALUE"""),"RUA DOUTOR JURACY PEREIRA, S/N")</f>
        <v>RUA DOUTOR JURACY PEREIRA, S/N</v>
      </c>
      <c r="L195" s="5" t="str">
        <f>IFERROR(__xludf.DUMMYFUNCTION("""COMPUTED_VALUE"""),"COLETORA")</f>
        <v>COLETORA</v>
      </c>
      <c r="M195" s="5" t="str">
        <f>IFERROR(__xludf.DUMMYFUNCTION("""COMPUTED_VALUE"""),"CIDADE UNIVERSITÁRIA")</f>
        <v>CIDADE UNIVERSITÁRIA</v>
      </c>
      <c r="N195" s="5" t="str">
        <f>IFERROR(__xludf.DUMMYFUNCTION("""COMPUTED_VALUE"""),"BAIRRO - CENTRO")</f>
        <v>BAIRRO - CENTRO</v>
      </c>
      <c r="O195" s="5" t="str">
        <f>IFERROR(__xludf.DUMMYFUNCTION("""COMPUTED_VALUE"""),"EM FRENTE AO COLÉGIO ERALDO GOMES")</f>
        <v>EM FRENTE AO COLÉGIO ERALDO GOMES</v>
      </c>
      <c r="P195" s="5" t="str">
        <f>IFERROR(__xludf.DUMMYFUNCTION("""COMPUTED_VALUE"""),"PRIORIDADE ALTA")</f>
        <v>PRIORIDADE ALTA</v>
      </c>
      <c r="Q195" s="5" t="str">
        <f>IFERROR(__xludf.DUMMYFUNCTION("""COMPUTED_VALUE"""),"ABRIGO DANIFICADO - REBOCO, PINTURA E ASSENTO DANIFICADO,  NECESSÁRIO FAZER LIMPEZA DA COBERTA. COMPLETAR PINTURA DA SINALIZAÇÃO DA BAÍA NO ASFALTO, READEQUAÇÃO DE CALÇADA COM ACESSIBILIDADE.")</f>
        <v>ABRIGO DANIFICADO - REBOCO, PINTURA E ASSENTO DANIFICADO,  NECESSÁRIO FAZER LIMPEZA DA COBERTA. COMPLETAR PINTURA DA SINALIZAÇÃO DA BAÍA NO ASFALTO, READEQUAÇÃO DE CALÇADA COM ACESSIBILIDADE.</v>
      </c>
      <c r="R195" s="5" t="str">
        <f>IFERROR(__xludf.DUMMYFUNCTION("""COMPUTED_VALUE"""),"SUBSTITUIR ABRIGO")</f>
        <v>SUBSTITUIR ABRIGO</v>
      </c>
      <c r="S195" s="5"/>
      <c r="T195" s="5"/>
      <c r="U195" s="5"/>
      <c r="V195" s="9" t="str">
        <f>IFERROR(__xludf.DUMMYFUNCTION("""COMPUTED_VALUE"""),"https://drive.google.com/uc?id=17yVFnZrrsc5DAM5zTPxmUriu62HjA83I")</f>
        <v>https://drive.google.com/uc?id=17yVFnZrrsc5DAM5zTPxmUriu62HjA83I</v>
      </c>
      <c r="W195" s="5" t="str">
        <f>IFERROR(__xludf.DUMMYFUNCTION("""COMPUTED_VALUE"""),"NÃO")</f>
        <v>NÃO</v>
      </c>
      <c r="X195" s="5" t="str">
        <f>IFERROR(__xludf.DUMMYFUNCTION("""COMPUTED_VALUE"""),"NÃO SE APLICA")</f>
        <v>NÃO SE APLICA</v>
      </c>
    </row>
    <row r="196" hidden="1">
      <c r="A196" s="5">
        <f>IFERROR(__xludf.DUMMYFUNCTION("""COMPUTED_VALUE"""),7.0)</f>
        <v>7</v>
      </c>
      <c r="B196" s="5" t="str">
        <f>IFERROR(__xludf.DUMMYFUNCTION("""COMPUTED_VALUE"""),"CV030")</f>
        <v>CV030</v>
      </c>
      <c r="C196" s="5" t="str">
        <f>IFERROR(__xludf.DUMMYFUNCTION("""COMPUTED_VALUE"""),"NÃO POSSUI")</f>
        <v>NÃO POSSUI</v>
      </c>
      <c r="D196" s="5" t="str">
        <f>IFERROR(__xludf.DUMMYFUNCTION("""COMPUTED_VALUE"""),"FIXADA EM POSTE")</f>
        <v>FIXADA EM POSTE</v>
      </c>
      <c r="E196" s="5" t="str">
        <f>IFERROR(__xludf.DUMMYFUNCTION("""COMPUTED_VALUE"""),"SEM BAIA")</f>
        <v>SEM BAIA</v>
      </c>
      <c r="F196" s="5" t="str">
        <f>IFERROR(__xludf.DUMMYFUNCTION("""COMPUTED_VALUE"""),"NÃO")</f>
        <v>NÃO</v>
      </c>
      <c r="G196" s="5" t="str">
        <f>IFERROR(__xludf.DUMMYFUNCTION("""COMPUTED_VALUE"""),"NÃO")</f>
        <v>NÃO</v>
      </c>
      <c r="H196" s="5" t="str">
        <f>IFERROR(__xludf.DUMMYFUNCTION("""COMPUTED_VALUE"""),"PAVIMENTADA COM AVARIAS")</f>
        <v>PAVIMENTADA COM AVARIAS</v>
      </c>
      <c r="I196" s="6" t="str">
        <f>IFERROR(__xludf.DUMMYFUNCTION("""COMPUTED_VALUE"""),"-9.537796")</f>
        <v>-9.537796</v>
      </c>
      <c r="J196" s="6" t="str">
        <f>IFERROR(__xludf.DUMMYFUNCTION("""COMPUTED_VALUE"""),"-35.786484")</f>
        <v>-35.786484</v>
      </c>
      <c r="K196" s="5" t="str">
        <f>IFERROR(__xludf.DUMMYFUNCTION("""COMPUTED_VALUE"""),"RUA DOUTOR JURACY PEREIRA, S/N")</f>
        <v>RUA DOUTOR JURACY PEREIRA, S/N</v>
      </c>
      <c r="L196" s="5" t="str">
        <f>IFERROR(__xludf.DUMMYFUNCTION("""COMPUTED_VALUE"""),"COLETORA")</f>
        <v>COLETORA</v>
      </c>
      <c r="M196" s="5" t="str">
        <f>IFERROR(__xludf.DUMMYFUNCTION("""COMPUTED_VALUE"""),"CIDADE UNIVERSITÁRIA")</f>
        <v>CIDADE UNIVERSITÁRIA</v>
      </c>
      <c r="N196" s="5" t="str">
        <f>IFERROR(__xludf.DUMMYFUNCTION("""COMPUTED_VALUE"""),"BAIRRO - CENTRO")</f>
        <v>BAIRRO - CENTRO</v>
      </c>
      <c r="O196" s="5" t="str">
        <f>IFERROR(__xludf.DUMMYFUNCTION("""COMPUTED_VALUE"""),"NA FRENTE DO SUPERMERCADO SÃO DOMINGOS")</f>
        <v>NA FRENTE DO SUPERMERCADO SÃO DOMINGOS</v>
      </c>
      <c r="P196" s="5" t="str">
        <f>IFERROR(__xludf.DUMMYFUNCTION("""COMPUTED_VALUE"""),"PRIORIDADE BAIXA")</f>
        <v>PRIORIDADE BAIXA</v>
      </c>
      <c r="Q196" s="5" t="str">
        <f>IFERROR(__xludf.DUMMYFUNCTION("""COMPUTED_VALUE"""),"READEQUAÇÃO DE CALÇADA COM ACESSIBILIDADE E PINTURA DE BAÍA NO ASFALTO.")</f>
        <v>READEQUAÇÃO DE CALÇADA COM ACESSIBILIDADE E PINTURA DE BAÍA NO ASFALTO.</v>
      </c>
      <c r="R196" s="5" t="str">
        <f>IFERROR(__xludf.DUMMYFUNCTION("""COMPUTED_VALUE"""),"NENHUMA DAS OPÇÕES")</f>
        <v>NENHUMA DAS OPÇÕES</v>
      </c>
      <c r="S196" s="5"/>
      <c r="T196" s="5"/>
      <c r="U196" s="5"/>
      <c r="V196" s="9" t="str">
        <f>IFERROR(__xludf.DUMMYFUNCTION("""COMPUTED_VALUE"""),"https://drive.google.com/uc?id=1NBPsN9IaInMyrgiappqnkmPtdrSUmuG-")</f>
        <v>https://drive.google.com/uc?id=1NBPsN9IaInMyrgiappqnkmPtdrSUmuG-</v>
      </c>
      <c r="W196" s="5" t="str">
        <f>IFERROR(__xludf.DUMMYFUNCTION("""COMPUTED_VALUE"""),"NÃO")</f>
        <v>NÃO</v>
      </c>
      <c r="X196" s="5" t="str">
        <f>IFERROR(__xludf.DUMMYFUNCTION("""COMPUTED_VALUE"""),"NÃO SE APLICA")</f>
        <v>NÃO SE APLICA</v>
      </c>
    </row>
    <row r="197" hidden="1">
      <c r="A197" s="5">
        <f>IFERROR(__xludf.DUMMYFUNCTION("""COMPUTED_VALUE"""),7.0)</f>
        <v>7</v>
      </c>
      <c r="B197" s="5" t="str">
        <f>IFERROR(__xludf.DUMMYFUNCTION("""COMPUTED_VALUE"""),"CV031")</f>
        <v>CV031</v>
      </c>
      <c r="C197" s="5" t="str">
        <f>IFERROR(__xludf.DUMMYFUNCTION("""COMPUTED_VALUE"""),"NÃO POSSUI")</f>
        <v>NÃO POSSUI</v>
      </c>
      <c r="D197" s="5" t="str">
        <f>IFERROR(__xludf.DUMMYFUNCTION("""COMPUTED_VALUE"""),"FIXADA EM POSTE")</f>
        <v>FIXADA EM POSTE</v>
      </c>
      <c r="E197" s="5" t="str">
        <f>IFERROR(__xludf.DUMMYFUNCTION("""COMPUTED_VALUE"""),"SEM BAIA")</f>
        <v>SEM BAIA</v>
      </c>
      <c r="F197" s="5" t="str">
        <f>IFERROR(__xludf.DUMMYFUNCTION("""COMPUTED_VALUE"""),"NÃO")</f>
        <v>NÃO</v>
      </c>
      <c r="G197" s="5" t="str">
        <f>IFERROR(__xludf.DUMMYFUNCTION("""COMPUTED_VALUE"""),"NÃO")</f>
        <v>NÃO</v>
      </c>
      <c r="H197" s="5" t="str">
        <f>IFERROR(__xludf.DUMMYFUNCTION("""COMPUTED_VALUE"""),"PAVIMENTADA")</f>
        <v>PAVIMENTADA</v>
      </c>
      <c r="I197" s="6" t="str">
        <f>IFERROR(__xludf.DUMMYFUNCTION("""COMPUTED_VALUE"""),"-9.539181")</f>
        <v>-9.539181</v>
      </c>
      <c r="J197" s="6" t="str">
        <f>IFERROR(__xludf.DUMMYFUNCTION("""COMPUTED_VALUE"""),"-35.788991")</f>
        <v>-35.788991</v>
      </c>
      <c r="K197" s="5" t="str">
        <f>IFERROR(__xludf.DUMMYFUNCTION("""COMPUTED_VALUE"""),"RUA DOUTOR JURACY PEREIRA, 1A")</f>
        <v>RUA DOUTOR JURACY PEREIRA, 1A</v>
      </c>
      <c r="L197" s="5" t="str">
        <f>IFERROR(__xludf.DUMMYFUNCTION("""COMPUTED_VALUE"""),"COLETORA")</f>
        <v>COLETORA</v>
      </c>
      <c r="M197" s="5" t="str">
        <f>IFERROR(__xludf.DUMMYFUNCTION("""COMPUTED_VALUE"""),"CIDADE UNIVERSITÁRIA")</f>
        <v>CIDADE UNIVERSITÁRIA</v>
      </c>
      <c r="N197" s="5" t="str">
        <f>IFERROR(__xludf.DUMMYFUNCTION("""COMPUTED_VALUE"""),"BAIRRO - CENTRO")</f>
        <v>BAIRRO - CENTRO</v>
      </c>
      <c r="O197" s="5" t="str">
        <f>IFERROR(__xludf.DUMMYFUNCTION("""COMPUTED_VALUE"""),"CONJ. SANTA MARIA – TEMPERO DA MARIA")</f>
        <v>CONJ. SANTA MARIA – TEMPERO DA MARIA</v>
      </c>
      <c r="P197" s="5" t="str">
        <f>IFERROR(__xludf.DUMMYFUNCTION("""COMPUTED_VALUE"""),"PRIORIDADE BAIXA")</f>
        <v>PRIORIDADE BAIXA</v>
      </c>
      <c r="Q197" s="5" t="str">
        <f>IFERROR(__xludf.DUMMYFUNCTION("""COMPUTED_VALUE"""),"READEQUAÇÃO DE CALÇADA COM ACESSIBILIDADE E PINTURA DE BAÍA NO ASFALTO.")</f>
        <v>READEQUAÇÃO DE CALÇADA COM ACESSIBILIDADE E PINTURA DE BAÍA NO ASFALTO.</v>
      </c>
      <c r="R197" s="5" t="str">
        <f>IFERROR(__xludf.DUMMYFUNCTION("""COMPUTED_VALUE"""),"NENHUMA DAS OPÇÕES")</f>
        <v>NENHUMA DAS OPÇÕES</v>
      </c>
      <c r="S197" s="5"/>
      <c r="T197" s="5"/>
      <c r="U197" s="5"/>
      <c r="V197" s="9" t="str">
        <f>IFERROR(__xludf.DUMMYFUNCTION("""COMPUTED_VALUE"""),"https://drive.google.com/uc?id=1BGXd7Y4qyH5J1L0Vzpev8NcO3IjVN7EG")</f>
        <v>https://drive.google.com/uc?id=1BGXd7Y4qyH5J1L0Vzpev8NcO3IjVN7EG</v>
      </c>
      <c r="W197" s="5" t="str">
        <f>IFERROR(__xludf.DUMMYFUNCTION("""COMPUTED_VALUE"""),"NÃO")</f>
        <v>NÃO</v>
      </c>
      <c r="X197" s="5" t="str">
        <f>IFERROR(__xludf.DUMMYFUNCTION("""COMPUTED_VALUE"""),"NÃO SE APLICA")</f>
        <v>NÃO SE APLICA</v>
      </c>
    </row>
    <row r="198">
      <c r="A198" s="5">
        <f>IFERROR(__xludf.DUMMYFUNCTION("""COMPUTED_VALUE"""),7.0)</f>
        <v>7</v>
      </c>
      <c r="B198" s="5" t="str">
        <f>IFERROR(__xludf.DUMMYFUNCTION("""COMPUTED_VALUE"""),"CV032")</f>
        <v>CV032</v>
      </c>
      <c r="C198" s="5" t="str">
        <f>IFERROR(__xludf.DUMMYFUNCTION("""COMPUTED_VALUE"""),"ABRIGO CONCRETO")</f>
        <v>ABRIGO CONCRETO</v>
      </c>
      <c r="D198" s="5" t="str">
        <f>IFERROR(__xludf.DUMMYFUNCTION("""COMPUTED_VALUE"""),"SEM PLACA")</f>
        <v>SEM PLACA</v>
      </c>
      <c r="E198" s="5" t="str">
        <f>IFERROR(__xludf.DUMMYFUNCTION("""COMPUTED_VALUE"""),"SEM BAIA")</f>
        <v>SEM BAIA</v>
      </c>
      <c r="F198" s="5" t="str">
        <f>IFERROR(__xludf.DUMMYFUNCTION("""COMPUTED_VALUE"""),"NÃO")</f>
        <v>NÃO</v>
      </c>
      <c r="G198" s="5" t="str">
        <f>IFERROR(__xludf.DUMMYFUNCTION("""COMPUTED_VALUE"""),"NÃO")</f>
        <v>NÃO</v>
      </c>
      <c r="H198" s="5" t="str">
        <f>IFERROR(__xludf.DUMMYFUNCTION("""COMPUTED_VALUE"""),"PAVIMENTADA COM AVARIAS")</f>
        <v>PAVIMENTADA COM AVARIAS</v>
      </c>
      <c r="I198" s="6" t="str">
        <f>IFERROR(__xludf.DUMMYFUNCTION("""COMPUTED_VALUE"""),"-9.540140")</f>
        <v>-9.540140</v>
      </c>
      <c r="J198" s="6" t="str">
        <f>IFERROR(__xludf.DUMMYFUNCTION("""COMPUTED_VALUE"""),"-35.790854")</f>
        <v>-35.790854</v>
      </c>
      <c r="K198" s="5" t="str">
        <f>IFERROR(__xludf.DUMMYFUNCTION("""COMPUTED_VALUE"""),"RUA DOUTOR JURACY PEREIRA, 14")</f>
        <v>RUA DOUTOR JURACY PEREIRA, 14</v>
      </c>
      <c r="L198" s="5" t="str">
        <f>IFERROR(__xludf.DUMMYFUNCTION("""COMPUTED_VALUE"""),"COLETORA")</f>
        <v>COLETORA</v>
      </c>
      <c r="M198" s="5" t="str">
        <f>IFERROR(__xludf.DUMMYFUNCTION("""COMPUTED_VALUE"""),"CIDADE UNIVERSITÁRIA")</f>
        <v>CIDADE UNIVERSITÁRIA</v>
      </c>
      <c r="N198" s="5" t="str">
        <f>IFERROR(__xludf.DUMMYFUNCTION("""COMPUTED_VALUE"""),"BAIRRO - CENTRO")</f>
        <v>BAIRRO - CENTRO</v>
      </c>
      <c r="O198" s="5" t="str">
        <f>IFERROR(__xludf.DUMMYFUNCTION("""COMPUTED_VALUE"""),"SAÍDA EUSTÁQUIO, PRÓXIMO A CASA 14")</f>
        <v>SAÍDA EUSTÁQUIO, PRÓXIMO A CASA 14</v>
      </c>
      <c r="P198" s="5" t="str">
        <f>IFERROR(__xludf.DUMMYFUNCTION("""COMPUTED_VALUE"""),"PRIORIDADE ALTA")</f>
        <v>PRIORIDADE ALTA</v>
      </c>
      <c r="Q198" s="5" t="str">
        <f>IFERROR(__xludf.DUMMYFUNCTION("""COMPUTED_VALUE"""),"ABRIGO DANIFICADO - REBOCO, PINTURA E ASSENTO DANIFICADO,  NECESSÁRIO FAZER LIMPEZA DA COBERTA. COMPLETAR PINTURA DA SINALIZAÇÃO DA BAÍA NO ASFALTO, READEQUAÇÃO DE CALÇADA COM ACESSIBILIDADE.")</f>
        <v>ABRIGO DANIFICADO - REBOCO, PINTURA E ASSENTO DANIFICADO,  NECESSÁRIO FAZER LIMPEZA DA COBERTA. COMPLETAR PINTURA DA SINALIZAÇÃO DA BAÍA NO ASFALTO, READEQUAÇÃO DE CALÇADA COM ACESSIBILIDADE.</v>
      </c>
      <c r="R198" s="5" t="str">
        <f>IFERROR(__xludf.DUMMYFUNCTION("""COMPUTED_VALUE"""),"SUBSTITUIR ABRIGO")</f>
        <v>SUBSTITUIR ABRIGO</v>
      </c>
      <c r="S198" s="5"/>
      <c r="T198" s="5"/>
      <c r="U198" s="5"/>
      <c r="V198" s="9" t="str">
        <f>IFERROR(__xludf.DUMMYFUNCTION("""COMPUTED_VALUE"""),"https://drive.google.com/uc?id=1YjbAjbkljlyX0Ta6UdJIX0WbJgwzL0L2")</f>
        <v>https://drive.google.com/uc?id=1YjbAjbkljlyX0Ta6UdJIX0WbJgwzL0L2</v>
      </c>
      <c r="W198" s="5" t="str">
        <f>IFERROR(__xludf.DUMMYFUNCTION("""COMPUTED_VALUE"""),"NÃO")</f>
        <v>NÃO</v>
      </c>
      <c r="X198" s="5" t="str">
        <f>IFERROR(__xludf.DUMMYFUNCTION("""COMPUTED_VALUE"""),"NÃO SE APLICA")</f>
        <v>NÃO SE APLICA</v>
      </c>
    </row>
    <row r="199" ht="17.25" hidden="1" customHeight="1">
      <c r="A199" s="5">
        <f>IFERROR(__xludf.DUMMYFUNCTION("""COMPUTED_VALUE"""),7.0)</f>
        <v>7</v>
      </c>
      <c r="B199" s="5" t="str">
        <f>IFERROR(__xludf.DUMMYFUNCTION("""COMPUTED_VALUE"""),"CV033")</f>
        <v>CV033</v>
      </c>
      <c r="C199" s="5" t="str">
        <f>IFERROR(__xludf.DUMMYFUNCTION("""COMPUTED_VALUE"""),"NÃO POSSUI")</f>
        <v>NÃO POSSUI</v>
      </c>
      <c r="D199" s="5" t="str">
        <f>IFERROR(__xludf.DUMMYFUNCTION("""COMPUTED_VALUE"""),"COM SUPORTE")</f>
        <v>COM SUPORTE</v>
      </c>
      <c r="E199" s="5" t="str">
        <f>IFERROR(__xludf.DUMMYFUNCTION("""COMPUTED_VALUE"""),"SEM BAIA")</f>
        <v>SEM BAIA</v>
      </c>
      <c r="F199" s="5" t="str">
        <f>IFERROR(__xludf.DUMMYFUNCTION("""COMPUTED_VALUE"""),"NÃO")</f>
        <v>NÃO</v>
      </c>
      <c r="G199" s="5" t="str">
        <f>IFERROR(__xludf.DUMMYFUNCTION("""COMPUTED_VALUE"""),"NÃO")</f>
        <v>NÃO</v>
      </c>
      <c r="H199" s="5" t="str">
        <f>IFERROR(__xludf.DUMMYFUNCTION("""COMPUTED_VALUE"""),"PAVIMENTADA")</f>
        <v>PAVIMENTADA</v>
      </c>
      <c r="I199" s="6" t="str">
        <f>IFERROR(__xludf.DUMMYFUNCTION("""COMPUTED_VALUE"""),"-9.540877")</f>
        <v>-9.540877</v>
      </c>
      <c r="J199" s="6" t="str">
        <f>IFERROR(__xludf.DUMMYFUNCTION("""COMPUTED_VALUE"""),"-35.788481")</f>
        <v>-35.788481</v>
      </c>
      <c r="K199" s="5" t="str">
        <f>IFERROR(__xludf.DUMMYFUNCTION("""COMPUTED_VALUE"""),"RUA JÚLIA TENÓRIO, 71")</f>
        <v>RUA JÚLIA TENÓRIO, 71</v>
      </c>
      <c r="L199" s="5" t="str">
        <f>IFERROR(__xludf.DUMMYFUNCTION("""COMPUTED_VALUE"""),"COLETORA")</f>
        <v>COLETORA</v>
      </c>
      <c r="M199" s="5" t="str">
        <f>IFERROR(__xludf.DUMMYFUNCTION("""COMPUTED_VALUE"""),"CIDADE UNIVERSITÁRIA")</f>
        <v>CIDADE UNIVERSITÁRIA</v>
      </c>
      <c r="N199" s="5" t="str">
        <f>IFERROR(__xludf.DUMMYFUNCTION("""COMPUTED_VALUE"""),"CENTRO - BAIRRO")</f>
        <v>CENTRO - BAIRRO</v>
      </c>
      <c r="O199" s="5" t="str">
        <f>IFERROR(__xludf.DUMMYFUNCTION("""COMPUTED_VALUE"""),"EM FRENTE A PANIFICAÇÃO TRIGALLY")</f>
        <v>EM FRENTE A PANIFICAÇÃO TRIGALLY</v>
      </c>
      <c r="P199" s="5" t="str">
        <f>IFERROR(__xludf.DUMMYFUNCTION("""COMPUTED_VALUE"""),"PRIORIDADE BAIXA")</f>
        <v>PRIORIDADE BAIXA</v>
      </c>
      <c r="Q199" s="5" t="str">
        <f>IFERROR(__xludf.DUMMYFUNCTION("""COMPUTED_VALUE"""),"READEQUAÇÃO DE CALÇADA COM ACESSIBILIDADE E PINTURA DE BAÍA NO ASFALTO, LIMPEZA DE VEGETAÇÃO SELVAGEM CRESCENTE.")</f>
        <v>READEQUAÇÃO DE CALÇADA COM ACESSIBILIDADE E PINTURA DE BAÍA NO ASFALTO, LIMPEZA DE VEGETAÇÃO SELVAGEM CRESCENTE.</v>
      </c>
      <c r="R199" s="5" t="str">
        <f>IFERROR(__xludf.DUMMYFUNCTION("""COMPUTED_VALUE"""),"IMPLANTAR ABRIGO")</f>
        <v>IMPLANTAR ABRIGO</v>
      </c>
      <c r="S199" s="5"/>
      <c r="T199" s="5"/>
      <c r="U199" s="5"/>
      <c r="V199" s="9" t="str">
        <f>IFERROR(__xludf.DUMMYFUNCTION("""COMPUTED_VALUE"""),"https://drive.google.com/uc?id=1ika0gsTjBaJGrWgEDcLEWJLz2hI3MHNO")</f>
        <v>https://drive.google.com/uc?id=1ika0gsTjBaJGrWgEDcLEWJLz2hI3MHNO</v>
      </c>
      <c r="W199" s="5" t="str">
        <f>IFERROR(__xludf.DUMMYFUNCTION("""COMPUTED_VALUE"""),"NÃO")</f>
        <v>NÃO</v>
      </c>
      <c r="X199" s="5" t="str">
        <f>IFERROR(__xludf.DUMMYFUNCTION("""COMPUTED_VALUE"""),"NÃO SE APLICA")</f>
        <v>NÃO SE APLICA</v>
      </c>
    </row>
    <row r="200" hidden="1">
      <c r="A200" s="5">
        <f>IFERROR(__xludf.DUMMYFUNCTION("""COMPUTED_VALUE"""),7.0)</f>
        <v>7</v>
      </c>
      <c r="B200" s="5" t="str">
        <f>IFERROR(__xludf.DUMMYFUNCTION("""COMPUTED_VALUE"""),"CV034")</f>
        <v>CV034</v>
      </c>
      <c r="C200" s="5" t="str">
        <f>IFERROR(__xludf.DUMMYFUNCTION("""COMPUTED_VALUE"""),"NÃO POSSUI")</f>
        <v>NÃO POSSUI</v>
      </c>
      <c r="D200" s="5" t="str">
        <f>IFERROR(__xludf.DUMMYFUNCTION("""COMPUTED_VALUE"""),"FIXADA EM POSTE")</f>
        <v>FIXADA EM POSTE</v>
      </c>
      <c r="E200" s="5" t="str">
        <f>IFERROR(__xludf.DUMMYFUNCTION("""COMPUTED_VALUE"""),"SEM BAIA")</f>
        <v>SEM BAIA</v>
      </c>
      <c r="F200" s="5" t="str">
        <f>IFERROR(__xludf.DUMMYFUNCTION("""COMPUTED_VALUE"""),"NÃO")</f>
        <v>NÃO</v>
      </c>
      <c r="G200" s="5" t="str">
        <f>IFERROR(__xludf.DUMMYFUNCTION("""COMPUTED_VALUE"""),"NÃO")</f>
        <v>NÃO</v>
      </c>
      <c r="H200" s="5" t="str">
        <f>IFERROR(__xludf.DUMMYFUNCTION("""COMPUTED_VALUE"""),"PAVIMENTADA")</f>
        <v>PAVIMENTADA</v>
      </c>
      <c r="I200" s="6" t="str">
        <f>IFERROR(__xludf.DUMMYFUNCTION("""COMPUTED_VALUE"""),"-9.53843")</f>
        <v>-9.53843</v>
      </c>
      <c r="J200" s="6" t="str">
        <f>IFERROR(__xludf.DUMMYFUNCTION("""COMPUTED_VALUE"""),"-35.77231")</f>
        <v>-35.77231</v>
      </c>
      <c r="K200" s="5" t="str">
        <f>IFERROR(__xludf.DUMMYFUNCTION("""COMPUTED_VALUE"""),"RUA PROF. BENEDITO OLEGÁRIO DOS SANTOS, Nº: 15")</f>
        <v>RUA PROF. BENEDITO OLEGÁRIO DOS SANTOS, Nº: 15</v>
      </c>
      <c r="L200" s="5" t="str">
        <f>IFERROR(__xludf.DUMMYFUNCTION("""COMPUTED_VALUE"""),"COLETORA")</f>
        <v>COLETORA</v>
      </c>
      <c r="M200" s="5" t="str">
        <f>IFERROR(__xludf.DUMMYFUNCTION("""COMPUTED_VALUE"""),"CIDADE UNIVERSITÁRIA")</f>
        <v>CIDADE UNIVERSITÁRIA</v>
      </c>
      <c r="N200" s="5" t="str">
        <f>IFERROR(__xludf.DUMMYFUNCTION("""COMPUTED_VALUE"""),"CENTRO - BAIRRO")</f>
        <v>CENTRO - BAIRRO</v>
      </c>
      <c r="O200" s="5" t="str">
        <f>IFERROR(__xludf.DUMMYFUNCTION("""COMPUTED_VALUE"""),"EM FRENTE A PRAÇA")</f>
        <v>EM FRENTE A PRAÇA</v>
      </c>
      <c r="P200" s="5" t="str">
        <f>IFERROR(__xludf.DUMMYFUNCTION("""COMPUTED_VALUE"""),"PRIORIDADE BAIXA")</f>
        <v>PRIORIDADE BAIXA</v>
      </c>
      <c r="Q200" s="5" t="str">
        <f>IFERROR(__xludf.DUMMYFUNCTION("""COMPUTED_VALUE"""),"READEQUAÇÃO DE CALÇADA COM ACESSIBILIDADE.")</f>
        <v>READEQUAÇÃO DE CALÇADA COM ACESSIBILIDADE.</v>
      </c>
      <c r="R200" s="5" t="str">
        <f>IFERROR(__xludf.DUMMYFUNCTION("""COMPUTED_VALUE"""),"NENHUMA DAS OPÇÕES")</f>
        <v>NENHUMA DAS OPÇÕES</v>
      </c>
      <c r="S200" s="5"/>
      <c r="T200" s="5"/>
      <c r="U200" s="5"/>
      <c r="V200" s="9" t="str">
        <f>IFERROR(__xludf.DUMMYFUNCTION("""COMPUTED_VALUE"""),"https://drive.google.com/uc?id=1AIuz2lzqdhIkOdQbnplcM81GVT5GN-Lv")</f>
        <v>https://drive.google.com/uc?id=1AIuz2lzqdhIkOdQbnplcM81GVT5GN-Lv</v>
      </c>
      <c r="W200" s="5" t="str">
        <f>IFERROR(__xludf.DUMMYFUNCTION("""COMPUTED_VALUE"""),"NÃO")</f>
        <v>NÃO</v>
      </c>
      <c r="X200" s="5" t="str">
        <f>IFERROR(__xludf.DUMMYFUNCTION("""COMPUTED_VALUE"""),"NÃO SE APLICA")</f>
        <v>NÃO SE APLICA</v>
      </c>
    </row>
    <row r="201" ht="18.0" hidden="1" customHeight="1">
      <c r="A201" s="5">
        <f>IFERROR(__xludf.DUMMYFUNCTION("""COMPUTED_VALUE"""),7.0)</f>
        <v>7</v>
      </c>
      <c r="B201" s="5" t="str">
        <f>IFERROR(__xludf.DUMMYFUNCTION("""COMPUTED_VALUE"""),"CV035")</f>
        <v>CV035</v>
      </c>
      <c r="C201" s="5" t="str">
        <f>IFERROR(__xludf.DUMMYFUNCTION("""COMPUTED_VALUE"""),"NÃO POSSUI")</f>
        <v>NÃO POSSUI</v>
      </c>
      <c r="D201" s="5" t="str">
        <f>IFERROR(__xludf.DUMMYFUNCTION("""COMPUTED_VALUE"""),"FIXADA EM POSTE")</f>
        <v>FIXADA EM POSTE</v>
      </c>
      <c r="E201" s="5" t="str">
        <f>IFERROR(__xludf.DUMMYFUNCTION("""COMPUTED_VALUE"""),"SEM BAIA")</f>
        <v>SEM BAIA</v>
      </c>
      <c r="F201" s="5" t="str">
        <f>IFERROR(__xludf.DUMMYFUNCTION("""COMPUTED_VALUE"""),"NÃO")</f>
        <v>NÃO</v>
      </c>
      <c r="G201" s="5" t="str">
        <f>IFERROR(__xludf.DUMMYFUNCTION("""COMPUTED_VALUE"""),"NÃO")</f>
        <v>NÃO</v>
      </c>
      <c r="H201" s="5" t="str">
        <f>IFERROR(__xludf.DUMMYFUNCTION("""COMPUTED_VALUE"""),"NÃO PAVIMENTADA")</f>
        <v>NÃO PAVIMENTADA</v>
      </c>
      <c r="I201" s="6" t="str">
        <f>IFERROR(__xludf.DUMMYFUNCTION("""COMPUTED_VALUE"""),"-9.53640")</f>
        <v>-9.53640</v>
      </c>
      <c r="J201" s="6" t="str">
        <f>IFERROR(__xludf.DUMMYFUNCTION("""COMPUTED_VALUE"""),"-35.77342")</f>
        <v>-35.77342</v>
      </c>
      <c r="K201" s="5" t="str">
        <f>IFERROR(__xludf.DUMMYFUNCTION("""COMPUTED_VALUE"""),"RUA PROF. BENEDITO OLEGÁRIO DOS SANTOS, S/N")</f>
        <v>RUA PROF. BENEDITO OLEGÁRIO DOS SANTOS, S/N</v>
      </c>
      <c r="L201" s="5" t="str">
        <f>IFERROR(__xludf.DUMMYFUNCTION("""COMPUTED_VALUE"""),"COLETORA")</f>
        <v>COLETORA</v>
      </c>
      <c r="M201" s="5" t="str">
        <f>IFERROR(__xludf.DUMMYFUNCTION("""COMPUTED_VALUE"""),"CIDADE UNIVERSITÁRIA")</f>
        <v>CIDADE UNIVERSITÁRIA</v>
      </c>
      <c r="N201" s="5" t="str">
        <f>IFERROR(__xludf.DUMMYFUNCTION("""COMPUTED_VALUE"""),"CENTRO - BAIRRO")</f>
        <v>CENTRO - BAIRRO</v>
      </c>
      <c r="O201" s="5" t="str">
        <f>IFERROR(__xludf.DUMMYFUNCTION("""COMPUTED_VALUE"""),"TERRENO BALDIO")</f>
        <v>TERRENO BALDIO</v>
      </c>
      <c r="P201" s="5" t="str">
        <f>IFERROR(__xludf.DUMMYFUNCTION("""COMPUTED_VALUE"""),"PRIORIDADE ALTA")</f>
        <v>PRIORIDADE ALTA</v>
      </c>
      <c r="Q201" s="5" t="str">
        <f>IFERROR(__xludf.DUMMYFUNCTION("""COMPUTED_VALUE"""),"READEQUAÇÃO DE CALÇADA COM ACESSIBILIDADE E PINTURA DE BAÍA NO ASFALTO. NECESSITANDO DE LIMPEZA DA VIA E RETIRADA DE ENTULHO, LIMPEZA DE VEGETAÇÃO SELVAGEM CRESCENTE.")</f>
        <v>READEQUAÇÃO DE CALÇADA COM ACESSIBILIDADE E PINTURA DE BAÍA NO ASFALTO. NECESSITANDO DE LIMPEZA DA VIA E RETIRADA DE ENTULHO, LIMPEZA DE VEGETAÇÃO SELVAGEM CRESCENTE.</v>
      </c>
      <c r="R201" s="5" t="str">
        <f>IFERROR(__xludf.DUMMYFUNCTION("""COMPUTED_VALUE"""),"NENHUMA DAS OPÇÕES")</f>
        <v>NENHUMA DAS OPÇÕES</v>
      </c>
      <c r="S201" s="5"/>
      <c r="T201" s="5"/>
      <c r="U201" s="5"/>
      <c r="V201" s="9" t="str">
        <f>IFERROR(__xludf.DUMMYFUNCTION("""COMPUTED_VALUE"""),"https://drive.google.com/uc?id=15y-rS1N8otzgztH0p_OXWZlrgqmKvR6j")</f>
        <v>https://drive.google.com/uc?id=15y-rS1N8otzgztH0p_OXWZlrgqmKvR6j</v>
      </c>
      <c r="W201" s="5" t="str">
        <f>IFERROR(__xludf.DUMMYFUNCTION("""COMPUTED_VALUE"""),"NÃO")</f>
        <v>NÃO</v>
      </c>
      <c r="X201" s="5" t="str">
        <f>IFERROR(__xludf.DUMMYFUNCTION("""COMPUTED_VALUE"""),"NÃO SE APLICA")</f>
        <v>NÃO SE APLICA</v>
      </c>
    </row>
    <row r="202" hidden="1">
      <c r="A202" s="5">
        <f>IFERROR(__xludf.DUMMYFUNCTION("""COMPUTED_VALUE"""),7.0)</f>
        <v>7</v>
      </c>
      <c r="B202" s="5" t="str">
        <f>IFERROR(__xludf.DUMMYFUNCTION("""COMPUTED_VALUE"""),"CV036")</f>
        <v>CV036</v>
      </c>
      <c r="C202" s="5" t="str">
        <f>IFERROR(__xludf.DUMMYFUNCTION("""COMPUTED_VALUE"""),"NÃO POSSUI")</f>
        <v>NÃO POSSUI</v>
      </c>
      <c r="D202" s="5" t="str">
        <f>IFERROR(__xludf.DUMMYFUNCTION("""COMPUTED_VALUE"""),"SEM PLACA")</f>
        <v>SEM PLACA</v>
      </c>
      <c r="E202" s="5" t="str">
        <f>IFERROR(__xludf.DUMMYFUNCTION("""COMPUTED_VALUE"""),"SEM BAIA")</f>
        <v>SEM BAIA</v>
      </c>
      <c r="F202" s="5" t="str">
        <f>IFERROR(__xludf.DUMMYFUNCTION("""COMPUTED_VALUE"""),"NÃO")</f>
        <v>NÃO</v>
      </c>
      <c r="G202" s="5" t="str">
        <f>IFERROR(__xludf.DUMMYFUNCTION("""COMPUTED_VALUE"""),"NÃO")</f>
        <v>NÃO</v>
      </c>
      <c r="H202" s="5" t="str">
        <f>IFERROR(__xludf.DUMMYFUNCTION("""COMPUTED_VALUE"""),"NÃO PAVIMENTADA")</f>
        <v>NÃO PAVIMENTADA</v>
      </c>
      <c r="I202" s="6" t="str">
        <f>IFERROR(__xludf.DUMMYFUNCTION("""COMPUTED_VALUE"""),"-9.53939")</f>
        <v>-9.53939</v>
      </c>
      <c r="J202" s="6" t="str">
        <f>IFERROR(__xludf.DUMMYFUNCTION("""COMPUTED_VALUE"""),"-35.77381")</f>
        <v>-35.77381</v>
      </c>
      <c r="K202" s="5" t="str">
        <f>IFERROR(__xludf.DUMMYFUNCTION("""COMPUTED_VALUE"""),"RUA JORN. WALDEMIR SANTOS RODRIGUES, 10")</f>
        <v>RUA JORN. WALDEMIR SANTOS RODRIGUES, 10</v>
      </c>
      <c r="L202" s="5" t="str">
        <f>IFERROR(__xludf.DUMMYFUNCTION("""COMPUTED_VALUE"""),"COLETORA")</f>
        <v>COLETORA</v>
      </c>
      <c r="M202" s="5" t="str">
        <f>IFERROR(__xludf.DUMMYFUNCTION("""COMPUTED_VALUE"""),"CIDADE UNIVERSITÁRIA")</f>
        <v>CIDADE UNIVERSITÁRIA</v>
      </c>
      <c r="N202" s="5" t="str">
        <f>IFERROR(__xludf.DUMMYFUNCTION("""COMPUTED_VALUE"""),"CENTRO - BAIRRO")</f>
        <v>CENTRO - BAIRRO</v>
      </c>
      <c r="O202" s="5" t="str">
        <f>IFERROR(__xludf.DUMMYFUNCTION("""COMPUTED_VALUE"""),"LOURIVAL CONSTRUÇÕES")</f>
        <v>LOURIVAL CONSTRUÇÕES</v>
      </c>
      <c r="P202" s="5" t="str">
        <f>IFERROR(__xludf.DUMMYFUNCTION("""COMPUTED_VALUE"""),"URGENTE")</f>
        <v>URGENTE</v>
      </c>
      <c r="Q202" s="5" t="str">
        <f>IFERROR(__xludf.DUMMYFUNCTION("""COMPUTED_VALUE"""),"READEQUAÇÃO DE CALÇADA COM ACESSIBILIDADE E PINTURA DE BAÍA NO ASFALTO, LIMPEZA DE VEGETAÇÃO SELVAGEM CRESCENTE.")</f>
        <v>READEQUAÇÃO DE CALÇADA COM ACESSIBILIDADE E PINTURA DE BAÍA NO ASFALTO, LIMPEZA DE VEGETAÇÃO SELVAGEM CRESCENTE.</v>
      </c>
      <c r="R202" s="5" t="str">
        <f>IFERROR(__xludf.DUMMYFUNCTION("""COMPUTED_VALUE"""),"IMPLANTAR ABRIGO")</f>
        <v>IMPLANTAR ABRIGO</v>
      </c>
      <c r="S202" s="5"/>
      <c r="T202" s="5"/>
      <c r="U202" s="5"/>
      <c r="V202" s="9" t="str">
        <f>IFERROR(__xludf.DUMMYFUNCTION("""COMPUTED_VALUE"""),"https://drive.google.com/uc?id=1LqPYq3LuVPZiaA8y35b4fZJjJKvB_lEr")</f>
        <v>https://drive.google.com/uc?id=1LqPYq3LuVPZiaA8y35b4fZJjJKvB_lEr</v>
      </c>
      <c r="W202" s="5" t="str">
        <f>IFERROR(__xludf.DUMMYFUNCTION("""COMPUTED_VALUE"""),"NÃO")</f>
        <v>NÃO</v>
      </c>
      <c r="X202" s="5" t="str">
        <f>IFERROR(__xludf.DUMMYFUNCTION("""COMPUTED_VALUE"""),"NÃO SE APLICA")</f>
        <v>NÃO SE APLICA</v>
      </c>
    </row>
    <row r="203">
      <c r="A203" s="5">
        <f>IFERROR(__xludf.DUMMYFUNCTION("""COMPUTED_VALUE"""),7.0)</f>
        <v>7</v>
      </c>
      <c r="B203" s="5" t="str">
        <f>IFERROR(__xludf.DUMMYFUNCTION("""COMPUTED_VALUE"""),"CV037")</f>
        <v>CV037</v>
      </c>
      <c r="C203" s="5" t="str">
        <f>IFERROR(__xludf.DUMMYFUNCTION("""COMPUTED_VALUE"""),"ABRIGO CONCRETO")</f>
        <v>ABRIGO CONCRETO</v>
      </c>
      <c r="D203" s="5" t="str">
        <f>IFERROR(__xludf.DUMMYFUNCTION("""COMPUTED_VALUE"""),"SEM PLACA")</f>
        <v>SEM PLACA</v>
      </c>
      <c r="E203" s="5" t="str">
        <f>IFERROR(__xludf.DUMMYFUNCTION("""COMPUTED_VALUE"""),"SEM BAIA")</f>
        <v>SEM BAIA</v>
      </c>
      <c r="F203" s="5" t="str">
        <f>IFERROR(__xludf.DUMMYFUNCTION("""COMPUTED_VALUE"""),"NÃO")</f>
        <v>NÃO</v>
      </c>
      <c r="G203" s="5" t="str">
        <f>IFERROR(__xludf.DUMMYFUNCTION("""COMPUTED_VALUE"""),"NÃO")</f>
        <v>NÃO</v>
      </c>
      <c r="H203" s="5" t="str">
        <f>IFERROR(__xludf.DUMMYFUNCTION("""COMPUTED_VALUE"""),"PAVIMENTADA COM AVARIAS")</f>
        <v>PAVIMENTADA COM AVARIAS</v>
      </c>
      <c r="I203" s="6" t="str">
        <f>IFERROR(__xludf.DUMMYFUNCTION("""COMPUTED_VALUE"""),"-9.54024")</f>
        <v>-9.54024</v>
      </c>
      <c r="J203" s="6" t="str">
        <f>IFERROR(__xludf.DUMMYFUNCTION("""COMPUTED_VALUE""")," -35.77539
")</f>
        <v> -35.77539
</v>
      </c>
      <c r="K203" s="5" t="str">
        <f>IFERROR(__xludf.DUMMYFUNCTION("""COMPUTED_VALUE"""),"JARDIM ROYAL")</f>
        <v>JARDIM ROYAL</v>
      </c>
      <c r="L203" s="5" t="str">
        <f>IFERROR(__xludf.DUMMYFUNCTION("""COMPUTED_VALUE"""),"COLETORA")</f>
        <v>COLETORA</v>
      </c>
      <c r="M203" s="5" t="str">
        <f>IFERROR(__xludf.DUMMYFUNCTION("""COMPUTED_VALUE"""),"CIDADE UNIVERSITÁRIA")</f>
        <v>CIDADE UNIVERSITÁRIA</v>
      </c>
      <c r="N203" s="5" t="str">
        <f>IFERROR(__xludf.DUMMYFUNCTION("""COMPUTED_VALUE"""),"CENTRO - BAIRRO")</f>
        <v>CENTRO - BAIRRO</v>
      </c>
      <c r="O203" s="5" t="str">
        <f>IFERROR(__xludf.DUMMYFUNCTION("""COMPUTED_VALUE"""),"PRÓXIMO AO STUDIO K")</f>
        <v>PRÓXIMO AO STUDIO K</v>
      </c>
      <c r="P203" s="5" t="str">
        <f>IFERROR(__xludf.DUMMYFUNCTION("""COMPUTED_VALUE"""),"PRIORIDADE ALTA")</f>
        <v>PRIORIDADE ALTA</v>
      </c>
      <c r="Q203" s="5" t="str">
        <f>IFERROR(__xludf.DUMMYFUNCTION("""COMPUTED_VALUE"""),"ABRIGO DANIFICADO - REBOCO, PINTURA E ASSENTO DANIFICADO,  NECESSÁRIO FAZER LIMPEZA DA COBERTA.PINTURA DA SINALIZAÇÃO DA BAÍA NO ASFALTO, READEQUAÇÃO DE CALÇADA COM ACESSIBILIDADE, LIMPEZA DE VEGETAÇÃO SELVAGEM CRESCENTE.")</f>
        <v>ABRIGO DANIFICADO - REBOCO, PINTURA E ASSENTO DANIFICADO,  NECESSÁRIO FAZER LIMPEZA DA COBERTA.PINTURA DA SINALIZAÇÃO DA BAÍA NO ASFALTO, READEQUAÇÃO DE CALÇADA COM ACESSIBILIDADE, LIMPEZA DE VEGETAÇÃO SELVAGEM CRESCENTE.</v>
      </c>
      <c r="R203" s="5" t="str">
        <f>IFERROR(__xludf.DUMMYFUNCTION("""COMPUTED_VALUE"""),"SUBSTITUIR ABRIGO")</f>
        <v>SUBSTITUIR ABRIGO</v>
      </c>
      <c r="S203" s="5"/>
      <c r="T203" s="5"/>
      <c r="U203" s="5"/>
      <c r="V203" s="9" t="str">
        <f>IFERROR(__xludf.DUMMYFUNCTION("""COMPUTED_VALUE"""),"https://drive.google.com/uc?id=1CQupO_Hj7yMFE5Z4b4L2KbKFuh85Ib1z")</f>
        <v>https://drive.google.com/uc?id=1CQupO_Hj7yMFE5Z4b4L2KbKFuh85Ib1z</v>
      </c>
      <c r="W203" s="5" t="str">
        <f>IFERROR(__xludf.DUMMYFUNCTION("""COMPUTED_VALUE"""),"NÃO")</f>
        <v>NÃO</v>
      </c>
      <c r="X203" s="5" t="str">
        <f>IFERROR(__xludf.DUMMYFUNCTION("""COMPUTED_VALUE"""),"NÃO SE APLICA")</f>
        <v>NÃO SE APLICA</v>
      </c>
    </row>
    <row r="204">
      <c r="A204" s="5">
        <f>IFERROR(__xludf.DUMMYFUNCTION("""COMPUTED_VALUE"""),7.0)</f>
        <v>7</v>
      </c>
      <c r="B204" s="5" t="str">
        <f>IFERROR(__xludf.DUMMYFUNCTION("""COMPUTED_VALUE"""),"CV038")</f>
        <v>CV038</v>
      </c>
      <c r="C204" s="5" t="str">
        <f>IFERROR(__xludf.DUMMYFUNCTION("""COMPUTED_VALUE"""),"ABRIGO CONCRETO")</f>
        <v>ABRIGO CONCRETO</v>
      </c>
      <c r="D204" s="5" t="str">
        <f>IFERROR(__xludf.DUMMYFUNCTION("""COMPUTED_VALUE"""),"COM SUPORTE")</f>
        <v>COM SUPORTE</v>
      </c>
      <c r="E204" s="5" t="str">
        <f>IFERROR(__xludf.DUMMYFUNCTION("""COMPUTED_VALUE"""),"SEM BAIA")</f>
        <v>SEM BAIA</v>
      </c>
      <c r="F204" s="5" t="str">
        <f>IFERROR(__xludf.DUMMYFUNCTION("""COMPUTED_VALUE"""),"NÃO")</f>
        <v>NÃO</v>
      </c>
      <c r="G204" s="5" t="str">
        <f>IFERROR(__xludf.DUMMYFUNCTION("""COMPUTED_VALUE"""),"NÃO")</f>
        <v>NÃO</v>
      </c>
      <c r="H204" s="5" t="str">
        <f>IFERROR(__xludf.DUMMYFUNCTION("""COMPUTED_VALUE"""),"PAVIMENTADA")</f>
        <v>PAVIMENTADA</v>
      </c>
      <c r="I204" s="6" t="str">
        <f>IFERROR(__xludf.DUMMYFUNCTION("""COMPUTED_VALUE"""),"-9.54113")</f>
        <v>-9.54113</v>
      </c>
      <c r="J204" s="6" t="str">
        <f>IFERROR(__xludf.DUMMYFUNCTION("""COMPUTED_VALUE"""),"-35.77696")</f>
        <v>-35.77696</v>
      </c>
      <c r="K204" s="5" t="str">
        <f>IFERROR(__xludf.DUMMYFUNCTION("""COMPUTED_VALUE"""),"NOVO JARDIM, S/N")</f>
        <v>NOVO JARDIM, S/N</v>
      </c>
      <c r="L204" s="5" t="str">
        <f>IFERROR(__xludf.DUMMYFUNCTION("""COMPUTED_VALUE"""),"COLETORA")</f>
        <v>COLETORA</v>
      </c>
      <c r="M204" s="5" t="str">
        <f>IFERROR(__xludf.DUMMYFUNCTION("""COMPUTED_VALUE"""),"CIDADE UNIVERSITÁRIA")</f>
        <v>CIDADE UNIVERSITÁRIA</v>
      </c>
      <c r="N204" s="5" t="str">
        <f>IFERROR(__xludf.DUMMYFUNCTION("""COMPUTED_VALUE"""),"CENTRO - BAIRRO")</f>
        <v>CENTRO - BAIRRO</v>
      </c>
      <c r="O204" s="5" t="str">
        <f>IFERROR(__xludf.DUMMYFUNCTION("""COMPUTED_VALUE"""),"PRÓXIMO A PIMENTA QUENTINHA E ASSEMBLEIA DE DEUS – CASA 22")</f>
        <v>PRÓXIMO A PIMENTA QUENTINHA E ASSEMBLEIA DE DEUS – CASA 22</v>
      </c>
      <c r="P204" s="5" t="str">
        <f>IFERROR(__xludf.DUMMYFUNCTION("""COMPUTED_VALUE"""),"PRIORIDADE ALTA")</f>
        <v>PRIORIDADE ALTA</v>
      </c>
      <c r="Q204" s="5" t="str">
        <f>IFERROR(__xludf.DUMMYFUNCTION("""COMPUTED_VALUE"""),"ABRIGO DANIFICADO - REBOCO, PINTURA E ASSENTO DANIFICADO,  NECESSÁRIO FAZER LIMPEZA DA COBERTA.PINTURA DA SINALIZAÇÃO DA BAÍA NO ASFALTO, READEQUAÇÃO DE CALÇADA COM ACESSIBILIDADE, LIMPEZA DE VEGETAÇÃO SELVAGEM CRESCENTE.")</f>
        <v>ABRIGO DANIFICADO - REBOCO, PINTURA E ASSENTO DANIFICADO,  NECESSÁRIO FAZER LIMPEZA DA COBERTA.PINTURA DA SINALIZAÇÃO DA BAÍA NO ASFALTO, READEQUAÇÃO DE CALÇADA COM ACESSIBILIDADE, LIMPEZA DE VEGETAÇÃO SELVAGEM CRESCENTE.</v>
      </c>
      <c r="R204" s="5" t="str">
        <f>IFERROR(__xludf.DUMMYFUNCTION("""COMPUTED_VALUE"""),"SUBSTITUIR ABRIGO")</f>
        <v>SUBSTITUIR ABRIGO</v>
      </c>
      <c r="S204" s="5"/>
      <c r="T204" s="5"/>
      <c r="U204" s="5"/>
      <c r="V204" s="9" t="str">
        <f>IFERROR(__xludf.DUMMYFUNCTION("""COMPUTED_VALUE"""),"https://drive.google.com/uc?id=1lUO63tLdVtZHv7bnkTqqL2z17-A9DO1y")</f>
        <v>https://drive.google.com/uc?id=1lUO63tLdVtZHv7bnkTqqL2z17-A9DO1y</v>
      </c>
      <c r="W204" s="5" t="str">
        <f>IFERROR(__xludf.DUMMYFUNCTION("""COMPUTED_VALUE"""),"NÃO")</f>
        <v>NÃO</v>
      </c>
      <c r="X204" s="5" t="str">
        <f>IFERROR(__xludf.DUMMYFUNCTION("""COMPUTED_VALUE"""),"NÃO SE APLICA")</f>
        <v>NÃO SE APLICA</v>
      </c>
    </row>
    <row r="205" hidden="1">
      <c r="A205" s="5">
        <f>IFERROR(__xludf.DUMMYFUNCTION("""COMPUTED_VALUE"""),7.0)</f>
        <v>7</v>
      </c>
      <c r="B205" s="5" t="str">
        <f>IFERROR(__xludf.DUMMYFUNCTION("""COMPUTED_VALUE"""),"CV039")</f>
        <v>CV039</v>
      </c>
      <c r="C205" s="5" t="str">
        <f>IFERROR(__xludf.DUMMYFUNCTION("""COMPUTED_VALUE"""),"NÃO POSSUI")</f>
        <v>NÃO POSSUI</v>
      </c>
      <c r="D205" s="5" t="str">
        <f>IFERROR(__xludf.DUMMYFUNCTION("""COMPUTED_VALUE"""),"COM SUPORTE")</f>
        <v>COM SUPORTE</v>
      </c>
      <c r="E205" s="5" t="str">
        <f>IFERROR(__xludf.DUMMYFUNCTION("""COMPUTED_VALUE"""),"SEM BAIA")</f>
        <v>SEM BAIA</v>
      </c>
      <c r="F205" s="5" t="str">
        <f>IFERROR(__xludf.DUMMYFUNCTION("""COMPUTED_VALUE"""),"NÃO")</f>
        <v>NÃO</v>
      </c>
      <c r="G205" s="5" t="str">
        <f>IFERROR(__xludf.DUMMYFUNCTION("""COMPUTED_VALUE"""),"NÃO")</f>
        <v>NÃO</v>
      </c>
      <c r="H205" s="5" t="str">
        <f>IFERROR(__xludf.DUMMYFUNCTION("""COMPUTED_VALUE"""),"PAVIMENTADA")</f>
        <v>PAVIMENTADA</v>
      </c>
      <c r="I205" s="6" t="str">
        <f>IFERROR(__xludf.DUMMYFUNCTION("""COMPUTED_VALUE"""),"-9.541953")</f>
        <v>-9.541953</v>
      </c>
      <c r="J205" s="6" t="str">
        <f>IFERROR(__xludf.DUMMYFUNCTION("""COMPUTED_VALUE"""),"-35.778522")</f>
        <v>-35.778522</v>
      </c>
      <c r="K205" s="5" t="str">
        <f>IFERROR(__xludf.DUMMYFUNCTION("""COMPUTED_VALUE"""),"JARDIM ROYAL – QD: VI")</f>
        <v>JARDIM ROYAL – QD: VI</v>
      </c>
      <c r="L205" s="5" t="str">
        <f>IFERROR(__xludf.DUMMYFUNCTION("""COMPUTED_VALUE"""),"COLETORA")</f>
        <v>COLETORA</v>
      </c>
      <c r="M205" s="5" t="str">
        <f>IFERROR(__xludf.DUMMYFUNCTION("""COMPUTED_VALUE"""),"CIDADE UNIVERSITÁRIA")</f>
        <v>CIDADE UNIVERSITÁRIA</v>
      </c>
      <c r="N205" s="5" t="str">
        <f>IFERROR(__xludf.DUMMYFUNCTION("""COMPUTED_VALUE"""),"CENTRO - BAIRRO")</f>
        <v>CENTRO - BAIRRO</v>
      </c>
      <c r="O205" s="5" t="str">
        <f>IFERROR(__xludf.DUMMYFUNCTION("""COMPUTED_VALUE"""),"PRÓXIMO AO CMEI ANA CAROLINA")</f>
        <v>PRÓXIMO AO CMEI ANA CAROLINA</v>
      </c>
      <c r="P205" s="5" t="str">
        <f>IFERROR(__xludf.DUMMYFUNCTION("""COMPUTED_VALUE"""),"URGENTE")</f>
        <v>URGENTE</v>
      </c>
      <c r="Q205" s="5" t="str">
        <f>IFERROR(__xludf.DUMMYFUNCTION("""COMPUTED_VALUE"""),"READEQUAÇÃO DE CALÇADA COM ACESSIBILIDADE E PINTURA DE BAÍA NO ASFALTO.")</f>
        <v>READEQUAÇÃO DE CALÇADA COM ACESSIBILIDADE E PINTURA DE BAÍA NO ASFALTO.</v>
      </c>
      <c r="R205" s="5" t="str">
        <f>IFERROR(__xludf.DUMMYFUNCTION("""COMPUTED_VALUE"""),"NENHUMA DAS OPÇÕES")</f>
        <v>NENHUMA DAS OPÇÕES</v>
      </c>
      <c r="S205" s="5"/>
      <c r="T205" s="5"/>
      <c r="U205" s="5"/>
      <c r="V205" s="9" t="str">
        <f>IFERROR(__xludf.DUMMYFUNCTION("""COMPUTED_VALUE"""),"https://drive.google.com/uc?id=1lUO63tLdVtZHv7bnkTqqL2z17-A9DO1y")</f>
        <v>https://drive.google.com/uc?id=1lUO63tLdVtZHv7bnkTqqL2z17-A9DO1y</v>
      </c>
      <c r="W205" s="5" t="str">
        <f>IFERROR(__xludf.DUMMYFUNCTION("""COMPUTED_VALUE"""),"NÃO")</f>
        <v>NÃO</v>
      </c>
      <c r="X205" s="5" t="str">
        <f>IFERROR(__xludf.DUMMYFUNCTION("""COMPUTED_VALUE"""),"NÃO SE APLICA")</f>
        <v>NÃO SE APLICA</v>
      </c>
    </row>
    <row r="206" hidden="1">
      <c r="A206" s="5">
        <f>IFERROR(__xludf.DUMMYFUNCTION("""COMPUTED_VALUE"""),7.0)</f>
        <v>7</v>
      </c>
      <c r="B206" s="5" t="str">
        <f>IFERROR(__xludf.DUMMYFUNCTION("""COMPUTED_VALUE"""),"CV040")</f>
        <v>CV040</v>
      </c>
      <c r="C206" s="5" t="str">
        <f>IFERROR(__xludf.DUMMYFUNCTION("""COMPUTED_VALUE"""),"NÃO POSSUI")</f>
        <v>NÃO POSSUI</v>
      </c>
      <c r="D206" s="5" t="str">
        <f>IFERROR(__xludf.DUMMYFUNCTION("""COMPUTED_VALUE"""),"COM SUPORTE")</f>
        <v>COM SUPORTE</v>
      </c>
      <c r="E206" s="5" t="str">
        <f>IFERROR(__xludf.DUMMYFUNCTION("""COMPUTED_VALUE"""),"SEM BAIA")</f>
        <v>SEM BAIA</v>
      </c>
      <c r="F206" s="5" t="str">
        <f>IFERROR(__xludf.DUMMYFUNCTION("""COMPUTED_VALUE"""),"NÃO")</f>
        <v>NÃO</v>
      </c>
      <c r="G206" s="5" t="str">
        <f>IFERROR(__xludf.DUMMYFUNCTION("""COMPUTED_VALUE"""),"NÃO")</f>
        <v>NÃO</v>
      </c>
      <c r="H206" s="5" t="str">
        <f>IFERROR(__xludf.DUMMYFUNCTION("""COMPUTED_VALUE"""),"NÃO PAVIMENTADA")</f>
        <v>NÃO PAVIMENTADA</v>
      </c>
      <c r="I206" s="6" t="str">
        <f>IFERROR(__xludf.DUMMYFUNCTION("""COMPUTED_VALUE"""),"-9.538227")</f>
        <v>-9.538227</v>
      </c>
      <c r="J206" s="6" t="str">
        <f>IFERROR(__xludf.DUMMYFUNCTION("""COMPUTED_VALUE"""),"-35.777096")</f>
        <v>-35.777096</v>
      </c>
      <c r="K206" s="5" t="str">
        <f>IFERROR(__xludf.DUMMYFUNCTION("""COMPUTED_VALUE"""),"NOVO JARDIM, S/N")</f>
        <v>NOVO JARDIM, S/N</v>
      </c>
      <c r="L206" s="5" t="str">
        <f>IFERROR(__xludf.DUMMYFUNCTION("""COMPUTED_VALUE"""),"COLETORA")</f>
        <v>COLETORA</v>
      </c>
      <c r="M206" s="5" t="str">
        <f>IFERROR(__xludf.DUMMYFUNCTION("""COMPUTED_VALUE"""),"CIDADE UNIVERSITÁRIA")</f>
        <v>CIDADE UNIVERSITÁRIA</v>
      </c>
      <c r="N206" s="5" t="str">
        <f>IFERROR(__xludf.DUMMYFUNCTION("""COMPUTED_VALUE"""),"CENTRO - BAIRRO")</f>
        <v>CENTRO - BAIRRO</v>
      </c>
      <c r="O206" s="5" t="str">
        <f>IFERROR(__xludf.DUMMYFUNCTION("""COMPUTED_VALUE"""),"1ª ROTATÓRIA - CONJ. NOVO JARDIM")</f>
        <v>1ª ROTATÓRIA - CONJ. NOVO JARDIM</v>
      </c>
      <c r="P206" s="5" t="str">
        <f>IFERROR(__xludf.DUMMYFUNCTION("""COMPUTED_VALUE"""),"PRIORIDADE BAIXA")</f>
        <v>PRIORIDADE BAIXA</v>
      </c>
      <c r="Q206" s="5" t="str">
        <f>IFERROR(__xludf.DUMMYFUNCTION("""COMPUTED_VALUE"""),"READEQUAÇÃO DE CALÇADA COM ACESSIBILIDADE.")</f>
        <v>READEQUAÇÃO DE CALÇADA COM ACESSIBILIDADE.</v>
      </c>
      <c r="R206" s="5" t="str">
        <f>IFERROR(__xludf.DUMMYFUNCTION("""COMPUTED_VALUE"""),"NENHUMA DAS OPÇÕES")</f>
        <v>NENHUMA DAS OPÇÕES</v>
      </c>
      <c r="S206" s="5"/>
      <c r="T206" s="5"/>
      <c r="U206" s="5"/>
      <c r="V206" s="9" t="str">
        <f>IFERROR(__xludf.DUMMYFUNCTION("""COMPUTED_VALUE"""),"https://drive.google.com/uc?id=1Pnmbgi5qN743aDAjuuopuysxqENQfmPh")</f>
        <v>https://drive.google.com/uc?id=1Pnmbgi5qN743aDAjuuopuysxqENQfmPh</v>
      </c>
      <c r="W206" s="5" t="str">
        <f>IFERROR(__xludf.DUMMYFUNCTION("""COMPUTED_VALUE"""),"NÃO")</f>
        <v>NÃO</v>
      </c>
      <c r="X206" s="5" t="str">
        <f>IFERROR(__xludf.DUMMYFUNCTION("""COMPUTED_VALUE"""),"NÃO SE APLICA")</f>
        <v>NÃO SE APLICA</v>
      </c>
    </row>
    <row r="207" hidden="1">
      <c r="A207" s="5">
        <f>IFERROR(__xludf.DUMMYFUNCTION("""COMPUTED_VALUE"""),7.0)</f>
        <v>7</v>
      </c>
      <c r="B207" s="5" t="str">
        <f>IFERROR(__xludf.DUMMYFUNCTION("""COMPUTED_VALUE"""),"CV041")</f>
        <v>CV041</v>
      </c>
      <c r="C207" s="5" t="str">
        <f>IFERROR(__xludf.DUMMYFUNCTION("""COMPUTED_VALUE"""),"NÃO POSSUI")</f>
        <v>NÃO POSSUI</v>
      </c>
      <c r="D207" s="5" t="str">
        <f>IFERROR(__xludf.DUMMYFUNCTION("""COMPUTED_VALUE"""),"SEM PLACA")</f>
        <v>SEM PLACA</v>
      </c>
      <c r="E207" s="5" t="str">
        <f>IFERROR(__xludf.DUMMYFUNCTION("""COMPUTED_VALUE"""),"SEM BAIA")</f>
        <v>SEM BAIA</v>
      </c>
      <c r="F207" s="5" t="str">
        <f>IFERROR(__xludf.DUMMYFUNCTION("""COMPUTED_VALUE"""),"NÃO")</f>
        <v>NÃO</v>
      </c>
      <c r="G207" s="5" t="str">
        <f>IFERROR(__xludf.DUMMYFUNCTION("""COMPUTED_VALUE"""),"NÃO")</f>
        <v>NÃO</v>
      </c>
      <c r="H207" s="5" t="str">
        <f>IFERROR(__xludf.DUMMYFUNCTION("""COMPUTED_VALUE"""),"NÃO PAVIMENTADA")</f>
        <v>NÃO PAVIMENTADA</v>
      </c>
      <c r="I207" s="6" t="str">
        <f>IFERROR(__xludf.DUMMYFUNCTION("""COMPUTED_VALUE"""),"-9.53767")</f>
        <v>-9.53767</v>
      </c>
      <c r="J207" s="6" t="str">
        <f>IFERROR(__xludf.DUMMYFUNCTION("""COMPUTED_VALUE"""),"-35.77744")</f>
        <v>-35.77744</v>
      </c>
      <c r="K207" s="5" t="str">
        <f>IFERROR(__xludf.DUMMYFUNCTION("""COMPUTED_VALUE"""),"NOVO JARDIM, S/N")</f>
        <v>NOVO JARDIM, S/N</v>
      </c>
      <c r="L207" s="5" t="str">
        <f>IFERROR(__xludf.DUMMYFUNCTION("""COMPUTED_VALUE"""),"COLETORA")</f>
        <v>COLETORA</v>
      </c>
      <c r="M207" s="5" t="str">
        <f>IFERROR(__xludf.DUMMYFUNCTION("""COMPUTED_VALUE"""),"CIDADE UNIVERSITÁRIA")</f>
        <v>CIDADE UNIVERSITÁRIA</v>
      </c>
      <c r="N207" s="5" t="str">
        <f>IFERROR(__xludf.DUMMYFUNCTION("""COMPUTED_VALUE"""),"CENTRO - BAIRRO")</f>
        <v>CENTRO - BAIRRO</v>
      </c>
      <c r="O207" s="5" t="str">
        <f>IFERROR(__xludf.DUMMYFUNCTION("""COMPUTED_VALUE"""),"2ª ROTATÓRIA - CAIXA D’ÁGUA DO CONJ. NOVO JARDIM")</f>
        <v>2ª ROTATÓRIA - CAIXA D’ÁGUA DO CONJ. NOVO JARDIM</v>
      </c>
      <c r="P207" s="5" t="str">
        <f>IFERROR(__xludf.DUMMYFUNCTION("""COMPUTED_VALUE"""),"URGENTE")</f>
        <v>URGENTE</v>
      </c>
      <c r="Q207" s="5" t="str">
        <f>IFERROR(__xludf.DUMMYFUNCTION("""COMPUTED_VALUE"""),"READEQUAÇÃO DE CALÇADA COM ACESSIBILIDADE.")</f>
        <v>READEQUAÇÃO DE CALÇADA COM ACESSIBILIDADE.</v>
      </c>
      <c r="R207" s="5" t="str">
        <f>IFERROR(__xludf.DUMMYFUNCTION("""COMPUTED_VALUE"""),"NENHUMA DAS OPÇÕES")</f>
        <v>NENHUMA DAS OPÇÕES</v>
      </c>
      <c r="S207" s="5"/>
      <c r="T207" s="5"/>
      <c r="U207" s="5"/>
      <c r="V207" s="9" t="str">
        <f>IFERROR(__xludf.DUMMYFUNCTION("""COMPUTED_VALUE"""),"https://drive.google.com/uc?id=1dMIrVYqLoONoHBb3ObLS8qAvA8CinecM")</f>
        <v>https://drive.google.com/uc?id=1dMIrVYqLoONoHBb3ObLS8qAvA8CinecM</v>
      </c>
      <c r="W207" s="5" t="str">
        <f>IFERROR(__xludf.DUMMYFUNCTION("""COMPUTED_VALUE"""),"NÃO")</f>
        <v>NÃO</v>
      </c>
      <c r="X207" s="5" t="str">
        <f>IFERROR(__xludf.DUMMYFUNCTION("""COMPUTED_VALUE"""),"NÃO SE APLICA")</f>
        <v>NÃO SE APLICA</v>
      </c>
    </row>
    <row r="208" hidden="1">
      <c r="A208" s="5">
        <f>IFERROR(__xludf.DUMMYFUNCTION("""COMPUTED_VALUE"""),7.0)</f>
        <v>7</v>
      </c>
      <c r="B208" s="5" t="str">
        <f>IFERROR(__xludf.DUMMYFUNCTION("""COMPUTED_VALUE"""),"CV042")</f>
        <v>CV042</v>
      </c>
      <c r="C208" s="5" t="str">
        <f>IFERROR(__xludf.DUMMYFUNCTION("""COMPUTED_VALUE"""),"NÃO POSSUI")</f>
        <v>NÃO POSSUI</v>
      </c>
      <c r="D208" s="5" t="str">
        <f>IFERROR(__xludf.DUMMYFUNCTION("""COMPUTED_VALUE"""),"SEM PLACA")</f>
        <v>SEM PLACA</v>
      </c>
      <c r="E208" s="5" t="str">
        <f>IFERROR(__xludf.DUMMYFUNCTION("""COMPUTED_VALUE"""),"SEM BAIA")</f>
        <v>SEM BAIA</v>
      </c>
      <c r="F208" s="5" t="str">
        <f>IFERROR(__xludf.DUMMYFUNCTION("""COMPUTED_VALUE"""),"NÃO")</f>
        <v>NÃO</v>
      </c>
      <c r="G208" s="5" t="str">
        <f>IFERROR(__xludf.DUMMYFUNCTION("""COMPUTED_VALUE"""),"NÃO")</f>
        <v>NÃO</v>
      </c>
      <c r="H208" s="5" t="str">
        <f>IFERROR(__xludf.DUMMYFUNCTION("""COMPUTED_VALUE"""),"NÃO PAVIMENTADA")</f>
        <v>NÃO PAVIMENTADA</v>
      </c>
      <c r="I208" s="6" t="str">
        <f>IFERROR(__xludf.DUMMYFUNCTION("""COMPUTED_VALUE"""),"-9.53513")</f>
        <v>-9.53513</v>
      </c>
      <c r="J208" s="6" t="str">
        <f>IFERROR(__xludf.DUMMYFUNCTION("""COMPUTED_VALUE"""),"-35.78238")</f>
        <v>-35.78238</v>
      </c>
      <c r="K208" s="5" t="str">
        <f>IFERROR(__xludf.DUMMYFUNCTION("""COMPUTED_VALUE"""),"RES. JARDIM ROYAL – 1ª ROTATÓRIA")</f>
        <v>RES. JARDIM ROYAL – 1ª ROTATÓRIA</v>
      </c>
      <c r="L208" s="5" t="str">
        <f>IFERROR(__xludf.DUMMYFUNCTION("""COMPUTED_VALUE"""),"COLETORA")</f>
        <v>COLETORA</v>
      </c>
      <c r="M208" s="5" t="str">
        <f>IFERROR(__xludf.DUMMYFUNCTION("""COMPUTED_VALUE"""),"CIDADE UNIVERSITÁRIA")</f>
        <v>CIDADE UNIVERSITÁRIA</v>
      </c>
      <c r="N208" s="5" t="str">
        <f>IFERROR(__xludf.DUMMYFUNCTION("""COMPUTED_VALUE"""),"BAIRRO - CENTRO / CENTRO - BAIRRO")</f>
        <v>BAIRRO - CENTRO / CENTRO - BAIRRO</v>
      </c>
      <c r="O208" s="5" t="str">
        <f>IFERROR(__xludf.DUMMYFUNCTION("""COMPUTED_VALUE"""),"ANTES DO RESTAURANTE TORRE BAR")</f>
        <v>ANTES DO RESTAURANTE TORRE BAR</v>
      </c>
      <c r="P208" s="5" t="str">
        <f>IFERROR(__xludf.DUMMYFUNCTION("""COMPUTED_VALUE"""),"URGENTE")</f>
        <v>URGENTE</v>
      </c>
      <c r="Q208" s="5" t="str">
        <f>IFERROR(__xludf.DUMMYFUNCTION("""COMPUTED_VALUE"""),"READEQUAÇÃO DE CALÇADA COM ACESSIBILIDADE.")</f>
        <v>READEQUAÇÃO DE CALÇADA COM ACESSIBILIDADE.</v>
      </c>
      <c r="R208" s="5" t="str">
        <f>IFERROR(__xludf.DUMMYFUNCTION("""COMPUTED_VALUE"""),"NENHUMA DAS OPÇÕES")</f>
        <v>NENHUMA DAS OPÇÕES</v>
      </c>
      <c r="S208" s="5"/>
      <c r="T208" s="5"/>
      <c r="U208" s="5"/>
      <c r="V208" s="9" t="str">
        <f>IFERROR(__xludf.DUMMYFUNCTION("""COMPUTED_VALUE"""),"https://drive.google.com/uc?id=1UPjZb7rsM1u-l541dnc9CJJ2RgjWXMqe")</f>
        <v>https://drive.google.com/uc?id=1UPjZb7rsM1u-l541dnc9CJJ2RgjWXMqe</v>
      </c>
      <c r="W208" s="5" t="str">
        <f>IFERROR(__xludf.DUMMYFUNCTION("""COMPUTED_VALUE"""),"NÃO")</f>
        <v>NÃO</v>
      </c>
      <c r="X208" s="5" t="str">
        <f>IFERROR(__xludf.DUMMYFUNCTION("""COMPUTED_VALUE"""),"NÃO SE APLICA")</f>
        <v>NÃO SE APLICA</v>
      </c>
    </row>
    <row r="209" hidden="1">
      <c r="A209" s="5">
        <f>IFERROR(__xludf.DUMMYFUNCTION("""COMPUTED_VALUE"""),7.0)</f>
        <v>7</v>
      </c>
      <c r="B209" s="5" t="str">
        <f>IFERROR(__xludf.DUMMYFUNCTION("""COMPUTED_VALUE"""),"CV043")</f>
        <v>CV043</v>
      </c>
      <c r="C209" s="5" t="str">
        <f>IFERROR(__xludf.DUMMYFUNCTION("""COMPUTED_VALUE"""),"NÃO POSSUI")</f>
        <v>NÃO POSSUI</v>
      </c>
      <c r="D209" s="5" t="str">
        <f>IFERROR(__xludf.DUMMYFUNCTION("""COMPUTED_VALUE"""),"COM SUPORTE")</f>
        <v>COM SUPORTE</v>
      </c>
      <c r="E209" s="5" t="str">
        <f>IFERROR(__xludf.DUMMYFUNCTION("""COMPUTED_VALUE"""),"SEM BAIA")</f>
        <v>SEM BAIA</v>
      </c>
      <c r="F209" s="5" t="str">
        <f>IFERROR(__xludf.DUMMYFUNCTION("""COMPUTED_VALUE"""),"NÃO")</f>
        <v>NÃO</v>
      </c>
      <c r="G209" s="5" t="str">
        <f>IFERROR(__xludf.DUMMYFUNCTION("""COMPUTED_VALUE"""),"NÃO")</f>
        <v>NÃO</v>
      </c>
      <c r="H209" s="5" t="str">
        <f>IFERROR(__xludf.DUMMYFUNCTION("""COMPUTED_VALUE"""),"PAVIMENTADA COM AVARIAS")</f>
        <v>PAVIMENTADA COM AVARIAS</v>
      </c>
      <c r="I209" s="6" t="str">
        <f>IFERROR(__xludf.DUMMYFUNCTION("""COMPUTED_VALUE"""),"-9.54023")</f>
        <v>-9.54023</v>
      </c>
      <c r="J209" s="6" t="str">
        <f>IFERROR(__xludf.DUMMYFUNCTION("""COMPUTED_VALUE"""),"-35.77937")</f>
        <v>-35.77937</v>
      </c>
      <c r="K209" s="5" t="str">
        <f>IFERROR(__xludf.DUMMYFUNCTION("""COMPUTED_VALUE"""),"RES. NOVO JARDIM – QD: H1")</f>
        <v>RES. NOVO JARDIM – QD: H1</v>
      </c>
      <c r="L209" s="5" t="str">
        <f>IFERROR(__xludf.DUMMYFUNCTION("""COMPUTED_VALUE"""),"COLETORA")</f>
        <v>COLETORA</v>
      </c>
      <c r="M209" s="5" t="str">
        <f>IFERROR(__xludf.DUMMYFUNCTION("""COMPUTED_VALUE"""),"CIDADE UNIVERSITÁRIA")</f>
        <v>CIDADE UNIVERSITÁRIA</v>
      </c>
      <c r="N209" s="5" t="str">
        <f>IFERROR(__xludf.DUMMYFUNCTION("""COMPUTED_VALUE"""),"CENTRO - BAIRRO")</f>
        <v>CENTRO - BAIRRO</v>
      </c>
      <c r="O209" s="5" t="str">
        <f>IFERROR(__xludf.DUMMYFUNCTION("""COMPUTED_VALUE"""),"EM FRENTE A PRACINHA")</f>
        <v>EM FRENTE A PRACINHA</v>
      </c>
      <c r="P209" s="5" t="str">
        <f>IFERROR(__xludf.DUMMYFUNCTION("""COMPUTED_VALUE"""),"PRIORIDADE BAIXA")</f>
        <v>PRIORIDADE BAIXA</v>
      </c>
      <c r="Q209" s="5" t="str">
        <f>IFERROR(__xludf.DUMMYFUNCTION("""COMPUTED_VALUE"""),"READEQUAÇÃO DE CALÇADA COM ACESSIBILIDADE.")</f>
        <v>READEQUAÇÃO DE CALÇADA COM ACESSIBILIDADE.</v>
      </c>
      <c r="R209" s="5" t="str">
        <f>IFERROR(__xludf.DUMMYFUNCTION("""COMPUTED_VALUE"""),"NENHUMA DAS OPÇÕES")</f>
        <v>NENHUMA DAS OPÇÕES</v>
      </c>
      <c r="S209" s="5"/>
      <c r="T209" s="5"/>
      <c r="U209" s="5"/>
      <c r="V209" s="9" t="str">
        <f>IFERROR(__xludf.DUMMYFUNCTION("""COMPUTED_VALUE"""),"https://drive.google.com/uc?id=1IsibZAc8_iU5VD8CutVJimWw07U-nvkf")</f>
        <v>https://drive.google.com/uc?id=1IsibZAc8_iU5VD8CutVJimWw07U-nvkf</v>
      </c>
      <c r="W209" s="5" t="str">
        <f>IFERROR(__xludf.DUMMYFUNCTION("""COMPUTED_VALUE"""),"NÃO")</f>
        <v>NÃO</v>
      </c>
      <c r="X209" s="5" t="str">
        <f>IFERROR(__xludf.DUMMYFUNCTION("""COMPUTED_VALUE"""),"NÃO SE APLICA")</f>
        <v>NÃO SE APLICA</v>
      </c>
    </row>
    <row r="210">
      <c r="A210" s="5">
        <f>IFERROR(__xludf.DUMMYFUNCTION("""COMPUTED_VALUE"""),7.0)</f>
        <v>7</v>
      </c>
      <c r="B210" s="5" t="str">
        <f>IFERROR(__xludf.DUMMYFUNCTION("""COMPUTED_VALUE"""),"CV044")</f>
        <v>CV044</v>
      </c>
      <c r="C210" s="5" t="str">
        <f>IFERROR(__xludf.DUMMYFUNCTION("""COMPUTED_VALUE"""),"ABRIGO CONCRETO")</f>
        <v>ABRIGO CONCRETO</v>
      </c>
      <c r="D210" s="5" t="str">
        <f>IFERROR(__xludf.DUMMYFUNCTION("""COMPUTED_VALUE"""),"SEM PLACA")</f>
        <v>SEM PLACA</v>
      </c>
      <c r="E210" s="5" t="str">
        <f>IFERROR(__xludf.DUMMYFUNCTION("""COMPUTED_VALUE"""),"SEM BAIA")</f>
        <v>SEM BAIA</v>
      </c>
      <c r="F210" s="5" t="str">
        <f>IFERROR(__xludf.DUMMYFUNCTION("""COMPUTED_VALUE"""),"NÃO")</f>
        <v>NÃO</v>
      </c>
      <c r="G210" s="5" t="str">
        <f>IFERROR(__xludf.DUMMYFUNCTION("""COMPUTED_VALUE"""),"NÃO")</f>
        <v>NÃO</v>
      </c>
      <c r="H210" s="5" t="str">
        <f>IFERROR(__xludf.DUMMYFUNCTION("""COMPUTED_VALUE"""),"PAVIMENTADA COM AVARIAS")</f>
        <v>PAVIMENTADA COM AVARIAS</v>
      </c>
      <c r="I210" s="6" t="str">
        <f>IFERROR(__xludf.DUMMYFUNCTION("""COMPUTED_VALUE"""),"-9.53669")</f>
        <v>-9.53669</v>
      </c>
      <c r="J210" s="6" t="str">
        <f>IFERROR(__xludf.DUMMYFUNCTION("""COMPUTED_VALUE"""),"-35.78297")</f>
        <v>-35.78297</v>
      </c>
      <c r="K210" s="5" t="str">
        <f>IFERROR(__xludf.DUMMYFUNCTION("""COMPUTED_VALUE"""),"RUA X")</f>
        <v>RUA X</v>
      </c>
      <c r="L210" s="5" t="str">
        <f>IFERROR(__xludf.DUMMYFUNCTION("""COMPUTED_VALUE"""),"COLETORA")</f>
        <v>COLETORA</v>
      </c>
      <c r="M210" s="5" t="str">
        <f>IFERROR(__xludf.DUMMYFUNCTION("""COMPUTED_VALUE"""),"CIDADE UNIVERSITÁRIA")</f>
        <v>CIDADE UNIVERSITÁRIA</v>
      </c>
      <c r="N210" s="5" t="str">
        <f>IFERROR(__xludf.DUMMYFUNCTION("""COMPUTED_VALUE"""),"BAIRRO - CENTRO")</f>
        <v>BAIRRO - CENTRO</v>
      </c>
      <c r="O210" s="5" t="str">
        <f>IFERROR(__xludf.DUMMYFUNCTION("""COMPUTED_VALUE"""),"NA FRENTE DA CASA 56")</f>
        <v>NA FRENTE DA CASA 56</v>
      </c>
      <c r="P210" s="5" t="str">
        <f>IFERROR(__xludf.DUMMYFUNCTION("""COMPUTED_VALUE"""),"PRIORIDADE ALTA")</f>
        <v>PRIORIDADE ALTA</v>
      </c>
      <c r="Q210" s="5" t="str">
        <f>IFERROR(__xludf.DUMMYFUNCTION("""COMPUTED_VALUE"""),"PINTURA DE ABRIGO, NECESSÁRIO FAZER LIMPEZA DA COBERTA, READEQUAÇÃO DE CALÇADA COM ACESSIBILIDADE E PINTURA DE BAÍA NO ASFALTO, LIMPEZA DE VEGETAÇÃO SELVAGEM CRESCENTE.")</f>
        <v>PINTURA DE ABRIGO, NECESSÁRIO FAZER LIMPEZA DA COBERTA, READEQUAÇÃO DE CALÇADA COM ACESSIBILIDADE E PINTURA DE BAÍA NO ASFALTO, LIMPEZA DE VEGETAÇÃO SELVAGEM CRESCENTE.</v>
      </c>
      <c r="R210" s="5" t="str">
        <f>IFERROR(__xludf.DUMMYFUNCTION("""COMPUTED_VALUE"""),"SUBSTITUIR ABRIGO")</f>
        <v>SUBSTITUIR ABRIGO</v>
      </c>
      <c r="S210" s="5"/>
      <c r="T210" s="5"/>
      <c r="U210" s="5"/>
      <c r="V210" s="9" t="str">
        <f>IFERROR(__xludf.DUMMYFUNCTION("""COMPUTED_VALUE"""),"https://drive.google.com/uc?id=1FPikVpSs7XtffqyACzKAAGHWaI7MpesM")</f>
        <v>https://drive.google.com/uc?id=1FPikVpSs7XtffqyACzKAAGHWaI7MpesM</v>
      </c>
      <c r="W210" s="5" t="str">
        <f>IFERROR(__xludf.DUMMYFUNCTION("""COMPUTED_VALUE"""),"NÃO")</f>
        <v>NÃO</v>
      </c>
      <c r="X210" s="5" t="str">
        <f>IFERROR(__xludf.DUMMYFUNCTION("""COMPUTED_VALUE"""),"NÃO SE APLICA")</f>
        <v>NÃO SE APLICA</v>
      </c>
    </row>
    <row r="211" hidden="1">
      <c r="A211" s="5">
        <f>IFERROR(__xludf.DUMMYFUNCTION("""COMPUTED_VALUE"""),7.0)</f>
        <v>7</v>
      </c>
      <c r="B211" s="5" t="str">
        <f>IFERROR(__xludf.DUMMYFUNCTION("""COMPUTED_VALUE"""),"CV045")</f>
        <v>CV045</v>
      </c>
      <c r="C211" s="5" t="str">
        <f>IFERROR(__xludf.DUMMYFUNCTION("""COMPUTED_VALUE"""),"NÃO POSSUI")</f>
        <v>NÃO POSSUI</v>
      </c>
      <c r="D211" s="5" t="str">
        <f>IFERROR(__xludf.DUMMYFUNCTION("""COMPUTED_VALUE"""),"COM SUPORTE")</f>
        <v>COM SUPORTE</v>
      </c>
      <c r="E211" s="5" t="str">
        <f>IFERROR(__xludf.DUMMYFUNCTION("""COMPUTED_VALUE"""),"SEM BAIA")</f>
        <v>SEM BAIA</v>
      </c>
      <c r="F211" s="5" t="str">
        <f>IFERROR(__xludf.DUMMYFUNCTION("""COMPUTED_VALUE"""),"NÃO")</f>
        <v>NÃO</v>
      </c>
      <c r="G211" s="5" t="str">
        <f>IFERROR(__xludf.DUMMYFUNCTION("""COMPUTED_VALUE"""),"NÃO")</f>
        <v>NÃO</v>
      </c>
      <c r="H211" s="5" t="str">
        <f>IFERROR(__xludf.DUMMYFUNCTION("""COMPUTED_VALUE"""),"PAVIMENTADA COM AVARIAS")</f>
        <v>PAVIMENTADA COM AVARIAS</v>
      </c>
      <c r="I211" s="6" t="str">
        <f>IFERROR(__xludf.DUMMYFUNCTION("""COMPUTED_VALUE"""),"-9.53665")</f>
        <v>-9.53665</v>
      </c>
      <c r="J211" s="6" t="str">
        <f>IFERROR(__xludf.DUMMYFUNCTION("""COMPUTED_VALUE"""),"-35.78299")</f>
        <v>-35.78299</v>
      </c>
      <c r="K211" s="5" t="str">
        <f>IFERROR(__xludf.DUMMYFUNCTION("""COMPUTED_VALUE"""),"RUA X, 66")</f>
        <v>RUA X, 66</v>
      </c>
      <c r="L211" s="5" t="str">
        <f>IFERROR(__xludf.DUMMYFUNCTION("""COMPUTED_VALUE"""),"COLETORA")</f>
        <v>COLETORA</v>
      </c>
      <c r="M211" s="5" t="str">
        <f>IFERROR(__xludf.DUMMYFUNCTION("""COMPUTED_VALUE"""),"CIDADE UNIVERSITÁRIA")</f>
        <v>CIDADE UNIVERSITÁRIA</v>
      </c>
      <c r="N211" s="5" t="str">
        <f>IFERROR(__xludf.DUMMYFUNCTION("""COMPUTED_VALUE"""),"CENTRO - BAIRRO")</f>
        <v>CENTRO - BAIRRO</v>
      </c>
      <c r="O211" s="5" t="str">
        <f>IFERROR(__xludf.DUMMYFUNCTION("""COMPUTED_VALUE"""),"NA FRENTE DA CASA DO PÃO PAI E FILHO")</f>
        <v>NA FRENTE DA CASA DO PÃO PAI E FILHO</v>
      </c>
      <c r="P211" s="5" t="str">
        <f>IFERROR(__xludf.DUMMYFUNCTION("""COMPUTED_VALUE"""),"PRIORIDADE ALTA")</f>
        <v>PRIORIDADE ALTA</v>
      </c>
      <c r="Q211" s="5" t="str">
        <f>IFERROR(__xludf.DUMMYFUNCTION("""COMPUTED_VALUE"""),"PLACA PARA SER RETIRADA DEVIDO A EXTINÇÃO DA PASSAGEM DAS LINHAS DE ÔNIBUS NESTE SENTIDO DA VIA.")</f>
        <v>PLACA PARA SER RETIRADA DEVIDO A EXTINÇÃO DA PASSAGEM DAS LINHAS DE ÔNIBUS NESTE SENTIDO DA VIA.</v>
      </c>
      <c r="R211" s="5" t="str">
        <f>IFERROR(__xludf.DUMMYFUNCTION("""COMPUTED_VALUE"""),"NENHUMA DAS OPÇÕES")</f>
        <v>NENHUMA DAS OPÇÕES</v>
      </c>
      <c r="S211" s="5"/>
      <c r="T211" s="5"/>
      <c r="U211" s="5"/>
      <c r="V211" s="9" t="str">
        <f>IFERROR(__xludf.DUMMYFUNCTION("""COMPUTED_VALUE"""),"https://drive.google.com/uc?id=147RIqIpUGnqpVV4vYhQm8iSay1yG_Sx6")</f>
        <v>https://drive.google.com/uc?id=147RIqIpUGnqpVV4vYhQm8iSay1yG_Sx6</v>
      </c>
      <c r="W211" s="5" t="str">
        <f>IFERROR(__xludf.DUMMYFUNCTION("""COMPUTED_VALUE"""),"NÃO")</f>
        <v>NÃO</v>
      </c>
      <c r="X211" s="5" t="str">
        <f>IFERROR(__xludf.DUMMYFUNCTION("""COMPUTED_VALUE"""),"NÃO SE APLICA")</f>
        <v>NÃO SE APLICA</v>
      </c>
    </row>
    <row r="212">
      <c r="A212" s="5">
        <f>IFERROR(__xludf.DUMMYFUNCTION("""COMPUTED_VALUE"""),7.0)</f>
        <v>7</v>
      </c>
      <c r="B212" s="5" t="str">
        <f>IFERROR(__xludf.DUMMYFUNCTION("""COMPUTED_VALUE"""),"CV046")</f>
        <v>CV046</v>
      </c>
      <c r="C212" s="5" t="str">
        <f>IFERROR(__xludf.DUMMYFUNCTION("""COMPUTED_VALUE"""),"ABRIGO METÁLICO PEQUENO PORTE")</f>
        <v>ABRIGO METÁLICO PEQUENO PORTE</v>
      </c>
      <c r="D212" s="5" t="str">
        <f>IFERROR(__xludf.DUMMYFUNCTION("""COMPUTED_VALUE"""),"SEM PLACA")</f>
        <v>SEM PLACA</v>
      </c>
      <c r="E212" s="5" t="str">
        <f>IFERROR(__xludf.DUMMYFUNCTION("""COMPUTED_VALUE"""),"SEM BAIA")</f>
        <v>SEM BAIA</v>
      </c>
      <c r="F212" s="5" t="str">
        <f>IFERROR(__xludf.DUMMYFUNCTION("""COMPUTED_VALUE"""),"NÃO")</f>
        <v>NÃO</v>
      </c>
      <c r="G212" s="5" t="str">
        <f>IFERROR(__xludf.DUMMYFUNCTION("""COMPUTED_VALUE"""),"NÃO")</f>
        <v>NÃO</v>
      </c>
      <c r="H212" s="5" t="str">
        <f>IFERROR(__xludf.DUMMYFUNCTION("""COMPUTED_VALUE"""),"PAVIMENTADA")</f>
        <v>PAVIMENTADA</v>
      </c>
      <c r="I212" s="6" t="str">
        <f>IFERROR(__xludf.DUMMYFUNCTION("""COMPUTED_VALUE"""),"-9.538035")</f>
        <v>-9.538035</v>
      </c>
      <c r="J212" s="6" t="str">
        <f>IFERROR(__xludf.DUMMYFUNCTION("""COMPUTED_VALUE"""),"-35.782167")</f>
        <v>-35.782167</v>
      </c>
      <c r="K212" s="5" t="str">
        <f>IFERROR(__xludf.DUMMYFUNCTION("""COMPUTED_VALUE"""),"EM FRENTE A CASA 196")</f>
        <v>EM FRENTE A CASA 196</v>
      </c>
      <c r="L212" s="5" t="str">
        <f>IFERROR(__xludf.DUMMYFUNCTION("""COMPUTED_VALUE"""),"COLETORA")</f>
        <v>COLETORA</v>
      </c>
      <c r="M212" s="5" t="str">
        <f>IFERROR(__xludf.DUMMYFUNCTION("""COMPUTED_VALUE"""),"CIDADE UNIVERSITÁRIA")</f>
        <v>CIDADE UNIVERSITÁRIA</v>
      </c>
      <c r="N212" s="5" t="str">
        <f>IFERROR(__xludf.DUMMYFUNCTION("""COMPUTED_VALUE"""),"BAIRRO - CENTRO")</f>
        <v>BAIRRO - CENTRO</v>
      </c>
      <c r="O212" s="5" t="str">
        <f>IFERROR(__xludf.DUMMYFUNCTION("""COMPUTED_VALUE"""),"NA FRENTE DA CASA DO PÃO PAI E FILHO")</f>
        <v>NA FRENTE DA CASA DO PÃO PAI E FILHO</v>
      </c>
      <c r="P212" s="5" t="str">
        <f>IFERROR(__xludf.DUMMYFUNCTION("""COMPUTED_VALUE"""),"PRIORIDADE ALTA")</f>
        <v>PRIORIDADE ALTA</v>
      </c>
      <c r="Q212" s="5" t="str">
        <f>IFERROR(__xludf.DUMMYFUNCTION("""COMPUTED_VALUE"""),"NECESSÁRIO REPINTURA DO ABRIGO. READEQUAÇÃO DE CALÇADA COM ACESSIBILIDADE, PINTURA DE BAÍA NO ASFALTO.IMPLANTAÇÃO DE PLACA EM BARROTE REALOCADA DA FICHA CV045.")</f>
        <v>NECESSÁRIO REPINTURA DO ABRIGO. READEQUAÇÃO DE CALÇADA COM ACESSIBILIDADE, PINTURA DE BAÍA NO ASFALTO.IMPLANTAÇÃO DE PLACA EM BARROTE REALOCADA DA FICHA CV045.</v>
      </c>
      <c r="R212" s="5" t="str">
        <f>IFERROR(__xludf.DUMMYFUNCTION("""COMPUTED_VALUE"""),"IMPLANTAR ABRIGO")</f>
        <v>IMPLANTAR ABRIGO</v>
      </c>
      <c r="S212" s="5"/>
      <c r="T212" s="5"/>
      <c r="U212" s="5"/>
      <c r="V212" s="9" t="str">
        <f>IFERROR(__xludf.DUMMYFUNCTION("""COMPUTED_VALUE"""),"https://drive.google.com/uc?id=1U8Xw8xAYvQ-tdRpAGak-p2_jKlqyals8
")</f>
        <v>https://drive.google.com/uc?id=1U8Xw8xAYvQ-tdRpAGak-p2_jKlqyals8
</v>
      </c>
      <c r="W212" s="5" t="str">
        <f>IFERROR(__xludf.DUMMYFUNCTION("""COMPUTED_VALUE"""),"NÃO")</f>
        <v>NÃO</v>
      </c>
      <c r="X212" s="5" t="str">
        <f>IFERROR(__xludf.DUMMYFUNCTION("""COMPUTED_VALUE"""),"NÃO SE APLICA")</f>
        <v>NÃO SE APLICA</v>
      </c>
    </row>
    <row r="213" hidden="1">
      <c r="A213" s="5">
        <f>IFERROR(__xludf.DUMMYFUNCTION("""COMPUTED_VALUE"""),7.0)</f>
        <v>7</v>
      </c>
      <c r="B213" s="5" t="str">
        <f>IFERROR(__xludf.DUMMYFUNCTION("""COMPUTED_VALUE"""),"CV047")</f>
        <v>CV047</v>
      </c>
      <c r="C213" s="5" t="str">
        <f>IFERROR(__xludf.DUMMYFUNCTION("""COMPUTED_VALUE"""),"NÃO POSSUI")</f>
        <v>NÃO POSSUI</v>
      </c>
      <c r="D213" s="5" t="str">
        <f>IFERROR(__xludf.DUMMYFUNCTION("""COMPUTED_VALUE"""),"COM SUPORTE")</f>
        <v>COM SUPORTE</v>
      </c>
      <c r="E213" s="5" t="str">
        <f>IFERROR(__xludf.DUMMYFUNCTION("""COMPUTED_VALUE"""),"SEM BAIA")</f>
        <v>SEM BAIA</v>
      </c>
      <c r="F213" s="5" t="str">
        <f>IFERROR(__xludf.DUMMYFUNCTION("""COMPUTED_VALUE"""),"NÃO")</f>
        <v>NÃO</v>
      </c>
      <c r="G213" s="5" t="str">
        <f>IFERROR(__xludf.DUMMYFUNCTION("""COMPUTED_VALUE"""),"NÃO")</f>
        <v>NÃO</v>
      </c>
      <c r="H213" s="5" t="str">
        <f>IFERROR(__xludf.DUMMYFUNCTION("""COMPUTED_VALUE"""),"NÃO PAVIMENTADA")</f>
        <v>NÃO PAVIMENTADA</v>
      </c>
      <c r="I213" s="6" t="str">
        <f>IFERROR(__xludf.DUMMYFUNCTION("""COMPUTED_VALUE"""),"-9.537955")</f>
        <v>-9.537955</v>
      </c>
      <c r="J213" s="6" t="str">
        <f>IFERROR(__xludf.DUMMYFUNCTION("""COMPUTED_VALUE"""),"-35.782249")</f>
        <v>-35.782249</v>
      </c>
      <c r="K213" s="5" t="str">
        <f>IFERROR(__xludf.DUMMYFUNCTION("""COMPUTED_VALUE"""),"RUA X")</f>
        <v>RUA X</v>
      </c>
      <c r="L213" s="5" t="str">
        <f>IFERROR(__xludf.DUMMYFUNCTION("""COMPUTED_VALUE"""),"COLETORA")</f>
        <v>COLETORA</v>
      </c>
      <c r="M213" s="5" t="str">
        <f>IFERROR(__xludf.DUMMYFUNCTION("""COMPUTED_VALUE"""),"CIDADE UNIVERSITÁRIA")</f>
        <v>CIDADE UNIVERSITÁRIA</v>
      </c>
      <c r="N213" s="5" t="str">
        <f>IFERROR(__xludf.DUMMYFUNCTION("""COMPUTED_VALUE"""),"CENTRO - BAIRRO")</f>
        <v>CENTRO - BAIRRO</v>
      </c>
      <c r="O213" s="5" t="str">
        <f>IFERROR(__xludf.DUMMYFUNCTION("""COMPUTED_VALUE"""),"PRÓXIMO A CASA 185/196")</f>
        <v>PRÓXIMO A CASA 185/196</v>
      </c>
      <c r="P213" s="5" t="str">
        <f>IFERROR(__xludf.DUMMYFUNCTION("""COMPUTED_VALUE"""),"PRIORIDADE ALTA")</f>
        <v>PRIORIDADE ALTA</v>
      </c>
      <c r="Q213" s="5" t="str">
        <f>IFERROR(__xludf.DUMMYFUNCTION("""COMPUTED_VALUE"""),"PLACA PARA SER RETIRADA DEVIDO A EXTINÇÃO DA PASSAGEM DAS LINHAS DE ÔNIBUS NESTE SENTIDO DA VIA.")</f>
        <v>PLACA PARA SER RETIRADA DEVIDO A EXTINÇÃO DA PASSAGEM DAS LINHAS DE ÔNIBUS NESTE SENTIDO DA VIA.</v>
      </c>
      <c r="R213" s="5" t="str">
        <f>IFERROR(__xludf.DUMMYFUNCTION("""COMPUTED_VALUE"""),"NENHUMA DAS OPÇÕES")</f>
        <v>NENHUMA DAS OPÇÕES</v>
      </c>
      <c r="S213" s="5"/>
      <c r="T213" s="5"/>
      <c r="U213" s="5"/>
      <c r="V213" s="9" t="str">
        <f>IFERROR(__xludf.DUMMYFUNCTION("""COMPUTED_VALUE"""),"https://drive.google.com/uc?id=10oPKtylFNuuzTUd47gHXj3yokDF9Ac2U")</f>
        <v>https://drive.google.com/uc?id=10oPKtylFNuuzTUd47gHXj3yokDF9Ac2U</v>
      </c>
      <c r="W213" s="5" t="str">
        <f>IFERROR(__xludf.DUMMYFUNCTION("""COMPUTED_VALUE"""),"NÃO")</f>
        <v>NÃO</v>
      </c>
      <c r="X213" s="5" t="str">
        <f>IFERROR(__xludf.DUMMYFUNCTION("""COMPUTED_VALUE"""),"NÃO SE APLICA")</f>
        <v>NÃO SE APLICA</v>
      </c>
    </row>
    <row r="214" hidden="1">
      <c r="A214" s="5">
        <f>IFERROR(__xludf.DUMMYFUNCTION("""COMPUTED_VALUE"""),7.0)</f>
        <v>7</v>
      </c>
      <c r="B214" s="5" t="str">
        <f>IFERROR(__xludf.DUMMYFUNCTION("""COMPUTED_VALUE"""),"CV048")</f>
        <v>CV048</v>
      </c>
      <c r="C214" s="5" t="str">
        <f>IFERROR(__xludf.DUMMYFUNCTION("""COMPUTED_VALUE"""),"NÃO POSSUI")</f>
        <v>NÃO POSSUI</v>
      </c>
      <c r="D214" s="5" t="str">
        <f>IFERROR(__xludf.DUMMYFUNCTION("""COMPUTED_VALUE"""),"COM SUPORTE")</f>
        <v>COM SUPORTE</v>
      </c>
      <c r="E214" s="5" t="str">
        <f>IFERROR(__xludf.DUMMYFUNCTION("""COMPUTED_VALUE"""),"SEM BAIA")</f>
        <v>SEM BAIA</v>
      </c>
      <c r="F214" s="5" t="str">
        <f>IFERROR(__xludf.DUMMYFUNCTION("""COMPUTED_VALUE"""),"NÃO")</f>
        <v>NÃO</v>
      </c>
      <c r="G214" s="5" t="str">
        <f>IFERROR(__xludf.DUMMYFUNCTION("""COMPUTED_VALUE"""),"NÃO")</f>
        <v>NÃO</v>
      </c>
      <c r="H214" s="5" t="str">
        <f>IFERROR(__xludf.DUMMYFUNCTION("""COMPUTED_VALUE"""),"PAVIMENTADA COM AVARIAS")</f>
        <v>PAVIMENTADA COM AVARIAS</v>
      </c>
      <c r="I214" s="6" t="str">
        <f>IFERROR(__xludf.DUMMYFUNCTION("""COMPUTED_VALUE"""),"-9.539620")</f>
        <v>-9.539620</v>
      </c>
      <c r="J214" s="6" t="str">
        <f>IFERROR(__xludf.DUMMYFUNCTION("""COMPUTED_VALUE"""),"-35.781334")</f>
        <v>-35.781334</v>
      </c>
      <c r="K214" s="5" t="str">
        <f>IFERROR(__xludf.DUMMYFUNCTION("""COMPUTED_VALUE"""),"RUA X")</f>
        <v>RUA X</v>
      </c>
      <c r="L214" s="5" t="str">
        <f>IFERROR(__xludf.DUMMYFUNCTION("""COMPUTED_VALUE"""),"COLETORA")</f>
        <v>COLETORA</v>
      </c>
      <c r="M214" s="5" t="str">
        <f>IFERROR(__xludf.DUMMYFUNCTION("""COMPUTED_VALUE"""),"CIDADE UNIVERSITÁRIA")</f>
        <v>CIDADE UNIVERSITÁRIA</v>
      </c>
      <c r="N214" s="5" t="str">
        <f>IFERROR(__xludf.DUMMYFUNCTION("""COMPUTED_VALUE"""),"CENTRO - BAIRRO")</f>
        <v>CENTRO - BAIRRO</v>
      </c>
      <c r="O214" s="5" t="str">
        <f>IFERROR(__xludf.DUMMYFUNCTION("""COMPUTED_VALUE"""),"NA FRENTE DA CASA 68")</f>
        <v>NA FRENTE DA CASA 68</v>
      </c>
      <c r="P214" s="5" t="str">
        <f>IFERROR(__xludf.DUMMYFUNCTION("""COMPUTED_VALUE"""),"PRIORIDADE BAIXA")</f>
        <v>PRIORIDADE BAIXA</v>
      </c>
      <c r="Q214" s="5" t="str">
        <f>IFERROR(__xludf.DUMMYFUNCTION("""COMPUTED_VALUE"""),"READEQUAÇÃO DE CALÇADA COM ACESSIBILIDADE E PINTURA DE BAÍA NO ASFALTO, LIMPEZA DE VEGETAÇÃO SELVAGEM CRESCENTE.IMPLANTAÇÃO DE PLACA EM BARROTE REALOCADA DA FICHA CV047.")</f>
        <v>READEQUAÇÃO DE CALÇADA COM ACESSIBILIDADE E PINTURA DE BAÍA NO ASFALTO, LIMPEZA DE VEGETAÇÃO SELVAGEM CRESCENTE.IMPLANTAÇÃO DE PLACA EM BARROTE REALOCADA DA FICHA CV047.</v>
      </c>
      <c r="R214" s="5" t="str">
        <f>IFERROR(__xludf.DUMMYFUNCTION("""COMPUTED_VALUE"""),"NENHUMA DAS OPÇÕES")</f>
        <v>NENHUMA DAS OPÇÕES</v>
      </c>
      <c r="S214" s="5"/>
      <c r="T214" s="5"/>
      <c r="U214" s="5"/>
      <c r="V214" s="9" t="str">
        <f>IFERROR(__xludf.DUMMYFUNCTION("""COMPUTED_VALUE"""),"https://drive.google.com/uc?id=-1ODiIrwGVcDZlVFWG3cfu4SVxGA22sbAc")</f>
        <v>https://drive.google.com/uc?id=-1ODiIrwGVcDZlVFWG3cfu4SVxGA22sbAc</v>
      </c>
      <c r="W214" s="5" t="str">
        <f>IFERROR(__xludf.DUMMYFUNCTION("""COMPUTED_VALUE"""),"NÃO")</f>
        <v>NÃO</v>
      </c>
      <c r="X214" s="5" t="str">
        <f>IFERROR(__xludf.DUMMYFUNCTION("""COMPUTED_VALUE"""),"NÃO SE APLICA")</f>
        <v>NÃO SE APLICA</v>
      </c>
    </row>
    <row r="215" hidden="1">
      <c r="A215" s="5">
        <f>IFERROR(__xludf.DUMMYFUNCTION("""COMPUTED_VALUE"""),7.0)</f>
        <v>7</v>
      </c>
      <c r="B215" s="5" t="str">
        <f>IFERROR(__xludf.DUMMYFUNCTION("""COMPUTED_VALUE"""),"CV049")</f>
        <v>CV049</v>
      </c>
      <c r="C215" s="5" t="str">
        <f>IFERROR(__xludf.DUMMYFUNCTION("""COMPUTED_VALUE"""),"NÃO POSSUI")</f>
        <v>NÃO POSSUI</v>
      </c>
      <c r="D215" s="5" t="str">
        <f>IFERROR(__xludf.DUMMYFUNCTION("""COMPUTED_VALUE"""),"COM SUPORTE")</f>
        <v>COM SUPORTE</v>
      </c>
      <c r="E215" s="5" t="str">
        <f>IFERROR(__xludf.DUMMYFUNCTION("""COMPUTED_VALUE"""),"SEM BAIA")</f>
        <v>SEM BAIA</v>
      </c>
      <c r="F215" s="5" t="str">
        <f>IFERROR(__xludf.DUMMYFUNCTION("""COMPUTED_VALUE"""),"NÃO")</f>
        <v>NÃO</v>
      </c>
      <c r="G215" s="5" t="str">
        <f>IFERROR(__xludf.DUMMYFUNCTION("""COMPUTED_VALUE"""),"NÃO")</f>
        <v>NÃO</v>
      </c>
      <c r="H215" s="5" t="str">
        <f>IFERROR(__xludf.DUMMYFUNCTION("""COMPUTED_VALUE"""),"PAVIMENTADA COM AVARIAS")</f>
        <v>PAVIMENTADA COM AVARIAS</v>
      </c>
      <c r="I215" s="6" t="str">
        <f>IFERROR(__xludf.DUMMYFUNCTION("""COMPUTED_VALUE"""),"-9.54041")</f>
        <v>-9.54041</v>
      </c>
      <c r="J215" s="6" t="str">
        <f>IFERROR(__xludf.DUMMYFUNCTION("""COMPUTED_VALUE"""),"-35.78131")</f>
        <v>-35.78131</v>
      </c>
      <c r="K215" s="5" t="str">
        <f>IFERROR(__xludf.DUMMYFUNCTION("""COMPUTED_VALUE"""),"RUA DOUTOR FÁBIO VANDERLEY, 70")</f>
        <v>RUA DOUTOR FÁBIO VANDERLEY, 70</v>
      </c>
      <c r="L215" s="5" t="str">
        <f>IFERROR(__xludf.DUMMYFUNCTION("""COMPUTED_VALUE"""),"COLETORA")</f>
        <v>COLETORA</v>
      </c>
      <c r="M215" s="5" t="str">
        <f>IFERROR(__xludf.DUMMYFUNCTION("""COMPUTED_VALUE"""),"CIDADE UNIVERSITÁRIA")</f>
        <v>CIDADE UNIVERSITÁRIA</v>
      </c>
      <c r="N215" s="5" t="str">
        <f>IFERROR(__xludf.DUMMYFUNCTION("""COMPUTED_VALUE"""),"CENTRO - BAIRRO")</f>
        <v>CENTRO - BAIRRO</v>
      </c>
      <c r="O215" s="5" t="str">
        <f>IFERROR(__xludf.DUMMYFUNCTION("""COMPUTED_VALUE"""),"EM FRENTE A CASA 70")</f>
        <v>EM FRENTE A CASA 70</v>
      </c>
      <c r="P215" s="5" t="str">
        <f>IFERROR(__xludf.DUMMYFUNCTION("""COMPUTED_VALUE"""),"PRIORIDADE BAIXA")</f>
        <v>PRIORIDADE BAIXA</v>
      </c>
      <c r="Q215" s="5" t="str">
        <f>IFERROR(__xludf.DUMMYFUNCTION("""COMPUTED_VALUE"""),"READEQUAÇÃO DE CALÇADA COM ACESSIBILIDADE E PINTURA DE BAÍA NO ASFALTO, LIMPEZA DE VEGETAÇÃO SELVAGEM CRESCENTE.")</f>
        <v>READEQUAÇÃO DE CALÇADA COM ACESSIBILIDADE E PINTURA DE BAÍA NO ASFALTO, LIMPEZA DE VEGETAÇÃO SELVAGEM CRESCENTE.</v>
      </c>
      <c r="R215" s="5" t="str">
        <f>IFERROR(__xludf.DUMMYFUNCTION("""COMPUTED_VALUE"""),"NENHUMA DAS OPÇÕES")</f>
        <v>NENHUMA DAS OPÇÕES</v>
      </c>
      <c r="S215" s="5"/>
      <c r="T215" s="5"/>
      <c r="U215" s="5"/>
      <c r="V215" s="9" t="str">
        <f>IFERROR(__xludf.DUMMYFUNCTION("""COMPUTED_VALUE"""),"https://drive.google.com/uc?id=1EKt1P6i7x2f6JqKwg84LdmINYtJYxmaJ")</f>
        <v>https://drive.google.com/uc?id=1EKt1P6i7x2f6JqKwg84LdmINYtJYxmaJ</v>
      </c>
      <c r="W215" s="5" t="str">
        <f>IFERROR(__xludf.DUMMYFUNCTION("""COMPUTED_VALUE"""),"NÃO")</f>
        <v>NÃO</v>
      </c>
      <c r="X215" s="5" t="str">
        <f>IFERROR(__xludf.DUMMYFUNCTION("""COMPUTED_VALUE"""),"NÃO SE APLICA")</f>
        <v>NÃO SE APLICA</v>
      </c>
    </row>
    <row r="216" ht="19.5" customHeight="1">
      <c r="A216" s="5">
        <f>IFERROR(__xludf.DUMMYFUNCTION("""COMPUTED_VALUE"""),7.0)</f>
        <v>7</v>
      </c>
      <c r="B216" s="5" t="str">
        <f>IFERROR(__xludf.DUMMYFUNCTION("""COMPUTED_VALUE"""),"CV050")</f>
        <v>CV050</v>
      </c>
      <c r="C216" s="5" t="str">
        <f>IFERROR(__xludf.DUMMYFUNCTION("""COMPUTED_VALUE"""),"ABRIGO CONCRETO")</f>
        <v>ABRIGO CONCRETO</v>
      </c>
      <c r="D216" s="5" t="str">
        <f>IFERROR(__xludf.DUMMYFUNCTION("""COMPUTED_VALUE"""),"SEM PLACA")</f>
        <v>SEM PLACA</v>
      </c>
      <c r="E216" s="5" t="str">
        <f>IFERROR(__xludf.DUMMYFUNCTION("""COMPUTED_VALUE"""),"SEM BAIA")</f>
        <v>SEM BAIA</v>
      </c>
      <c r="F216" s="5" t="str">
        <f>IFERROR(__xludf.DUMMYFUNCTION("""COMPUTED_VALUE"""),"NÃO")</f>
        <v>NÃO</v>
      </c>
      <c r="G216" s="5" t="str">
        <f>IFERROR(__xludf.DUMMYFUNCTION("""COMPUTED_VALUE"""),"NÃO")</f>
        <v>NÃO</v>
      </c>
      <c r="H216" s="5" t="str">
        <f>IFERROR(__xludf.DUMMYFUNCTION("""COMPUTED_VALUE"""),"NÃO PAVIMENTADA")</f>
        <v>NÃO PAVIMENTADA</v>
      </c>
      <c r="I216" s="6" t="str">
        <f>IFERROR(__xludf.DUMMYFUNCTION("""COMPUTED_VALUE"""),"-9.54093")</f>
        <v>-9.54093</v>
      </c>
      <c r="J216" s="6" t="str">
        <f>IFERROR(__xludf.DUMMYFUNCTION("""COMPUTED_VALUE"""),"-35.78317
")</f>
        <v>-35.78317
</v>
      </c>
      <c r="K216" s="5" t="str">
        <f>IFERROR(__xludf.DUMMYFUNCTION("""COMPUTED_VALUE"""),"RUA EXPEDIO VITOR FERREIRA")</f>
        <v>RUA EXPEDIO VITOR FERREIRA</v>
      </c>
      <c r="L216" s="5" t="str">
        <f>IFERROR(__xludf.DUMMYFUNCTION("""COMPUTED_VALUE"""),"COLETORA")</f>
        <v>COLETORA</v>
      </c>
      <c r="M216" s="5" t="str">
        <f>IFERROR(__xludf.DUMMYFUNCTION("""COMPUTED_VALUE"""),"CIDADE UNIVERSITÁRIA")</f>
        <v>CIDADE UNIVERSITÁRIA</v>
      </c>
      <c r="N216" s="5" t="str">
        <f>IFERROR(__xludf.DUMMYFUNCTION("""COMPUTED_VALUE"""),"INTEGRAÇÃO")</f>
        <v>INTEGRAÇÃO</v>
      </c>
      <c r="O216" s="5" t="str">
        <f>IFERROR(__xludf.DUMMYFUNCTION("""COMPUTED_VALUE"""),"EM FRENTE A CASA 15")</f>
        <v>EM FRENTE A CASA 15</v>
      </c>
      <c r="P216" s="5" t="str">
        <f>IFERROR(__xludf.DUMMYFUNCTION("""COMPUTED_VALUE"""),"URGENTE")</f>
        <v>URGENTE</v>
      </c>
      <c r="Q216" s="5" t="str">
        <f>IFERROR(__xludf.DUMMYFUNCTION("""COMPUTED_VALUE"""),"PONTO DE ÔNIBUS EXTINTO DEVIDO A MUDANÇA DE ITINERÁRIO DOS ÔNIBUS, SENDO ASSIM, A PLACA EXISTENTE DEVERÁ SER RECOLHIDA.")</f>
        <v>PONTO DE ÔNIBUS EXTINTO DEVIDO A MUDANÇA DE ITINERÁRIO DOS ÔNIBUS, SENDO ASSIM, A PLACA EXISTENTE DEVERÁ SER RECOLHIDA.</v>
      </c>
      <c r="R216" s="5" t="str">
        <f>IFERROR(__xludf.DUMMYFUNCTION("""COMPUTED_VALUE"""),"SUBSTITUIR ABRIGO")</f>
        <v>SUBSTITUIR ABRIGO</v>
      </c>
      <c r="S216" s="5"/>
      <c r="T216" s="5"/>
      <c r="U216" s="5"/>
      <c r="V216" s="9" t="str">
        <f>IFERROR(__xludf.DUMMYFUNCTION("""COMPUTED_VALUE"""),"https://drive.google.com/uc?id=1qSxO435Hsi9HclQ-Cdk7hO0Z2XgOE-r-")</f>
        <v>https://drive.google.com/uc?id=1qSxO435Hsi9HclQ-Cdk7hO0Z2XgOE-r-</v>
      </c>
      <c r="W216" s="5" t="str">
        <f>IFERROR(__xludf.DUMMYFUNCTION("""COMPUTED_VALUE"""),"NÃO")</f>
        <v>NÃO</v>
      </c>
      <c r="X216" s="5" t="str">
        <f>IFERROR(__xludf.DUMMYFUNCTION("""COMPUTED_VALUE"""),"NÃO SE APLICA")</f>
        <v>NÃO SE APLICA</v>
      </c>
    </row>
    <row r="217" hidden="1">
      <c r="A217" s="5">
        <f>IFERROR(__xludf.DUMMYFUNCTION("""COMPUTED_VALUE"""),7.0)</f>
        <v>7</v>
      </c>
      <c r="B217" s="5" t="str">
        <f>IFERROR(__xludf.DUMMYFUNCTION("""COMPUTED_VALUE"""),"CV051")</f>
        <v>CV051</v>
      </c>
      <c r="C217" s="5" t="str">
        <f>IFERROR(__xludf.DUMMYFUNCTION("""COMPUTED_VALUE"""),"NÃO POSSUI")</f>
        <v>NÃO POSSUI</v>
      </c>
      <c r="D217" s="5" t="str">
        <f>IFERROR(__xludf.DUMMYFUNCTION("""COMPUTED_VALUE"""),"COM SUPORTE")</f>
        <v>COM SUPORTE</v>
      </c>
      <c r="E217" s="5" t="str">
        <f>IFERROR(__xludf.DUMMYFUNCTION("""COMPUTED_VALUE"""),"SEM BAIA")</f>
        <v>SEM BAIA</v>
      </c>
      <c r="F217" s="5" t="str">
        <f>IFERROR(__xludf.DUMMYFUNCTION("""COMPUTED_VALUE"""),"NÃO")</f>
        <v>NÃO</v>
      </c>
      <c r="G217" s="5" t="str">
        <f>IFERROR(__xludf.DUMMYFUNCTION("""COMPUTED_VALUE"""),"NÃO")</f>
        <v>NÃO</v>
      </c>
      <c r="H217" s="5" t="str">
        <f>IFERROR(__xludf.DUMMYFUNCTION("""COMPUTED_VALUE"""),"PAVIMENTADA COM AVARIAS")</f>
        <v>PAVIMENTADA COM AVARIAS</v>
      </c>
      <c r="I217" s="6" t="str">
        <f>IFERROR(__xludf.DUMMYFUNCTION("""COMPUTED_VALUE"""),"-9.54302")</f>
        <v>-9.54302</v>
      </c>
      <c r="J217" s="6" t="str">
        <f>IFERROR(__xludf.DUMMYFUNCTION("""COMPUTED_VALUE"""),"-35.78616")</f>
        <v>-35.78616</v>
      </c>
      <c r="K217" s="5" t="str">
        <f>IFERROR(__xludf.DUMMYFUNCTION("""COMPUTED_VALUE"""),"RUA DOUTOR FÁBIO VANDERLEY, 32")</f>
        <v>RUA DOUTOR FÁBIO VANDERLEY, 32</v>
      </c>
      <c r="L217" s="5" t="str">
        <f>IFERROR(__xludf.DUMMYFUNCTION("""COMPUTED_VALUE"""),"COLETORA")</f>
        <v>COLETORA</v>
      </c>
      <c r="M217" s="5" t="str">
        <f>IFERROR(__xludf.DUMMYFUNCTION("""COMPUTED_VALUE"""),"CIDADE UNIVERSITÁRIA")</f>
        <v>CIDADE UNIVERSITÁRIA</v>
      </c>
      <c r="N217" s="5" t="str">
        <f>IFERROR(__xludf.DUMMYFUNCTION("""COMPUTED_VALUE"""),"CENTRO - BAIRRO")</f>
        <v>CENTRO - BAIRRO</v>
      </c>
      <c r="O217" s="5" t="str">
        <f>IFERROR(__xludf.DUMMYFUNCTION("""COMPUTED_VALUE"""),"PRÓXIMO A LOJA MADEMOSELLE")</f>
        <v>PRÓXIMO A LOJA MADEMOSELLE</v>
      </c>
      <c r="P217" s="5" t="str">
        <f>IFERROR(__xludf.DUMMYFUNCTION("""COMPUTED_VALUE"""),"URGENTE")</f>
        <v>URGENTE</v>
      </c>
      <c r="Q217" s="5" t="str">
        <f>IFERROR(__xludf.DUMMYFUNCTION("""COMPUTED_VALUE"""),"READEQUAÇÃO DE CALÇADA COM ACESSIBILIDADE, PINTURA DE BAÍA NO ASFALTO.")</f>
        <v>READEQUAÇÃO DE CALÇADA COM ACESSIBILIDADE, PINTURA DE BAÍA NO ASFALTO.</v>
      </c>
      <c r="R217" s="5" t="str">
        <f>IFERROR(__xludf.DUMMYFUNCTION("""COMPUTED_VALUE"""),"NENHUMA DAS OPÇÕES")</f>
        <v>NENHUMA DAS OPÇÕES</v>
      </c>
      <c r="S217" s="5"/>
      <c r="T217" s="5"/>
      <c r="U217" s="5"/>
      <c r="V217" s="9" t="str">
        <f>IFERROR(__xludf.DUMMYFUNCTION("""COMPUTED_VALUE"""),"https://drive.google.com/uc?id=1EkTciAfyb-QIc54j5ijnOFVAYZ981Vjz")</f>
        <v>https://drive.google.com/uc?id=1EkTciAfyb-QIc54j5ijnOFVAYZ981Vjz</v>
      </c>
      <c r="W217" s="5" t="str">
        <f>IFERROR(__xludf.DUMMYFUNCTION("""COMPUTED_VALUE"""),"NÃO")</f>
        <v>NÃO</v>
      </c>
      <c r="X217" s="5" t="str">
        <f>IFERROR(__xludf.DUMMYFUNCTION("""COMPUTED_VALUE"""),"NÃO SE APLICA")</f>
        <v>NÃO SE APLICA</v>
      </c>
    </row>
    <row r="218" ht="16.5" hidden="1" customHeight="1">
      <c r="A218" s="5">
        <f>IFERROR(__xludf.DUMMYFUNCTION("""COMPUTED_VALUE"""),7.0)</f>
        <v>7</v>
      </c>
      <c r="B218" s="5" t="str">
        <f>IFERROR(__xludf.DUMMYFUNCTION("""COMPUTED_VALUE"""),"CV052")</f>
        <v>CV052</v>
      </c>
      <c r="C218" s="5" t="str">
        <f>IFERROR(__xludf.DUMMYFUNCTION("""COMPUTED_VALUE"""),"NÃO POSSUI")</f>
        <v>NÃO POSSUI</v>
      </c>
      <c r="D218" s="5" t="str">
        <f>IFERROR(__xludf.DUMMYFUNCTION("""COMPUTED_VALUE"""),"COM SUPORTE")</f>
        <v>COM SUPORTE</v>
      </c>
      <c r="E218" s="5" t="str">
        <f>IFERROR(__xludf.DUMMYFUNCTION("""COMPUTED_VALUE"""),"SEM BAIA")</f>
        <v>SEM BAIA</v>
      </c>
      <c r="F218" s="5" t="str">
        <f>IFERROR(__xludf.DUMMYFUNCTION("""COMPUTED_VALUE"""),"NÃO")</f>
        <v>NÃO</v>
      </c>
      <c r="G218" s="5" t="str">
        <f>IFERROR(__xludf.DUMMYFUNCTION("""COMPUTED_VALUE"""),"NÃO")</f>
        <v>NÃO</v>
      </c>
      <c r="H218" s="5" t="str">
        <f>IFERROR(__xludf.DUMMYFUNCTION("""COMPUTED_VALUE"""),"NÃO PAVIMENTADA")</f>
        <v>NÃO PAVIMENTADA</v>
      </c>
      <c r="I218" s="6" t="str">
        <f>IFERROR(__xludf.DUMMYFUNCTION("""COMPUTED_VALUE"""),"-9.54273")</f>
        <v>-9.54273</v>
      </c>
      <c r="J218" s="6" t="str">
        <f>IFERROR(__xludf.DUMMYFUNCTION("""COMPUTED_VALUE"""),"-35.78743
")</f>
        <v>-35.78743
</v>
      </c>
      <c r="K218" s="5" t="str">
        <f>IFERROR(__xludf.DUMMYFUNCTION("""COMPUTED_VALUE"""),"RUA F UM, 85")</f>
        <v>RUA F UM, 85</v>
      </c>
      <c r="L218" s="5" t="str">
        <f>IFERROR(__xludf.DUMMYFUNCTION("""COMPUTED_VALUE"""),"COLETORA")</f>
        <v>COLETORA</v>
      </c>
      <c r="M218" s="5" t="str">
        <f>IFERROR(__xludf.DUMMYFUNCTION("""COMPUTED_VALUE"""),"CIDADE UNIVERSITÁRIA")</f>
        <v>CIDADE UNIVERSITÁRIA</v>
      </c>
      <c r="N218" s="5" t="str">
        <f>IFERROR(__xludf.DUMMYFUNCTION("""COMPUTED_VALUE"""),"CENTRO - BAIRRO")</f>
        <v>CENTRO - BAIRRO</v>
      </c>
      <c r="O218" s="5" t="str">
        <f>IFERROR(__xludf.DUMMYFUNCTION("""COMPUTED_VALUE"""),"NA FRENTE DO JOHNNY ADESIVOS")</f>
        <v>NA FRENTE DO JOHNNY ADESIVOS</v>
      </c>
      <c r="P218" s="5" t="str">
        <f>IFERROR(__xludf.DUMMYFUNCTION("""COMPUTED_VALUE"""),"PRIORIDADE MÉDIA")</f>
        <v>PRIORIDADE MÉDIA</v>
      </c>
      <c r="Q218" s="5" t="str">
        <f>IFERROR(__xludf.DUMMYFUNCTION("""COMPUTED_VALUE"""),"READEQUAÇÃO DE CALÇADA COM ACESSIBILIDADE, PINTURA DE BAÍA NO ASFALTO.")</f>
        <v>READEQUAÇÃO DE CALÇADA COM ACESSIBILIDADE, PINTURA DE BAÍA NO ASFALTO.</v>
      </c>
      <c r="R218" s="5" t="str">
        <f>IFERROR(__xludf.DUMMYFUNCTION("""COMPUTED_VALUE"""),"NENHUMA DAS OPÇÕES")</f>
        <v>NENHUMA DAS OPÇÕES</v>
      </c>
      <c r="S218" s="5"/>
      <c r="T218" s="5"/>
      <c r="U218" s="5"/>
      <c r="V218" s="9" t="str">
        <f>IFERROR(__xludf.DUMMYFUNCTION("""COMPUTED_VALUE"""),"https://drive.google.com/uc?id=1krR5KRjw4J2BepAPG6W4E0i8GBAayx78")</f>
        <v>https://drive.google.com/uc?id=1krR5KRjw4J2BepAPG6W4E0i8GBAayx78</v>
      </c>
      <c r="W218" s="5" t="str">
        <f>IFERROR(__xludf.DUMMYFUNCTION("""COMPUTED_VALUE"""),"NÃO")</f>
        <v>NÃO</v>
      </c>
      <c r="X218" s="5" t="str">
        <f>IFERROR(__xludf.DUMMYFUNCTION("""COMPUTED_VALUE"""),"NÃO SE APLICA")</f>
        <v>NÃO SE APLICA</v>
      </c>
    </row>
    <row r="219" hidden="1">
      <c r="A219" s="5">
        <f>IFERROR(__xludf.DUMMYFUNCTION("""COMPUTED_VALUE"""),7.0)</f>
        <v>7</v>
      </c>
      <c r="B219" s="5" t="str">
        <f>IFERROR(__xludf.DUMMYFUNCTION("""COMPUTED_VALUE"""),"CV053")</f>
        <v>CV053</v>
      </c>
      <c r="C219" s="5" t="str">
        <f>IFERROR(__xludf.DUMMYFUNCTION("""COMPUTED_VALUE"""),"NÃO POSSUI")</f>
        <v>NÃO POSSUI</v>
      </c>
      <c r="D219" s="5" t="str">
        <f>IFERROR(__xludf.DUMMYFUNCTION("""COMPUTED_VALUE"""),"COM SUPORTE")</f>
        <v>COM SUPORTE</v>
      </c>
      <c r="E219" s="5" t="str">
        <f>IFERROR(__xludf.DUMMYFUNCTION("""COMPUTED_VALUE"""),"SEM BAIA")</f>
        <v>SEM BAIA</v>
      </c>
      <c r="F219" s="5" t="str">
        <f>IFERROR(__xludf.DUMMYFUNCTION("""COMPUTED_VALUE"""),"NÃO")</f>
        <v>NÃO</v>
      </c>
      <c r="G219" s="5" t="str">
        <f>IFERROR(__xludf.DUMMYFUNCTION("""COMPUTED_VALUE"""),"NÃO")</f>
        <v>NÃO</v>
      </c>
      <c r="H219" s="5" t="str">
        <f>IFERROR(__xludf.DUMMYFUNCTION("""COMPUTED_VALUE"""),"PAVIMENTADA COM AVARIAS")</f>
        <v>PAVIMENTADA COM AVARIAS</v>
      </c>
      <c r="I219" s="6" t="str">
        <f>IFERROR(__xludf.DUMMYFUNCTION("""COMPUTED_VALUE"""),"-9.54345")</f>
        <v>-9.54345</v>
      </c>
      <c r="J219" s="6" t="str">
        <f>IFERROR(__xludf.DUMMYFUNCTION("""COMPUTED_VALUE"""),"-35.78689")</f>
        <v>-35.78689</v>
      </c>
      <c r="K219" s="5" t="str">
        <f>IFERROR(__xludf.DUMMYFUNCTION("""COMPUTED_VALUE"""),"RUA DOUTOR FÁBIO VANDERLEY, 05")</f>
        <v>RUA DOUTOR FÁBIO VANDERLEY, 05</v>
      </c>
      <c r="L219" s="5" t="str">
        <f>IFERROR(__xludf.DUMMYFUNCTION("""COMPUTED_VALUE"""),"COLETORA")</f>
        <v>COLETORA</v>
      </c>
      <c r="M219" s="5" t="str">
        <f>IFERROR(__xludf.DUMMYFUNCTION("""COMPUTED_VALUE"""),"CIDADE UNIVERSITÁRIA")</f>
        <v>CIDADE UNIVERSITÁRIA</v>
      </c>
      <c r="N219" s="5" t="str">
        <f>IFERROR(__xludf.DUMMYFUNCTION("""COMPUTED_VALUE"""),"CENTRO - BAIRRO")</f>
        <v>CENTRO - BAIRRO</v>
      </c>
      <c r="O219" s="5" t="str">
        <f>IFERROR(__xludf.DUMMYFUNCTION("""COMPUTED_VALUE"""),"ANTES DA ARTES E PRESENTES")</f>
        <v>ANTES DA ARTES E PRESENTES</v>
      </c>
      <c r="P219" s="5" t="str">
        <f>IFERROR(__xludf.DUMMYFUNCTION("""COMPUTED_VALUE"""),"PRIORIDADE BAIXA")</f>
        <v>PRIORIDADE BAIXA</v>
      </c>
      <c r="Q219" s="5" t="str">
        <f>IFERROR(__xludf.DUMMYFUNCTION("""COMPUTED_VALUE"""),"READEQUAÇÃO DE CALÇADA COM ACESSIBILIDADE, PINTURA DE BAÍA NO ASFALTO.")</f>
        <v>READEQUAÇÃO DE CALÇADA COM ACESSIBILIDADE, PINTURA DE BAÍA NO ASFALTO.</v>
      </c>
      <c r="R219" s="5" t="str">
        <f>IFERROR(__xludf.DUMMYFUNCTION("""COMPUTED_VALUE"""),"NENHUMA DAS OPÇÕES")</f>
        <v>NENHUMA DAS OPÇÕES</v>
      </c>
      <c r="S219" s="5"/>
      <c r="T219" s="5"/>
      <c r="U219" s="5"/>
      <c r="V219" s="9" t="str">
        <f>IFERROR(__xludf.DUMMYFUNCTION("""COMPUTED_VALUE"""),"https://drive.google.com/uc?id=1PMsZESfbGn8rqGibEtvzq_OUjl1K7Y1a")</f>
        <v>https://drive.google.com/uc?id=1PMsZESfbGn8rqGibEtvzq_OUjl1K7Y1a</v>
      </c>
      <c r="W219" s="5" t="str">
        <f>IFERROR(__xludf.DUMMYFUNCTION("""COMPUTED_VALUE"""),"NÃO")</f>
        <v>NÃO</v>
      </c>
      <c r="X219" s="5" t="str">
        <f>IFERROR(__xludf.DUMMYFUNCTION("""COMPUTED_VALUE"""),"NÃO SE APLICA")</f>
        <v>NÃO SE APLICA</v>
      </c>
    </row>
    <row r="220">
      <c r="A220" s="5">
        <f>IFERROR(__xludf.DUMMYFUNCTION("""COMPUTED_VALUE"""),7.0)</f>
        <v>7</v>
      </c>
      <c r="B220" s="5" t="str">
        <f>IFERROR(__xludf.DUMMYFUNCTION("""COMPUTED_VALUE"""),"CV054")</f>
        <v>CV054</v>
      </c>
      <c r="C220" s="5" t="str">
        <f>IFERROR(__xludf.DUMMYFUNCTION("""COMPUTED_VALUE"""),"ABRIGO CONCRETO")</f>
        <v>ABRIGO CONCRETO</v>
      </c>
      <c r="D220" s="5" t="str">
        <f>IFERROR(__xludf.DUMMYFUNCTION("""COMPUTED_VALUE"""),"COM SUPORTE")</f>
        <v>COM SUPORTE</v>
      </c>
      <c r="E220" s="5" t="str">
        <f>IFERROR(__xludf.DUMMYFUNCTION("""COMPUTED_VALUE"""),"SEM BAIA")</f>
        <v>SEM BAIA</v>
      </c>
      <c r="F220" s="5" t="str">
        <f>IFERROR(__xludf.DUMMYFUNCTION("""COMPUTED_VALUE"""),"NÃO")</f>
        <v>NÃO</v>
      </c>
      <c r="G220" s="5" t="str">
        <f>IFERROR(__xludf.DUMMYFUNCTION("""COMPUTED_VALUE"""),"NÃO")</f>
        <v>NÃO</v>
      </c>
      <c r="H220" s="5" t="str">
        <f>IFERROR(__xludf.DUMMYFUNCTION("""COMPUTED_VALUE"""),"NÃO PAVIMENTADA")</f>
        <v>NÃO PAVIMENTADA</v>
      </c>
      <c r="I220" s="6" t="str">
        <f>IFERROR(__xludf.DUMMYFUNCTION("""COMPUTED_VALUE"""),"-9.53388")</f>
        <v>-9.53388</v>
      </c>
      <c r="J220" s="6" t="str">
        <f>IFERROR(__xludf.DUMMYFUNCTION("""COMPUTED_VALUE"""),"-35.79495")</f>
        <v>-35.79495</v>
      </c>
      <c r="K220" s="5" t="str">
        <f>IFERROR(__xludf.DUMMYFUNCTION("""COMPUTED_VALUE"""),"AV. LOURIVAL MELO MOTA, S/N")</f>
        <v>AV. LOURIVAL MELO MOTA, S/N</v>
      </c>
      <c r="L220" s="5" t="str">
        <f>IFERROR(__xludf.DUMMYFUNCTION("""COMPUTED_VALUE"""),"ARTERIAL ")</f>
        <v>ARTERIAL </v>
      </c>
      <c r="M220" s="5" t="str">
        <f>IFERROR(__xludf.DUMMYFUNCTION("""COMPUTED_VALUE"""),"CIDADE UNIVERSITÁRIA")</f>
        <v>CIDADE UNIVERSITÁRIA</v>
      </c>
      <c r="N220" s="5" t="str">
        <f>IFERROR(__xludf.DUMMYFUNCTION("""COMPUTED_VALUE"""),"CENTRO - BAIRRO")</f>
        <v>CENTRO - BAIRRO</v>
      </c>
      <c r="O220" s="5" t="str">
        <f>IFERROR(__xludf.DUMMYFUNCTION("""COMPUTED_VALUE"""),"PRÓXIMO AO AUTO POSTO FORENE")</f>
        <v>PRÓXIMO AO AUTO POSTO FORENE</v>
      </c>
      <c r="P220" s="5" t="str">
        <f>IFERROR(__xludf.DUMMYFUNCTION("""COMPUTED_VALUE"""),"PRIORIDADE ALTA")</f>
        <v>PRIORIDADE ALTA</v>
      </c>
      <c r="Q220" s="5" t="str">
        <f>IFERROR(__xludf.DUMMYFUNCTION("""COMPUTED_VALUE"""),"NECESSÁRIO REPINTURA NO ABRIGO DE CONCRETO, E RELOCAÇÃO DA SINALIZAÇÃO VERTICAL PRÓXIMO AO ABRIGO. READEQUAÇÃO DE CALÇADA COM ACESSIBILIDADE, PINTURA DE BAÍA NO ASFALTO.")</f>
        <v>NECESSÁRIO REPINTURA NO ABRIGO DE CONCRETO, E RELOCAÇÃO DA SINALIZAÇÃO VERTICAL PRÓXIMO AO ABRIGO. READEQUAÇÃO DE CALÇADA COM ACESSIBILIDADE, PINTURA DE BAÍA NO ASFALTO.</v>
      </c>
      <c r="R220" s="5" t="str">
        <f>IFERROR(__xludf.DUMMYFUNCTION("""COMPUTED_VALUE"""),"SUBSTITUIR ABRIGO")</f>
        <v>SUBSTITUIR ABRIGO</v>
      </c>
      <c r="S220" s="5"/>
      <c r="T220" s="5"/>
      <c r="U220" s="5"/>
      <c r="V220" s="9" t="str">
        <f>IFERROR(__xludf.DUMMYFUNCTION("""COMPUTED_VALUE"""),"https://drive.google.com/uc?id=1EaIKJkLURrw5NTMawMhV4ApJYHCfnu1Y")</f>
        <v>https://drive.google.com/uc?id=1EaIKJkLURrw5NTMawMhV4ApJYHCfnu1Y</v>
      </c>
      <c r="W220" s="5" t="str">
        <f>IFERROR(__xludf.DUMMYFUNCTION("""COMPUTED_VALUE"""),"NÃO")</f>
        <v>NÃO</v>
      </c>
      <c r="X220" s="5" t="str">
        <f>IFERROR(__xludf.DUMMYFUNCTION("""COMPUTED_VALUE"""),"NÃO SE APLICA")</f>
        <v>NÃO SE APLICA</v>
      </c>
    </row>
    <row r="221" hidden="1">
      <c r="A221" s="5">
        <f>IFERROR(__xludf.DUMMYFUNCTION("""COMPUTED_VALUE"""),7.0)</f>
        <v>7</v>
      </c>
      <c r="B221" s="5" t="str">
        <f>IFERROR(__xludf.DUMMYFUNCTION("""COMPUTED_VALUE"""),"CV055")</f>
        <v>CV055</v>
      </c>
      <c r="C221" s="5" t="str">
        <f>IFERROR(__xludf.DUMMYFUNCTION("""COMPUTED_VALUE"""),"NÃO POSSUI")</f>
        <v>NÃO POSSUI</v>
      </c>
      <c r="D221" s="5" t="str">
        <f>IFERROR(__xludf.DUMMYFUNCTION("""COMPUTED_VALUE"""),"SEM PLACA")</f>
        <v>SEM PLACA</v>
      </c>
      <c r="E221" s="5" t="str">
        <f>IFERROR(__xludf.DUMMYFUNCTION("""COMPUTED_VALUE"""),"SEM BAIA")</f>
        <v>SEM BAIA</v>
      </c>
      <c r="F221" s="5" t="str">
        <f>IFERROR(__xludf.DUMMYFUNCTION("""COMPUTED_VALUE"""),"NÃO")</f>
        <v>NÃO</v>
      </c>
      <c r="G221" s="5" t="str">
        <f>IFERROR(__xludf.DUMMYFUNCTION("""COMPUTED_VALUE"""),"NÃO")</f>
        <v>NÃO</v>
      </c>
      <c r="H221" s="5" t="str">
        <f>IFERROR(__xludf.DUMMYFUNCTION("""COMPUTED_VALUE"""),"PAVIMENTADA COM AVARIAS")</f>
        <v>PAVIMENTADA COM AVARIAS</v>
      </c>
      <c r="I221" s="6" t="str">
        <f>IFERROR(__xludf.DUMMYFUNCTION("""COMPUTED_VALUE"""),"-9.53666")</f>
        <v>-9.53666</v>
      </c>
      <c r="J221" s="6" t="str">
        <f>IFERROR(__xludf.DUMMYFUNCTION("""COMPUTED_VALUE"""),"-35.79333")</f>
        <v>-35.79333</v>
      </c>
      <c r="K221" s="5" t="str">
        <f>IFERROR(__xludf.DUMMYFUNCTION("""COMPUTED_VALUE"""),"AV. LOURIVAL MELO MOTA, S/N")</f>
        <v>AV. LOURIVAL MELO MOTA, S/N</v>
      </c>
      <c r="L221" s="5" t="str">
        <f>IFERROR(__xludf.DUMMYFUNCTION("""COMPUTED_VALUE"""),"ARTERIAL ")</f>
        <v>ARTERIAL </v>
      </c>
      <c r="M221" s="5" t="str">
        <f>IFERROR(__xludf.DUMMYFUNCTION("""COMPUTED_VALUE"""),"CIDADE UNIVERSITÁRIA")</f>
        <v>CIDADE UNIVERSITÁRIA</v>
      </c>
      <c r="N221" s="5" t="str">
        <f>IFERROR(__xludf.DUMMYFUNCTION("""COMPUTED_VALUE"""),"CENTRO - BAIRRO")</f>
        <v>CENTRO - BAIRRO</v>
      </c>
      <c r="O221" s="5" t="str">
        <f>IFERROR(__xludf.DUMMYFUNCTION("""COMPUTED_VALUE"""),"EM FRENTE A CHURRASCARIA PORTEIRA GAÚCHO")</f>
        <v>EM FRENTE A CHURRASCARIA PORTEIRA GAÚCHO</v>
      </c>
      <c r="P221" s="5" t="str">
        <f>IFERROR(__xludf.DUMMYFUNCTION("""COMPUTED_VALUE"""),"URGENTE")</f>
        <v>URGENTE</v>
      </c>
      <c r="Q221" s="5" t="str">
        <f>IFERROR(__xludf.DUMMYFUNCTION("""COMPUTED_VALUE"""),"READEQUAÇÃO DE CALÇADA COM ACESSIBILIDADE, PINTURA DE BAÍA NO ASFALTO.")</f>
        <v>READEQUAÇÃO DE CALÇADA COM ACESSIBILIDADE, PINTURA DE BAÍA NO ASFALTO.</v>
      </c>
      <c r="R221" s="5" t="str">
        <f>IFERROR(__xludf.DUMMYFUNCTION("""COMPUTED_VALUE"""),"NENHUMA DAS OPÇÕES")</f>
        <v>NENHUMA DAS OPÇÕES</v>
      </c>
      <c r="S221" s="5"/>
      <c r="T221" s="5"/>
      <c r="U221" s="5"/>
      <c r="V221" s="9" t="str">
        <f>IFERROR(__xludf.DUMMYFUNCTION("""COMPUTED_VALUE"""),"https://drive.google.com/uc?id=1WHQkrZY1uiBDlgArazzB75aiVJHCz1A9")</f>
        <v>https://drive.google.com/uc?id=1WHQkrZY1uiBDlgArazzB75aiVJHCz1A9</v>
      </c>
      <c r="W221" s="5" t="str">
        <f>IFERROR(__xludf.DUMMYFUNCTION("""COMPUTED_VALUE"""),"NÃO")</f>
        <v>NÃO</v>
      </c>
      <c r="X221" s="5" t="str">
        <f>IFERROR(__xludf.DUMMYFUNCTION("""COMPUTED_VALUE"""),"NÃO SE APLICA")</f>
        <v>NÃO SE APLICA</v>
      </c>
    </row>
    <row r="222" hidden="1">
      <c r="A222" s="5">
        <f>IFERROR(__xludf.DUMMYFUNCTION("""COMPUTED_VALUE"""),7.0)</f>
        <v>7</v>
      </c>
      <c r="B222" s="5" t="str">
        <f>IFERROR(__xludf.DUMMYFUNCTION("""COMPUTED_VALUE"""),"CV056")</f>
        <v>CV056</v>
      </c>
      <c r="C222" s="5" t="str">
        <f>IFERROR(__xludf.DUMMYFUNCTION("""COMPUTED_VALUE"""),"NÃO POSSUI")</f>
        <v>NÃO POSSUI</v>
      </c>
      <c r="D222" s="5" t="str">
        <f>IFERROR(__xludf.DUMMYFUNCTION("""COMPUTED_VALUE"""),"SEM PLACA")</f>
        <v>SEM PLACA</v>
      </c>
      <c r="E222" s="5" t="str">
        <f>IFERROR(__xludf.DUMMYFUNCTION("""COMPUTED_VALUE"""),"SEM BAIA")</f>
        <v>SEM BAIA</v>
      </c>
      <c r="F222" s="5" t="str">
        <f>IFERROR(__xludf.DUMMYFUNCTION("""COMPUTED_VALUE"""),"NÃO")</f>
        <v>NÃO</v>
      </c>
      <c r="G222" s="5" t="str">
        <f>IFERROR(__xludf.DUMMYFUNCTION("""COMPUTED_VALUE"""),"NÃO")</f>
        <v>NÃO</v>
      </c>
      <c r="H222" s="5" t="str">
        <f>IFERROR(__xludf.DUMMYFUNCTION("""COMPUTED_VALUE"""),"NÃO PAVIMENTADA")</f>
        <v>NÃO PAVIMENTADA</v>
      </c>
      <c r="I222" s="6" t="str">
        <f>IFERROR(__xludf.DUMMYFUNCTION("""COMPUTED_VALUE"""),"-9.54235")</f>
        <v>-9.54235</v>
      </c>
      <c r="J222" s="6" t="str">
        <f>IFERROR(__xludf.DUMMYFUNCTION("""COMPUTED_VALUE"""),"-35.79007")</f>
        <v>-35.79007</v>
      </c>
      <c r="K222" s="5" t="str">
        <f>IFERROR(__xludf.DUMMYFUNCTION("""COMPUTED_VALUE"""),"AV. LOURIVAL MELO MOTA, S/N")</f>
        <v>AV. LOURIVAL MELO MOTA, S/N</v>
      </c>
      <c r="L222" s="5" t="str">
        <f>IFERROR(__xludf.DUMMYFUNCTION("""COMPUTED_VALUE"""),"ARTERIAL ")</f>
        <v>ARTERIAL </v>
      </c>
      <c r="M222" s="5" t="str">
        <f>IFERROR(__xludf.DUMMYFUNCTION("""COMPUTED_VALUE"""),"CIDADE UNIVERSITÁRIA")</f>
        <v>CIDADE UNIVERSITÁRIA</v>
      </c>
      <c r="N222" s="5" t="str">
        <f>IFERROR(__xludf.DUMMYFUNCTION("""COMPUTED_VALUE"""),"CENTRO - BAIRRO")</f>
        <v>CENTRO - BAIRRO</v>
      </c>
      <c r="O222" s="5" t="str">
        <f>IFERROR(__xludf.DUMMYFUNCTION("""COMPUTED_VALUE"""),"PRÓXIMO A PANIFICAÇÃO CONTINENTAL")</f>
        <v>PRÓXIMO A PANIFICAÇÃO CONTINENTAL</v>
      </c>
      <c r="P222" s="5" t="str">
        <f>IFERROR(__xludf.DUMMYFUNCTION("""COMPUTED_VALUE"""),"URGENTE")</f>
        <v>URGENTE</v>
      </c>
      <c r="Q222" s="5" t="str">
        <f>IFERROR(__xludf.DUMMYFUNCTION("""COMPUTED_VALUE"""),"READEQUAÇÃO DE CALÇADA COM ACESSIBILIDADE, PINTURA DE BAÍA NO ASFALTO.")</f>
        <v>READEQUAÇÃO DE CALÇADA COM ACESSIBILIDADE, PINTURA DE BAÍA NO ASFALTO.</v>
      </c>
      <c r="R222" s="5" t="str">
        <f>IFERROR(__xludf.DUMMYFUNCTION("""COMPUTED_VALUE"""),"NENHUMA DAS OPÇÕES")</f>
        <v>NENHUMA DAS OPÇÕES</v>
      </c>
      <c r="S222" s="5"/>
      <c r="T222" s="5"/>
      <c r="U222" s="5"/>
      <c r="V222" s="9" t="str">
        <f>IFERROR(__xludf.DUMMYFUNCTION("""COMPUTED_VALUE"""),"https://drive.google.com/uc?id=1VW4JIOY8DVSTtMWoloZFsbANR2MdBRe-")</f>
        <v>https://drive.google.com/uc?id=1VW4JIOY8DVSTtMWoloZFsbANR2MdBRe-</v>
      </c>
      <c r="W222" s="5" t="str">
        <f>IFERROR(__xludf.DUMMYFUNCTION("""COMPUTED_VALUE"""),"NÃO")</f>
        <v>NÃO</v>
      </c>
      <c r="X222" s="5" t="str">
        <f>IFERROR(__xludf.DUMMYFUNCTION("""COMPUTED_VALUE"""),"NÃO SE APLICA")</f>
        <v>NÃO SE APLICA</v>
      </c>
    </row>
    <row r="223" hidden="1">
      <c r="A223" s="5">
        <f>IFERROR(__xludf.DUMMYFUNCTION("""COMPUTED_VALUE"""),7.0)</f>
        <v>7</v>
      </c>
      <c r="B223" s="5" t="str">
        <f>IFERROR(__xludf.DUMMYFUNCTION("""COMPUTED_VALUE"""),"CV057")</f>
        <v>CV057</v>
      </c>
      <c r="C223" s="5" t="str">
        <f>IFERROR(__xludf.DUMMYFUNCTION("""COMPUTED_VALUE"""),"NÃO POSSUI")</f>
        <v>NÃO POSSUI</v>
      </c>
      <c r="D223" s="5" t="str">
        <f>IFERROR(__xludf.DUMMYFUNCTION("""COMPUTED_VALUE"""),"COM SUPORTE")</f>
        <v>COM SUPORTE</v>
      </c>
      <c r="E223" s="5" t="str">
        <f>IFERROR(__xludf.DUMMYFUNCTION("""COMPUTED_VALUE"""),"SEM BAIA")</f>
        <v>SEM BAIA</v>
      </c>
      <c r="F223" s="5" t="str">
        <f>IFERROR(__xludf.DUMMYFUNCTION("""COMPUTED_VALUE"""),"NÃO")</f>
        <v>NÃO</v>
      </c>
      <c r="G223" s="5" t="str">
        <f>IFERROR(__xludf.DUMMYFUNCTION("""COMPUTED_VALUE"""),"NÃO")</f>
        <v>NÃO</v>
      </c>
      <c r="H223" s="5" t="str">
        <f>IFERROR(__xludf.DUMMYFUNCTION("""COMPUTED_VALUE"""),"PAVIMENTADA COM AVARIAS")</f>
        <v>PAVIMENTADA COM AVARIAS</v>
      </c>
      <c r="I223" s="6" t="str">
        <f>IFERROR(__xludf.DUMMYFUNCTION("""COMPUTED_VALUE"""),"-9.54620")</f>
        <v>-9.54620</v>
      </c>
      <c r="J223" s="6" t="str">
        <f>IFERROR(__xludf.DUMMYFUNCTION("""COMPUTED_VALUE"""),"-35.78785")</f>
        <v>-35.78785</v>
      </c>
      <c r="K223" s="5" t="str">
        <f>IFERROR(__xludf.DUMMYFUNCTION("""COMPUTED_VALUE"""),"AV. LOURIVAL MELO MOTA, S/N")</f>
        <v>AV. LOURIVAL MELO MOTA, S/N</v>
      </c>
      <c r="L223" s="5" t="str">
        <f>IFERROR(__xludf.DUMMYFUNCTION("""COMPUTED_VALUE"""),"ARTERIAL ")</f>
        <v>ARTERIAL </v>
      </c>
      <c r="M223" s="5" t="str">
        <f>IFERROR(__xludf.DUMMYFUNCTION("""COMPUTED_VALUE"""),"CIDADE UNIVERSITÁRIA")</f>
        <v>CIDADE UNIVERSITÁRIA</v>
      </c>
      <c r="N223" s="5" t="str">
        <f>IFERROR(__xludf.DUMMYFUNCTION("""COMPUTED_VALUE"""),"CENTRO - BAIRRO")</f>
        <v>CENTRO - BAIRRO</v>
      </c>
      <c r="O223" s="5" t="str">
        <f>IFERROR(__xludf.DUMMYFUNCTION("""COMPUTED_VALUE"""),"ENTRADA DO INOCOOP, PERTO DA ASSEMBLEIA DE DEUS")</f>
        <v>ENTRADA DO INOCOOP, PERTO DA ASSEMBLEIA DE DEUS</v>
      </c>
      <c r="P223" s="5" t="str">
        <f>IFERROR(__xludf.DUMMYFUNCTION("""COMPUTED_VALUE"""),"PRIORIDADE BAIXA")</f>
        <v>PRIORIDADE BAIXA</v>
      </c>
      <c r="Q223" s="5" t="str">
        <f>IFERROR(__xludf.DUMMYFUNCTION("""COMPUTED_VALUE"""),"READEQUAÇÃO DE CALÇADA COM ACESSIBILIDADE, PINTURA DE BAÍA NO ASFALTO.")</f>
        <v>READEQUAÇÃO DE CALÇADA COM ACESSIBILIDADE, PINTURA DE BAÍA NO ASFALTO.</v>
      </c>
      <c r="R223" s="5" t="str">
        <f>IFERROR(__xludf.DUMMYFUNCTION("""COMPUTED_VALUE"""),"NENHUMA DAS OPÇÕES")</f>
        <v>NENHUMA DAS OPÇÕES</v>
      </c>
      <c r="S223" s="5"/>
      <c r="T223" s="5"/>
      <c r="U223" s="5"/>
      <c r="V223" s="9" t="str">
        <f>IFERROR(__xludf.DUMMYFUNCTION("""COMPUTED_VALUE"""),"https://drive.google.com/uc?id=1GV5wAMmXgvxYbBsr3Xr3aHMXkHIvGu6c")</f>
        <v>https://drive.google.com/uc?id=1GV5wAMmXgvxYbBsr3Xr3aHMXkHIvGu6c</v>
      </c>
      <c r="W223" s="5" t="str">
        <f>IFERROR(__xludf.DUMMYFUNCTION("""COMPUTED_VALUE"""),"NÃO")</f>
        <v>NÃO</v>
      </c>
      <c r="X223" s="5" t="str">
        <f>IFERROR(__xludf.DUMMYFUNCTION("""COMPUTED_VALUE"""),"NÃO SE APLICA")</f>
        <v>NÃO SE APLICA</v>
      </c>
    </row>
    <row r="224" hidden="1">
      <c r="A224" s="5">
        <f>IFERROR(__xludf.DUMMYFUNCTION("""COMPUTED_VALUE"""),7.0)</f>
        <v>7</v>
      </c>
      <c r="B224" s="5" t="str">
        <f>IFERROR(__xludf.DUMMYFUNCTION("""COMPUTED_VALUE"""),"CV058")</f>
        <v>CV058</v>
      </c>
      <c r="C224" s="5" t="str">
        <f>IFERROR(__xludf.DUMMYFUNCTION("""COMPUTED_VALUE"""),"NÃO POSSUI")</f>
        <v>NÃO POSSUI</v>
      </c>
      <c r="D224" s="5" t="str">
        <f>IFERROR(__xludf.DUMMYFUNCTION("""COMPUTED_VALUE"""),"SEM PLACA")</f>
        <v>SEM PLACA</v>
      </c>
      <c r="E224" s="5" t="str">
        <f>IFERROR(__xludf.DUMMYFUNCTION("""COMPUTED_VALUE"""),"SEM BAIA")</f>
        <v>SEM BAIA</v>
      </c>
      <c r="F224" s="5" t="str">
        <f>IFERROR(__xludf.DUMMYFUNCTION("""COMPUTED_VALUE"""),"NÃO")</f>
        <v>NÃO</v>
      </c>
      <c r="G224" s="5" t="str">
        <f>IFERROR(__xludf.DUMMYFUNCTION("""COMPUTED_VALUE"""),"NÃO")</f>
        <v>NÃO</v>
      </c>
      <c r="H224" s="5" t="str">
        <f>IFERROR(__xludf.DUMMYFUNCTION("""COMPUTED_VALUE"""),"NÃO PAVIMENTADA")</f>
        <v>NÃO PAVIMENTADA</v>
      </c>
      <c r="I224" s="6" t="str">
        <f>IFERROR(__xludf.DUMMYFUNCTION("""COMPUTED_VALUE"""),"-9.54978")</f>
        <v>-9.54978</v>
      </c>
      <c r="J224" s="6" t="str">
        <f>IFERROR(__xludf.DUMMYFUNCTION("""COMPUTED_VALUE"""),"-35.78576")</f>
        <v>-35.78576</v>
      </c>
      <c r="K224" s="5" t="str">
        <f>IFERROR(__xludf.DUMMYFUNCTION("""COMPUTED_VALUE"""),"AV. LOURIVAL MELO MOTA, S/N")</f>
        <v>AV. LOURIVAL MELO MOTA, S/N</v>
      </c>
      <c r="L224" s="5" t="str">
        <f>IFERROR(__xludf.DUMMYFUNCTION("""COMPUTED_VALUE"""),"ARTERIAL ")</f>
        <v>ARTERIAL </v>
      </c>
      <c r="M224" s="5" t="str">
        <f>IFERROR(__xludf.DUMMYFUNCTION("""COMPUTED_VALUE"""),"CIDADE UNIVERSITÁRIA")</f>
        <v>CIDADE UNIVERSITÁRIA</v>
      </c>
      <c r="N224" s="5" t="str">
        <f>IFERROR(__xludf.DUMMYFUNCTION("""COMPUTED_VALUE"""),"CENTRO - BAIRRO")</f>
        <v>CENTRO - BAIRRO</v>
      </c>
      <c r="O224" s="5" t="str">
        <f>IFERROR(__xludf.DUMMYFUNCTION("""COMPUTED_VALUE"""),"PRÓXIMO A CENTRAL FELIX LOGÍSTICA E TRANSPORTE E TRANSMAR TRANSPORTES")</f>
        <v>PRÓXIMO A CENTRAL FELIX LOGÍSTICA E TRANSPORTE E TRANSMAR TRANSPORTES</v>
      </c>
      <c r="P224" s="5" t="str">
        <f>IFERROR(__xludf.DUMMYFUNCTION("""COMPUTED_VALUE"""),"URGENTE")</f>
        <v>URGENTE</v>
      </c>
      <c r="Q224" s="5" t="str">
        <f>IFERROR(__xludf.DUMMYFUNCTION("""COMPUTED_VALUE"""),"READEQUAÇÃO DE CALÇADA COM ACESSIBILIDADE, PINTURA DE BAÍA NO ASFALTO.")</f>
        <v>READEQUAÇÃO DE CALÇADA COM ACESSIBILIDADE, PINTURA DE BAÍA NO ASFALTO.</v>
      </c>
      <c r="R224" s="5" t="str">
        <f>IFERROR(__xludf.DUMMYFUNCTION("""COMPUTED_VALUE"""),"IMPLANTAR ABRIGO")</f>
        <v>IMPLANTAR ABRIGO</v>
      </c>
      <c r="S224" s="5"/>
      <c r="T224" s="5"/>
      <c r="U224" s="5"/>
      <c r="V224" s="9" t="str">
        <f>IFERROR(__xludf.DUMMYFUNCTION("""COMPUTED_VALUE"""),"https://drive.google.com/uc?id=1pjlqVeW5PU7O__h0oJEigaEjd12pacFX")</f>
        <v>https://drive.google.com/uc?id=1pjlqVeW5PU7O__h0oJEigaEjd12pacFX</v>
      </c>
      <c r="W224" s="5" t="str">
        <f>IFERROR(__xludf.DUMMYFUNCTION("""COMPUTED_VALUE"""),"NÃO")</f>
        <v>NÃO</v>
      </c>
      <c r="X224" s="5" t="str">
        <f>IFERROR(__xludf.DUMMYFUNCTION("""COMPUTED_VALUE"""),"NÃO SE APLICA")</f>
        <v>NÃO SE APLICA</v>
      </c>
    </row>
    <row r="225">
      <c r="A225" s="5">
        <f>IFERROR(__xludf.DUMMYFUNCTION("""COMPUTED_VALUE"""),7.0)</f>
        <v>7</v>
      </c>
      <c r="B225" s="5" t="str">
        <f>IFERROR(__xludf.DUMMYFUNCTION("""COMPUTED_VALUE"""),"CV059")</f>
        <v>CV059</v>
      </c>
      <c r="C225" s="5" t="str">
        <f>IFERROR(__xludf.DUMMYFUNCTION("""COMPUTED_VALUE"""),"ABRIGO METÁLICO PEQUENO PORTE")</f>
        <v>ABRIGO METÁLICO PEQUENO PORTE</v>
      </c>
      <c r="D225" s="5" t="str">
        <f>IFERROR(__xludf.DUMMYFUNCTION("""COMPUTED_VALUE"""),"COM SUPORTE")</f>
        <v>COM SUPORTE</v>
      </c>
      <c r="E225" s="5" t="str">
        <f>IFERROR(__xludf.DUMMYFUNCTION("""COMPUTED_VALUE"""),"SEM BAIA")</f>
        <v>SEM BAIA</v>
      </c>
      <c r="F225" s="5" t="str">
        <f>IFERROR(__xludf.DUMMYFUNCTION("""COMPUTED_VALUE"""),"NÃO")</f>
        <v>NÃO</v>
      </c>
      <c r="G225" s="5" t="str">
        <f>IFERROR(__xludf.DUMMYFUNCTION("""COMPUTED_VALUE"""),"NÃO")</f>
        <v>NÃO</v>
      </c>
      <c r="H225" s="5" t="str">
        <f>IFERROR(__xludf.DUMMYFUNCTION("""COMPUTED_VALUE"""),"NÃO PAVIMENTADA")</f>
        <v>NÃO PAVIMENTADA</v>
      </c>
      <c r="I225" s="6" t="str">
        <f>IFERROR(__xludf.DUMMYFUNCTION("""COMPUTED_VALUE"""),"-9.55698")</f>
        <v>-9.55698</v>
      </c>
      <c r="J225" s="6" t="str">
        <f>IFERROR(__xludf.DUMMYFUNCTION("""COMPUTED_VALUE"""),"-35.78166")</f>
        <v>-35.78166</v>
      </c>
      <c r="K225" s="5" t="str">
        <f>IFERROR(__xludf.DUMMYFUNCTION("""COMPUTED_VALUE"""),"AV. LOURIVAL MELO MOTA, S/N")</f>
        <v>AV. LOURIVAL MELO MOTA, S/N</v>
      </c>
      <c r="L225" s="5" t="str">
        <f>IFERROR(__xludf.DUMMYFUNCTION("""COMPUTED_VALUE"""),"ARTERIAL ")</f>
        <v>ARTERIAL </v>
      </c>
      <c r="M225" s="5" t="str">
        <f>IFERROR(__xludf.DUMMYFUNCTION("""COMPUTED_VALUE"""),"CIDADE UNIVERSITÁRIA")</f>
        <v>CIDADE UNIVERSITÁRIA</v>
      </c>
      <c r="N225" s="5" t="str">
        <f>IFERROR(__xludf.DUMMYFUNCTION("""COMPUTED_VALUE"""),"CENTRO - BAIRRO")</f>
        <v>CENTRO - BAIRRO</v>
      </c>
      <c r="O225" s="5" t="str">
        <f>IFERROR(__xludf.DUMMYFUNCTION("""COMPUTED_VALUE"""),"EM FRENTE A ENTRADA DA UFAL")</f>
        <v>EM FRENTE A ENTRADA DA UFAL</v>
      </c>
      <c r="P225" s="5" t="str">
        <f>IFERROR(__xludf.DUMMYFUNCTION("""COMPUTED_VALUE"""),"PRIORIDADE ALTA")</f>
        <v>PRIORIDADE ALTA</v>
      </c>
      <c r="Q225" s="5" t="str">
        <f>IFERROR(__xludf.DUMMYFUNCTION("""COMPUTED_VALUE"""),"NECESSIDADE DE REPINTURA DE ABRIGO DE CONCRETO E ALINHAMENTO DA SINALIZAÇÃO VERTICAL, READEQUAÇÃO DE CALÇADA COM ACESSIBILIDADE, PINTURA DE BAÍA NO ASFALTO.")</f>
        <v>NECESSIDADE DE REPINTURA DE ABRIGO DE CONCRETO E ALINHAMENTO DA SINALIZAÇÃO VERTICAL, READEQUAÇÃO DE CALÇADA COM ACESSIBILIDADE, PINTURA DE BAÍA NO ASFALTO.</v>
      </c>
      <c r="R225" s="5" t="str">
        <f>IFERROR(__xludf.DUMMYFUNCTION("""COMPUTED_VALUE"""),"NENHUMA DAS OPÇÕES")</f>
        <v>NENHUMA DAS OPÇÕES</v>
      </c>
      <c r="S225" s="5"/>
      <c r="T225" s="5"/>
      <c r="U225" s="5"/>
      <c r="V225" s="9" t="str">
        <f>IFERROR(__xludf.DUMMYFUNCTION("""COMPUTED_VALUE"""),"https://drive.google.com/uc?id=1IzHBxfiWKeJXGabIa4chGUMh7bdFbH2Z")</f>
        <v>https://drive.google.com/uc?id=1IzHBxfiWKeJXGabIa4chGUMh7bdFbH2Z</v>
      </c>
      <c r="W225" s="5" t="str">
        <f>IFERROR(__xludf.DUMMYFUNCTION("""COMPUTED_VALUE"""),"SIM")</f>
        <v>SIM</v>
      </c>
      <c r="X225" s="5" t="str">
        <f>IFERROR(__xludf.DUMMYFUNCTION("""COMPUTED_VALUE"""),"NÃO SE APLICA")</f>
        <v>NÃO SE APLICA</v>
      </c>
    </row>
    <row r="226">
      <c r="A226" s="5">
        <f>IFERROR(__xludf.DUMMYFUNCTION("""COMPUTED_VALUE"""),7.0)</f>
        <v>7</v>
      </c>
      <c r="B226" s="5" t="str">
        <f>IFERROR(__xludf.DUMMYFUNCTION("""COMPUTED_VALUE"""),"CV060")</f>
        <v>CV060</v>
      </c>
      <c r="C226" s="5" t="str">
        <f>IFERROR(__xludf.DUMMYFUNCTION("""COMPUTED_VALUE"""),"ABRIGO CONCRETO")</f>
        <v>ABRIGO CONCRETO</v>
      </c>
      <c r="D226" s="5" t="str">
        <f>IFERROR(__xludf.DUMMYFUNCTION("""COMPUTED_VALUE"""),"COM SUPORTE")</f>
        <v>COM SUPORTE</v>
      </c>
      <c r="E226" s="5" t="str">
        <f>IFERROR(__xludf.DUMMYFUNCTION("""COMPUTED_VALUE"""),"SEM BAIA")</f>
        <v>SEM BAIA</v>
      </c>
      <c r="F226" s="5" t="str">
        <f>IFERROR(__xludf.DUMMYFUNCTION("""COMPUTED_VALUE"""),"NÃO")</f>
        <v>NÃO</v>
      </c>
      <c r="G226" s="5" t="str">
        <f>IFERROR(__xludf.DUMMYFUNCTION("""COMPUTED_VALUE"""),"NÃO")</f>
        <v>NÃO</v>
      </c>
      <c r="H226" s="5" t="str">
        <f>IFERROR(__xludf.DUMMYFUNCTION("""COMPUTED_VALUE"""),"PAVIMENTADA")</f>
        <v>PAVIMENTADA</v>
      </c>
      <c r="I226" s="6" t="str">
        <f>IFERROR(__xludf.DUMMYFUNCTION("""COMPUTED_VALUE"""),"-9.56012")</f>
        <v>-9.56012</v>
      </c>
      <c r="J226" s="6" t="str">
        <f>IFERROR(__xludf.DUMMYFUNCTION("""COMPUTED_VALUE"""),"-35.77999")</f>
        <v>-35.77999</v>
      </c>
      <c r="K226" s="5" t="str">
        <f>IFERROR(__xludf.DUMMYFUNCTION("""COMPUTED_VALUE"""),"AV. LOURIVAL MELO MOTA, S/N")</f>
        <v>AV. LOURIVAL MELO MOTA, S/N</v>
      </c>
      <c r="L226" s="5" t="str">
        <f>IFERROR(__xludf.DUMMYFUNCTION("""COMPUTED_VALUE"""),"ARTERIAL ")</f>
        <v>ARTERIAL </v>
      </c>
      <c r="M226" s="5" t="str">
        <f>IFERROR(__xludf.DUMMYFUNCTION("""COMPUTED_VALUE"""),"CIDADE UNIVERSITÁRIA")</f>
        <v>CIDADE UNIVERSITÁRIA</v>
      </c>
      <c r="N226" s="5" t="str">
        <f>IFERROR(__xludf.DUMMYFUNCTION("""COMPUTED_VALUE"""),"CENTRO - BAIRRO")</f>
        <v>CENTRO - BAIRRO</v>
      </c>
      <c r="O226" s="5" t="str">
        <f>IFERROR(__xludf.DUMMYFUNCTION("""COMPUTED_VALUE"""),"EM FRENTE AO HOSPITAL UNIVERSITÁRO")</f>
        <v>EM FRENTE AO HOSPITAL UNIVERSITÁRO</v>
      </c>
      <c r="P226" s="5" t="str">
        <f>IFERROR(__xludf.DUMMYFUNCTION("""COMPUTED_VALUE"""),"PRIORIDADE ALTA")</f>
        <v>PRIORIDADE ALTA</v>
      </c>
      <c r="Q226" s="5" t="str">
        <f>IFERROR(__xludf.DUMMYFUNCTION("""COMPUTED_VALUE"""),"NECESSIDADE DE REPINTURA EM ABRIGO DE CONCRETO; RELOCAÇÃO DA PLACA PRÓXIMO AO ABRIGO; E LOCAR ABRIGO PRÓXIMO A VIA, RELOCANDO CICLOVIA. PINTURA DE BAÍA NO ASFALTO.")</f>
        <v>NECESSIDADE DE REPINTURA EM ABRIGO DE CONCRETO; RELOCAÇÃO DA PLACA PRÓXIMO AO ABRIGO; E LOCAR ABRIGO PRÓXIMO A VIA, RELOCANDO CICLOVIA. PINTURA DE BAÍA NO ASFALTO.</v>
      </c>
      <c r="R226" s="5" t="str">
        <f>IFERROR(__xludf.DUMMYFUNCTION("""COMPUTED_VALUE"""),"SUBSTITUIR ABRIGO")</f>
        <v>SUBSTITUIR ABRIGO</v>
      </c>
      <c r="S226" s="5"/>
      <c r="T226" s="5"/>
      <c r="U226" s="5"/>
      <c r="V226" s="9" t="str">
        <f>IFERROR(__xludf.DUMMYFUNCTION("""COMPUTED_VALUE"""),"https://drive.google.com/uc?id=125YS7X9RY0jr-bxlY2WMJ8tJENHEPxdy")</f>
        <v>https://drive.google.com/uc?id=125YS7X9RY0jr-bxlY2WMJ8tJENHEPxdy</v>
      </c>
      <c r="W226" s="5" t="str">
        <f>IFERROR(__xludf.DUMMYFUNCTION("""COMPUTED_VALUE"""),"NÃO")</f>
        <v>NÃO</v>
      </c>
      <c r="X226" s="5" t="str">
        <f>IFERROR(__xludf.DUMMYFUNCTION("""COMPUTED_VALUE"""),"NÃO SE APLICA")</f>
        <v>NÃO SE APLICA</v>
      </c>
    </row>
    <row r="227">
      <c r="A227" s="5">
        <f>IFERROR(__xludf.DUMMYFUNCTION("""COMPUTED_VALUE"""),7.0)</f>
        <v>7</v>
      </c>
      <c r="B227" s="5" t="str">
        <f>IFERROR(__xludf.DUMMYFUNCTION("""COMPUTED_VALUE"""),"CV061")</f>
        <v>CV061</v>
      </c>
      <c r="C227" s="5" t="str">
        <f>IFERROR(__xludf.DUMMYFUNCTION("""COMPUTED_VALUE"""),"ABRIGO CONCRETO")</f>
        <v>ABRIGO CONCRETO</v>
      </c>
      <c r="D227" s="5" t="str">
        <f>IFERROR(__xludf.DUMMYFUNCTION("""COMPUTED_VALUE"""),"SEM PLACA")</f>
        <v>SEM PLACA</v>
      </c>
      <c r="E227" s="5" t="str">
        <f>IFERROR(__xludf.DUMMYFUNCTION("""COMPUTED_VALUE"""),"SEM BAIA")</f>
        <v>SEM BAIA</v>
      </c>
      <c r="F227" s="5" t="str">
        <f>IFERROR(__xludf.DUMMYFUNCTION("""COMPUTED_VALUE"""),"NÃO")</f>
        <v>NÃO</v>
      </c>
      <c r="G227" s="5" t="str">
        <f>IFERROR(__xludf.DUMMYFUNCTION("""COMPUTED_VALUE"""),"NÃO")</f>
        <v>NÃO</v>
      </c>
      <c r="H227" s="5" t="str">
        <f>IFERROR(__xludf.DUMMYFUNCTION("""COMPUTED_VALUE"""),"PAVIMENTADA")</f>
        <v>PAVIMENTADA</v>
      </c>
      <c r="I227" s="6" t="str">
        <f>IFERROR(__xludf.DUMMYFUNCTION("""COMPUTED_VALUE"""),"-9.55736")</f>
        <v>-9.55736</v>
      </c>
      <c r="J227" s="6" t="str">
        <f>IFERROR(__xludf.DUMMYFUNCTION("""COMPUTED_VALUE"""),"-35.78103")</f>
        <v>-35.78103</v>
      </c>
      <c r="K227" s="5" t="str">
        <f>IFERROR(__xludf.DUMMYFUNCTION("""COMPUTED_VALUE"""),"AV. PRINCIPAL DA UFAL, S/N")</f>
        <v>AV. PRINCIPAL DA UFAL, S/N</v>
      </c>
      <c r="L227" s="5" t="str">
        <f>IFERROR(__xludf.DUMMYFUNCTION("""COMPUTED_VALUE"""),"LOCAL")</f>
        <v>LOCAL</v>
      </c>
      <c r="M227" s="5" t="str">
        <f>IFERROR(__xludf.DUMMYFUNCTION("""COMPUTED_VALUE"""),"CIDADE UNIVERSITÁRIA")</f>
        <v>CIDADE UNIVERSITÁRIA</v>
      </c>
      <c r="N227" s="5" t="str">
        <f>IFERROR(__xludf.DUMMYFUNCTION("""COMPUTED_VALUE"""),"CENTRO - BAIRRO")</f>
        <v>CENTRO - BAIRRO</v>
      </c>
      <c r="O227" s="5" t="str">
        <f>IFERROR(__xludf.DUMMYFUNCTION("""COMPUTED_VALUE"""),"UFAL – EM FRENTE AO CAIC")</f>
        <v>UFAL – EM FRENTE AO CAIC</v>
      </c>
      <c r="P227" s="5" t="str">
        <f>IFERROR(__xludf.DUMMYFUNCTION("""COMPUTED_VALUE"""),"PRIORIDADE ALTA")</f>
        <v>PRIORIDADE ALTA</v>
      </c>
      <c r="Q227" s="5" t="str">
        <f>IFERROR(__xludf.DUMMYFUNCTION("""COMPUTED_VALUE"""),"NECESSÁRIO REPINTURA DE  ABRIGO E LIMPEZA DA COBERTA. READEQUAÇÃO DE CALÇADA COM ACESSIBILIDADE, PINTURA DE BAÍA NO ASFALTO.")</f>
        <v>NECESSÁRIO REPINTURA DE  ABRIGO E LIMPEZA DA COBERTA. READEQUAÇÃO DE CALÇADA COM ACESSIBILIDADE, PINTURA DE BAÍA NO ASFALTO.</v>
      </c>
      <c r="R227" s="5" t="str">
        <f>IFERROR(__xludf.DUMMYFUNCTION("""COMPUTED_VALUE"""),"SUBSTITUIR ABRIGO")</f>
        <v>SUBSTITUIR ABRIGO</v>
      </c>
      <c r="S227" s="5"/>
      <c r="T227" s="5"/>
      <c r="U227" s="5"/>
      <c r="V227" s="9" t="str">
        <f>IFERROR(__xludf.DUMMYFUNCTION("""COMPUTED_VALUE"""),"https://drive.google.com/uc?id=1W8MO_2olyhZcuDJEtrdHJf48vkHHk45s")</f>
        <v>https://drive.google.com/uc?id=1W8MO_2olyhZcuDJEtrdHJf48vkHHk45s</v>
      </c>
      <c r="W227" s="5" t="str">
        <f>IFERROR(__xludf.DUMMYFUNCTION("""COMPUTED_VALUE"""),"NÃO")</f>
        <v>NÃO</v>
      </c>
      <c r="X227" s="5" t="str">
        <f>IFERROR(__xludf.DUMMYFUNCTION("""COMPUTED_VALUE"""),"NÃO SE APLICA")</f>
        <v>NÃO SE APLICA</v>
      </c>
    </row>
    <row r="228">
      <c r="A228" s="5">
        <f>IFERROR(__xludf.DUMMYFUNCTION("""COMPUTED_VALUE"""),7.0)</f>
        <v>7</v>
      </c>
      <c r="B228" s="5" t="str">
        <f>IFERROR(__xludf.DUMMYFUNCTION("""COMPUTED_VALUE"""),"CV062")</f>
        <v>CV062</v>
      </c>
      <c r="C228" s="5" t="str">
        <f>IFERROR(__xludf.DUMMYFUNCTION("""COMPUTED_VALUE"""),"ABRIGO CONCRETO")</f>
        <v>ABRIGO CONCRETO</v>
      </c>
      <c r="D228" s="5" t="str">
        <f>IFERROR(__xludf.DUMMYFUNCTION("""COMPUTED_VALUE"""),"SEM PLACA")</f>
        <v>SEM PLACA</v>
      </c>
      <c r="E228" s="5" t="str">
        <f>IFERROR(__xludf.DUMMYFUNCTION("""COMPUTED_VALUE"""),"SEM BAIA")</f>
        <v>SEM BAIA</v>
      </c>
      <c r="F228" s="5" t="str">
        <f>IFERROR(__xludf.DUMMYFUNCTION("""COMPUTED_VALUE"""),"NÃO")</f>
        <v>NÃO</v>
      </c>
      <c r="G228" s="5" t="str">
        <f>IFERROR(__xludf.DUMMYFUNCTION("""COMPUTED_VALUE"""),"NÃO")</f>
        <v>NÃO</v>
      </c>
      <c r="H228" s="5" t="str">
        <f>IFERROR(__xludf.DUMMYFUNCTION("""COMPUTED_VALUE"""),"PAVIMENTADA")</f>
        <v>PAVIMENTADA</v>
      </c>
      <c r="I228" s="6" t="str">
        <f>IFERROR(__xludf.DUMMYFUNCTION("""COMPUTED_VALUE"""),"-9.55724")</f>
        <v>-9.55724</v>
      </c>
      <c r="J228" s="6" t="str">
        <f>IFERROR(__xludf.DUMMYFUNCTION("""COMPUTED_VALUE"""),"-35.78113")</f>
        <v>-35.78113</v>
      </c>
      <c r="K228" s="5" t="str">
        <f>IFERROR(__xludf.DUMMYFUNCTION("""COMPUTED_VALUE"""),"AV. PRINCIPAL DA UFAL, S/N")</f>
        <v>AV. PRINCIPAL DA UFAL, S/N</v>
      </c>
      <c r="L228" s="5" t="str">
        <f>IFERROR(__xludf.DUMMYFUNCTION("""COMPUTED_VALUE"""),"LOCAL")</f>
        <v>LOCAL</v>
      </c>
      <c r="M228" s="5" t="str">
        <f>IFERROR(__xludf.DUMMYFUNCTION("""COMPUTED_VALUE"""),"CIDADE UNIVERSITÁRIA")</f>
        <v>CIDADE UNIVERSITÁRIA</v>
      </c>
      <c r="N228" s="5" t="str">
        <f>IFERROR(__xludf.DUMMYFUNCTION("""COMPUTED_VALUE"""),"BAIRRO - CENTRO")</f>
        <v>BAIRRO - CENTRO</v>
      </c>
      <c r="O228" s="5" t="str">
        <f>IFERROR(__xludf.DUMMYFUNCTION("""COMPUTED_VALUE"""),"EM FRENTE AO CAIC")</f>
        <v>EM FRENTE AO CAIC</v>
      </c>
      <c r="P228" s="5" t="str">
        <f>IFERROR(__xludf.DUMMYFUNCTION("""COMPUTED_VALUE"""),"PRIORIDADE BAIXA")</f>
        <v>PRIORIDADE BAIXA</v>
      </c>
      <c r="Q228" s="5" t="str">
        <f>IFERROR(__xludf.DUMMYFUNCTION("""COMPUTED_VALUE"""),"READEQUAÇÃO DE CALÇADA COM ACESSIBILIDADE.")</f>
        <v>READEQUAÇÃO DE CALÇADA COM ACESSIBILIDADE.</v>
      </c>
      <c r="R228" s="5" t="str">
        <f>IFERROR(__xludf.DUMMYFUNCTION("""COMPUTED_VALUE"""),"SUBSTITUIR ABRIGO")</f>
        <v>SUBSTITUIR ABRIGO</v>
      </c>
      <c r="S228" s="5"/>
      <c r="T228" s="5"/>
      <c r="U228" s="5"/>
      <c r="V228" s="9" t="str">
        <f>IFERROR(__xludf.DUMMYFUNCTION("""COMPUTED_VALUE"""),"https://drive.google.com/uc?id=1lNT29C1SpdM-I1HTj39bwSaqOwlBStmF")</f>
        <v>https://drive.google.com/uc?id=1lNT29C1SpdM-I1HTj39bwSaqOwlBStmF</v>
      </c>
      <c r="W228" s="5" t="str">
        <f>IFERROR(__xludf.DUMMYFUNCTION("""COMPUTED_VALUE"""),"NÃO")</f>
        <v>NÃO</v>
      </c>
      <c r="X228" s="5" t="str">
        <f>IFERROR(__xludf.DUMMYFUNCTION("""COMPUTED_VALUE"""),"NÃO SE APLICA")</f>
        <v>NÃO SE APLICA</v>
      </c>
    </row>
    <row r="229">
      <c r="A229" s="5">
        <f>IFERROR(__xludf.DUMMYFUNCTION("""COMPUTED_VALUE"""),7.0)</f>
        <v>7</v>
      </c>
      <c r="B229" s="5" t="str">
        <f>IFERROR(__xludf.DUMMYFUNCTION("""COMPUTED_VALUE"""),"CV063")</f>
        <v>CV063</v>
      </c>
      <c r="C229" s="5" t="str">
        <f>IFERROR(__xludf.DUMMYFUNCTION("""COMPUTED_VALUE"""),"ABRIGO CONCRETO")</f>
        <v>ABRIGO CONCRETO</v>
      </c>
      <c r="D229" s="5" t="str">
        <f>IFERROR(__xludf.DUMMYFUNCTION("""COMPUTED_VALUE"""),"SEM PLACA")</f>
        <v>SEM PLACA</v>
      </c>
      <c r="E229" s="5" t="str">
        <f>IFERROR(__xludf.DUMMYFUNCTION("""COMPUTED_VALUE"""),"SEM BAIA")</f>
        <v>SEM BAIA</v>
      </c>
      <c r="F229" s="5" t="str">
        <f>IFERROR(__xludf.DUMMYFUNCTION("""COMPUTED_VALUE"""),"NÃO")</f>
        <v>NÃO</v>
      </c>
      <c r="G229" s="5" t="str">
        <f>IFERROR(__xludf.DUMMYFUNCTION("""COMPUTED_VALUE"""),"NÃO")</f>
        <v>NÃO</v>
      </c>
      <c r="H229" s="5" t="str">
        <f>IFERROR(__xludf.DUMMYFUNCTION("""COMPUTED_VALUE"""),"PAVIMENTADA")</f>
        <v>PAVIMENTADA</v>
      </c>
      <c r="I229" s="6" t="str">
        <f>IFERROR(__xludf.DUMMYFUNCTION("""COMPUTED_VALUE"""),"-9.556544")</f>
        <v>-9.556544</v>
      </c>
      <c r="J229" s="6" t="str">
        <f>IFERROR(__xludf.DUMMYFUNCTION("""COMPUTED_VALUE"""),"-35.779486")</f>
        <v>-35.779486</v>
      </c>
      <c r="K229" s="5" t="str">
        <f>IFERROR(__xludf.DUMMYFUNCTION("""COMPUTED_VALUE"""),"AV. PRINCIPAL DA UFAL, S/N")</f>
        <v>AV. PRINCIPAL DA UFAL, S/N</v>
      </c>
      <c r="L229" s="5" t="str">
        <f>IFERROR(__xludf.DUMMYFUNCTION("""COMPUTED_VALUE"""),"LOCAL")</f>
        <v>LOCAL</v>
      </c>
      <c r="M229" s="5" t="str">
        <f>IFERROR(__xludf.DUMMYFUNCTION("""COMPUTED_VALUE"""),"CIDADE UNIVERSITÁRIA")</f>
        <v>CIDADE UNIVERSITÁRIA</v>
      </c>
      <c r="N229" s="5" t="str">
        <f>IFERROR(__xludf.DUMMYFUNCTION("""COMPUTED_VALUE"""),"CENTRO - BAIRRO")</f>
        <v>CENTRO - BAIRRO</v>
      </c>
      <c r="O229" s="5" t="str">
        <f>IFERROR(__xludf.DUMMYFUNCTION("""COMPUTED_VALUE"""),"UFAL – EM FRENTE A REITORIA")</f>
        <v>UFAL – EM FRENTE A REITORIA</v>
      </c>
      <c r="P229" s="5" t="str">
        <f>IFERROR(__xludf.DUMMYFUNCTION("""COMPUTED_VALUE"""),"PRIORIDADE BAIXA")</f>
        <v>PRIORIDADE BAIXA</v>
      </c>
      <c r="Q229" s="5" t="str">
        <f>IFERROR(__xludf.DUMMYFUNCTION("""COMPUTED_VALUE"""),"READEQUAÇÃO DE CALÇADA COM ACESSIBILIDADE.")</f>
        <v>READEQUAÇÃO DE CALÇADA COM ACESSIBILIDADE.</v>
      </c>
      <c r="R229" s="5" t="str">
        <f>IFERROR(__xludf.DUMMYFUNCTION("""COMPUTED_VALUE"""),"SUBSTITUIR ABRIGO")</f>
        <v>SUBSTITUIR ABRIGO</v>
      </c>
      <c r="S229" s="5"/>
      <c r="T229" s="5"/>
      <c r="U229" s="5"/>
      <c r="V229" s="9" t="str">
        <f>IFERROR(__xludf.DUMMYFUNCTION("""COMPUTED_VALUE"""),"https://drive.google.com/uc?id=1vbmDIvwyqRYIzDZrFZqHvpJ3mwtofUuz")</f>
        <v>https://drive.google.com/uc?id=1vbmDIvwyqRYIzDZrFZqHvpJ3mwtofUuz</v>
      </c>
      <c r="W229" s="5" t="str">
        <f>IFERROR(__xludf.DUMMYFUNCTION("""COMPUTED_VALUE"""),"NÃO")</f>
        <v>NÃO</v>
      </c>
      <c r="X229" s="5" t="str">
        <f>IFERROR(__xludf.DUMMYFUNCTION("""COMPUTED_VALUE"""),"NÃO SE APLICA")</f>
        <v>NÃO SE APLICA</v>
      </c>
    </row>
    <row r="230">
      <c r="A230" s="5">
        <f>IFERROR(__xludf.DUMMYFUNCTION("""COMPUTED_VALUE"""),7.0)</f>
        <v>7</v>
      </c>
      <c r="B230" s="5" t="str">
        <f>IFERROR(__xludf.DUMMYFUNCTION("""COMPUTED_VALUE"""),"CV064")</f>
        <v>CV064</v>
      </c>
      <c r="C230" s="5" t="str">
        <f>IFERROR(__xludf.DUMMYFUNCTION("""COMPUTED_VALUE"""),"ABRIGO PERSONALIZADO ")</f>
        <v>ABRIGO PERSONALIZADO </v>
      </c>
      <c r="D230" s="5" t="str">
        <f>IFERROR(__xludf.DUMMYFUNCTION("""COMPUTED_VALUE"""),"SEM PLACA")</f>
        <v>SEM PLACA</v>
      </c>
      <c r="E230" s="5" t="str">
        <f>IFERROR(__xludf.DUMMYFUNCTION("""COMPUTED_VALUE"""),"SEM BAIA")</f>
        <v>SEM BAIA</v>
      </c>
      <c r="F230" s="5" t="str">
        <f>IFERROR(__xludf.DUMMYFUNCTION("""COMPUTED_VALUE"""),"NÃO")</f>
        <v>NÃO</v>
      </c>
      <c r="G230" s="5" t="str">
        <f>IFERROR(__xludf.DUMMYFUNCTION("""COMPUTED_VALUE"""),"NÃO")</f>
        <v>NÃO</v>
      </c>
      <c r="H230" s="5" t="str">
        <f>IFERROR(__xludf.DUMMYFUNCTION("""COMPUTED_VALUE"""),"PAVIMENTADA")</f>
        <v>PAVIMENTADA</v>
      </c>
      <c r="I230" s="6" t="str">
        <f>IFERROR(__xludf.DUMMYFUNCTION("""COMPUTED_VALUE"""),"-9.556107")</f>
        <v>-9.556107</v>
      </c>
      <c r="J230" s="6" t="str">
        <f>IFERROR(__xludf.DUMMYFUNCTION("""COMPUTED_VALUE"""),"-35.77892")</f>
        <v>-35.77892</v>
      </c>
      <c r="K230" s="5" t="str">
        <f>IFERROR(__xludf.DUMMYFUNCTION("""COMPUTED_VALUE"""),"AV. PRINCIPAL DA UFAL, S/N")</f>
        <v>AV. PRINCIPAL DA UFAL, S/N</v>
      </c>
      <c r="L230" s="5" t="str">
        <f>IFERROR(__xludf.DUMMYFUNCTION("""COMPUTED_VALUE"""),"LOCAL")</f>
        <v>LOCAL</v>
      </c>
      <c r="M230" s="5" t="str">
        <f>IFERROR(__xludf.DUMMYFUNCTION("""COMPUTED_VALUE"""),"CIDADE UNIVERSITÁRIA")</f>
        <v>CIDADE UNIVERSITÁRIA</v>
      </c>
      <c r="N230" s="5" t="str">
        <f>IFERROR(__xludf.DUMMYFUNCTION("""COMPUTED_VALUE"""),"CENTRO - BAIRRO")</f>
        <v>CENTRO - BAIRRO</v>
      </c>
      <c r="O230" s="5" t="str">
        <f>IFERROR(__xludf.DUMMYFUNCTION("""COMPUTED_VALUE"""),"UFAL – EM FRENTE AO IEFE")</f>
        <v>UFAL – EM FRENTE AO IEFE</v>
      </c>
      <c r="P230" s="5" t="str">
        <f>IFERROR(__xludf.DUMMYFUNCTION("""COMPUTED_VALUE"""),"PRIORIDADE BAIXA")</f>
        <v>PRIORIDADE BAIXA</v>
      </c>
      <c r="Q230" s="5" t="str">
        <f>IFERROR(__xludf.DUMMYFUNCTION("""COMPUTED_VALUE"""),"READEQUAÇÃO DE CALÇADA COM ACESSIBILIDADE.")</f>
        <v>READEQUAÇÃO DE CALÇADA COM ACESSIBILIDADE.</v>
      </c>
      <c r="R230" s="5" t="str">
        <f>IFERROR(__xludf.DUMMYFUNCTION("""COMPUTED_VALUE"""),"NENHUMA DAS OPÇÕES")</f>
        <v>NENHUMA DAS OPÇÕES</v>
      </c>
      <c r="S230" s="5"/>
      <c r="T230" s="5"/>
      <c r="U230" s="5"/>
      <c r="V230" s="9" t="str">
        <f>IFERROR(__xludf.DUMMYFUNCTION("""COMPUTED_VALUE"""),"https://drive.google.com/uc?id=1KwASHudStyV7yiiFENavYqVpvTZqEVx_")</f>
        <v>https://drive.google.com/uc?id=1KwASHudStyV7yiiFENavYqVpvTZqEVx_</v>
      </c>
      <c r="W230" s="5" t="str">
        <f>IFERROR(__xludf.DUMMYFUNCTION("""COMPUTED_VALUE"""),"NÃO")</f>
        <v>NÃO</v>
      </c>
      <c r="X230" s="5" t="str">
        <f>IFERROR(__xludf.DUMMYFUNCTION("""COMPUTED_VALUE"""),"NÃO SE APLICA")</f>
        <v>NÃO SE APLICA</v>
      </c>
    </row>
    <row r="231">
      <c r="A231" s="5">
        <f>IFERROR(__xludf.DUMMYFUNCTION("""COMPUTED_VALUE"""),7.0)</f>
        <v>7</v>
      </c>
      <c r="B231" s="5" t="str">
        <f>IFERROR(__xludf.DUMMYFUNCTION("""COMPUTED_VALUE"""),"CV065")</f>
        <v>CV065</v>
      </c>
      <c r="C231" s="5" t="str">
        <f>IFERROR(__xludf.DUMMYFUNCTION("""COMPUTED_VALUE"""),"ABRIGO CONCRETO")</f>
        <v>ABRIGO CONCRETO</v>
      </c>
      <c r="D231" s="5" t="str">
        <f>IFERROR(__xludf.DUMMYFUNCTION("""COMPUTED_VALUE"""),"SEM PLACA")</f>
        <v>SEM PLACA</v>
      </c>
      <c r="E231" s="5" t="str">
        <f>IFERROR(__xludf.DUMMYFUNCTION("""COMPUTED_VALUE"""),"SEM BAIA")</f>
        <v>SEM BAIA</v>
      </c>
      <c r="F231" s="5" t="str">
        <f>IFERROR(__xludf.DUMMYFUNCTION("""COMPUTED_VALUE"""),"NÃO")</f>
        <v>NÃO</v>
      </c>
      <c r="G231" s="5" t="str">
        <f>IFERROR(__xludf.DUMMYFUNCTION("""COMPUTED_VALUE"""),"NÃO")</f>
        <v>NÃO</v>
      </c>
      <c r="H231" s="5" t="str">
        <f>IFERROR(__xludf.DUMMYFUNCTION("""COMPUTED_VALUE"""),"NÃO PAVIMENTADA")</f>
        <v>NÃO PAVIMENTADA</v>
      </c>
      <c r="I231" s="6" t="str">
        <f>IFERROR(__xludf.DUMMYFUNCTION("""COMPUTED_VALUE"""),"-9.555361")</f>
        <v>-9.555361</v>
      </c>
      <c r="J231" s="6" t="str">
        <f>IFERROR(__xludf.DUMMYFUNCTION("""COMPUTED_VALUE"""),"-35.777480")</f>
        <v>-35.777480</v>
      </c>
      <c r="K231" s="5" t="str">
        <f>IFERROR(__xludf.DUMMYFUNCTION("""COMPUTED_VALUE"""),"AV. PRINCIPAL DA UFAL, S/N")</f>
        <v>AV. PRINCIPAL DA UFAL, S/N</v>
      </c>
      <c r="L231" s="5" t="str">
        <f>IFERROR(__xludf.DUMMYFUNCTION("""COMPUTED_VALUE"""),"LOCAL")</f>
        <v>LOCAL</v>
      </c>
      <c r="M231" s="5" t="str">
        <f>IFERROR(__xludf.DUMMYFUNCTION("""COMPUTED_VALUE"""),"CIDADE UNIVERSITÁRIA")</f>
        <v>CIDADE UNIVERSITÁRIA</v>
      </c>
      <c r="N231" s="5" t="str">
        <f>IFERROR(__xludf.DUMMYFUNCTION("""COMPUTED_VALUE"""),"BAIRRO - CENTRO")</f>
        <v>BAIRRO - CENTRO</v>
      </c>
      <c r="O231" s="5" t="str">
        <f>IFERROR(__xludf.DUMMYFUNCTION("""COMPUTED_VALUE"""),"UFAL – EM FRENTE AOS BANCOS")</f>
        <v>UFAL – EM FRENTE AOS BANCOS</v>
      </c>
      <c r="P231" s="5" t="str">
        <f>IFERROR(__xludf.DUMMYFUNCTION("""COMPUTED_VALUE"""),"PRIORIDADE BAIXA")</f>
        <v>PRIORIDADE BAIXA</v>
      </c>
      <c r="Q231" s="5" t="str">
        <f>IFERROR(__xludf.DUMMYFUNCTION("""COMPUTED_VALUE"""),"READEQUAÇÃO DE CALÇADA COM ACESSIBILIDADE.")</f>
        <v>READEQUAÇÃO DE CALÇADA COM ACESSIBILIDADE.</v>
      </c>
      <c r="R231" s="5" t="str">
        <f>IFERROR(__xludf.DUMMYFUNCTION("""COMPUTED_VALUE"""),"SUBSTITUIR ABRIGO")</f>
        <v>SUBSTITUIR ABRIGO</v>
      </c>
      <c r="S231" s="5"/>
      <c r="T231" s="5"/>
      <c r="U231" s="5"/>
      <c r="V231" s="9" t="str">
        <f>IFERROR(__xludf.DUMMYFUNCTION("""COMPUTED_VALUE"""),"https://drive.google.com/uc?id=1SkpFLgRWpaBtVDdQGWCmqzvx-tl2jin4")</f>
        <v>https://drive.google.com/uc?id=1SkpFLgRWpaBtVDdQGWCmqzvx-tl2jin4</v>
      </c>
      <c r="W231" s="5" t="str">
        <f>IFERROR(__xludf.DUMMYFUNCTION("""COMPUTED_VALUE"""),"NÃO")</f>
        <v>NÃO</v>
      </c>
      <c r="X231" s="5" t="str">
        <f>IFERROR(__xludf.DUMMYFUNCTION("""COMPUTED_VALUE"""),"NÃO SE APLICA")</f>
        <v>NÃO SE APLICA</v>
      </c>
    </row>
    <row r="232">
      <c r="A232" s="5">
        <f>IFERROR(__xludf.DUMMYFUNCTION("""COMPUTED_VALUE"""),7.0)</f>
        <v>7</v>
      </c>
      <c r="B232" s="5" t="str">
        <f>IFERROR(__xludf.DUMMYFUNCTION("""COMPUTED_VALUE"""),"CV066")</f>
        <v>CV066</v>
      </c>
      <c r="C232" s="5" t="str">
        <f>IFERROR(__xludf.DUMMYFUNCTION("""COMPUTED_VALUE"""),"ABRIGO CONCRETO")</f>
        <v>ABRIGO CONCRETO</v>
      </c>
      <c r="D232" s="5" t="str">
        <f>IFERROR(__xludf.DUMMYFUNCTION("""COMPUTED_VALUE"""),"SEM PLACA")</f>
        <v>SEM PLACA</v>
      </c>
      <c r="E232" s="5" t="str">
        <f>IFERROR(__xludf.DUMMYFUNCTION("""COMPUTED_VALUE"""),"SEM BAIA")</f>
        <v>SEM BAIA</v>
      </c>
      <c r="F232" s="5" t="str">
        <f>IFERROR(__xludf.DUMMYFUNCTION("""COMPUTED_VALUE"""),"NÃO")</f>
        <v>NÃO</v>
      </c>
      <c r="G232" s="5" t="str">
        <f>IFERROR(__xludf.DUMMYFUNCTION("""COMPUTED_VALUE"""),"NÃO")</f>
        <v>NÃO</v>
      </c>
      <c r="H232" s="5" t="str">
        <f>IFERROR(__xludf.DUMMYFUNCTION("""COMPUTED_VALUE"""),"PAVIMENTADA COM AVARIAS")</f>
        <v>PAVIMENTADA COM AVARIAS</v>
      </c>
      <c r="I232" s="6" t="str">
        <f>IFERROR(__xludf.DUMMYFUNCTION("""COMPUTED_VALUE"""),"-9.555109")</f>
        <v>-9.555109</v>
      </c>
      <c r="J232" s="6" t="str">
        <f>IFERROR(__xludf.DUMMYFUNCTION("""COMPUTED_VALUE""")," -35.776669")</f>
        <v> -35.776669</v>
      </c>
      <c r="K232" s="5" t="str">
        <f>IFERROR(__xludf.DUMMYFUNCTION("""COMPUTED_VALUE"""),"AV. PRINCIPAL DA UFAL, S/N")</f>
        <v>AV. PRINCIPAL DA UFAL, S/N</v>
      </c>
      <c r="L232" s="5" t="str">
        <f>IFERROR(__xludf.DUMMYFUNCTION("""COMPUTED_VALUE"""),"LOCAL")</f>
        <v>LOCAL</v>
      </c>
      <c r="M232" s="5" t="str">
        <f>IFERROR(__xludf.DUMMYFUNCTION("""COMPUTED_VALUE"""),"CIDADE UNIVERSITÁRIA")</f>
        <v>CIDADE UNIVERSITÁRIA</v>
      </c>
      <c r="N232" s="5" t="str">
        <f>IFERROR(__xludf.DUMMYFUNCTION("""COMPUTED_VALUE"""),"BAIRRO - CENTRO")</f>
        <v>BAIRRO - CENTRO</v>
      </c>
      <c r="O232" s="5" t="str">
        <f>IFERROR(__xludf.DUMMYFUNCTION("""COMPUTED_VALUE"""),"EM FRENTE BIBLIOTECA CENTRAL")</f>
        <v>EM FRENTE BIBLIOTECA CENTRAL</v>
      </c>
      <c r="P232" s="5" t="str">
        <f>IFERROR(__xludf.DUMMYFUNCTION("""COMPUTED_VALUE"""),"PRIORIDADE BAIXA")</f>
        <v>PRIORIDADE BAIXA</v>
      </c>
      <c r="Q232" s="5" t="str">
        <f>IFERROR(__xludf.DUMMYFUNCTION("""COMPUTED_VALUE"""),"READEQUAÇÃO DE CALÇADA COM ACESSIBILIDADE.")</f>
        <v>READEQUAÇÃO DE CALÇADA COM ACESSIBILIDADE.</v>
      </c>
      <c r="R232" s="5" t="str">
        <f>IFERROR(__xludf.DUMMYFUNCTION("""COMPUTED_VALUE"""),"SUBSTITUIR ABRIGO")</f>
        <v>SUBSTITUIR ABRIGO</v>
      </c>
      <c r="S232" s="5"/>
      <c r="T232" s="5"/>
      <c r="U232" s="5"/>
      <c r="V232" s="9" t="str">
        <f>IFERROR(__xludf.DUMMYFUNCTION("""COMPUTED_VALUE"""),"https://drive.google.com/uc?id=1we2FwyQr2QzD7t-9cO35BywYu4EGqbt7")</f>
        <v>https://drive.google.com/uc?id=1we2FwyQr2QzD7t-9cO35BywYu4EGqbt7</v>
      </c>
      <c r="W232" s="5" t="str">
        <f>IFERROR(__xludf.DUMMYFUNCTION("""COMPUTED_VALUE"""),"NÃO")</f>
        <v>NÃO</v>
      </c>
      <c r="X232" s="5" t="str">
        <f>IFERROR(__xludf.DUMMYFUNCTION("""COMPUTED_VALUE"""),"NÃO SE APLICA")</f>
        <v>NÃO SE APLICA</v>
      </c>
    </row>
    <row r="233">
      <c r="A233" s="5">
        <f>IFERROR(__xludf.DUMMYFUNCTION("""COMPUTED_VALUE"""),7.0)</f>
        <v>7</v>
      </c>
      <c r="B233" s="5" t="str">
        <f>IFERROR(__xludf.DUMMYFUNCTION("""COMPUTED_VALUE"""),"CV067")</f>
        <v>CV067</v>
      </c>
      <c r="C233" s="5" t="str">
        <f>IFERROR(__xludf.DUMMYFUNCTION("""COMPUTED_VALUE"""),"ABRIGO PERSONALIZADO ")</f>
        <v>ABRIGO PERSONALIZADO </v>
      </c>
      <c r="D233" s="5" t="str">
        <f>IFERROR(__xludf.DUMMYFUNCTION("""COMPUTED_VALUE"""),"SEM PLACA")</f>
        <v>SEM PLACA</v>
      </c>
      <c r="E233" s="5" t="str">
        <f>IFERROR(__xludf.DUMMYFUNCTION("""COMPUTED_VALUE"""),"SEM BAIA")</f>
        <v>SEM BAIA</v>
      </c>
      <c r="F233" s="5" t="str">
        <f>IFERROR(__xludf.DUMMYFUNCTION("""COMPUTED_VALUE"""),"NÃO")</f>
        <v>NÃO</v>
      </c>
      <c r="G233" s="5" t="str">
        <f>IFERROR(__xludf.DUMMYFUNCTION("""COMPUTED_VALUE"""),"NÃO")</f>
        <v>NÃO</v>
      </c>
      <c r="H233" s="5" t="str">
        <f>IFERROR(__xludf.DUMMYFUNCTION("""COMPUTED_VALUE"""),"PAVIMENTADA")</f>
        <v>PAVIMENTADA</v>
      </c>
      <c r="I233" s="6" t="str">
        <f>IFERROR(__xludf.DUMMYFUNCTION("""COMPUTED_VALUE"""),"-9.55446")</f>
        <v>-9.55446</v>
      </c>
      <c r="J233" s="6" t="str">
        <f>IFERROR(__xludf.DUMMYFUNCTION("""COMPUTED_VALUE""")," -35.77580")</f>
        <v> -35.77580</v>
      </c>
      <c r="K233" s="5" t="str">
        <f>IFERROR(__xludf.DUMMYFUNCTION("""COMPUTED_VALUE"""),"AV. PRINCIPAL DA UFAL, S/N")</f>
        <v>AV. PRINCIPAL DA UFAL, S/N</v>
      </c>
      <c r="L233" s="5" t="str">
        <f>IFERROR(__xludf.DUMMYFUNCTION("""COMPUTED_VALUE"""),"LOCAL")</f>
        <v>LOCAL</v>
      </c>
      <c r="M233" s="5" t="str">
        <f>IFERROR(__xludf.DUMMYFUNCTION("""COMPUTED_VALUE"""),"CIDADE UNIVERSITÁRIA")</f>
        <v>CIDADE UNIVERSITÁRIA</v>
      </c>
      <c r="N233" s="5" t="str">
        <f>IFERROR(__xludf.DUMMYFUNCTION("""COMPUTED_VALUE"""),"BAIRRO - CENTRO")</f>
        <v>BAIRRO - CENTRO</v>
      </c>
      <c r="O233" s="5" t="str">
        <f>IFERROR(__xludf.DUMMYFUNCTION("""COMPUTED_VALUE"""),"UFAL – AO LADO DO INSTITUTO DE FÍSICA")</f>
        <v>UFAL – AO LADO DO INSTITUTO DE FÍSICA</v>
      </c>
      <c r="P233" s="5" t="str">
        <f>IFERROR(__xludf.DUMMYFUNCTION("""COMPUTED_VALUE"""),"PRIORIDADE BAIXA")</f>
        <v>PRIORIDADE BAIXA</v>
      </c>
      <c r="Q233" s="5" t="str">
        <f>IFERROR(__xludf.DUMMYFUNCTION("""COMPUTED_VALUE"""),"READEQUAÇÃO DE CALÇADA COM ACESSIBILIDADE, LIMPEZA DE VEGETAÇÃO SELVAGEM CRESCENTE.")</f>
        <v>READEQUAÇÃO DE CALÇADA COM ACESSIBILIDADE, LIMPEZA DE VEGETAÇÃO SELVAGEM CRESCENTE.</v>
      </c>
      <c r="R233" s="5" t="str">
        <f>IFERROR(__xludf.DUMMYFUNCTION("""COMPUTED_VALUE"""),"NENHUMA DAS OPÇÕES")</f>
        <v>NENHUMA DAS OPÇÕES</v>
      </c>
      <c r="S233" s="5"/>
      <c r="T233" s="5"/>
      <c r="U233" s="5"/>
      <c r="V233" s="9" t="str">
        <f>IFERROR(__xludf.DUMMYFUNCTION("""COMPUTED_VALUE"""),"https://drive.google.com/uc?id=1fajdJLCTnRXxRAWp-r0JvHBsjgX26Obm")</f>
        <v>https://drive.google.com/uc?id=1fajdJLCTnRXxRAWp-r0JvHBsjgX26Obm</v>
      </c>
      <c r="W233" s="5" t="str">
        <f>IFERROR(__xludf.DUMMYFUNCTION("""COMPUTED_VALUE"""),"NÃO")</f>
        <v>NÃO</v>
      </c>
      <c r="X233" s="5" t="str">
        <f>IFERROR(__xludf.DUMMYFUNCTION("""COMPUTED_VALUE"""),"NÃO SE APLICA")</f>
        <v>NÃO SE APLICA</v>
      </c>
    </row>
    <row r="234">
      <c r="A234" s="5">
        <f>IFERROR(__xludf.DUMMYFUNCTION("""COMPUTED_VALUE"""),7.0)</f>
        <v>7</v>
      </c>
      <c r="B234" s="5" t="str">
        <f>IFERROR(__xludf.DUMMYFUNCTION("""COMPUTED_VALUE"""),"CV068")</f>
        <v>CV068</v>
      </c>
      <c r="C234" s="5" t="str">
        <f>IFERROR(__xludf.DUMMYFUNCTION("""COMPUTED_VALUE"""),"ABRIGO PERSONALIZADO ")</f>
        <v>ABRIGO PERSONALIZADO </v>
      </c>
      <c r="D234" s="5" t="str">
        <f>IFERROR(__xludf.DUMMYFUNCTION("""COMPUTED_VALUE"""),"SEM PLACA")</f>
        <v>SEM PLACA</v>
      </c>
      <c r="E234" s="5" t="str">
        <f>IFERROR(__xludf.DUMMYFUNCTION("""COMPUTED_VALUE"""),"SEM BAIA")</f>
        <v>SEM BAIA</v>
      </c>
      <c r="F234" s="5" t="str">
        <f>IFERROR(__xludf.DUMMYFUNCTION("""COMPUTED_VALUE"""),"NÃO")</f>
        <v>NÃO</v>
      </c>
      <c r="G234" s="5" t="str">
        <f>IFERROR(__xludf.DUMMYFUNCTION("""COMPUTED_VALUE"""),"NÃO")</f>
        <v>NÃO</v>
      </c>
      <c r="H234" s="5" t="str">
        <f>IFERROR(__xludf.DUMMYFUNCTION("""COMPUTED_VALUE"""),"PAVIMENTADA COM AVARIAS")</f>
        <v>PAVIMENTADA COM AVARIAS</v>
      </c>
      <c r="I234" s="6" t="str">
        <f>IFERROR(__xludf.DUMMYFUNCTION("""COMPUTED_VALUE"""),"-9.554593")</f>
        <v>-9.554593</v>
      </c>
      <c r="J234" s="6" t="str">
        <f>IFERROR(__xludf.DUMMYFUNCTION("""COMPUTED_VALUE"""),"-35.775768")</f>
        <v>-35.775768</v>
      </c>
      <c r="K234" s="5" t="str">
        <f>IFERROR(__xludf.DUMMYFUNCTION("""COMPUTED_VALUE"""),"AV. PRINCIPAL DA UFAL, S/N")</f>
        <v>AV. PRINCIPAL DA UFAL, S/N</v>
      </c>
      <c r="L234" s="5" t="str">
        <f>IFERROR(__xludf.DUMMYFUNCTION("""COMPUTED_VALUE"""),"LOCAL")</f>
        <v>LOCAL</v>
      </c>
      <c r="M234" s="5" t="str">
        <f>IFERROR(__xludf.DUMMYFUNCTION("""COMPUTED_VALUE"""),"CIDADE UNIVERSITÁRIA")</f>
        <v>CIDADE UNIVERSITÁRIA</v>
      </c>
      <c r="N234" s="5" t="str">
        <f>IFERROR(__xludf.DUMMYFUNCTION("""COMPUTED_VALUE"""),"CENTRO - BAIRRO")</f>
        <v>CENTRO - BAIRRO</v>
      </c>
      <c r="O234" s="5" t="str">
        <f>IFERROR(__xludf.DUMMYFUNCTION("""COMPUTED_VALUE"""),"UFAL – AO LADO DO INSTITUTO DE MATEMÁTICA")</f>
        <v>UFAL – AO LADO DO INSTITUTO DE MATEMÁTICA</v>
      </c>
      <c r="P234" s="5" t="str">
        <f>IFERROR(__xludf.DUMMYFUNCTION("""COMPUTED_VALUE"""),"PRIORIDADE BAIXA")</f>
        <v>PRIORIDADE BAIXA</v>
      </c>
      <c r="Q234" s="5" t="str">
        <f>IFERROR(__xludf.DUMMYFUNCTION("""COMPUTED_VALUE"""),"READEQUAÇÃO DE CALÇADA COM ACESSIBILIDADE, LIMPEZA DE VEGETAÇÃO SELVAGEM CRESCENTE.")</f>
        <v>READEQUAÇÃO DE CALÇADA COM ACESSIBILIDADE, LIMPEZA DE VEGETAÇÃO SELVAGEM CRESCENTE.</v>
      </c>
      <c r="R234" s="5" t="str">
        <f>IFERROR(__xludf.DUMMYFUNCTION("""COMPUTED_VALUE"""),"NENHUMA DAS OPÇÕES")</f>
        <v>NENHUMA DAS OPÇÕES</v>
      </c>
      <c r="S234" s="5"/>
      <c r="T234" s="5"/>
      <c r="U234" s="5"/>
      <c r="V234" s="9" t="str">
        <f>IFERROR(__xludf.DUMMYFUNCTION("""COMPUTED_VALUE"""),"https://drive.google.com/uc?id=1gTKJG_28oqptXt-4-iNUJxnbpfoeErfu")</f>
        <v>https://drive.google.com/uc?id=1gTKJG_28oqptXt-4-iNUJxnbpfoeErfu</v>
      </c>
      <c r="W234" s="5" t="str">
        <f>IFERROR(__xludf.DUMMYFUNCTION("""COMPUTED_VALUE"""),"NÃO")</f>
        <v>NÃO</v>
      </c>
      <c r="X234" s="5" t="str">
        <f>IFERROR(__xludf.DUMMYFUNCTION("""COMPUTED_VALUE"""),"NÃO SE APLICA")</f>
        <v>NÃO SE APLICA</v>
      </c>
    </row>
    <row r="235">
      <c r="A235" s="5">
        <f>IFERROR(__xludf.DUMMYFUNCTION("""COMPUTED_VALUE"""),7.0)</f>
        <v>7</v>
      </c>
      <c r="B235" s="5" t="str">
        <f>IFERROR(__xludf.DUMMYFUNCTION("""COMPUTED_VALUE"""),"CV069")</f>
        <v>CV069</v>
      </c>
      <c r="C235" s="5" t="str">
        <f>IFERROR(__xludf.DUMMYFUNCTION("""COMPUTED_VALUE"""),"ABRIGO PERSONALIZADO ")</f>
        <v>ABRIGO PERSONALIZADO </v>
      </c>
      <c r="D235" s="5" t="str">
        <f>IFERROR(__xludf.DUMMYFUNCTION("""COMPUTED_VALUE"""),"SEM PLACA")</f>
        <v>SEM PLACA</v>
      </c>
      <c r="E235" s="5" t="str">
        <f>IFERROR(__xludf.DUMMYFUNCTION("""COMPUTED_VALUE"""),"SEM BAIA")</f>
        <v>SEM BAIA</v>
      </c>
      <c r="F235" s="5" t="str">
        <f>IFERROR(__xludf.DUMMYFUNCTION("""COMPUTED_VALUE"""),"NÃO")</f>
        <v>NÃO</v>
      </c>
      <c r="G235" s="5" t="str">
        <f>IFERROR(__xludf.DUMMYFUNCTION("""COMPUTED_VALUE"""),"NÃO")</f>
        <v>NÃO</v>
      </c>
      <c r="H235" s="5" t="str">
        <f>IFERROR(__xludf.DUMMYFUNCTION("""COMPUTED_VALUE"""),"PAVIMENTADA COM AVARIAS")</f>
        <v>PAVIMENTADA COM AVARIAS</v>
      </c>
      <c r="I235" s="6" t="str">
        <f>IFERROR(__xludf.DUMMYFUNCTION("""COMPUTED_VALUE"""),"-9.553439")</f>
        <v>-9.553439</v>
      </c>
      <c r="J235" s="6" t="str">
        <f>IFERROR(__xludf.DUMMYFUNCTION("""COMPUTED_VALUE"""),"-35.773802")</f>
        <v>-35.773802</v>
      </c>
      <c r="K235" s="5" t="str">
        <f>IFERROR(__xludf.DUMMYFUNCTION("""COMPUTED_VALUE"""),"AV. PRINCIPAL DA UFAL, S/N")</f>
        <v>AV. PRINCIPAL DA UFAL, S/N</v>
      </c>
      <c r="L235" s="5" t="str">
        <f>IFERROR(__xludf.DUMMYFUNCTION("""COMPUTED_VALUE"""),"LOCAL")</f>
        <v>LOCAL</v>
      </c>
      <c r="M235" s="5" t="str">
        <f>IFERROR(__xludf.DUMMYFUNCTION("""COMPUTED_VALUE"""),"CIDADE UNIVERSITÁRIA")</f>
        <v>CIDADE UNIVERSITÁRIA</v>
      </c>
      <c r="N235" s="5" t="str">
        <f>IFERROR(__xludf.DUMMYFUNCTION("""COMPUTED_VALUE"""),"BAIRRO - CENTRO")</f>
        <v>BAIRRO - CENTRO</v>
      </c>
      <c r="O235" s="5" t="str">
        <f>IFERROR(__xludf.DUMMYFUNCTION("""COMPUTED_VALUE"""),"UFAL – EM FRENTE A CRECHE")</f>
        <v>UFAL – EM FRENTE A CRECHE</v>
      </c>
      <c r="P235" s="5" t="str">
        <f>IFERROR(__xludf.DUMMYFUNCTION("""COMPUTED_VALUE"""),"PRIORIDADE BAIXA")</f>
        <v>PRIORIDADE BAIXA</v>
      </c>
      <c r="Q235" s="5" t="str">
        <f>IFERROR(__xludf.DUMMYFUNCTION("""COMPUTED_VALUE"""),"READEQUAÇÃO DE CALÇADA COM ACESSIBILIDADE, LIMPEZA DE VEGETAÇÃO SELVAGEM CRESCENTE.")</f>
        <v>READEQUAÇÃO DE CALÇADA COM ACESSIBILIDADE, LIMPEZA DE VEGETAÇÃO SELVAGEM CRESCENTE.</v>
      </c>
      <c r="R235" s="5" t="str">
        <f>IFERROR(__xludf.DUMMYFUNCTION("""COMPUTED_VALUE"""),"NENHUMA DAS OPÇÕES")</f>
        <v>NENHUMA DAS OPÇÕES</v>
      </c>
      <c r="S235" s="5"/>
      <c r="T235" s="5"/>
      <c r="U235" s="5"/>
      <c r="V235" s="9" t="str">
        <f>IFERROR(__xludf.DUMMYFUNCTION("""COMPUTED_VALUE"""),"https://drive.google.com/uc?id=11OYI4MH5SXkaHVVoGalXZEyfwqFEMtzl")</f>
        <v>https://drive.google.com/uc?id=11OYI4MH5SXkaHVVoGalXZEyfwqFEMtzl</v>
      </c>
      <c r="W235" s="5" t="str">
        <f>IFERROR(__xludf.DUMMYFUNCTION("""COMPUTED_VALUE"""),"NÃO")</f>
        <v>NÃO</v>
      </c>
      <c r="X235" s="5" t="str">
        <f>IFERROR(__xludf.DUMMYFUNCTION("""COMPUTED_VALUE"""),"NÃO SE APLICA")</f>
        <v>NÃO SE APLICA</v>
      </c>
    </row>
    <row r="236">
      <c r="A236" s="5">
        <f>IFERROR(__xludf.DUMMYFUNCTION("""COMPUTED_VALUE"""),7.0)</f>
        <v>7</v>
      </c>
      <c r="B236" s="5" t="str">
        <f>IFERROR(__xludf.DUMMYFUNCTION("""COMPUTED_VALUE"""),"CV070")</f>
        <v>CV070</v>
      </c>
      <c r="C236" s="5" t="str">
        <f>IFERROR(__xludf.DUMMYFUNCTION("""COMPUTED_VALUE"""),"ABRIGO PERSONALIZADO ")</f>
        <v>ABRIGO PERSONALIZADO </v>
      </c>
      <c r="D236" s="5" t="str">
        <f>IFERROR(__xludf.DUMMYFUNCTION("""COMPUTED_VALUE"""),"SEM PLACA")</f>
        <v>SEM PLACA</v>
      </c>
      <c r="E236" s="5" t="str">
        <f>IFERROR(__xludf.DUMMYFUNCTION("""COMPUTED_VALUE"""),"SEM BAIA")</f>
        <v>SEM BAIA</v>
      </c>
      <c r="F236" s="5" t="str">
        <f>IFERROR(__xludf.DUMMYFUNCTION("""COMPUTED_VALUE"""),"NÃO")</f>
        <v>NÃO</v>
      </c>
      <c r="G236" s="5" t="str">
        <f>IFERROR(__xludf.DUMMYFUNCTION("""COMPUTED_VALUE"""),"NÃO")</f>
        <v>NÃO</v>
      </c>
      <c r="H236" s="5" t="str">
        <f>IFERROR(__xludf.DUMMYFUNCTION("""COMPUTED_VALUE"""),"PAVIMENTADA COM AVARIAS")</f>
        <v>PAVIMENTADA COM AVARIAS</v>
      </c>
      <c r="I236" s="6" t="str">
        <f>IFERROR(__xludf.DUMMYFUNCTION("""COMPUTED_VALUE"""),"-9.553172")</f>
        <v>-9.553172</v>
      </c>
      <c r="J236" s="6" t="str">
        <f>IFERROR(__xludf.DUMMYFUNCTION("""COMPUTED_VALUE"""),"-35.772894")</f>
        <v>-35.772894</v>
      </c>
      <c r="K236" s="5" t="str">
        <f>IFERROR(__xludf.DUMMYFUNCTION("""COMPUTED_VALUE"""),"AV. PRINCIPAL DA UFAL, S/N")</f>
        <v>AV. PRINCIPAL DA UFAL, S/N</v>
      </c>
      <c r="L236" s="5" t="str">
        <f>IFERROR(__xludf.DUMMYFUNCTION("""COMPUTED_VALUE"""),"LOCAL")</f>
        <v>LOCAL</v>
      </c>
      <c r="M236" s="5" t="str">
        <f>IFERROR(__xludf.DUMMYFUNCTION("""COMPUTED_VALUE"""),"CIDADE UNIVERSITÁRIA")</f>
        <v>CIDADE UNIVERSITÁRIA</v>
      </c>
      <c r="N236" s="5" t="str">
        <f>IFERROR(__xludf.DUMMYFUNCTION("""COMPUTED_VALUE"""),"CENTRO - BAIRRO")</f>
        <v>CENTRO - BAIRRO</v>
      </c>
      <c r="O236" s="5" t="str">
        <f>IFERROR(__xludf.DUMMYFUNCTION("""COMPUTED_VALUE"""),"UFAL – EM FRENTE AO INSTITUTO DE CIÊNCIAS HUMANAS COMUNICAÇÃO E ARTE (ICHICA)")</f>
        <v>UFAL – EM FRENTE AO INSTITUTO DE CIÊNCIAS HUMANAS COMUNICAÇÃO E ARTE (ICHICA)</v>
      </c>
      <c r="P236" s="5" t="str">
        <f>IFERROR(__xludf.DUMMYFUNCTION("""COMPUTED_VALUE"""),"PRIORIDADE BAIXA")</f>
        <v>PRIORIDADE BAIXA</v>
      </c>
      <c r="Q236" s="5" t="str">
        <f>IFERROR(__xludf.DUMMYFUNCTION("""COMPUTED_VALUE"""),"READEQUAÇÃO DE CALÇADA COM ACESSIBILIDADE, LIMPEZA DE VEGETAÇÃO SELVAGEM CRESCENTE.")</f>
        <v>READEQUAÇÃO DE CALÇADA COM ACESSIBILIDADE, LIMPEZA DE VEGETAÇÃO SELVAGEM CRESCENTE.</v>
      </c>
      <c r="R236" s="5" t="str">
        <f>IFERROR(__xludf.DUMMYFUNCTION("""COMPUTED_VALUE"""),"NENHUMA DAS OPÇÕES")</f>
        <v>NENHUMA DAS OPÇÕES</v>
      </c>
      <c r="S236" s="5"/>
      <c r="T236" s="5"/>
      <c r="U236" s="5"/>
      <c r="V236" s="9" t="str">
        <f>IFERROR(__xludf.DUMMYFUNCTION("""COMPUTED_VALUE"""),"https://drive.google.com/uc?id=1Ko9NNI0jhE063cUYtrvFw2I_qky8oFvp")</f>
        <v>https://drive.google.com/uc?id=1Ko9NNI0jhE063cUYtrvFw2I_qky8oFvp</v>
      </c>
      <c r="W236" s="5" t="str">
        <f>IFERROR(__xludf.DUMMYFUNCTION("""COMPUTED_VALUE"""),"NÃO")</f>
        <v>NÃO</v>
      </c>
      <c r="X236" s="5" t="str">
        <f>IFERROR(__xludf.DUMMYFUNCTION("""COMPUTED_VALUE"""),"NÃO SE APLICA")</f>
        <v>NÃO SE APLICA</v>
      </c>
    </row>
    <row r="237" hidden="1">
      <c r="A237" s="5">
        <f>IFERROR(__xludf.DUMMYFUNCTION("""COMPUTED_VALUE"""),7.0)</f>
        <v>7</v>
      </c>
      <c r="B237" s="5" t="str">
        <f>IFERROR(__xludf.DUMMYFUNCTION("""COMPUTED_VALUE"""),"CV071")</f>
        <v>CV071</v>
      </c>
      <c r="C237" s="5" t="str">
        <f>IFERROR(__xludf.DUMMYFUNCTION("""COMPUTED_VALUE"""),"NÃO POSSUI")</f>
        <v>NÃO POSSUI</v>
      </c>
      <c r="D237" s="5" t="str">
        <f>IFERROR(__xludf.DUMMYFUNCTION("""COMPUTED_VALUE"""),"COM SUPORTE")</f>
        <v>COM SUPORTE</v>
      </c>
      <c r="E237" s="5" t="str">
        <f>IFERROR(__xludf.DUMMYFUNCTION("""COMPUTED_VALUE"""),"SEM BAIA")</f>
        <v>SEM BAIA</v>
      </c>
      <c r="F237" s="5" t="str">
        <f>IFERROR(__xludf.DUMMYFUNCTION("""COMPUTED_VALUE"""),"NÃO")</f>
        <v>NÃO</v>
      </c>
      <c r="G237" s="5" t="str">
        <f>IFERROR(__xludf.DUMMYFUNCTION("""COMPUTED_VALUE"""),"NÃO")</f>
        <v>NÃO</v>
      </c>
      <c r="H237" s="5" t="str">
        <f>IFERROR(__xludf.DUMMYFUNCTION("""COMPUTED_VALUE"""),"NÃO PAVIMENTADA")</f>
        <v>NÃO PAVIMENTADA</v>
      </c>
      <c r="I237" s="6" t="str">
        <f>IFERROR(__xludf.DUMMYFUNCTION("""COMPUTED_VALUE"""),"-9.552114")</f>
        <v>-9.552114</v>
      </c>
      <c r="J237" s="6" t="str">
        <f>IFERROR(__xludf.DUMMYFUNCTION("""COMPUTED_VALUE"""),"-35.771242")</f>
        <v>-35.771242</v>
      </c>
      <c r="K237" s="5" t="str">
        <f>IFERROR(__xludf.DUMMYFUNCTION("""COMPUTED_VALUE"""),"AV. PRINCIPAL DA UFAL, S/N")</f>
        <v>AV. PRINCIPAL DA UFAL, S/N</v>
      </c>
      <c r="L237" s="5" t="str">
        <f>IFERROR(__xludf.DUMMYFUNCTION("""COMPUTED_VALUE"""),"LOCAL")</f>
        <v>LOCAL</v>
      </c>
      <c r="M237" s="5" t="str">
        <f>IFERROR(__xludf.DUMMYFUNCTION("""COMPUTED_VALUE"""),"CIDADE UNIVERSITÁRIA")</f>
        <v>CIDADE UNIVERSITÁRIA</v>
      </c>
      <c r="N237" s="5" t="str">
        <f>IFERROR(__xludf.DUMMYFUNCTION("""COMPUTED_VALUE"""),"BAIRRO - CENTRO")</f>
        <v>BAIRRO - CENTRO</v>
      </c>
      <c r="O237" s="5" t="str">
        <f>IFERROR(__xludf.DUMMYFUNCTION("""COMPUTED_VALUE"""),"UFAL – AO LADO DO NOVO RESTAURANTE UNIVERSITÁRIO")</f>
        <v>UFAL – AO LADO DO NOVO RESTAURANTE UNIVERSITÁRIO</v>
      </c>
      <c r="P237" s="5" t="str">
        <f>IFERROR(__xludf.DUMMYFUNCTION("""COMPUTED_VALUE"""),"PRIORIDADE BAIXA")</f>
        <v>PRIORIDADE BAIXA</v>
      </c>
      <c r="Q237" s="5" t="str">
        <f>IFERROR(__xludf.DUMMYFUNCTION("""COMPUTED_VALUE"""),"READEQUAÇÃO DE CALÇADA COM ACESSIBILIDADE, LIMPEZA DE VEGETAÇÃO SELVAGEM CRESCENTE.")</f>
        <v>READEQUAÇÃO DE CALÇADA COM ACESSIBILIDADE, LIMPEZA DE VEGETAÇÃO SELVAGEM CRESCENTE.</v>
      </c>
      <c r="R237" s="5" t="str">
        <f>IFERROR(__xludf.DUMMYFUNCTION("""COMPUTED_VALUE"""),"NENHUMA DAS OPÇÕES")</f>
        <v>NENHUMA DAS OPÇÕES</v>
      </c>
      <c r="S237" s="5"/>
      <c r="T237" s="5"/>
      <c r="U237" s="5"/>
      <c r="V237" s="9" t="str">
        <f>IFERROR(__xludf.DUMMYFUNCTION("""COMPUTED_VALUE"""),"https://drive.google.com/uc?id=1N3QjaT9xvIR1aP-2w7Wa7r1ldEESAaWS")</f>
        <v>https://drive.google.com/uc?id=1N3QjaT9xvIR1aP-2w7Wa7r1ldEESAaWS</v>
      </c>
      <c r="W237" s="5" t="str">
        <f>IFERROR(__xludf.DUMMYFUNCTION("""COMPUTED_VALUE"""),"NÃO")</f>
        <v>NÃO</v>
      </c>
      <c r="X237" s="5" t="str">
        <f>IFERROR(__xludf.DUMMYFUNCTION("""COMPUTED_VALUE"""),"NÃO SE APLICA")</f>
        <v>NÃO SE APLICA</v>
      </c>
    </row>
    <row r="238" hidden="1">
      <c r="A238" s="5">
        <f>IFERROR(__xludf.DUMMYFUNCTION("""COMPUTED_VALUE"""),7.0)</f>
        <v>7</v>
      </c>
      <c r="B238" s="5" t="str">
        <f>IFERROR(__xludf.DUMMYFUNCTION("""COMPUTED_VALUE"""),"CV072")</f>
        <v>CV072</v>
      </c>
      <c r="C238" s="5" t="str">
        <f>IFERROR(__xludf.DUMMYFUNCTION("""COMPUTED_VALUE"""),"NÃO POSSUI")</f>
        <v>NÃO POSSUI</v>
      </c>
      <c r="D238" s="5" t="str">
        <f>IFERROR(__xludf.DUMMYFUNCTION("""COMPUTED_VALUE"""),"SEM PLACA")</f>
        <v>SEM PLACA</v>
      </c>
      <c r="E238" s="5" t="str">
        <f>IFERROR(__xludf.DUMMYFUNCTION("""COMPUTED_VALUE"""),"SEM BAIA")</f>
        <v>SEM BAIA</v>
      </c>
      <c r="F238" s="5" t="str">
        <f>IFERROR(__xludf.DUMMYFUNCTION("""COMPUTED_VALUE"""),"NÃO")</f>
        <v>NÃO</v>
      </c>
      <c r="G238" s="5" t="str">
        <f>IFERROR(__xludf.DUMMYFUNCTION("""COMPUTED_VALUE"""),"NÃO")</f>
        <v>NÃO</v>
      </c>
      <c r="H238" s="5" t="str">
        <f>IFERROR(__xludf.DUMMYFUNCTION("""COMPUTED_VALUE"""),"PAVIMENTADA COM AVARIAS")</f>
        <v>PAVIMENTADA COM AVARIAS</v>
      </c>
      <c r="I238" s="6" t="str">
        <f>IFERROR(__xludf.DUMMYFUNCTION("""COMPUTED_VALUE"""),"-9.552267")</f>
        <v>-9.552267</v>
      </c>
      <c r="J238" s="6" t="str">
        <f>IFERROR(__xludf.DUMMYFUNCTION("""COMPUTED_VALUE"""),"-35.771198")</f>
        <v>-35.771198</v>
      </c>
      <c r="K238" s="5" t="str">
        <f>IFERROR(__xludf.DUMMYFUNCTION("""COMPUTED_VALUE"""),"AV. PRINCIPAL DA UFAL, S/N")</f>
        <v>AV. PRINCIPAL DA UFAL, S/N</v>
      </c>
      <c r="L238" s="5" t="str">
        <f>IFERROR(__xludf.DUMMYFUNCTION("""COMPUTED_VALUE"""),"LOCAL")</f>
        <v>LOCAL</v>
      </c>
      <c r="M238" s="5" t="str">
        <f>IFERROR(__xludf.DUMMYFUNCTION("""COMPUTED_VALUE"""),"CIDADE UNIVERSITÁRIA")</f>
        <v>CIDADE UNIVERSITÁRIA</v>
      </c>
      <c r="N238" s="5" t="str">
        <f>IFERROR(__xludf.DUMMYFUNCTION("""COMPUTED_VALUE"""),"CENTRO - BAIRRO")</f>
        <v>CENTRO - BAIRRO</v>
      </c>
      <c r="O238" s="5" t="str">
        <f>IFERROR(__xludf.DUMMYFUNCTION("""COMPUTED_VALUE"""),"UFAL – AO LADO DA RESIDÊNCIA UNIVERSITÁRIA")</f>
        <v>UFAL – AO LADO DA RESIDÊNCIA UNIVERSITÁRIA</v>
      </c>
      <c r="P238" s="5" t="str">
        <f>IFERROR(__xludf.DUMMYFUNCTION("""COMPUTED_VALUE"""),"PRIORIDADE BAIXA")</f>
        <v>PRIORIDADE BAIXA</v>
      </c>
      <c r="Q238" s="5" t="str">
        <f>IFERROR(__xludf.DUMMYFUNCTION("""COMPUTED_VALUE"""),"READEQUAÇÃO DE CALÇADA COM ACESSIBILIDADE, LIMPEZA DE VEGETAÇÃO SELVAGEM CRESCENTE.")</f>
        <v>READEQUAÇÃO DE CALÇADA COM ACESSIBILIDADE, LIMPEZA DE VEGETAÇÃO SELVAGEM CRESCENTE.</v>
      </c>
      <c r="R238" s="5" t="str">
        <f>IFERROR(__xludf.DUMMYFUNCTION("""COMPUTED_VALUE"""),"IMPLANTAR ABRIGO")</f>
        <v>IMPLANTAR ABRIGO</v>
      </c>
      <c r="S238" s="5"/>
      <c r="T238" s="5"/>
      <c r="U238" s="5"/>
      <c r="V238" s="9" t="str">
        <f>IFERROR(__xludf.DUMMYFUNCTION("""COMPUTED_VALUE"""),"https://drive.google.com/uc?id=18PKqh6Jb44oXzGqh7adO0IqlD9fPQ16i")</f>
        <v>https://drive.google.com/uc?id=18PKqh6Jb44oXzGqh7adO0IqlD9fPQ16i</v>
      </c>
      <c r="W238" s="5" t="str">
        <f>IFERROR(__xludf.DUMMYFUNCTION("""COMPUTED_VALUE"""),"NÃO")</f>
        <v>NÃO</v>
      </c>
      <c r="X238" s="5" t="str">
        <f>IFERROR(__xludf.DUMMYFUNCTION("""COMPUTED_VALUE"""),"NÃO SE APLICA")</f>
        <v>NÃO SE APLICA</v>
      </c>
    </row>
    <row r="239" hidden="1">
      <c r="A239" s="5">
        <f>IFERROR(__xludf.DUMMYFUNCTION("""COMPUTED_VALUE"""),7.0)</f>
        <v>7</v>
      </c>
      <c r="B239" s="5" t="str">
        <f>IFERROR(__xludf.DUMMYFUNCTION("""COMPUTED_VALUE"""),"CV073")</f>
        <v>CV073</v>
      </c>
      <c r="C239" s="5" t="str">
        <f>IFERROR(__xludf.DUMMYFUNCTION("""COMPUTED_VALUE"""),"NÃO POSSUI")</f>
        <v>NÃO POSSUI</v>
      </c>
      <c r="D239" s="5" t="str">
        <f>IFERROR(__xludf.DUMMYFUNCTION("""COMPUTED_VALUE"""),"COM SUPORTE")</f>
        <v>COM SUPORTE</v>
      </c>
      <c r="E239" s="5" t="str">
        <f>IFERROR(__xludf.DUMMYFUNCTION("""COMPUTED_VALUE"""),"SEM BAIA")</f>
        <v>SEM BAIA</v>
      </c>
      <c r="F239" s="5" t="str">
        <f>IFERROR(__xludf.DUMMYFUNCTION("""COMPUTED_VALUE"""),"NÃO")</f>
        <v>NÃO</v>
      </c>
      <c r="G239" s="5" t="str">
        <f>IFERROR(__xludf.DUMMYFUNCTION("""COMPUTED_VALUE"""),"NÃO")</f>
        <v>NÃO</v>
      </c>
      <c r="H239" s="5" t="str">
        <f>IFERROR(__xludf.DUMMYFUNCTION("""COMPUTED_VALUE"""),"PAVIMENTADA")</f>
        <v>PAVIMENTADA</v>
      </c>
      <c r="I239" s="6" t="str">
        <f>IFERROR(__xludf.DUMMYFUNCTION("""COMPUTED_VALUE"""),"-9.55480")</f>
        <v>-9.55480</v>
      </c>
      <c r="J239" s="6" t="str">
        <f>IFERROR(__xludf.DUMMYFUNCTION("""COMPUTED_VALUE"""),"-35.76814")</f>
        <v>-35.76814</v>
      </c>
      <c r="K239" s="5" t="str">
        <f>IFERROR(__xludf.DUMMYFUNCTION("""COMPUTED_VALUE"""),"AV. PAULO HOLANDA, 8")</f>
        <v>AV. PAULO HOLANDA, 8</v>
      </c>
      <c r="L239" s="5" t="str">
        <f>IFERROR(__xludf.DUMMYFUNCTION("""COMPUTED_VALUE"""),"COLETORA")</f>
        <v>COLETORA</v>
      </c>
      <c r="M239" s="5" t="str">
        <f>IFERROR(__xludf.DUMMYFUNCTION("""COMPUTED_VALUE"""),"CIDADE UNIVERSITÁRIA")</f>
        <v>CIDADE UNIVERSITÁRIA</v>
      </c>
      <c r="N239" s="5" t="str">
        <f>IFERROR(__xludf.DUMMYFUNCTION("""COMPUTED_VALUE"""),"CENTRO - BAIRRO")</f>
        <v>CENTRO - BAIRRO</v>
      </c>
      <c r="O239" s="5" t="str">
        <f>IFERROR(__xludf.DUMMYFUNCTION("""COMPUTED_VALUE"""),"EM FRENTE AO LUCAS AUTOPEÇAS")</f>
        <v>EM FRENTE AO LUCAS AUTOPEÇAS</v>
      </c>
      <c r="P239" s="5" t="str">
        <f>IFERROR(__xludf.DUMMYFUNCTION("""COMPUTED_VALUE"""),"PRIORIDADE BAIXA")</f>
        <v>PRIORIDADE BAIXA</v>
      </c>
      <c r="Q239" s="5" t="str">
        <f>IFERROR(__xludf.DUMMYFUNCTION("""COMPUTED_VALUE"""),"READEQUAÇÃO DE CALÇADA COM ACESSIBILIDADE, PINTURA DE BAÍA NO ASFALTO.")</f>
        <v>READEQUAÇÃO DE CALÇADA COM ACESSIBILIDADE, PINTURA DE BAÍA NO ASFALTO.</v>
      </c>
      <c r="R239" s="5" t="str">
        <f>IFERROR(__xludf.DUMMYFUNCTION("""COMPUTED_VALUE"""),"NENHUMA DAS OPÇÕES")</f>
        <v>NENHUMA DAS OPÇÕES</v>
      </c>
      <c r="S239" s="5"/>
      <c r="T239" s="5"/>
      <c r="U239" s="5"/>
      <c r="V239" s="9" t="str">
        <f>IFERROR(__xludf.DUMMYFUNCTION("""COMPUTED_VALUE"""),"https://drive.google.com/uc?id=1ERAyRYOddmW26X_263lLgGqsRiPZD_Ls")</f>
        <v>https://drive.google.com/uc?id=1ERAyRYOddmW26X_263lLgGqsRiPZD_Ls</v>
      </c>
      <c r="W239" s="5" t="str">
        <f>IFERROR(__xludf.DUMMYFUNCTION("""COMPUTED_VALUE"""),"NÃO")</f>
        <v>NÃO</v>
      </c>
      <c r="X239" s="5" t="str">
        <f>IFERROR(__xludf.DUMMYFUNCTION("""COMPUTED_VALUE"""),"NÃO SE APLICA")</f>
        <v>NÃO SE APLICA</v>
      </c>
    </row>
    <row r="240" hidden="1">
      <c r="A240" s="5">
        <f>IFERROR(__xludf.DUMMYFUNCTION("""COMPUTED_VALUE"""),7.0)</f>
        <v>7</v>
      </c>
      <c r="B240" s="5" t="str">
        <f>IFERROR(__xludf.DUMMYFUNCTION("""COMPUTED_VALUE"""),"CV074")</f>
        <v>CV074</v>
      </c>
      <c r="C240" s="5" t="str">
        <f>IFERROR(__xludf.DUMMYFUNCTION("""COMPUTED_VALUE"""),"NÃO POSSUI")</f>
        <v>NÃO POSSUI</v>
      </c>
      <c r="D240" s="5" t="str">
        <f>IFERROR(__xludf.DUMMYFUNCTION("""COMPUTED_VALUE"""),"COM SUPORTE")</f>
        <v>COM SUPORTE</v>
      </c>
      <c r="E240" s="5" t="str">
        <f>IFERROR(__xludf.DUMMYFUNCTION("""COMPUTED_VALUE"""),"SEM BAIA")</f>
        <v>SEM BAIA</v>
      </c>
      <c r="F240" s="5" t="str">
        <f>IFERROR(__xludf.DUMMYFUNCTION("""COMPUTED_VALUE"""),"NÃO")</f>
        <v>NÃO</v>
      </c>
      <c r="G240" s="5" t="str">
        <f>IFERROR(__xludf.DUMMYFUNCTION("""COMPUTED_VALUE"""),"NÃO")</f>
        <v>NÃO</v>
      </c>
      <c r="H240" s="5" t="str">
        <f>IFERROR(__xludf.DUMMYFUNCTION("""COMPUTED_VALUE"""),"PAVIMENTADA")</f>
        <v>PAVIMENTADA</v>
      </c>
      <c r="I240" s="6" t="str">
        <f>IFERROR(__xludf.DUMMYFUNCTION("""COMPUTED_VALUE"""),"-9.55571")</f>
        <v>-9.55571</v>
      </c>
      <c r="J240" s="6" t="str">
        <f>IFERROR(__xludf.DUMMYFUNCTION("""COMPUTED_VALUE"""),"-35.77006")</f>
        <v>-35.77006</v>
      </c>
      <c r="K240" s="5" t="str">
        <f>IFERROR(__xludf.DUMMYFUNCTION("""COMPUTED_VALUE"""),"AV. PAULO HOLANDA, 37")</f>
        <v>AV. PAULO HOLANDA, 37</v>
      </c>
      <c r="L240" s="5" t="str">
        <f>IFERROR(__xludf.DUMMYFUNCTION("""COMPUTED_VALUE"""),"COLETORA")</f>
        <v>COLETORA</v>
      </c>
      <c r="M240" s="5" t="str">
        <f>IFERROR(__xludf.DUMMYFUNCTION("""COMPUTED_VALUE"""),"CIDADE UNIVERSITÁRIA")</f>
        <v>CIDADE UNIVERSITÁRIA</v>
      </c>
      <c r="N240" s="5" t="str">
        <f>IFERROR(__xludf.DUMMYFUNCTION("""COMPUTED_VALUE"""),"BAIRRO - CENTRO")</f>
        <v>BAIRRO - CENTRO</v>
      </c>
      <c r="O240" s="5" t="str">
        <f>IFERROR(__xludf.DUMMYFUNCTION("""COMPUTED_VALUE"""),"EM FRENTE A CASA 37")</f>
        <v>EM FRENTE A CASA 37</v>
      </c>
      <c r="P240" s="5" t="str">
        <f>IFERROR(__xludf.DUMMYFUNCTION("""COMPUTED_VALUE"""),"PRIORIDADE BAIXA")</f>
        <v>PRIORIDADE BAIXA</v>
      </c>
      <c r="Q240" s="5" t="str">
        <f>IFERROR(__xludf.DUMMYFUNCTION("""COMPUTED_VALUE"""),"READEQUAÇÃO DE CALÇADA COM ACESSIBILIDADE, PINTURA DE BAÍA NO ASFALTO.")</f>
        <v>READEQUAÇÃO DE CALÇADA COM ACESSIBILIDADE, PINTURA DE BAÍA NO ASFALTO.</v>
      </c>
      <c r="R240" s="5" t="str">
        <f>IFERROR(__xludf.DUMMYFUNCTION("""COMPUTED_VALUE"""),"NENHUMA DAS OPÇÕES")</f>
        <v>NENHUMA DAS OPÇÕES</v>
      </c>
      <c r="S240" s="5"/>
      <c r="T240" s="5"/>
      <c r="U240" s="5"/>
      <c r="V240" s="9" t="str">
        <f>IFERROR(__xludf.DUMMYFUNCTION("""COMPUTED_VALUE"""),"https://drive.google.com/uc?id=12RgvuwI3UgUGED__EB_bhFNFko_C4NHU")</f>
        <v>https://drive.google.com/uc?id=12RgvuwI3UgUGED__EB_bhFNFko_C4NHU</v>
      </c>
      <c r="W240" s="5" t="str">
        <f>IFERROR(__xludf.DUMMYFUNCTION("""COMPUTED_VALUE"""),"NÃO")</f>
        <v>NÃO</v>
      </c>
      <c r="X240" s="5" t="str">
        <f>IFERROR(__xludf.DUMMYFUNCTION("""COMPUTED_VALUE"""),"NÃO SE APLICA")</f>
        <v>NÃO SE APLICA</v>
      </c>
    </row>
    <row r="241" hidden="1">
      <c r="A241" s="5">
        <f>IFERROR(__xludf.DUMMYFUNCTION("""COMPUTED_VALUE"""),7.0)</f>
        <v>7</v>
      </c>
      <c r="B241" s="5" t="str">
        <f>IFERROR(__xludf.DUMMYFUNCTION("""COMPUTED_VALUE"""),"CV075")</f>
        <v>CV075</v>
      </c>
      <c r="C241" s="5" t="str">
        <f>IFERROR(__xludf.DUMMYFUNCTION("""COMPUTED_VALUE"""),"NÃO POSSUI")</f>
        <v>NÃO POSSUI</v>
      </c>
      <c r="D241" s="5" t="str">
        <f>IFERROR(__xludf.DUMMYFUNCTION("""COMPUTED_VALUE"""),"COM SUPORTE")</f>
        <v>COM SUPORTE</v>
      </c>
      <c r="E241" s="5" t="str">
        <f>IFERROR(__xludf.DUMMYFUNCTION("""COMPUTED_VALUE"""),"SEM BAIA")</f>
        <v>SEM BAIA</v>
      </c>
      <c r="F241" s="5" t="str">
        <f>IFERROR(__xludf.DUMMYFUNCTION("""COMPUTED_VALUE"""),"NÃO")</f>
        <v>NÃO</v>
      </c>
      <c r="G241" s="5" t="str">
        <f>IFERROR(__xludf.DUMMYFUNCTION("""COMPUTED_VALUE"""),"NÃO")</f>
        <v>NÃO</v>
      </c>
      <c r="H241" s="5" t="str">
        <f>IFERROR(__xludf.DUMMYFUNCTION("""COMPUTED_VALUE"""),"PAVIMENTADA")</f>
        <v>PAVIMENTADA</v>
      </c>
      <c r="I241" s="6" t="str">
        <f>IFERROR(__xludf.DUMMYFUNCTION("""COMPUTED_VALUE"""),"-9.55598")</f>
        <v>-9.55598</v>
      </c>
      <c r="J241" s="6" t="str">
        <f>IFERROR(__xludf.DUMMYFUNCTION("""COMPUTED_VALUE"""),"-35.77049")</f>
        <v>-35.77049</v>
      </c>
      <c r="K241" s="5" t="str">
        <f>IFERROR(__xludf.DUMMYFUNCTION("""COMPUTED_VALUE"""),"AV. PAULO HOLANDA, 42")</f>
        <v>AV. PAULO HOLANDA, 42</v>
      </c>
      <c r="L241" s="5" t="str">
        <f>IFERROR(__xludf.DUMMYFUNCTION("""COMPUTED_VALUE"""),"COLETORA")</f>
        <v>COLETORA</v>
      </c>
      <c r="M241" s="5" t="str">
        <f>IFERROR(__xludf.DUMMYFUNCTION("""COMPUTED_VALUE"""),"CIDADE UNIVERSITÁRIA")</f>
        <v>CIDADE UNIVERSITÁRIA</v>
      </c>
      <c r="N241" s="5" t="str">
        <f>IFERROR(__xludf.DUMMYFUNCTION("""COMPUTED_VALUE"""),"CENTRO - BAIRRO")</f>
        <v>CENTRO - BAIRRO</v>
      </c>
      <c r="O241" s="5" t="str">
        <f>IFERROR(__xludf.DUMMYFUNCTION("""COMPUTED_VALUE"""),"EM FRENTE A CASA 42")</f>
        <v>EM FRENTE A CASA 42</v>
      </c>
      <c r="P241" s="5" t="str">
        <f>IFERROR(__xludf.DUMMYFUNCTION("""COMPUTED_VALUE"""),"PRIORIDADE BAIXA")</f>
        <v>PRIORIDADE BAIXA</v>
      </c>
      <c r="Q241" s="5" t="str">
        <f>IFERROR(__xludf.DUMMYFUNCTION("""COMPUTED_VALUE"""),"READEQUAÇÃO DE CALÇADA COM ACESSIBILIDADE, PINTURA DE BAÍA NO ASFALTO, LIMPEZA DE VEGETAÇÃO SELVAGEM CRESCENTE.")</f>
        <v>READEQUAÇÃO DE CALÇADA COM ACESSIBILIDADE, PINTURA DE BAÍA NO ASFALTO, LIMPEZA DE VEGETAÇÃO SELVAGEM CRESCENTE.</v>
      </c>
      <c r="R241" s="5" t="str">
        <f>IFERROR(__xludf.DUMMYFUNCTION("""COMPUTED_VALUE"""),"NENHUMA DAS OPÇÕES")</f>
        <v>NENHUMA DAS OPÇÕES</v>
      </c>
      <c r="S241" s="5"/>
      <c r="T241" s="5"/>
      <c r="U241" s="5"/>
      <c r="V241" s="9" t="str">
        <f>IFERROR(__xludf.DUMMYFUNCTION("""COMPUTED_VALUE"""),"https://drive.google.com/uc?id=1XUJ0YkLRqEt2_IOyseUg3xL-mAgk2yDn")</f>
        <v>https://drive.google.com/uc?id=1XUJ0YkLRqEt2_IOyseUg3xL-mAgk2yDn</v>
      </c>
      <c r="W241" s="5" t="str">
        <f>IFERROR(__xludf.DUMMYFUNCTION("""COMPUTED_VALUE"""),"NÃO")</f>
        <v>NÃO</v>
      </c>
      <c r="X241" s="5" t="str">
        <f>IFERROR(__xludf.DUMMYFUNCTION("""COMPUTED_VALUE"""),"NÃO SE APLICA")</f>
        <v>NÃO SE APLICA</v>
      </c>
    </row>
    <row r="242" hidden="1">
      <c r="A242" s="5">
        <f>IFERROR(__xludf.DUMMYFUNCTION("""COMPUTED_VALUE"""),7.0)</f>
        <v>7</v>
      </c>
      <c r="B242" s="5" t="str">
        <f>IFERROR(__xludf.DUMMYFUNCTION("""COMPUTED_VALUE"""),"CV076")</f>
        <v>CV076</v>
      </c>
      <c r="C242" s="5" t="str">
        <f>IFERROR(__xludf.DUMMYFUNCTION("""COMPUTED_VALUE"""),"NÃO POSSUI")</f>
        <v>NÃO POSSUI</v>
      </c>
      <c r="D242" s="5" t="str">
        <f>IFERROR(__xludf.DUMMYFUNCTION("""COMPUTED_VALUE"""),"COM SUPORTE")</f>
        <v>COM SUPORTE</v>
      </c>
      <c r="E242" s="5" t="str">
        <f>IFERROR(__xludf.DUMMYFUNCTION("""COMPUTED_VALUE"""),"SEM BAIA")</f>
        <v>SEM BAIA</v>
      </c>
      <c r="F242" s="5" t="str">
        <f>IFERROR(__xludf.DUMMYFUNCTION("""COMPUTED_VALUE"""),"NÃO")</f>
        <v>NÃO</v>
      </c>
      <c r="G242" s="5" t="str">
        <f>IFERROR(__xludf.DUMMYFUNCTION("""COMPUTED_VALUE"""),"NÃO")</f>
        <v>NÃO</v>
      </c>
      <c r="H242" s="5" t="str">
        <f>IFERROR(__xludf.DUMMYFUNCTION("""COMPUTED_VALUE"""),"PAVIMENTADA")</f>
        <v>PAVIMENTADA</v>
      </c>
      <c r="I242" s="6" t="str">
        <f>IFERROR(__xludf.DUMMYFUNCTION("""COMPUTED_VALUE"""),"-9.55739")</f>
        <v>-9.55739</v>
      </c>
      <c r="J242" s="6" t="str">
        <f>IFERROR(__xludf.DUMMYFUNCTION("""COMPUTED_VALUE"""),"-35.77339")</f>
        <v>-35.77339</v>
      </c>
      <c r="K242" s="5" t="str">
        <f>IFERROR(__xludf.DUMMYFUNCTION("""COMPUTED_VALUE"""),"AV. PAULO HOLANDA, 94")</f>
        <v>AV. PAULO HOLANDA, 94</v>
      </c>
      <c r="L242" s="5" t="str">
        <f>IFERROR(__xludf.DUMMYFUNCTION("""COMPUTED_VALUE"""),"COLETORA")</f>
        <v>COLETORA</v>
      </c>
      <c r="M242" s="5" t="str">
        <f>IFERROR(__xludf.DUMMYFUNCTION("""COMPUTED_VALUE"""),"CIDADE UNIVERSITÁRIA")</f>
        <v>CIDADE UNIVERSITÁRIA</v>
      </c>
      <c r="N242" s="5" t="str">
        <f>IFERROR(__xludf.DUMMYFUNCTION("""COMPUTED_VALUE"""),"BAIRRO - CENTRO")</f>
        <v>BAIRRO - CENTRO</v>
      </c>
      <c r="O242" s="5" t="str">
        <f>IFERROR(__xludf.DUMMYFUNCTION("""COMPUTED_VALUE"""),"EM FRENTE A CASA 94")</f>
        <v>EM FRENTE A CASA 94</v>
      </c>
      <c r="P242" s="5" t="str">
        <f>IFERROR(__xludf.DUMMYFUNCTION("""COMPUTED_VALUE"""),"PRIORIDADE BAIXA")</f>
        <v>PRIORIDADE BAIXA</v>
      </c>
      <c r="Q242" s="5" t="str">
        <f>IFERROR(__xludf.DUMMYFUNCTION("""COMPUTED_VALUE"""),"READEQUAÇÃO DE CALÇADA COM ACESSIBILIDADE, PINTURA DE BAÍA NO ASFALTO.")</f>
        <v>READEQUAÇÃO DE CALÇADA COM ACESSIBILIDADE, PINTURA DE BAÍA NO ASFALTO.</v>
      </c>
      <c r="R242" s="5" t="str">
        <f>IFERROR(__xludf.DUMMYFUNCTION("""COMPUTED_VALUE"""),"NENHUMA DAS OPÇÕES")</f>
        <v>NENHUMA DAS OPÇÕES</v>
      </c>
      <c r="S242" s="5"/>
      <c r="T242" s="5"/>
      <c r="U242" s="5"/>
      <c r="V242" s="9" t="str">
        <f>IFERROR(__xludf.DUMMYFUNCTION("""COMPUTED_VALUE"""),"https://drive.google.com/uc?id=1gsOYXAF-bzhZ0KNMGc69o1KN9D_5iLRF")</f>
        <v>https://drive.google.com/uc?id=1gsOYXAF-bzhZ0KNMGc69o1KN9D_5iLRF</v>
      </c>
      <c r="W242" s="5" t="str">
        <f>IFERROR(__xludf.DUMMYFUNCTION("""COMPUTED_VALUE"""),"NÃO")</f>
        <v>NÃO</v>
      </c>
      <c r="X242" s="5" t="str">
        <f>IFERROR(__xludf.DUMMYFUNCTION("""COMPUTED_VALUE"""),"NÃO SE APLICA")</f>
        <v>NÃO SE APLICA</v>
      </c>
    </row>
    <row r="243" hidden="1">
      <c r="A243" s="5">
        <f>IFERROR(__xludf.DUMMYFUNCTION("""COMPUTED_VALUE"""),7.0)</f>
        <v>7</v>
      </c>
      <c r="B243" s="5" t="str">
        <f>IFERROR(__xludf.DUMMYFUNCTION("""COMPUTED_VALUE"""),"CV077")</f>
        <v>CV077</v>
      </c>
      <c r="C243" s="5" t="str">
        <f>IFERROR(__xludf.DUMMYFUNCTION("""COMPUTED_VALUE"""),"NÃO POSSUI")</f>
        <v>NÃO POSSUI</v>
      </c>
      <c r="D243" s="5" t="str">
        <f>IFERROR(__xludf.DUMMYFUNCTION("""COMPUTED_VALUE"""),"COM SUPORTE")</f>
        <v>COM SUPORTE</v>
      </c>
      <c r="E243" s="5" t="str">
        <f>IFERROR(__xludf.DUMMYFUNCTION("""COMPUTED_VALUE"""),"SEM BAIA")</f>
        <v>SEM BAIA</v>
      </c>
      <c r="F243" s="5" t="str">
        <f>IFERROR(__xludf.DUMMYFUNCTION("""COMPUTED_VALUE"""),"NÃO")</f>
        <v>NÃO</v>
      </c>
      <c r="G243" s="5" t="str">
        <f>IFERROR(__xludf.DUMMYFUNCTION("""COMPUTED_VALUE"""),"NÃO")</f>
        <v>NÃO</v>
      </c>
      <c r="H243" s="5" t="str">
        <f>IFERROR(__xludf.DUMMYFUNCTION("""COMPUTED_VALUE"""),"PAVIMENTADA COM AVARIAS")</f>
        <v>PAVIMENTADA COM AVARIAS</v>
      </c>
      <c r="I243" s="6" t="str">
        <f>IFERROR(__xludf.DUMMYFUNCTION("""COMPUTED_VALUE"""),"-9.55758")</f>
        <v>-9.55758</v>
      </c>
      <c r="J243" s="6" t="str">
        <f>IFERROR(__xludf.DUMMYFUNCTION("""COMPUTED_VALUE"""),"-35.77364")</f>
        <v>-35.77364</v>
      </c>
      <c r="K243" s="5" t="str">
        <f>IFERROR(__xludf.DUMMYFUNCTION("""COMPUTED_VALUE"""),"AV. PAULO HOLANDA, 96")</f>
        <v>AV. PAULO HOLANDA, 96</v>
      </c>
      <c r="L243" s="5" t="str">
        <f>IFERROR(__xludf.DUMMYFUNCTION("""COMPUTED_VALUE"""),"COLETORA")</f>
        <v>COLETORA</v>
      </c>
      <c r="M243" s="5" t="str">
        <f>IFERROR(__xludf.DUMMYFUNCTION("""COMPUTED_VALUE"""),"CIDADE UNIVERSITÁRIA")</f>
        <v>CIDADE UNIVERSITÁRIA</v>
      </c>
      <c r="N243" s="5" t="str">
        <f>IFERROR(__xludf.DUMMYFUNCTION("""COMPUTED_VALUE"""),"CENTRO - BAIRRO")</f>
        <v>CENTRO - BAIRRO</v>
      </c>
      <c r="O243" s="5" t="str">
        <f>IFERROR(__xludf.DUMMYFUNCTION("""COMPUTED_VALUE"""),"EM FRENTE A CASA 96")</f>
        <v>EM FRENTE A CASA 96</v>
      </c>
      <c r="P243" s="5" t="str">
        <f>IFERROR(__xludf.DUMMYFUNCTION("""COMPUTED_VALUE"""),"PRIORIDADE BAIXA")</f>
        <v>PRIORIDADE BAIXA</v>
      </c>
      <c r="Q243" s="5" t="str">
        <f>IFERROR(__xludf.DUMMYFUNCTION("""COMPUTED_VALUE"""),"READEQUAÇÃO DE CALÇADA COM ACESSIBILIDADE, PINTURA DE BAÍA NO ASFALTO, LIMPEZA DE VEGETAÇÃO SELVAGEM CRESCENTE.")</f>
        <v>READEQUAÇÃO DE CALÇADA COM ACESSIBILIDADE, PINTURA DE BAÍA NO ASFALTO, LIMPEZA DE VEGETAÇÃO SELVAGEM CRESCENTE.</v>
      </c>
      <c r="R243" s="5" t="str">
        <f>IFERROR(__xludf.DUMMYFUNCTION("""COMPUTED_VALUE"""),"NENHUMA DAS OPÇÕES")</f>
        <v>NENHUMA DAS OPÇÕES</v>
      </c>
      <c r="S243" s="5"/>
      <c r="T243" s="5"/>
      <c r="U243" s="5"/>
      <c r="V243" s="9" t="str">
        <f>IFERROR(__xludf.DUMMYFUNCTION("""COMPUTED_VALUE"""),"https://drive.google.com/uc?id=1XGaIolMBKCIVzQ5TnzgnpOrT-rIdgjYJ")</f>
        <v>https://drive.google.com/uc?id=1XGaIolMBKCIVzQ5TnzgnpOrT-rIdgjYJ</v>
      </c>
      <c r="W243" s="5" t="str">
        <f>IFERROR(__xludf.DUMMYFUNCTION("""COMPUTED_VALUE"""),"NÃO")</f>
        <v>NÃO</v>
      </c>
      <c r="X243" s="5" t="str">
        <f>IFERROR(__xludf.DUMMYFUNCTION("""COMPUTED_VALUE"""),"NÃO SE APLICA")</f>
        <v>NÃO SE APLICA</v>
      </c>
    </row>
    <row r="244" hidden="1">
      <c r="A244" s="5">
        <f>IFERROR(__xludf.DUMMYFUNCTION("""COMPUTED_VALUE"""),7.0)</f>
        <v>7</v>
      </c>
      <c r="B244" s="5" t="str">
        <f>IFERROR(__xludf.DUMMYFUNCTION("""COMPUTED_VALUE"""),"CV078")</f>
        <v>CV078</v>
      </c>
      <c r="C244" s="5" t="str">
        <f>IFERROR(__xludf.DUMMYFUNCTION("""COMPUTED_VALUE"""),"NÃO POSSUI")</f>
        <v>NÃO POSSUI</v>
      </c>
      <c r="D244" s="5" t="str">
        <f>IFERROR(__xludf.DUMMYFUNCTION("""COMPUTED_VALUE"""),"COM SUPORTE")</f>
        <v>COM SUPORTE</v>
      </c>
      <c r="E244" s="5" t="str">
        <f>IFERROR(__xludf.DUMMYFUNCTION("""COMPUTED_VALUE"""),"SEM BAIA")</f>
        <v>SEM BAIA</v>
      </c>
      <c r="F244" s="5" t="str">
        <f>IFERROR(__xludf.DUMMYFUNCTION("""COMPUTED_VALUE"""),"NÃO")</f>
        <v>NÃO</v>
      </c>
      <c r="G244" s="5" t="str">
        <f>IFERROR(__xludf.DUMMYFUNCTION("""COMPUTED_VALUE"""),"NÃO")</f>
        <v>NÃO</v>
      </c>
      <c r="H244" s="5" t="str">
        <f>IFERROR(__xludf.DUMMYFUNCTION("""COMPUTED_VALUE"""),"PAVIMENTADA")</f>
        <v>PAVIMENTADA</v>
      </c>
      <c r="I244" s="6" t="str">
        <f>IFERROR(__xludf.DUMMYFUNCTION("""COMPUTED_VALUE"""),"-9.55848")</f>
        <v>-9.55848</v>
      </c>
      <c r="J244" s="6" t="str">
        <f>IFERROR(__xludf.DUMMYFUNCTION("""COMPUTED_VALUE"""),"-35.77553")</f>
        <v>-35.77553</v>
      </c>
      <c r="K244" s="5" t="str">
        <f>IFERROR(__xludf.DUMMYFUNCTION("""COMPUTED_VALUE"""),"AV. PAULO HOLANDA, 130")</f>
        <v>AV. PAULO HOLANDA, 130</v>
      </c>
      <c r="L244" s="5" t="str">
        <f>IFERROR(__xludf.DUMMYFUNCTION("""COMPUTED_VALUE"""),"COLETORA")</f>
        <v>COLETORA</v>
      </c>
      <c r="M244" s="5" t="str">
        <f>IFERROR(__xludf.DUMMYFUNCTION("""COMPUTED_VALUE"""),"CIDADE UNIVERSITÁRIA")</f>
        <v>CIDADE UNIVERSITÁRIA</v>
      </c>
      <c r="N244" s="5" t="str">
        <f>IFERROR(__xludf.DUMMYFUNCTION("""COMPUTED_VALUE"""),"BAIRRO - CENTRO")</f>
        <v>BAIRRO - CENTRO</v>
      </c>
      <c r="O244" s="5" t="str">
        <f>IFERROR(__xludf.DUMMYFUNCTION("""COMPUTED_VALUE"""),"EM FRENTE A CASA 130")</f>
        <v>EM FRENTE A CASA 130</v>
      </c>
      <c r="P244" s="5" t="str">
        <f>IFERROR(__xludf.DUMMYFUNCTION("""COMPUTED_VALUE"""),"PRIORIDADE BAIXA")</f>
        <v>PRIORIDADE BAIXA</v>
      </c>
      <c r="Q244" s="5" t="str">
        <f>IFERROR(__xludf.DUMMYFUNCTION("""COMPUTED_VALUE"""),"READEQUAÇÃO DE CALÇADA COM ACESSIBILIDADE, PINTURA DE BAÍA NO ASFALTO.")</f>
        <v>READEQUAÇÃO DE CALÇADA COM ACESSIBILIDADE, PINTURA DE BAÍA NO ASFALTO.</v>
      </c>
      <c r="R244" s="5" t="str">
        <f>IFERROR(__xludf.DUMMYFUNCTION("""COMPUTED_VALUE"""),"NENHUMA DAS OPÇÕES")</f>
        <v>NENHUMA DAS OPÇÕES</v>
      </c>
      <c r="S244" s="5"/>
      <c r="T244" s="5"/>
      <c r="U244" s="5"/>
      <c r="V244" s="9" t="str">
        <f>IFERROR(__xludf.DUMMYFUNCTION("""COMPUTED_VALUE"""),"https://drive.google.com/uc?id=1UYyoPsjSVrnNf0zqkFFrSUbG8Et-mmez")</f>
        <v>https://drive.google.com/uc?id=1UYyoPsjSVrnNf0zqkFFrSUbG8Et-mmez</v>
      </c>
      <c r="W244" s="5" t="str">
        <f>IFERROR(__xludf.DUMMYFUNCTION("""COMPUTED_VALUE"""),"NÃO")</f>
        <v>NÃO</v>
      </c>
      <c r="X244" s="5" t="str">
        <f>IFERROR(__xludf.DUMMYFUNCTION("""COMPUTED_VALUE"""),"NÃO SE APLICA")</f>
        <v>NÃO SE APLICA</v>
      </c>
    </row>
    <row r="245" ht="18.0" hidden="1" customHeight="1">
      <c r="A245" s="5">
        <f>IFERROR(__xludf.DUMMYFUNCTION("""COMPUTED_VALUE"""),7.0)</f>
        <v>7</v>
      </c>
      <c r="B245" s="5" t="str">
        <f>IFERROR(__xludf.DUMMYFUNCTION("""COMPUTED_VALUE"""),"CV079")</f>
        <v>CV079</v>
      </c>
      <c r="C245" s="5" t="str">
        <f>IFERROR(__xludf.DUMMYFUNCTION("""COMPUTED_VALUE"""),"NÃO POSSUI")</f>
        <v>NÃO POSSUI</v>
      </c>
      <c r="D245" s="5" t="str">
        <f>IFERROR(__xludf.DUMMYFUNCTION("""COMPUTED_VALUE"""),"COM SUPORTE")</f>
        <v>COM SUPORTE</v>
      </c>
      <c r="E245" s="5" t="str">
        <f>IFERROR(__xludf.DUMMYFUNCTION("""COMPUTED_VALUE"""),"SEM BAIA")</f>
        <v>SEM BAIA</v>
      </c>
      <c r="F245" s="5" t="str">
        <f>IFERROR(__xludf.DUMMYFUNCTION("""COMPUTED_VALUE"""),"NÃO")</f>
        <v>NÃO</v>
      </c>
      <c r="G245" s="5" t="str">
        <f>IFERROR(__xludf.DUMMYFUNCTION("""COMPUTED_VALUE"""),"NÃO")</f>
        <v>NÃO</v>
      </c>
      <c r="H245" s="5" t="str">
        <f>IFERROR(__xludf.DUMMYFUNCTION("""COMPUTED_VALUE"""),"PAVIMENTADA COM AVARIAS")</f>
        <v>PAVIMENTADA COM AVARIAS</v>
      </c>
      <c r="I245" s="6" t="str">
        <f>IFERROR(__xludf.DUMMYFUNCTION("""COMPUTED_VALUE"""),"-9.55883")</f>
        <v>-9.55883</v>
      </c>
      <c r="J245" s="6" t="str">
        <f>IFERROR(__xludf.DUMMYFUNCTION("""COMPUTED_VALUE"""),"-35.77605")</f>
        <v>-35.77605</v>
      </c>
      <c r="K245" s="5" t="str">
        <f>IFERROR(__xludf.DUMMYFUNCTION("""COMPUTED_VALUE"""),"AV. PAULO HOLANDA, 143")</f>
        <v>AV. PAULO HOLANDA, 143</v>
      </c>
      <c r="L245" s="5" t="str">
        <f>IFERROR(__xludf.DUMMYFUNCTION("""COMPUTED_VALUE"""),"COLETORA")</f>
        <v>COLETORA</v>
      </c>
      <c r="M245" s="5" t="str">
        <f>IFERROR(__xludf.DUMMYFUNCTION("""COMPUTED_VALUE"""),"CIDADE UNIVERSITÁRIA")</f>
        <v>CIDADE UNIVERSITÁRIA</v>
      </c>
      <c r="N245" s="5" t="str">
        <f>IFERROR(__xludf.DUMMYFUNCTION("""COMPUTED_VALUE"""),"CENTRO - BAIRRO")</f>
        <v>CENTRO - BAIRRO</v>
      </c>
      <c r="O245" s="5" t="str">
        <f>IFERROR(__xludf.DUMMYFUNCTION("""COMPUTED_VALUE"""),"EM FRENTE A CASA 143")</f>
        <v>EM FRENTE A CASA 143</v>
      </c>
      <c r="P245" s="5" t="str">
        <f>IFERROR(__xludf.DUMMYFUNCTION("""COMPUTED_VALUE"""),"PRIORIDADE BAIXA")</f>
        <v>PRIORIDADE BAIXA</v>
      </c>
      <c r="Q245" s="5" t="str">
        <f>IFERROR(__xludf.DUMMYFUNCTION("""COMPUTED_VALUE"""),"READEQUAÇÃO DE CALÇADA COM ACESSIBILIDADE E PINTURA DE BAÍA NO ASFALTO,LIMPEZA DE VEGETAÇÃO SELVAGEM CRESCENTE.")</f>
        <v>READEQUAÇÃO DE CALÇADA COM ACESSIBILIDADE E PINTURA DE BAÍA NO ASFALTO,LIMPEZA DE VEGETAÇÃO SELVAGEM CRESCENTE.</v>
      </c>
      <c r="R245" s="5" t="str">
        <f>IFERROR(__xludf.DUMMYFUNCTION("""COMPUTED_VALUE"""),"NENHUMA DAS OPÇÕES")</f>
        <v>NENHUMA DAS OPÇÕES</v>
      </c>
      <c r="S245" s="5"/>
      <c r="T245" s="5"/>
      <c r="U245" s="5"/>
      <c r="V245" s="9" t="str">
        <f>IFERROR(__xludf.DUMMYFUNCTION("""COMPUTED_VALUE"""),"https://drive.google.com/uc?id=1MsLSTmpvqCLEQyFiAlcMWV09sep0df5v")</f>
        <v>https://drive.google.com/uc?id=1MsLSTmpvqCLEQyFiAlcMWV09sep0df5v</v>
      </c>
      <c r="W245" s="5" t="str">
        <f>IFERROR(__xludf.DUMMYFUNCTION("""COMPUTED_VALUE"""),"NÃO")</f>
        <v>NÃO</v>
      </c>
      <c r="X245" s="5" t="str">
        <f>IFERROR(__xludf.DUMMYFUNCTION("""COMPUTED_VALUE"""),"NÃO SE APLICA")</f>
        <v>NÃO SE APLICA</v>
      </c>
    </row>
    <row r="246" hidden="1">
      <c r="A246" s="5">
        <f>IFERROR(__xludf.DUMMYFUNCTION("""COMPUTED_VALUE"""),7.0)</f>
        <v>7</v>
      </c>
      <c r="B246" s="5" t="str">
        <f>IFERROR(__xludf.DUMMYFUNCTION("""COMPUTED_VALUE"""),"CV080")</f>
        <v>CV080</v>
      </c>
      <c r="C246" s="5" t="str">
        <f>IFERROR(__xludf.DUMMYFUNCTION("""COMPUTED_VALUE"""),"NÃO POSSUI")</f>
        <v>NÃO POSSUI</v>
      </c>
      <c r="D246" s="5" t="str">
        <f>IFERROR(__xludf.DUMMYFUNCTION("""COMPUTED_VALUE"""),"SEM PLACA")</f>
        <v>SEM PLACA</v>
      </c>
      <c r="E246" s="5" t="str">
        <f>IFERROR(__xludf.DUMMYFUNCTION("""COMPUTED_VALUE"""),"SEM BAIA")</f>
        <v>SEM BAIA</v>
      </c>
      <c r="F246" s="5" t="str">
        <f>IFERROR(__xludf.DUMMYFUNCTION("""COMPUTED_VALUE"""),"NÃO")</f>
        <v>NÃO</v>
      </c>
      <c r="G246" s="5" t="str">
        <f>IFERROR(__xludf.DUMMYFUNCTION("""COMPUTED_VALUE"""),"NÃO")</f>
        <v>NÃO</v>
      </c>
      <c r="H246" s="5" t="str">
        <f>IFERROR(__xludf.DUMMYFUNCTION("""COMPUTED_VALUE"""),"PAVIMENTADA COM AVARIAS")</f>
        <v>PAVIMENTADA COM AVARIAS</v>
      </c>
      <c r="I246" s="6" t="str">
        <f>IFERROR(__xludf.DUMMYFUNCTION("""COMPUTED_VALUE"""),"-9.559892")</f>
        <v>-9.559892</v>
      </c>
      <c r="J246" s="6" t="str">
        <f>IFERROR(__xludf.DUMMYFUNCTION("""COMPUTED_VALUE"""),"-35.778257")</f>
        <v>-35.778257</v>
      </c>
      <c r="K246" s="5" t="str">
        <f>IFERROR(__xludf.DUMMYFUNCTION("""COMPUTED_VALUE"""),"AV. PAULO HOLANDA, S/N")</f>
        <v>AV. PAULO HOLANDA, S/N</v>
      </c>
      <c r="L246" s="5" t="str">
        <f>IFERROR(__xludf.DUMMYFUNCTION("""COMPUTED_VALUE"""),"COLETORA")</f>
        <v>COLETORA</v>
      </c>
      <c r="M246" s="5" t="str">
        <f>IFERROR(__xludf.DUMMYFUNCTION("""COMPUTED_VALUE"""),"CIDADE UNIVERSITÁRIA")</f>
        <v>CIDADE UNIVERSITÁRIA</v>
      </c>
      <c r="N246" s="5" t="str">
        <f>IFERROR(__xludf.DUMMYFUNCTION("""COMPUTED_VALUE"""),"BAIRRO - CENTRO")</f>
        <v>BAIRRO - CENTRO</v>
      </c>
      <c r="O246" s="5" t="str">
        <f>IFERROR(__xludf.DUMMYFUNCTION("""COMPUTED_VALUE"""),"EM FRENTE AO CENTRO DE ONCOLOGIA DO HOSPITAL UNIVERSITÁRIO (CACON/HU)")</f>
        <v>EM FRENTE AO CENTRO DE ONCOLOGIA DO HOSPITAL UNIVERSITÁRIO (CACON/HU)</v>
      </c>
      <c r="P246" s="5" t="str">
        <f>IFERROR(__xludf.DUMMYFUNCTION("""COMPUTED_VALUE"""),"URGENTE")</f>
        <v>URGENTE</v>
      </c>
      <c r="Q246" s="5" t="str">
        <f>IFERROR(__xludf.DUMMYFUNCTION("""COMPUTED_VALUE"""),"READEQUAÇÃO DE CALÇADA COM ACESSIBILIDADE, PINTURA DE BAÍA NO ASFALTO.")</f>
        <v>READEQUAÇÃO DE CALÇADA COM ACESSIBILIDADE, PINTURA DE BAÍA NO ASFALTO.</v>
      </c>
      <c r="R246" s="5" t="str">
        <f>IFERROR(__xludf.DUMMYFUNCTION("""COMPUTED_VALUE"""),"NENHUMA DAS OPÇÕES")</f>
        <v>NENHUMA DAS OPÇÕES</v>
      </c>
      <c r="S246" s="5"/>
      <c r="T246" s="5"/>
      <c r="U246" s="5"/>
      <c r="V246" s="9" t="str">
        <f>IFERROR(__xludf.DUMMYFUNCTION("""COMPUTED_VALUE"""),"https://drive.google.com/uc?id=1xK_JCzaA_58XTVDc5BuCZkkKj-JL6KNG")</f>
        <v>https://drive.google.com/uc?id=1xK_JCzaA_58XTVDc5BuCZkkKj-JL6KNG</v>
      </c>
      <c r="W246" s="5" t="str">
        <f>IFERROR(__xludf.DUMMYFUNCTION("""COMPUTED_VALUE"""),"NÃO")</f>
        <v>NÃO</v>
      </c>
      <c r="X246" s="5" t="str">
        <f>IFERROR(__xludf.DUMMYFUNCTION("""COMPUTED_VALUE"""),"NÃO SE APLICA")</f>
        <v>NÃO SE APLICA</v>
      </c>
    </row>
    <row r="247" hidden="1">
      <c r="A247" s="5">
        <f>IFERROR(__xludf.DUMMYFUNCTION("""COMPUTED_VALUE"""),7.0)</f>
        <v>7</v>
      </c>
      <c r="B247" s="5" t="str">
        <f>IFERROR(__xludf.DUMMYFUNCTION("""COMPUTED_VALUE"""),"CV081")</f>
        <v>CV081</v>
      </c>
      <c r="C247" s="5" t="str">
        <f>IFERROR(__xludf.DUMMYFUNCTION("""COMPUTED_VALUE"""),"NÃO POSSUI")</f>
        <v>NÃO POSSUI</v>
      </c>
      <c r="D247" s="5" t="str">
        <f>IFERROR(__xludf.DUMMYFUNCTION("""COMPUTED_VALUE"""),"COM SUPORTE")</f>
        <v>COM SUPORTE</v>
      </c>
      <c r="E247" s="5" t="str">
        <f>IFERROR(__xludf.DUMMYFUNCTION("""COMPUTED_VALUE"""),"SEM BAIA")</f>
        <v>SEM BAIA</v>
      </c>
      <c r="F247" s="5" t="str">
        <f>IFERROR(__xludf.DUMMYFUNCTION("""COMPUTED_VALUE"""),"NÃO")</f>
        <v>NÃO</v>
      </c>
      <c r="G247" s="5" t="str">
        <f>IFERROR(__xludf.DUMMYFUNCTION("""COMPUTED_VALUE"""),"NÃO")</f>
        <v>NÃO</v>
      </c>
      <c r="H247" s="5" t="str">
        <f>IFERROR(__xludf.DUMMYFUNCTION("""COMPUTED_VALUE"""),"PAVIMENTADA COM AVARIAS")</f>
        <v>PAVIMENTADA COM AVARIAS</v>
      </c>
      <c r="I247" s="6" t="str">
        <f>IFERROR(__xludf.DUMMYFUNCTION("""COMPUTED_VALUE"""),"-9.559993")</f>
        <v>-9.559993</v>
      </c>
      <c r="J247" s="6" t="str">
        <f>IFERROR(__xludf.DUMMYFUNCTION("""COMPUTED_VALUE"""),"-35.778060")</f>
        <v>-35.778060</v>
      </c>
      <c r="K247" s="5" t="str">
        <f>IFERROR(__xludf.DUMMYFUNCTION("""COMPUTED_VALUE"""),"AV. PAULO HOLANDA, S/N")</f>
        <v>AV. PAULO HOLANDA, S/N</v>
      </c>
      <c r="L247" s="5" t="str">
        <f>IFERROR(__xludf.DUMMYFUNCTION("""COMPUTED_VALUE"""),"COLETORA")</f>
        <v>COLETORA</v>
      </c>
      <c r="M247" s="5" t="str">
        <f>IFERROR(__xludf.DUMMYFUNCTION("""COMPUTED_VALUE"""),"CIDADE UNIVERSITÁRIA")</f>
        <v>CIDADE UNIVERSITÁRIA</v>
      </c>
      <c r="N247" s="5" t="str">
        <f>IFERROR(__xludf.DUMMYFUNCTION("""COMPUTED_VALUE"""),"CENTRO - BAIRRO")</f>
        <v>CENTRO - BAIRRO</v>
      </c>
      <c r="O247" s="5" t="str">
        <f>IFERROR(__xludf.DUMMYFUNCTION("""COMPUTED_VALUE"""),"EM FRENTE A ENTRADA LATERAL DE PEDESTRES DO HOSPITAL UNIVERSITÁRIO (HU)")</f>
        <v>EM FRENTE A ENTRADA LATERAL DE PEDESTRES DO HOSPITAL UNIVERSITÁRIO (HU)</v>
      </c>
      <c r="P247" s="5" t="str">
        <f>IFERROR(__xludf.DUMMYFUNCTION("""COMPUTED_VALUE"""),"PRIORIDADE ALTA")</f>
        <v>PRIORIDADE ALTA</v>
      </c>
      <c r="Q247" s="5" t="str">
        <f>IFERROR(__xludf.DUMMYFUNCTION("""COMPUTED_VALUE"""),"NECESSÁRIO RELOCAÇÃO DA CICLOVIA PARA ACESSO AO PONTO DE ÔNIBUS E ALINHAMENTO DA SINALIZAÇÃO VERTICAL.")</f>
        <v>NECESSÁRIO RELOCAÇÃO DA CICLOVIA PARA ACESSO AO PONTO DE ÔNIBUS E ALINHAMENTO DA SINALIZAÇÃO VERTICAL.</v>
      </c>
      <c r="R247" s="5" t="str">
        <f>IFERROR(__xludf.DUMMYFUNCTION("""COMPUTED_VALUE"""),"NENHUMA DAS OPÇÕES")</f>
        <v>NENHUMA DAS OPÇÕES</v>
      </c>
      <c r="S247" s="5"/>
      <c r="T247" s="5"/>
      <c r="U247" s="5"/>
      <c r="V247" s="9" t="str">
        <f>IFERROR(__xludf.DUMMYFUNCTION("""COMPUTED_VALUE"""),"https://drive.google.com/uc?id=1glGP4kdz-EDt2x3GVBxoDOUubPMeUcXo")</f>
        <v>https://drive.google.com/uc?id=1glGP4kdz-EDt2x3GVBxoDOUubPMeUcXo</v>
      </c>
      <c r="W247" s="5" t="str">
        <f>IFERROR(__xludf.DUMMYFUNCTION("""COMPUTED_VALUE"""),"NÃO")</f>
        <v>NÃO</v>
      </c>
      <c r="X247" s="5" t="str">
        <f>IFERROR(__xludf.DUMMYFUNCTION("""COMPUTED_VALUE"""),"NÃO SE APLICA")</f>
        <v>NÃO SE APLICA</v>
      </c>
    </row>
    <row r="248" hidden="1">
      <c r="A248" s="5">
        <f>IFERROR(__xludf.DUMMYFUNCTION("""COMPUTED_VALUE"""),7.0)</f>
        <v>7</v>
      </c>
      <c r="B248" s="5" t="str">
        <f>IFERROR(__xludf.DUMMYFUNCTION("""COMPUTED_VALUE"""),"CV082")</f>
        <v>CV082</v>
      </c>
      <c r="C248" s="5" t="str">
        <f>IFERROR(__xludf.DUMMYFUNCTION("""COMPUTED_VALUE"""),"NÃO POSSUI")</f>
        <v>NÃO POSSUI</v>
      </c>
      <c r="D248" s="5" t="str">
        <f>IFERROR(__xludf.DUMMYFUNCTION("""COMPUTED_VALUE"""),"COM SUPORTE")</f>
        <v>COM SUPORTE</v>
      </c>
      <c r="E248" s="5" t="str">
        <f>IFERROR(__xludf.DUMMYFUNCTION("""COMPUTED_VALUE"""),"SEM BAIA")</f>
        <v>SEM BAIA</v>
      </c>
      <c r="F248" s="5" t="str">
        <f>IFERROR(__xludf.DUMMYFUNCTION("""COMPUTED_VALUE"""),"NÃO")</f>
        <v>NÃO</v>
      </c>
      <c r="G248" s="5" t="str">
        <f>IFERROR(__xludf.DUMMYFUNCTION("""COMPUTED_VALUE"""),"NÃO")</f>
        <v>NÃO</v>
      </c>
      <c r="H248" s="5" t="str">
        <f>IFERROR(__xludf.DUMMYFUNCTION("""COMPUTED_VALUE"""),"PAVIMENTADA")</f>
        <v>PAVIMENTADA</v>
      </c>
      <c r="I248" s="6" t="str">
        <f>IFERROR(__xludf.DUMMYFUNCTION("""COMPUTED_VALUE"""),"-9.556721")</f>
        <v>-9.556721</v>
      </c>
      <c r="J248" s="6" t="str">
        <f>IFERROR(__xludf.DUMMYFUNCTION("""COMPUTED_VALUE"""),"-35.766421")</f>
        <v>-35.766421</v>
      </c>
      <c r="K248" s="5" t="str">
        <f>IFERROR(__xludf.DUMMYFUNCTION("""COMPUTED_VALUE"""),"RUA UM, 311")</f>
        <v>RUA UM, 311</v>
      </c>
      <c r="L248" s="5" t="str">
        <f>IFERROR(__xludf.DUMMYFUNCTION("""COMPUTED_VALUE"""),"COLETORA")</f>
        <v>COLETORA</v>
      </c>
      <c r="M248" s="5" t="str">
        <f>IFERROR(__xludf.DUMMYFUNCTION("""COMPUTED_VALUE"""),"CIDADE UNIVERSITÁRIA")</f>
        <v>CIDADE UNIVERSITÁRIA</v>
      </c>
      <c r="N248" s="5" t="str">
        <f>IFERROR(__xludf.DUMMYFUNCTION("""COMPUTED_VALUE"""),"BAIRRO - CENTRO")</f>
        <v>BAIRRO - CENTRO</v>
      </c>
      <c r="O248" s="5" t="str">
        <f>IFERROR(__xludf.DUMMYFUNCTION("""COMPUTED_VALUE"""),"EM FRENTE AO GALPÃO TORRES AZUL")</f>
        <v>EM FRENTE AO GALPÃO TORRES AZUL</v>
      </c>
      <c r="P248" s="5" t="str">
        <f>IFERROR(__xludf.DUMMYFUNCTION("""COMPUTED_VALUE"""),"URGENTE")</f>
        <v>URGENTE</v>
      </c>
      <c r="Q248" s="5" t="str">
        <f>IFERROR(__xludf.DUMMYFUNCTION("""COMPUTED_VALUE"""),"READEQUAÇÃO DE CALÇADA COM ACESSIBILIDADE, PINTURA DE BAÍA NO ASFALTO")</f>
        <v>READEQUAÇÃO DE CALÇADA COM ACESSIBILIDADE, PINTURA DE BAÍA NO ASFALTO</v>
      </c>
      <c r="R248" s="5" t="str">
        <f>IFERROR(__xludf.DUMMYFUNCTION("""COMPUTED_VALUE"""),"IMPLANTAR ABRIGO")</f>
        <v>IMPLANTAR ABRIGO</v>
      </c>
      <c r="S248" s="5"/>
      <c r="T248" s="5"/>
      <c r="U248" s="5"/>
      <c r="V248" s="9" t="str">
        <f>IFERROR(__xludf.DUMMYFUNCTION("""COMPUTED_VALUE"""),"https://drive.google.com/uc?id=12Od75LiT3KYMRAiSAScZAF24r6i6xZ1a")</f>
        <v>https://drive.google.com/uc?id=12Od75LiT3KYMRAiSAScZAF24r6i6xZ1a</v>
      </c>
      <c r="W248" s="5" t="str">
        <f>IFERROR(__xludf.DUMMYFUNCTION("""COMPUTED_VALUE"""),"NÃO")</f>
        <v>NÃO</v>
      </c>
      <c r="X248" s="5" t="str">
        <f>IFERROR(__xludf.DUMMYFUNCTION("""COMPUTED_VALUE"""),"NÃO SE APLICA")</f>
        <v>NÃO SE APLICA</v>
      </c>
    </row>
    <row r="249" hidden="1">
      <c r="A249" s="5">
        <f>IFERROR(__xludf.DUMMYFUNCTION("""COMPUTED_VALUE"""),7.0)</f>
        <v>7</v>
      </c>
      <c r="B249" s="5" t="str">
        <f>IFERROR(__xludf.DUMMYFUNCTION("""COMPUTED_VALUE"""),"CV083")</f>
        <v>CV083</v>
      </c>
      <c r="C249" s="5" t="str">
        <f>IFERROR(__xludf.DUMMYFUNCTION("""COMPUTED_VALUE"""),"NÃO POSSUI")</f>
        <v>NÃO POSSUI</v>
      </c>
      <c r="D249" s="5" t="str">
        <f>IFERROR(__xludf.DUMMYFUNCTION("""COMPUTED_VALUE"""),"COM SUPORTE")</f>
        <v>COM SUPORTE</v>
      </c>
      <c r="E249" s="5" t="str">
        <f>IFERROR(__xludf.DUMMYFUNCTION("""COMPUTED_VALUE"""),"SEM BAIA")</f>
        <v>SEM BAIA</v>
      </c>
      <c r="F249" s="5" t="str">
        <f>IFERROR(__xludf.DUMMYFUNCTION("""COMPUTED_VALUE"""),"NÃO")</f>
        <v>NÃO</v>
      </c>
      <c r="G249" s="5" t="str">
        <f>IFERROR(__xludf.DUMMYFUNCTION("""COMPUTED_VALUE"""),"NÃO")</f>
        <v>NÃO</v>
      </c>
      <c r="H249" s="5" t="str">
        <f>IFERROR(__xludf.DUMMYFUNCTION("""COMPUTED_VALUE"""),"PAVIMENTADA")</f>
        <v>PAVIMENTADA</v>
      </c>
      <c r="I249" s="6" t="str">
        <f>IFERROR(__xludf.DUMMYFUNCTION("""COMPUTED_VALUE"""),"-9.556634")</f>
        <v>-9.556634</v>
      </c>
      <c r="J249" s="6" t="str">
        <f>IFERROR(__xludf.DUMMYFUNCTION("""COMPUTED_VALUE"""),"-35.766415")</f>
        <v>-35.766415</v>
      </c>
      <c r="K249" s="5" t="str">
        <f>IFERROR(__xludf.DUMMYFUNCTION("""COMPUTED_VALUE"""),"RUA UM, 382")</f>
        <v>RUA UM, 382</v>
      </c>
      <c r="L249" s="5" t="str">
        <f>IFERROR(__xludf.DUMMYFUNCTION("""COMPUTED_VALUE"""),"COLETORA")</f>
        <v>COLETORA</v>
      </c>
      <c r="M249" s="5" t="str">
        <f>IFERROR(__xludf.DUMMYFUNCTION("""COMPUTED_VALUE"""),"CIDADE UNIVERSITÁRIA")</f>
        <v>CIDADE UNIVERSITÁRIA</v>
      </c>
      <c r="N249" s="5" t="str">
        <f>IFERROR(__xludf.DUMMYFUNCTION("""COMPUTED_VALUE"""),"CENTRO - BAIRRO")</f>
        <v>CENTRO - BAIRRO</v>
      </c>
      <c r="O249" s="5" t="str">
        <f>IFERROR(__xludf.DUMMYFUNCTION("""COMPUTED_VALUE"""),"EM FRENTE AO RESIDENCIAL PARQUE METROPOLITAN")</f>
        <v>EM FRENTE AO RESIDENCIAL PARQUE METROPOLITAN</v>
      </c>
      <c r="P249" s="5" t="str">
        <f>IFERROR(__xludf.DUMMYFUNCTION("""COMPUTED_VALUE"""),"URGENTE")</f>
        <v>URGENTE</v>
      </c>
      <c r="Q249" s="5" t="str">
        <f>IFERROR(__xludf.DUMMYFUNCTION("""COMPUTED_VALUE"""),"READEQUAÇÃO DE CALÇADA COM ACESSIBILIDADE, PINTURA DE BAÍA NO ASFALTO")</f>
        <v>READEQUAÇÃO DE CALÇADA COM ACESSIBILIDADE, PINTURA DE BAÍA NO ASFALTO</v>
      </c>
      <c r="R249" s="5" t="str">
        <f>IFERROR(__xludf.DUMMYFUNCTION("""COMPUTED_VALUE"""),"IMPLANTAR ABRIGO")</f>
        <v>IMPLANTAR ABRIGO</v>
      </c>
      <c r="S249" s="5"/>
      <c r="T249" s="5"/>
      <c r="U249" s="5"/>
      <c r="V249" s="9" t="str">
        <f>IFERROR(__xludf.DUMMYFUNCTION("""COMPUTED_VALUE"""),"https://drive.google.com/uc?id=13JUvAUKlTAMgcmJTlw2GcE_tU_wl81To")</f>
        <v>https://drive.google.com/uc?id=13JUvAUKlTAMgcmJTlw2GcE_tU_wl81To</v>
      </c>
      <c r="W249" s="5" t="str">
        <f>IFERROR(__xludf.DUMMYFUNCTION("""COMPUTED_VALUE"""),"NÃO")</f>
        <v>NÃO</v>
      </c>
      <c r="X249" s="5" t="str">
        <f>IFERROR(__xludf.DUMMYFUNCTION("""COMPUTED_VALUE"""),"NÃO SE APLICA")</f>
        <v>NÃO SE APLICA</v>
      </c>
    </row>
    <row r="250" ht="15.75" hidden="1" customHeight="1">
      <c r="A250" s="5">
        <f>IFERROR(__xludf.DUMMYFUNCTION("""COMPUTED_VALUE"""),7.0)</f>
        <v>7</v>
      </c>
      <c r="B250" s="5" t="str">
        <f>IFERROR(__xludf.DUMMYFUNCTION("""COMPUTED_VALUE"""),"CV084")</f>
        <v>CV084</v>
      </c>
      <c r="C250" s="5" t="str">
        <f>IFERROR(__xludf.DUMMYFUNCTION("""COMPUTED_VALUE"""),"NÃO POSSUI")</f>
        <v>NÃO POSSUI</v>
      </c>
      <c r="D250" s="5" t="str">
        <f>IFERROR(__xludf.DUMMYFUNCTION("""COMPUTED_VALUE"""),"FIXADA EM POSTE")</f>
        <v>FIXADA EM POSTE</v>
      </c>
      <c r="E250" s="5" t="str">
        <f>IFERROR(__xludf.DUMMYFUNCTION("""COMPUTED_VALUE"""),"SEM BAIA")</f>
        <v>SEM BAIA</v>
      </c>
      <c r="F250" s="5" t="str">
        <f>IFERROR(__xludf.DUMMYFUNCTION("""COMPUTED_VALUE"""),"NÃO")</f>
        <v>NÃO</v>
      </c>
      <c r="G250" s="5" t="str">
        <f>IFERROR(__xludf.DUMMYFUNCTION("""COMPUTED_VALUE"""),"NÃO")</f>
        <v>NÃO</v>
      </c>
      <c r="H250" s="5" t="str">
        <f>IFERROR(__xludf.DUMMYFUNCTION("""COMPUTED_VALUE"""),"PAVIMENTADA")</f>
        <v>PAVIMENTADA</v>
      </c>
      <c r="I250" s="6" t="str">
        <f>IFERROR(__xludf.DUMMYFUNCTION("""COMPUTED_VALUE"""),"-9.557737")</f>
        <v>-9.557737</v>
      </c>
      <c r="J250" s="6" t="str">
        <f>IFERROR(__xludf.DUMMYFUNCTION("""COMPUTED_VALUE"""),"-35.765909")</f>
        <v>-35.765909</v>
      </c>
      <c r="K250" s="5" t="str">
        <f>IFERROR(__xludf.DUMMYFUNCTION("""COMPUTED_VALUE"""),"RUA UM, S/N")</f>
        <v>RUA UM, S/N</v>
      </c>
      <c r="L250" s="5" t="str">
        <f>IFERROR(__xludf.DUMMYFUNCTION("""COMPUTED_VALUE"""),"COLETORA")</f>
        <v>COLETORA</v>
      </c>
      <c r="M250" s="5" t="str">
        <f>IFERROR(__xludf.DUMMYFUNCTION("""COMPUTED_VALUE"""),"CIDADE UNIVERSITÁRIA")</f>
        <v>CIDADE UNIVERSITÁRIA</v>
      </c>
      <c r="N250" s="5" t="str">
        <f>IFERROR(__xludf.DUMMYFUNCTION("""COMPUTED_VALUE"""),"BAIRRO - CENTRO")</f>
        <v>BAIRRO - CENTRO</v>
      </c>
      <c r="O250" s="5" t="str">
        <f>IFERROR(__xludf.DUMMYFUNCTION("""COMPUTED_VALUE"""),"ENTRADA LATERAL DO HOSPITAL METROPOLITANO")</f>
        <v>ENTRADA LATERAL DO HOSPITAL METROPOLITANO</v>
      </c>
      <c r="P250" s="5" t="str">
        <f>IFERROR(__xludf.DUMMYFUNCTION("""COMPUTED_VALUE"""),"URGENTE")</f>
        <v>URGENTE</v>
      </c>
      <c r="Q250" s="5" t="str">
        <f>IFERROR(__xludf.DUMMYFUNCTION("""COMPUTED_VALUE"""),"READEQUAÇÃO DE CALÇADA COM ACESSIBILIDADE, PINTURA DE BAÍA NO ASFALTO.")</f>
        <v>READEQUAÇÃO DE CALÇADA COM ACESSIBILIDADE, PINTURA DE BAÍA NO ASFALTO.</v>
      </c>
      <c r="R250" s="5" t="str">
        <f>IFERROR(__xludf.DUMMYFUNCTION("""COMPUTED_VALUE"""),"NENHUMA DAS OPÇÕES")</f>
        <v>NENHUMA DAS OPÇÕES</v>
      </c>
      <c r="S250" s="5"/>
      <c r="T250" s="5"/>
      <c r="U250" s="5"/>
      <c r="V250" s="9" t="str">
        <f>IFERROR(__xludf.DUMMYFUNCTION("""COMPUTED_VALUE"""),"https://drive.google.com/uc?id=1Xxs4R84tCQJtGYCoKvZs5BrRqMn8B5wM")</f>
        <v>https://drive.google.com/uc?id=1Xxs4R84tCQJtGYCoKvZs5BrRqMn8B5wM</v>
      </c>
      <c r="W250" s="5" t="str">
        <f>IFERROR(__xludf.DUMMYFUNCTION("""COMPUTED_VALUE"""),"NÃO")</f>
        <v>NÃO</v>
      </c>
      <c r="X250" s="5" t="str">
        <f>IFERROR(__xludf.DUMMYFUNCTION("""COMPUTED_VALUE"""),"NÃO SE APLICA")</f>
        <v>NÃO SE APLICA</v>
      </c>
    </row>
    <row r="251" hidden="1">
      <c r="A251" s="5">
        <f>IFERROR(__xludf.DUMMYFUNCTION("""COMPUTED_VALUE"""),7.0)</f>
        <v>7</v>
      </c>
      <c r="B251" s="5" t="str">
        <f>IFERROR(__xludf.DUMMYFUNCTION("""COMPUTED_VALUE"""),"CV085")</f>
        <v>CV085</v>
      </c>
      <c r="C251" s="5" t="str">
        <f>IFERROR(__xludf.DUMMYFUNCTION("""COMPUTED_VALUE"""),"NÃO POSSUI")</f>
        <v>NÃO POSSUI</v>
      </c>
      <c r="D251" s="5" t="str">
        <f>IFERROR(__xludf.DUMMYFUNCTION("""COMPUTED_VALUE"""),"SEM PLACA")</f>
        <v>SEM PLACA</v>
      </c>
      <c r="E251" s="5" t="str">
        <f>IFERROR(__xludf.DUMMYFUNCTION("""COMPUTED_VALUE"""),"SEM BAIA")</f>
        <v>SEM BAIA</v>
      </c>
      <c r="F251" s="5" t="str">
        <f>IFERROR(__xludf.DUMMYFUNCTION("""COMPUTED_VALUE"""),"NÃO")</f>
        <v>NÃO</v>
      </c>
      <c r="G251" s="5" t="str">
        <f>IFERROR(__xludf.DUMMYFUNCTION("""COMPUTED_VALUE"""),"NÃO")</f>
        <v>NÃO</v>
      </c>
      <c r="H251" s="5" t="str">
        <f>IFERROR(__xludf.DUMMYFUNCTION("""COMPUTED_VALUE"""),"PAVIMENTADA COM AVARIAS")</f>
        <v>PAVIMENTADA COM AVARIAS</v>
      </c>
      <c r="I251" s="6" t="str">
        <f>IFERROR(__xludf.DUMMYFUNCTION("""COMPUTED_VALUE"""),"-9.559139")</f>
        <v>-9.559139</v>
      </c>
      <c r="J251" s="6" t="str">
        <f>IFERROR(__xludf.DUMMYFUNCTION("""COMPUTED_VALUE""")," -35.765077")</f>
        <v> -35.765077</v>
      </c>
      <c r="K251" s="5" t="str">
        <f>IFERROR(__xludf.DUMMYFUNCTION("""COMPUTED_VALUE"""),"RUA UM, S/N")</f>
        <v>RUA UM, S/N</v>
      </c>
      <c r="L251" s="5" t="str">
        <f>IFERROR(__xludf.DUMMYFUNCTION("""COMPUTED_VALUE"""),"COLETORA")</f>
        <v>COLETORA</v>
      </c>
      <c r="M251" s="5" t="str">
        <f>IFERROR(__xludf.DUMMYFUNCTION("""COMPUTED_VALUE"""),"CIDADE UNIVERSITÁRIA")</f>
        <v>CIDADE UNIVERSITÁRIA</v>
      </c>
      <c r="N251" s="5" t="str">
        <f>IFERROR(__xludf.DUMMYFUNCTION("""COMPUTED_VALUE"""),"CENTRO - BAIRRO")</f>
        <v>CENTRO - BAIRRO</v>
      </c>
      <c r="O251" s="5" t="str">
        <f>IFERROR(__xludf.DUMMYFUNCTION("""COMPUTED_VALUE"""),"MURO LATERAL DO RESIDENCIAL TABULEIRO DOS MARTINS")</f>
        <v>MURO LATERAL DO RESIDENCIAL TABULEIRO DOS MARTINS</v>
      </c>
      <c r="P251" s="5" t="str">
        <f>IFERROR(__xludf.DUMMYFUNCTION("""COMPUTED_VALUE"""),"URGENTE")</f>
        <v>URGENTE</v>
      </c>
      <c r="Q251" s="5" t="str">
        <f>IFERROR(__xludf.DUMMYFUNCTION("""COMPUTED_VALUE"""),"READEQUAÇÃO DE CALÇADA COM ACESSIBILIDADE, PINTURA DE BAÍA NO ASFALTO.")</f>
        <v>READEQUAÇÃO DE CALÇADA COM ACESSIBILIDADE, PINTURA DE BAÍA NO ASFALTO.</v>
      </c>
      <c r="R251" s="5" t="str">
        <f>IFERROR(__xludf.DUMMYFUNCTION("""COMPUTED_VALUE"""),"NENHUMA DAS OPÇÕES")</f>
        <v>NENHUMA DAS OPÇÕES</v>
      </c>
      <c r="S251" s="5"/>
      <c r="T251" s="5"/>
      <c r="U251" s="5"/>
      <c r="V251" s="9" t="str">
        <f>IFERROR(__xludf.DUMMYFUNCTION("""COMPUTED_VALUE"""),"https://drive.google.com/uc?id=1JZlowolduIsUHgVXO6gIs29ArKCqVcd8")</f>
        <v>https://drive.google.com/uc?id=1JZlowolduIsUHgVXO6gIs29ArKCqVcd8</v>
      </c>
      <c r="W251" s="5" t="str">
        <f>IFERROR(__xludf.DUMMYFUNCTION("""COMPUTED_VALUE"""),"NÃO")</f>
        <v>NÃO</v>
      </c>
      <c r="X251" s="5" t="str">
        <f>IFERROR(__xludf.DUMMYFUNCTION("""COMPUTED_VALUE"""),"NÃO SE APLICA")</f>
        <v>NÃO SE APLICA</v>
      </c>
    </row>
    <row r="252" hidden="1">
      <c r="A252" s="5">
        <f>IFERROR(__xludf.DUMMYFUNCTION("""COMPUTED_VALUE"""),7.0)</f>
        <v>7</v>
      </c>
      <c r="B252" s="5" t="str">
        <f>IFERROR(__xludf.DUMMYFUNCTION("""COMPUTED_VALUE"""),"CV086")</f>
        <v>CV086</v>
      </c>
      <c r="C252" s="5" t="str">
        <f>IFERROR(__xludf.DUMMYFUNCTION("""COMPUTED_VALUE"""),"NÃO POSSUI")</f>
        <v>NÃO POSSUI</v>
      </c>
      <c r="D252" s="5" t="str">
        <f>IFERROR(__xludf.DUMMYFUNCTION("""COMPUTED_VALUE"""),"COM SUPORTE")</f>
        <v>COM SUPORTE</v>
      </c>
      <c r="E252" s="5" t="str">
        <f>IFERROR(__xludf.DUMMYFUNCTION("""COMPUTED_VALUE"""),"SEM BAIA")</f>
        <v>SEM BAIA</v>
      </c>
      <c r="F252" s="5" t="str">
        <f>IFERROR(__xludf.DUMMYFUNCTION("""COMPUTED_VALUE"""),"SIM")</f>
        <v>SIM</v>
      </c>
      <c r="G252" s="5" t="str">
        <f>IFERROR(__xludf.DUMMYFUNCTION("""COMPUTED_VALUE"""),"NÃO")</f>
        <v>NÃO</v>
      </c>
      <c r="H252" s="5" t="str">
        <f>IFERROR(__xludf.DUMMYFUNCTION("""COMPUTED_VALUE"""),"PAVIMENTADA")</f>
        <v>PAVIMENTADA</v>
      </c>
      <c r="I252" s="6" t="str">
        <f>IFERROR(__xludf.DUMMYFUNCTION("""COMPUTED_VALUE"""),"-9.55454")</f>
        <v>-9.55454</v>
      </c>
      <c r="J252" s="6" t="str">
        <f>IFERROR(__xludf.DUMMYFUNCTION("""COMPUTED_VALUE"""),"-35.76657")</f>
        <v>-35.76657</v>
      </c>
      <c r="K252" s="5" t="str">
        <f>IFERROR(__xludf.DUMMYFUNCTION("""COMPUTED_VALUE"""),"AV. JOSÉ AILTON DOS SANTOS, 46")</f>
        <v>AV. JOSÉ AILTON DOS SANTOS, 46</v>
      </c>
      <c r="L252" s="5" t="str">
        <f>IFERROR(__xludf.DUMMYFUNCTION("""COMPUTED_VALUE"""),"COLETORA")</f>
        <v>COLETORA</v>
      </c>
      <c r="M252" s="5" t="str">
        <f>IFERROR(__xludf.DUMMYFUNCTION("""COMPUTED_VALUE"""),"CIDADE UNIVERSITÁRIA")</f>
        <v>CIDADE UNIVERSITÁRIA</v>
      </c>
      <c r="N252" s="5" t="str">
        <f>IFERROR(__xludf.DUMMYFUNCTION("""COMPUTED_VALUE"""),"CENTRO - BAIRRO")</f>
        <v>CENTRO - BAIRRO</v>
      </c>
      <c r="O252" s="5" t="str">
        <f>IFERROR(__xludf.DUMMYFUNCTION("""COMPUTED_VALUE"""),"AV. JOSÉ AILTON DOS SANTOS, 4")</f>
        <v>AV. JOSÉ AILTON DOS SANTOS, 4</v>
      </c>
      <c r="P252" s="5" t="str">
        <f>IFERROR(__xludf.DUMMYFUNCTION("""COMPUTED_VALUE"""),"PRIORIDADE BAIXA")</f>
        <v>PRIORIDADE BAIXA</v>
      </c>
      <c r="Q252" s="5" t="str">
        <f>IFERROR(__xludf.DUMMYFUNCTION("""COMPUTED_VALUE"""),"READEQUAÇÃO DE CALÇADA COM ACESSIBILIDADE, PINTURA DE BAÍA NO ASFALTO.")</f>
        <v>READEQUAÇÃO DE CALÇADA COM ACESSIBILIDADE, PINTURA DE BAÍA NO ASFALTO.</v>
      </c>
      <c r="R252" s="5" t="str">
        <f>IFERROR(__xludf.DUMMYFUNCTION("""COMPUTED_VALUE"""),"IMPLANTAR ABRIGO")</f>
        <v>IMPLANTAR ABRIGO</v>
      </c>
      <c r="S252" s="5"/>
      <c r="T252" s="5"/>
      <c r="U252" s="5"/>
      <c r="V252" s="9" t="str">
        <f>IFERROR(__xludf.DUMMYFUNCTION("""COMPUTED_VALUE"""),"https://drive.google.com/uc?id=1CrcOa3_zlcg5OWSuHpa312tiLUMVxEhs")</f>
        <v>https://drive.google.com/uc?id=1CrcOa3_zlcg5OWSuHpa312tiLUMVxEhs</v>
      </c>
      <c r="W252" s="5" t="str">
        <f>IFERROR(__xludf.DUMMYFUNCTION("""COMPUTED_VALUE"""),"NÃO")</f>
        <v>NÃO</v>
      </c>
      <c r="X252" s="5" t="str">
        <f>IFERROR(__xludf.DUMMYFUNCTION("""COMPUTED_VALUE"""),"NÃO SE APLICA")</f>
        <v>NÃO SE APLICA</v>
      </c>
    </row>
    <row r="253">
      <c r="A253" s="5">
        <f>IFERROR(__xludf.DUMMYFUNCTION("""COMPUTED_VALUE"""),7.0)</f>
        <v>7</v>
      </c>
      <c r="B253" s="5" t="str">
        <f>IFERROR(__xludf.DUMMYFUNCTION("""COMPUTED_VALUE"""),"CV087")</f>
        <v>CV087</v>
      </c>
      <c r="C253" s="5" t="str">
        <f>IFERROR(__xludf.DUMMYFUNCTION("""COMPUTED_VALUE"""),"ABRIGO CONCRETO")</f>
        <v>ABRIGO CONCRETO</v>
      </c>
      <c r="D253" s="5" t="str">
        <f>IFERROR(__xludf.DUMMYFUNCTION("""COMPUTED_VALUE"""),"SEM PLACA")</f>
        <v>SEM PLACA</v>
      </c>
      <c r="E253" s="5" t="str">
        <f>IFERROR(__xludf.DUMMYFUNCTION("""COMPUTED_VALUE"""),"SEM BAIA")</f>
        <v>SEM BAIA</v>
      </c>
      <c r="F253" s="5" t="str">
        <f>IFERROR(__xludf.DUMMYFUNCTION("""COMPUTED_VALUE"""),"NÃO")</f>
        <v>NÃO</v>
      </c>
      <c r="G253" s="5" t="str">
        <f>IFERROR(__xludf.DUMMYFUNCTION("""COMPUTED_VALUE"""),"NÃO")</f>
        <v>NÃO</v>
      </c>
      <c r="H253" s="5" t="str">
        <f>IFERROR(__xludf.DUMMYFUNCTION("""COMPUTED_VALUE"""),"NÃO PAVIMENTADA")</f>
        <v>NÃO PAVIMENTADA</v>
      </c>
      <c r="I253" s="6" t="str">
        <f>IFERROR(__xludf.DUMMYFUNCTION("""COMPUTED_VALUE"""),"-9.554359")</f>
        <v>-9.554359</v>
      </c>
      <c r="J253" s="6" t="str">
        <f>IFERROR(__xludf.DUMMYFUNCTION("""COMPUTED_VALUE"""),"-35.766293")</f>
        <v>-35.766293</v>
      </c>
      <c r="K253" s="5" t="str">
        <f>IFERROR(__xludf.DUMMYFUNCTION("""COMPUTED_VALUE"""),"AV. JOSÉ AILTON DOS SANTOS, 50B")</f>
        <v>AV. JOSÉ AILTON DOS SANTOS, 50B</v>
      </c>
      <c r="L253" s="5" t="str">
        <f>IFERROR(__xludf.DUMMYFUNCTION("""COMPUTED_VALUE"""),"COLETORA")</f>
        <v>COLETORA</v>
      </c>
      <c r="M253" s="5" t="str">
        <f>IFERROR(__xludf.DUMMYFUNCTION("""COMPUTED_VALUE"""),"CIDADE UNIVERSITÁRIA")</f>
        <v>CIDADE UNIVERSITÁRIA</v>
      </c>
      <c r="N253" s="5" t="str">
        <f>IFERROR(__xludf.DUMMYFUNCTION("""COMPUTED_VALUE"""),"BAIRRO - CENTRO")</f>
        <v>BAIRRO - CENTRO</v>
      </c>
      <c r="O253" s="5" t="str">
        <f>IFERROR(__xludf.DUMMYFUNCTION("""COMPUTED_VALUE"""),"PRÓXIMO A CASA 50B")</f>
        <v>PRÓXIMO A CASA 50B</v>
      </c>
      <c r="P253" s="5" t="str">
        <f>IFERROR(__xludf.DUMMYFUNCTION("""COMPUTED_VALUE"""),"PRIORIDADE MÉDIA")</f>
        <v>PRIORIDADE MÉDIA</v>
      </c>
      <c r="Q253" s="5" t="str">
        <f>IFERROR(__xludf.DUMMYFUNCTION("""COMPUTED_VALUE"""),"NECESSÁRIO REPINTURA DE ABRIGO, E LIMPEZA DA COBERTA, READEQUAÇÃO DE CALÇADA COM ACESSIBILIDADE, PINTURA DE BAÍA NO ASFALTO.")</f>
        <v>NECESSÁRIO REPINTURA DE ABRIGO, E LIMPEZA DA COBERTA, READEQUAÇÃO DE CALÇADA COM ACESSIBILIDADE, PINTURA DE BAÍA NO ASFALTO.</v>
      </c>
      <c r="R253" s="5" t="str">
        <f>IFERROR(__xludf.DUMMYFUNCTION("""COMPUTED_VALUE"""),"SUBSTITUIR ABRIGO")</f>
        <v>SUBSTITUIR ABRIGO</v>
      </c>
      <c r="S253" s="5"/>
      <c r="T253" s="5"/>
      <c r="U253" s="5"/>
      <c r="V253" s="9" t="str">
        <f>IFERROR(__xludf.DUMMYFUNCTION("""COMPUTED_VALUE"""),"https://drive.google.com/uc?id=1WdrVF2B1G4ZOI2Goxh3ce4s48GmI8rlN")</f>
        <v>https://drive.google.com/uc?id=1WdrVF2B1G4ZOI2Goxh3ce4s48GmI8rlN</v>
      </c>
      <c r="W253" s="5" t="str">
        <f>IFERROR(__xludf.DUMMYFUNCTION("""COMPUTED_VALUE"""),"NÃO")</f>
        <v>NÃO</v>
      </c>
      <c r="X253" s="5" t="str">
        <f>IFERROR(__xludf.DUMMYFUNCTION("""COMPUTED_VALUE"""),"NÃO SE APLICA")</f>
        <v>NÃO SE APLICA</v>
      </c>
    </row>
    <row r="254" ht="18.0" hidden="1" customHeight="1">
      <c r="A254" s="5">
        <f>IFERROR(__xludf.DUMMYFUNCTION("""COMPUTED_VALUE"""),7.0)</f>
        <v>7</v>
      </c>
      <c r="B254" s="5" t="str">
        <f>IFERROR(__xludf.DUMMYFUNCTION("""COMPUTED_VALUE"""),"CV088")</f>
        <v>CV088</v>
      </c>
      <c r="C254" s="5" t="str">
        <f>IFERROR(__xludf.DUMMYFUNCTION("""COMPUTED_VALUE"""),"NÃO POSSUI")</f>
        <v>NÃO POSSUI</v>
      </c>
      <c r="D254" s="5" t="str">
        <f>IFERROR(__xludf.DUMMYFUNCTION("""COMPUTED_VALUE"""),"FIXADA EM POSTE")</f>
        <v>FIXADA EM POSTE</v>
      </c>
      <c r="E254" s="5" t="str">
        <f>IFERROR(__xludf.DUMMYFUNCTION("""COMPUTED_VALUE"""),"SEM BAIA")</f>
        <v>SEM BAIA</v>
      </c>
      <c r="F254" s="5" t="str">
        <f>IFERROR(__xludf.DUMMYFUNCTION("""COMPUTED_VALUE"""),"SIM")</f>
        <v>SIM</v>
      </c>
      <c r="G254" s="5" t="str">
        <f>IFERROR(__xludf.DUMMYFUNCTION("""COMPUTED_VALUE"""),"NÃO")</f>
        <v>NÃO</v>
      </c>
      <c r="H254" s="5" t="str">
        <f>IFERROR(__xludf.DUMMYFUNCTION("""COMPUTED_VALUE"""),"PAVIMENTADA COM AVARIAS")</f>
        <v>PAVIMENTADA COM AVARIAS</v>
      </c>
      <c r="I254" s="6" t="str">
        <f>IFERROR(__xludf.DUMMYFUNCTION("""COMPUTED_VALUE"""),"-9.55356")</f>
        <v>-9.55356</v>
      </c>
      <c r="J254" s="6" t="str">
        <f>IFERROR(__xludf.DUMMYFUNCTION("""COMPUTED_VALUE"""),"-35.76460")</f>
        <v>-35.76460</v>
      </c>
      <c r="K254" s="5" t="str">
        <f>IFERROR(__xludf.DUMMYFUNCTION("""COMPUTED_VALUE"""),"AV. JOSÉ AILTON DOS SANTOS, 29")</f>
        <v>AV. JOSÉ AILTON DOS SANTOS, 29</v>
      </c>
      <c r="L254" s="5" t="str">
        <f>IFERROR(__xludf.DUMMYFUNCTION("""COMPUTED_VALUE"""),"COLETORA")</f>
        <v>COLETORA</v>
      </c>
      <c r="M254" s="5" t="str">
        <f>IFERROR(__xludf.DUMMYFUNCTION("""COMPUTED_VALUE"""),"CIDADE UNIVERSITÁRIA")</f>
        <v>CIDADE UNIVERSITÁRIA</v>
      </c>
      <c r="N254" s="5" t="str">
        <f>IFERROR(__xludf.DUMMYFUNCTION("""COMPUTED_VALUE"""),"CENTRO - BAIRRO")</f>
        <v>CENTRO - BAIRRO</v>
      </c>
      <c r="O254" s="5" t="str">
        <f>IFERROR(__xludf.DUMMYFUNCTION("""COMPUTED_VALUE"""),"EM FRENTE A CASA 29")</f>
        <v>EM FRENTE A CASA 29</v>
      </c>
      <c r="P254" s="5" t="str">
        <f>IFERROR(__xludf.DUMMYFUNCTION("""COMPUTED_VALUE"""),"PRIORIDADE BAIXA")</f>
        <v>PRIORIDADE BAIXA</v>
      </c>
      <c r="Q254" s="5" t="str">
        <f>IFERROR(__xludf.DUMMYFUNCTION("""COMPUTED_VALUE"""),"READEQUAÇÃO DE CALÇADA COM ACESSIBILIDADE, PINTURA DE BAÍA NO ASFALTO.")</f>
        <v>READEQUAÇÃO DE CALÇADA COM ACESSIBILIDADE, PINTURA DE BAÍA NO ASFALTO.</v>
      </c>
      <c r="R254" s="5" t="str">
        <f>IFERROR(__xludf.DUMMYFUNCTION("""COMPUTED_VALUE"""),"IMPLANTAR ABRIGO")</f>
        <v>IMPLANTAR ABRIGO</v>
      </c>
      <c r="S254" s="5"/>
      <c r="T254" s="5"/>
      <c r="U254" s="5"/>
      <c r="V254" s="9" t="str">
        <f>IFERROR(__xludf.DUMMYFUNCTION("""COMPUTED_VALUE"""),"https://drive.google.com/uc?id=1zTqclzaMBt-MXq_fnTCBtOiWP9C3m9js")</f>
        <v>https://drive.google.com/uc?id=1zTqclzaMBt-MXq_fnTCBtOiWP9C3m9js</v>
      </c>
      <c r="W254" s="5" t="str">
        <f>IFERROR(__xludf.DUMMYFUNCTION("""COMPUTED_VALUE"""),"NÃO")</f>
        <v>NÃO</v>
      </c>
      <c r="X254" s="5" t="str">
        <f>IFERROR(__xludf.DUMMYFUNCTION("""COMPUTED_VALUE"""),"NÃO SE APLICA")</f>
        <v>NÃO SE APLICA</v>
      </c>
    </row>
    <row r="255">
      <c r="A255" s="5">
        <f>IFERROR(__xludf.DUMMYFUNCTION("""COMPUTED_VALUE"""),7.0)</f>
        <v>7</v>
      </c>
      <c r="B255" s="5" t="str">
        <f>IFERROR(__xludf.DUMMYFUNCTION("""COMPUTED_VALUE"""),"CV089")</f>
        <v>CV089</v>
      </c>
      <c r="C255" s="5" t="str">
        <f>IFERROR(__xludf.DUMMYFUNCTION("""COMPUTED_VALUE"""),"ABRIGO CONCRETO")</f>
        <v>ABRIGO CONCRETO</v>
      </c>
      <c r="D255" s="5" t="str">
        <f>IFERROR(__xludf.DUMMYFUNCTION("""COMPUTED_VALUE"""),"SEM PLACA")</f>
        <v>SEM PLACA</v>
      </c>
      <c r="E255" s="5" t="str">
        <f>IFERROR(__xludf.DUMMYFUNCTION("""COMPUTED_VALUE"""),"SEM BAIA")</f>
        <v>SEM BAIA</v>
      </c>
      <c r="F255" s="5" t="str">
        <f>IFERROR(__xludf.DUMMYFUNCTION("""COMPUTED_VALUE"""),"NÃO")</f>
        <v>NÃO</v>
      </c>
      <c r="G255" s="5" t="str">
        <f>IFERROR(__xludf.DUMMYFUNCTION("""COMPUTED_VALUE"""),"NÃO")</f>
        <v>NÃO</v>
      </c>
      <c r="H255" s="5" t="str">
        <f>IFERROR(__xludf.DUMMYFUNCTION("""COMPUTED_VALUE"""),"PAVIMENTADA")</f>
        <v>PAVIMENTADA</v>
      </c>
      <c r="I255" s="6" t="str">
        <f>IFERROR(__xludf.DUMMYFUNCTION("""COMPUTED_VALUE"""),"-9.552958")</f>
        <v>-9.552958</v>
      </c>
      <c r="J255" s="6" t="str">
        <f>IFERROR(__xludf.DUMMYFUNCTION("""COMPUTED_VALUE"""),"-35.763645")</f>
        <v>-35.763645</v>
      </c>
      <c r="K255" s="5" t="str">
        <f>IFERROR(__xludf.DUMMYFUNCTION("""COMPUTED_VALUE"""),"AV. JOSÉ AILTON DOS SANTOS, 27")</f>
        <v>AV. JOSÉ AILTON DOS SANTOS, 27</v>
      </c>
      <c r="L255" s="5" t="str">
        <f>IFERROR(__xludf.DUMMYFUNCTION("""COMPUTED_VALUE"""),"COLETORA")</f>
        <v>COLETORA</v>
      </c>
      <c r="M255" s="5" t="str">
        <f>IFERROR(__xludf.DUMMYFUNCTION("""COMPUTED_VALUE"""),"CIDADE UNIVERSITÁRIA")</f>
        <v>CIDADE UNIVERSITÁRIA</v>
      </c>
      <c r="N255" s="5" t="str">
        <f>IFERROR(__xludf.DUMMYFUNCTION("""COMPUTED_VALUE"""),"BAIRRO - CENTRO")</f>
        <v>BAIRRO - CENTRO</v>
      </c>
      <c r="O255" s="5" t="str">
        <f>IFERROR(__xludf.DUMMYFUNCTION("""COMPUTED_VALUE"""),"PRÓXIMO A CASA 27")</f>
        <v>PRÓXIMO A CASA 27</v>
      </c>
      <c r="P255" s="5" t="str">
        <f>IFERROR(__xludf.DUMMYFUNCTION("""COMPUTED_VALUE"""),"PRIORIDADE MÉDIA")</f>
        <v>PRIORIDADE MÉDIA</v>
      </c>
      <c r="Q255" s="5" t="str">
        <f>IFERROR(__xludf.DUMMYFUNCTION("""COMPUTED_VALUE"""),"NECESSÁRIO REPINTURA DE ABRIGO, LIMPEZA DA COBERTA READEQUAÇÃO DE CALÇADA COM ACESSIBILIDADE, PINTURA DE BAÍA NO ASFALTO.")</f>
        <v>NECESSÁRIO REPINTURA DE ABRIGO, LIMPEZA DA COBERTA READEQUAÇÃO DE CALÇADA COM ACESSIBILIDADE, PINTURA DE BAÍA NO ASFALTO.</v>
      </c>
      <c r="R255" s="5" t="str">
        <f>IFERROR(__xludf.DUMMYFUNCTION("""COMPUTED_VALUE"""),"SUBSTITUIR ABRIGO")</f>
        <v>SUBSTITUIR ABRIGO</v>
      </c>
      <c r="S255" s="5"/>
      <c r="T255" s="5"/>
      <c r="U255" s="5"/>
      <c r="V255" s="9" t="str">
        <f>IFERROR(__xludf.DUMMYFUNCTION("""COMPUTED_VALUE"""),"https://drive.google.com/uc?id=14VlpZNq8Xf7WdxlBaFnqua7dC36X23GX")</f>
        <v>https://drive.google.com/uc?id=14VlpZNq8Xf7WdxlBaFnqua7dC36X23GX</v>
      </c>
      <c r="W255" s="5" t="str">
        <f>IFERROR(__xludf.DUMMYFUNCTION("""COMPUTED_VALUE"""),"NÃO")</f>
        <v>NÃO</v>
      </c>
      <c r="X255" s="5" t="str">
        <f>IFERROR(__xludf.DUMMYFUNCTION("""COMPUTED_VALUE"""),"NÃO SE APLICA")</f>
        <v>NÃO SE APLICA</v>
      </c>
    </row>
    <row r="256" hidden="1">
      <c r="A256" s="5">
        <f>IFERROR(__xludf.DUMMYFUNCTION("""COMPUTED_VALUE"""),7.0)</f>
        <v>7</v>
      </c>
      <c r="B256" s="5" t="str">
        <f>IFERROR(__xludf.DUMMYFUNCTION("""COMPUTED_VALUE"""),"CV090")</f>
        <v>CV090</v>
      </c>
      <c r="C256" s="5" t="str">
        <f>IFERROR(__xludf.DUMMYFUNCTION("""COMPUTED_VALUE"""),"NÃO POSSUI")</f>
        <v>NÃO POSSUI</v>
      </c>
      <c r="D256" s="5" t="str">
        <f>IFERROR(__xludf.DUMMYFUNCTION("""COMPUTED_VALUE"""),"COM SUPORTE")</f>
        <v>COM SUPORTE</v>
      </c>
      <c r="E256" s="5" t="str">
        <f>IFERROR(__xludf.DUMMYFUNCTION("""COMPUTED_VALUE"""),"SEM BAIA")</f>
        <v>SEM BAIA</v>
      </c>
      <c r="F256" s="5" t="str">
        <f>IFERROR(__xludf.DUMMYFUNCTION("""COMPUTED_VALUE"""),"SIM")</f>
        <v>SIM</v>
      </c>
      <c r="G256" s="5" t="str">
        <f>IFERROR(__xludf.DUMMYFUNCTION("""COMPUTED_VALUE"""),"NÃO")</f>
        <v>NÃO</v>
      </c>
      <c r="H256" s="5" t="str">
        <f>IFERROR(__xludf.DUMMYFUNCTION("""COMPUTED_VALUE"""),"PAVIMENTADA")</f>
        <v>PAVIMENTADA</v>
      </c>
      <c r="I256" s="6" t="str">
        <f>IFERROR(__xludf.DUMMYFUNCTION("""COMPUTED_VALUE"""),"-9.552454")</f>
        <v>-9.552454</v>
      </c>
      <c r="J256" s="6" t="str">
        <f>IFERROR(__xludf.DUMMYFUNCTION("""COMPUTED_VALUE"""),"-35.762474")</f>
        <v>-35.762474</v>
      </c>
      <c r="K256" s="5" t="str">
        <f>IFERROR(__xludf.DUMMYFUNCTION("""COMPUTED_VALUE"""),"AV. JOSÉ AILTON DOS SANTOS, 130")</f>
        <v>AV. JOSÉ AILTON DOS SANTOS, 130</v>
      </c>
      <c r="L256" s="5" t="str">
        <f>IFERROR(__xludf.DUMMYFUNCTION("""COMPUTED_VALUE"""),"COLETORA")</f>
        <v>COLETORA</v>
      </c>
      <c r="M256" s="5" t="str">
        <f>IFERROR(__xludf.DUMMYFUNCTION("""COMPUTED_VALUE"""),"CIDADE UNIVERSITÁRIA")</f>
        <v>CIDADE UNIVERSITÁRIA</v>
      </c>
      <c r="N256" s="5" t="str">
        <f>IFERROR(__xludf.DUMMYFUNCTION("""COMPUTED_VALUE"""),"CENTRO - BAIRRO")</f>
        <v>CENTRO - BAIRRO</v>
      </c>
      <c r="O256" s="5" t="str">
        <f>IFERROR(__xludf.DUMMYFUNCTION("""COMPUTED_VALUE"""),"EM FRENTE A ESCOLA MUNICIPAL HÉVIA VALÉRIA MAIA AMORIM")</f>
        <v>EM FRENTE A ESCOLA MUNICIPAL HÉVIA VALÉRIA MAIA AMORIM</v>
      </c>
      <c r="P256" s="5" t="str">
        <f>IFERROR(__xludf.DUMMYFUNCTION("""COMPUTED_VALUE"""),"PRIORIDADE BAIXA")</f>
        <v>PRIORIDADE BAIXA</v>
      </c>
      <c r="Q256" s="5" t="str">
        <f>IFERROR(__xludf.DUMMYFUNCTION("""COMPUTED_VALUE"""),"READEQUAÇÃO DE CALÇADA COM ACESSIBILIDADE, PINTURA DE BAÍA NO ASFALTO.")</f>
        <v>READEQUAÇÃO DE CALÇADA COM ACESSIBILIDADE, PINTURA DE BAÍA NO ASFALTO.</v>
      </c>
      <c r="R256" s="5" t="str">
        <f>IFERROR(__xludf.DUMMYFUNCTION("""COMPUTED_VALUE"""),"NENHUMA DAS OPÇÕES")</f>
        <v>NENHUMA DAS OPÇÕES</v>
      </c>
      <c r="S256" s="5"/>
      <c r="T256" s="5"/>
      <c r="U256" s="5"/>
      <c r="V256" s="9" t="str">
        <f>IFERROR(__xludf.DUMMYFUNCTION("""COMPUTED_VALUE"""),"https://drive.google.com/uc?id=1n2gRL83I3a3_2z3RcREtlK_J1RnR_kcQ")</f>
        <v>https://drive.google.com/uc?id=1n2gRL83I3a3_2z3RcREtlK_J1RnR_kcQ</v>
      </c>
      <c r="W256" s="5" t="str">
        <f>IFERROR(__xludf.DUMMYFUNCTION("""COMPUTED_VALUE"""),"NÃO")</f>
        <v>NÃO</v>
      </c>
      <c r="X256" s="5" t="str">
        <f>IFERROR(__xludf.DUMMYFUNCTION("""COMPUTED_VALUE"""),"NÃO SE APLICA")</f>
        <v>NÃO SE APLICA</v>
      </c>
    </row>
    <row r="257" ht="19.5" customHeight="1">
      <c r="A257" s="5">
        <f>IFERROR(__xludf.DUMMYFUNCTION("""COMPUTED_VALUE"""),7.0)</f>
        <v>7</v>
      </c>
      <c r="B257" s="5" t="str">
        <f>IFERROR(__xludf.DUMMYFUNCTION("""COMPUTED_VALUE"""),"CV091")</f>
        <v>CV091</v>
      </c>
      <c r="C257" s="5" t="str">
        <f>IFERROR(__xludf.DUMMYFUNCTION("""COMPUTED_VALUE"""),"ABRIGO CONCRETO")</f>
        <v>ABRIGO CONCRETO</v>
      </c>
      <c r="D257" s="5" t="str">
        <f>IFERROR(__xludf.DUMMYFUNCTION("""COMPUTED_VALUE"""),"SEM PLACA")</f>
        <v>SEM PLACA</v>
      </c>
      <c r="E257" s="5" t="str">
        <f>IFERROR(__xludf.DUMMYFUNCTION("""COMPUTED_VALUE"""),"SEM BAIA")</f>
        <v>SEM BAIA</v>
      </c>
      <c r="F257" s="5" t="str">
        <f>IFERROR(__xludf.DUMMYFUNCTION("""COMPUTED_VALUE"""),"NÃO")</f>
        <v>NÃO</v>
      </c>
      <c r="G257" s="5" t="str">
        <f>IFERROR(__xludf.DUMMYFUNCTION("""COMPUTED_VALUE"""),"NÃO")</f>
        <v>NÃO</v>
      </c>
      <c r="H257" s="5" t="str">
        <f>IFERROR(__xludf.DUMMYFUNCTION("""COMPUTED_VALUE"""),"NÃO PAVIMENTADA")</f>
        <v>NÃO PAVIMENTADA</v>
      </c>
      <c r="I257" s="6" t="str">
        <f>IFERROR(__xludf.DUMMYFUNCTION("""COMPUTED_VALUE"""),"-9.551715")</f>
        <v>-9.551715</v>
      </c>
      <c r="J257" s="6" t="str">
        <f>IFERROR(__xludf.DUMMYFUNCTION("""COMPUTED_VALUE"""),"-35.761039")</f>
        <v>-35.761039</v>
      </c>
      <c r="K257" s="5" t="str">
        <f>IFERROR(__xludf.DUMMYFUNCTION("""COMPUTED_VALUE"""),"AV. JOSÉ AILTON DOS SANTOS, 200")</f>
        <v>AV. JOSÉ AILTON DOS SANTOS, 200</v>
      </c>
      <c r="L257" s="5" t="str">
        <f>IFERROR(__xludf.DUMMYFUNCTION("""COMPUTED_VALUE"""),"COLETORA")</f>
        <v>COLETORA</v>
      </c>
      <c r="M257" s="5" t="str">
        <f>IFERROR(__xludf.DUMMYFUNCTION("""COMPUTED_VALUE"""),"CIDADE UNIVERSITÁRIA")</f>
        <v>CIDADE UNIVERSITÁRIA</v>
      </c>
      <c r="N257" s="5" t="str">
        <f>IFERROR(__xludf.DUMMYFUNCTION("""COMPUTED_VALUE"""),"BAIRRO - CENTRO")</f>
        <v>BAIRRO - CENTRO</v>
      </c>
      <c r="O257" s="5" t="str">
        <f>IFERROR(__xludf.DUMMYFUNCTION("""COMPUTED_VALUE"""),"EM FRENTE A ARENA VILLAGE")</f>
        <v>EM FRENTE A ARENA VILLAGE</v>
      </c>
      <c r="P257" s="5" t="str">
        <f>IFERROR(__xludf.DUMMYFUNCTION("""COMPUTED_VALUE"""),"PRIORIDADE MÉDIA")</f>
        <v>PRIORIDADE MÉDIA</v>
      </c>
      <c r="Q257" s="5" t="str">
        <f>IFERROR(__xludf.DUMMYFUNCTION("""COMPUTED_VALUE"""),"NECESSÁRIO REPINTURA DE ABRIGO, READEQUAÇÃO DE CALÇADA COM ACESSIBILIDADE, PINTURA DE BAÍA NO ASFALTO.")</f>
        <v>NECESSÁRIO REPINTURA DE ABRIGO, READEQUAÇÃO DE CALÇADA COM ACESSIBILIDADE, PINTURA DE BAÍA NO ASFALTO.</v>
      </c>
      <c r="R257" s="5" t="str">
        <f>IFERROR(__xludf.DUMMYFUNCTION("""COMPUTED_VALUE"""),"SUBSTITUIR ABRIGO")</f>
        <v>SUBSTITUIR ABRIGO</v>
      </c>
      <c r="S257" s="5"/>
      <c r="T257" s="5"/>
      <c r="U257" s="5"/>
      <c r="V257" s="9" t="str">
        <f>IFERROR(__xludf.DUMMYFUNCTION("""COMPUTED_VALUE"""),"https://drive.google.com/uc?id=1edUyyoOEPSvQ04sBDpz1uUme0Cn-Ib7k")</f>
        <v>https://drive.google.com/uc?id=1edUyyoOEPSvQ04sBDpz1uUme0Cn-Ib7k</v>
      </c>
      <c r="W257" s="5" t="str">
        <f>IFERROR(__xludf.DUMMYFUNCTION("""COMPUTED_VALUE"""),"NÃO")</f>
        <v>NÃO</v>
      </c>
      <c r="X257" s="5" t="str">
        <f>IFERROR(__xludf.DUMMYFUNCTION("""COMPUTED_VALUE"""),"NÃO SE APLICA")</f>
        <v>NÃO SE APLICA</v>
      </c>
    </row>
    <row r="258" hidden="1">
      <c r="A258" s="5">
        <f>IFERROR(__xludf.DUMMYFUNCTION("""COMPUTED_VALUE"""),7.0)</f>
        <v>7</v>
      </c>
      <c r="B258" s="5" t="str">
        <f>IFERROR(__xludf.DUMMYFUNCTION("""COMPUTED_VALUE"""),"CV092")</f>
        <v>CV092</v>
      </c>
      <c r="C258" s="5" t="str">
        <f>IFERROR(__xludf.DUMMYFUNCTION("""COMPUTED_VALUE"""),"NÃO POSSUI")</f>
        <v>NÃO POSSUI</v>
      </c>
      <c r="D258" s="5" t="str">
        <f>IFERROR(__xludf.DUMMYFUNCTION("""COMPUTED_VALUE"""),"SEM PLACA")</f>
        <v>SEM PLACA</v>
      </c>
      <c r="E258" s="5" t="str">
        <f>IFERROR(__xludf.DUMMYFUNCTION("""COMPUTED_VALUE"""),"SEM BAIA")</f>
        <v>SEM BAIA</v>
      </c>
      <c r="F258" s="5" t="str">
        <f>IFERROR(__xludf.DUMMYFUNCTION("""COMPUTED_VALUE"""),"SIM")</f>
        <v>SIM</v>
      </c>
      <c r="G258" s="5" t="str">
        <f>IFERROR(__xludf.DUMMYFUNCTION("""COMPUTED_VALUE"""),"NÃO")</f>
        <v>NÃO</v>
      </c>
      <c r="H258" s="5" t="str">
        <f>IFERROR(__xludf.DUMMYFUNCTION("""COMPUTED_VALUE"""),"PAVIMENTADA")</f>
        <v>PAVIMENTADA</v>
      </c>
      <c r="I258" s="6" t="str">
        <f>IFERROR(__xludf.DUMMYFUNCTION("""COMPUTED_VALUE"""),"-9.551474")</f>
        <v>-9.551474</v>
      </c>
      <c r="J258" s="6" t="str">
        <f>IFERROR(__xludf.DUMMYFUNCTION("""COMPUTED_VALUE"""),"-35.760771")</f>
        <v>-35.760771</v>
      </c>
      <c r="K258" s="5" t="str">
        <f>IFERROR(__xludf.DUMMYFUNCTION("""COMPUTED_VALUE"""),"AV. JOSÉ AILTON DOS SANTOS, 210")</f>
        <v>AV. JOSÉ AILTON DOS SANTOS, 210</v>
      </c>
      <c r="L258" s="5" t="str">
        <f>IFERROR(__xludf.DUMMYFUNCTION("""COMPUTED_VALUE"""),"COLETORA")</f>
        <v>COLETORA</v>
      </c>
      <c r="M258" s="5" t="str">
        <f>IFERROR(__xludf.DUMMYFUNCTION("""COMPUTED_VALUE"""),"CIDADE UNIVERSITÁRIA")</f>
        <v>CIDADE UNIVERSITÁRIA</v>
      </c>
      <c r="N258" s="5" t="str">
        <f>IFERROR(__xludf.DUMMYFUNCTION("""COMPUTED_VALUE"""),"CENTRO - BAIRRO")</f>
        <v>CENTRO - BAIRRO</v>
      </c>
      <c r="O258" s="5" t="str">
        <f>IFERROR(__xludf.DUMMYFUNCTION("""COMPUTED_VALUE"""),"EM FRENTE A ARENA VILLAGE")</f>
        <v>EM FRENTE A ARENA VILLAGE</v>
      </c>
      <c r="P258" s="5" t="str">
        <f>IFERROR(__xludf.DUMMYFUNCTION("""COMPUTED_VALUE"""),"PRIORIDADE BAIXA")</f>
        <v>PRIORIDADE BAIXA</v>
      </c>
      <c r="Q258" s="5" t="str">
        <f>IFERROR(__xludf.DUMMYFUNCTION("""COMPUTED_VALUE"""),"READEQUAÇÃO DE CALÇADA COM ACESSIBILIDADE, PINTURA DE BAÍA NO ASFALTO.")</f>
        <v>READEQUAÇÃO DE CALÇADA COM ACESSIBILIDADE, PINTURA DE BAÍA NO ASFALTO.</v>
      </c>
      <c r="R258" s="5" t="str">
        <f>IFERROR(__xludf.DUMMYFUNCTION("""COMPUTED_VALUE"""),"IMPLANTAR ABRIGO")</f>
        <v>IMPLANTAR ABRIGO</v>
      </c>
      <c r="S258" s="5"/>
      <c r="T258" s="5"/>
      <c r="U258" s="5"/>
      <c r="V258" s="9" t="str">
        <f>IFERROR(__xludf.DUMMYFUNCTION("""COMPUTED_VALUE"""),"https://drive.google.com/uc?id=1iJUnZ5lFDyQYuuWCE5wUVR11X4LJaeXl")</f>
        <v>https://drive.google.com/uc?id=1iJUnZ5lFDyQYuuWCE5wUVR11X4LJaeXl</v>
      </c>
      <c r="W258" s="5" t="str">
        <f>IFERROR(__xludf.DUMMYFUNCTION("""COMPUTED_VALUE"""),"NÃO")</f>
        <v>NÃO</v>
      </c>
      <c r="X258" s="5" t="str">
        <f>IFERROR(__xludf.DUMMYFUNCTION("""COMPUTED_VALUE"""),"NÃO SE APLICA")</f>
        <v>NÃO SE APLICA</v>
      </c>
    </row>
    <row r="259" hidden="1">
      <c r="A259" s="5">
        <f>IFERROR(__xludf.DUMMYFUNCTION("""COMPUTED_VALUE"""),7.0)</f>
        <v>7</v>
      </c>
      <c r="B259" s="5" t="str">
        <f>IFERROR(__xludf.DUMMYFUNCTION("""COMPUTED_VALUE"""),"CV093")</f>
        <v>CV093</v>
      </c>
      <c r="C259" s="5" t="str">
        <f>IFERROR(__xludf.DUMMYFUNCTION("""COMPUTED_VALUE"""),"NÃO POSSUI")</f>
        <v>NÃO POSSUI</v>
      </c>
      <c r="D259" s="5" t="str">
        <f>IFERROR(__xludf.DUMMYFUNCTION("""COMPUTED_VALUE"""),"FIXADA EM POSTE")</f>
        <v>FIXADA EM POSTE</v>
      </c>
      <c r="E259" s="5" t="str">
        <f>IFERROR(__xludf.DUMMYFUNCTION("""COMPUTED_VALUE"""),"SEM BAIA")</f>
        <v>SEM BAIA</v>
      </c>
      <c r="F259" s="5" t="str">
        <f>IFERROR(__xludf.DUMMYFUNCTION("""COMPUTED_VALUE"""),"NÃO")</f>
        <v>NÃO</v>
      </c>
      <c r="G259" s="5" t="str">
        <f>IFERROR(__xludf.DUMMYFUNCTION("""COMPUTED_VALUE"""),"NÃO")</f>
        <v>NÃO</v>
      </c>
      <c r="H259" s="5" t="str">
        <f>IFERROR(__xludf.DUMMYFUNCTION("""COMPUTED_VALUE"""),"PAVIMENTADA")</f>
        <v>PAVIMENTADA</v>
      </c>
      <c r="I259" s="6" t="str">
        <f>IFERROR(__xludf.DUMMYFUNCTION("""COMPUTED_VALUE"""),"-9.550530")</f>
        <v>-9.550530</v>
      </c>
      <c r="J259" s="6" t="str">
        <f>IFERROR(__xludf.DUMMYFUNCTION("""COMPUTED_VALUE"""),"-35.758780")</f>
        <v>-35.758780</v>
      </c>
      <c r="K259" s="5" t="str">
        <f>IFERROR(__xludf.DUMMYFUNCTION("""COMPUTED_VALUE"""),"AV. TANCREDO NEVES, 4A")</f>
        <v>AV. TANCREDO NEVES, 4A</v>
      </c>
      <c r="L259" s="5" t="str">
        <f>IFERROR(__xludf.DUMMYFUNCTION("""COMPUTED_VALUE"""),"COLETORA")</f>
        <v>COLETORA</v>
      </c>
      <c r="M259" s="5" t="str">
        <f>IFERROR(__xludf.DUMMYFUNCTION("""COMPUTED_VALUE"""),"CIDADE UNIVERSITÁRIA")</f>
        <v>CIDADE UNIVERSITÁRIA</v>
      </c>
      <c r="N259" s="5" t="str">
        <f>IFERROR(__xludf.DUMMYFUNCTION("""COMPUTED_VALUE"""),"CENTRO - BAIRRO")</f>
        <v>CENTRO - BAIRRO</v>
      </c>
      <c r="O259" s="5" t="str">
        <f>IFERROR(__xludf.DUMMYFUNCTION("""COMPUTED_VALUE"""),"PRÓXIMO AO COLÉGIO SÃO THIAGO")</f>
        <v>PRÓXIMO AO COLÉGIO SÃO THIAGO</v>
      </c>
      <c r="P259" s="5" t="str">
        <f>IFERROR(__xludf.DUMMYFUNCTION("""COMPUTED_VALUE"""),"PRIORIDADE BAIXA")</f>
        <v>PRIORIDADE BAIXA</v>
      </c>
      <c r="Q259" s="5" t="str">
        <f>IFERROR(__xludf.DUMMYFUNCTION("""COMPUTED_VALUE"""),"READEQUAÇÃO DE CALÇADA COM ACESSIBILIDADE, PINTURA DE BAÍA NO ASFALTO.
")</f>
        <v>READEQUAÇÃO DE CALÇADA COM ACESSIBILIDADE, PINTURA DE BAÍA NO ASFALTO.
</v>
      </c>
      <c r="R259" s="5" t="str">
        <f>IFERROR(__xludf.DUMMYFUNCTION("""COMPUTED_VALUE"""),"NENHUMA DAS OPÇÕES")</f>
        <v>NENHUMA DAS OPÇÕES</v>
      </c>
      <c r="S259" s="5"/>
      <c r="T259" s="5"/>
      <c r="U259" s="5"/>
      <c r="V259" s="9" t="str">
        <f>IFERROR(__xludf.DUMMYFUNCTION("""COMPUTED_VALUE"""),"https://drive.google.com/uc?id=1LWHnrXmt6F2ut0KRu9Ax3NTZ2AMnv2eR")</f>
        <v>https://drive.google.com/uc?id=1LWHnrXmt6F2ut0KRu9Ax3NTZ2AMnv2eR</v>
      </c>
      <c r="W259" s="5" t="str">
        <f>IFERROR(__xludf.DUMMYFUNCTION("""COMPUTED_VALUE"""),"NÃO")</f>
        <v>NÃO</v>
      </c>
      <c r="X259" s="5" t="str">
        <f>IFERROR(__xludf.DUMMYFUNCTION("""COMPUTED_VALUE"""),"NÃO SE APLICA")</f>
        <v>NÃO SE APLICA</v>
      </c>
    </row>
    <row r="260">
      <c r="A260" s="5">
        <f>IFERROR(__xludf.DUMMYFUNCTION("""COMPUTED_VALUE"""),7.0)</f>
        <v>7</v>
      </c>
      <c r="B260" s="5" t="str">
        <f>IFERROR(__xludf.DUMMYFUNCTION("""COMPUTED_VALUE"""),"CV094")</f>
        <v>CV094</v>
      </c>
      <c r="C260" s="5" t="str">
        <f>IFERROR(__xludf.DUMMYFUNCTION("""COMPUTED_VALUE"""),"ABRIGO CONCRETO")</f>
        <v>ABRIGO CONCRETO</v>
      </c>
      <c r="D260" s="5" t="str">
        <f>IFERROR(__xludf.DUMMYFUNCTION("""COMPUTED_VALUE"""),"SEM PLACA")</f>
        <v>SEM PLACA</v>
      </c>
      <c r="E260" s="5" t="str">
        <f>IFERROR(__xludf.DUMMYFUNCTION("""COMPUTED_VALUE"""),"SEM BAIA")</f>
        <v>SEM BAIA</v>
      </c>
      <c r="F260" s="5" t="str">
        <f>IFERROR(__xludf.DUMMYFUNCTION("""COMPUTED_VALUE"""),"NÃO")</f>
        <v>NÃO</v>
      </c>
      <c r="G260" s="5" t="str">
        <f>IFERROR(__xludf.DUMMYFUNCTION("""COMPUTED_VALUE"""),"NÃO")</f>
        <v>NÃO</v>
      </c>
      <c r="H260" s="5" t="str">
        <f>IFERROR(__xludf.DUMMYFUNCTION("""COMPUTED_VALUE"""),"PAVIMENTADA")</f>
        <v>PAVIMENTADA</v>
      </c>
      <c r="I260" s="6" t="str">
        <f>IFERROR(__xludf.DUMMYFUNCTION("""COMPUTED_VALUE"""),"-9.550554")</f>
        <v>-9.550554</v>
      </c>
      <c r="J260" s="6" t="str">
        <f>IFERROR(__xludf.DUMMYFUNCTION("""COMPUTED_VALUE"""),"-35.758854")</f>
        <v>-35.758854</v>
      </c>
      <c r="K260" s="5" t="str">
        <f>IFERROR(__xludf.DUMMYFUNCTION("""COMPUTED_VALUE"""),"AV. TANCREDO NEVES, S/N")</f>
        <v>AV. TANCREDO NEVES, S/N</v>
      </c>
      <c r="L260" s="5" t="str">
        <f>IFERROR(__xludf.DUMMYFUNCTION("""COMPUTED_VALUE"""),"COLETORA")</f>
        <v>COLETORA</v>
      </c>
      <c r="M260" s="5" t="str">
        <f>IFERROR(__xludf.DUMMYFUNCTION("""COMPUTED_VALUE"""),"CIDADE UNIVERSITÁRIA")</f>
        <v>CIDADE UNIVERSITÁRIA</v>
      </c>
      <c r="N260" s="5" t="str">
        <f>IFERROR(__xludf.DUMMYFUNCTION("""COMPUTED_VALUE"""),"BAIRRO - CENTRO")</f>
        <v>BAIRRO - CENTRO</v>
      </c>
      <c r="O260" s="5" t="str">
        <f>IFERROR(__xludf.DUMMYFUNCTION("""COMPUTED_VALUE"""),"AO LADO DA SOLARA")</f>
        <v>AO LADO DA SOLARA</v>
      </c>
      <c r="P260" s="5" t="str">
        <f>IFERROR(__xludf.DUMMYFUNCTION("""COMPUTED_VALUE"""),"PRIORIDADE BAIXA")</f>
        <v>PRIORIDADE BAIXA</v>
      </c>
      <c r="Q260" s="5" t="str">
        <f>IFERROR(__xludf.DUMMYFUNCTION("""COMPUTED_VALUE"""),"READEQUAÇÃO DE CALÇADA COM ACESSIBILIDADE, PINTURA DE BAÍA NO ASFALTO.
")</f>
        <v>READEQUAÇÃO DE CALÇADA COM ACESSIBILIDADE, PINTURA DE BAÍA NO ASFALTO.
</v>
      </c>
      <c r="R260" s="5" t="str">
        <f>IFERROR(__xludf.DUMMYFUNCTION("""COMPUTED_VALUE"""),"SUBSTITUIR ABRIGO")</f>
        <v>SUBSTITUIR ABRIGO</v>
      </c>
      <c r="S260" s="5"/>
      <c r="T260" s="5"/>
      <c r="U260" s="5"/>
      <c r="V260" s="9" t="str">
        <f>IFERROR(__xludf.DUMMYFUNCTION("""COMPUTED_VALUE"""),"https://drive.google.com/uc?id=1ninglKMNrk7yORYKO1qW1t5hDnlqZeKB")</f>
        <v>https://drive.google.com/uc?id=1ninglKMNrk7yORYKO1qW1t5hDnlqZeKB</v>
      </c>
      <c r="W260" s="5" t="str">
        <f>IFERROR(__xludf.DUMMYFUNCTION("""COMPUTED_VALUE"""),"NÃO")</f>
        <v>NÃO</v>
      </c>
      <c r="X260" s="5" t="str">
        <f>IFERROR(__xludf.DUMMYFUNCTION("""COMPUTED_VALUE"""),"NÃO SE APLICA")</f>
        <v>NÃO SE APLICA</v>
      </c>
    </row>
    <row r="261" hidden="1">
      <c r="A261" s="5">
        <f>IFERROR(__xludf.DUMMYFUNCTION("""COMPUTED_VALUE"""),7.0)</f>
        <v>7</v>
      </c>
      <c r="B261" s="5" t="str">
        <f>IFERROR(__xludf.DUMMYFUNCTION("""COMPUTED_VALUE"""),"CV095")</f>
        <v>CV095</v>
      </c>
      <c r="C261" s="5" t="str">
        <f>IFERROR(__xludf.DUMMYFUNCTION("""COMPUTED_VALUE"""),"NÃO POSSUI")</f>
        <v>NÃO POSSUI</v>
      </c>
      <c r="D261" s="5" t="str">
        <f>IFERROR(__xludf.DUMMYFUNCTION("""COMPUTED_VALUE"""),"COM SUPORTE")</f>
        <v>COM SUPORTE</v>
      </c>
      <c r="E261" s="5" t="str">
        <f>IFERROR(__xludf.DUMMYFUNCTION("""COMPUTED_VALUE"""),"SEM BAIA")</f>
        <v>SEM BAIA</v>
      </c>
      <c r="F261" s="5" t="str">
        <f>IFERROR(__xludf.DUMMYFUNCTION("""COMPUTED_VALUE"""),"NÃO")</f>
        <v>NÃO</v>
      </c>
      <c r="G261" s="5" t="str">
        <f>IFERROR(__xludf.DUMMYFUNCTION("""COMPUTED_VALUE"""),"NÃO")</f>
        <v>NÃO</v>
      </c>
      <c r="H261" s="5" t="str">
        <f>IFERROR(__xludf.DUMMYFUNCTION("""COMPUTED_VALUE"""),"NÃO PAVIMENTADA")</f>
        <v>NÃO PAVIMENTADA</v>
      </c>
      <c r="I261" s="6" t="str">
        <f>IFERROR(__xludf.DUMMYFUNCTION("""COMPUTED_VALUE"""),"-9.54956")</f>
        <v>-9.54956</v>
      </c>
      <c r="J261" s="6" t="str">
        <f>IFERROR(__xludf.DUMMYFUNCTION("""COMPUTED_VALUE""")," -35.75686
")</f>
        <v> -35.75686
</v>
      </c>
      <c r="K261" s="5" t="str">
        <f>IFERROR(__xludf.DUMMYFUNCTION("""COMPUTED_VALUE"""),"AV. TANCREDO NEVES, 25")</f>
        <v>AV. TANCREDO NEVES, 25</v>
      </c>
      <c r="L261" s="5" t="str">
        <f>IFERROR(__xludf.DUMMYFUNCTION("""COMPUTED_VALUE"""),"COLETORA")</f>
        <v>COLETORA</v>
      </c>
      <c r="M261" s="5" t="str">
        <f>IFERROR(__xludf.DUMMYFUNCTION("""COMPUTED_VALUE"""),"CIDADE UNIVERSITÁRIA")</f>
        <v>CIDADE UNIVERSITÁRIA</v>
      </c>
      <c r="N261" s="5" t="str">
        <f>IFERROR(__xludf.DUMMYFUNCTION("""COMPUTED_VALUE"""),"CENTRO - BAIRRO")</f>
        <v>CENTRO - BAIRRO</v>
      </c>
      <c r="O261" s="5" t="str">
        <f>IFERROR(__xludf.DUMMYFUNCTION("""COMPUTED_VALUE"""),"PRÓXIMO AO JR. GESSO")</f>
        <v>PRÓXIMO AO JR. GESSO</v>
      </c>
      <c r="P261" s="5" t="str">
        <f>IFERROR(__xludf.DUMMYFUNCTION("""COMPUTED_VALUE"""),"PRIORIDADE BAIXA")</f>
        <v>PRIORIDADE BAIXA</v>
      </c>
      <c r="Q261" s="5" t="str">
        <f>IFERROR(__xludf.DUMMYFUNCTION("""COMPUTED_VALUE"""),"READEQUAÇÃO DE CALÇADA COM ACESSIBILIDADE, PINTURA DE BAÍA NO ASFALTO.
")</f>
        <v>READEQUAÇÃO DE CALÇADA COM ACESSIBILIDADE, PINTURA DE BAÍA NO ASFALTO.
</v>
      </c>
      <c r="R261" s="5" t="str">
        <f>IFERROR(__xludf.DUMMYFUNCTION("""COMPUTED_VALUE"""),"NENHUMA DAS OPÇÕES")</f>
        <v>NENHUMA DAS OPÇÕES</v>
      </c>
      <c r="S261" s="5"/>
      <c r="T261" s="5"/>
      <c r="U261" s="5"/>
      <c r="V261" s="9" t="str">
        <f>IFERROR(__xludf.DUMMYFUNCTION("""COMPUTED_VALUE"""),"https://drive.google.com/uc?id=1i8efKj6FmgrzKzPm56t_Z8bF5mFnozB_")</f>
        <v>https://drive.google.com/uc?id=1i8efKj6FmgrzKzPm56t_Z8bF5mFnozB_</v>
      </c>
      <c r="W261" s="5" t="str">
        <f>IFERROR(__xludf.DUMMYFUNCTION("""COMPUTED_VALUE"""),"NÃO")</f>
        <v>NÃO</v>
      </c>
      <c r="X261" s="5" t="str">
        <f>IFERROR(__xludf.DUMMYFUNCTION("""COMPUTED_VALUE"""),"NÃO SE APLICA")</f>
        <v>NÃO SE APLICA</v>
      </c>
    </row>
    <row r="262" ht="19.5" hidden="1" customHeight="1">
      <c r="A262" s="5">
        <f>IFERROR(__xludf.DUMMYFUNCTION("""COMPUTED_VALUE"""),7.0)</f>
        <v>7</v>
      </c>
      <c r="B262" s="5" t="str">
        <f>IFERROR(__xludf.DUMMYFUNCTION("""COMPUTED_VALUE"""),"CV096")</f>
        <v>CV096</v>
      </c>
      <c r="C262" s="5" t="str">
        <f>IFERROR(__xludf.DUMMYFUNCTION("""COMPUTED_VALUE"""),"NÃO POSSUI")</f>
        <v>NÃO POSSUI</v>
      </c>
      <c r="D262" s="5" t="str">
        <f>IFERROR(__xludf.DUMMYFUNCTION("""COMPUTED_VALUE"""),"COM SUPORTE")</f>
        <v>COM SUPORTE</v>
      </c>
      <c r="E262" s="5" t="str">
        <f>IFERROR(__xludf.DUMMYFUNCTION("""COMPUTED_VALUE"""),"SEM BAIA")</f>
        <v>SEM BAIA</v>
      </c>
      <c r="F262" s="5" t="str">
        <f>IFERROR(__xludf.DUMMYFUNCTION("""COMPUTED_VALUE"""),"SIM")</f>
        <v>SIM</v>
      </c>
      <c r="G262" s="5" t="str">
        <f>IFERROR(__xludf.DUMMYFUNCTION("""COMPUTED_VALUE"""),"NÃO")</f>
        <v>NÃO</v>
      </c>
      <c r="H262" s="5" t="str">
        <f>IFERROR(__xludf.DUMMYFUNCTION("""COMPUTED_VALUE"""),"PAVIMENTADA")</f>
        <v>PAVIMENTADA</v>
      </c>
      <c r="I262" s="6" t="str">
        <f>IFERROR(__xludf.DUMMYFUNCTION("""COMPUTED_VALUE"""),"-9.54940")</f>
        <v>-9.54940</v>
      </c>
      <c r="J262" s="6" t="str">
        <f>IFERROR(__xludf.DUMMYFUNCTION("""COMPUTED_VALUE""")," -35.75665
")</f>
        <v> -35.75665
</v>
      </c>
      <c r="K262" s="5" t="str">
        <f>IFERROR(__xludf.DUMMYFUNCTION("""COMPUTED_VALUE"""),"AV. TANCREDO NEVES, 19")</f>
        <v>AV. TANCREDO NEVES, 19</v>
      </c>
      <c r="L262" s="5" t="str">
        <f>IFERROR(__xludf.DUMMYFUNCTION("""COMPUTED_VALUE"""),"COLETORA")</f>
        <v>COLETORA</v>
      </c>
      <c r="M262" s="5" t="str">
        <f>IFERROR(__xludf.DUMMYFUNCTION("""COMPUTED_VALUE"""),"CIDADE UNIVERSITÁRIA")</f>
        <v>CIDADE UNIVERSITÁRIA</v>
      </c>
      <c r="N262" s="5" t="str">
        <f>IFERROR(__xludf.DUMMYFUNCTION("""COMPUTED_VALUE"""),"BAIRRO - CENTRO")</f>
        <v>BAIRRO - CENTRO</v>
      </c>
      <c r="O262" s="5" t="str">
        <f>IFERROR(__xludf.DUMMYFUNCTION("""COMPUTED_VALUE"""),"AO LADO A PADARIA AZUL")</f>
        <v>AO LADO A PADARIA AZUL</v>
      </c>
      <c r="P262" s="5" t="str">
        <f>IFERROR(__xludf.DUMMYFUNCTION("""COMPUTED_VALUE"""),"PRIORIDADE ALTA")</f>
        <v>PRIORIDADE ALTA</v>
      </c>
      <c r="Q262" s="5" t="str">
        <f>IFERROR(__xludf.DUMMYFUNCTION("""COMPUTED_VALUE"""),"RELOCAR PLACA PARA O MEIO DA QUADRA.
READEQUAÇÃO DE CALÇADA COM ACESSIBILIDADE, PINTURA DE BAÍA NO ASFALTO.
")</f>
        <v>RELOCAR PLACA PARA O MEIO DA QUADRA.
READEQUAÇÃO DE CALÇADA COM ACESSIBILIDADE, PINTURA DE BAÍA NO ASFALTO.
</v>
      </c>
      <c r="R262" s="5" t="str">
        <f>IFERROR(__xludf.DUMMYFUNCTION("""COMPUTED_VALUE"""),"NENHUMA DAS OPÇÕES")</f>
        <v>NENHUMA DAS OPÇÕES</v>
      </c>
      <c r="S262" s="5"/>
      <c r="T262" s="5"/>
      <c r="U262" s="5"/>
      <c r="V262" s="9" t="str">
        <f>IFERROR(__xludf.DUMMYFUNCTION("""COMPUTED_VALUE"""),"https://drive.google.com/uc?id=1MJxZScMLSSVQ-7hWc-UBq0BPBBX22kh9")</f>
        <v>https://drive.google.com/uc?id=1MJxZScMLSSVQ-7hWc-UBq0BPBBX22kh9</v>
      </c>
      <c r="W262" s="5" t="str">
        <f>IFERROR(__xludf.DUMMYFUNCTION("""COMPUTED_VALUE"""),"NÃO")</f>
        <v>NÃO</v>
      </c>
      <c r="X262" s="5" t="str">
        <f>IFERROR(__xludf.DUMMYFUNCTION("""COMPUTED_VALUE"""),"NÃO SE APLICA")</f>
        <v>NÃO SE APLICA</v>
      </c>
    </row>
    <row r="263" hidden="1">
      <c r="A263" s="5">
        <f>IFERROR(__xludf.DUMMYFUNCTION("""COMPUTED_VALUE"""),7.0)</f>
        <v>7</v>
      </c>
      <c r="B263" s="5" t="str">
        <f>IFERROR(__xludf.DUMMYFUNCTION("""COMPUTED_VALUE"""),"CV097")</f>
        <v>CV097</v>
      </c>
      <c r="C263" s="5" t="str">
        <f>IFERROR(__xludf.DUMMYFUNCTION("""COMPUTED_VALUE"""),"NÃO POSSUI")</f>
        <v>NÃO POSSUI</v>
      </c>
      <c r="D263" s="5" t="str">
        <f>IFERROR(__xludf.DUMMYFUNCTION("""COMPUTED_VALUE"""),"FIXADA EM POSTE")</f>
        <v>FIXADA EM POSTE</v>
      </c>
      <c r="E263" s="5" t="str">
        <f>IFERROR(__xludf.DUMMYFUNCTION("""COMPUTED_VALUE"""),"SEM BAIA")</f>
        <v>SEM BAIA</v>
      </c>
      <c r="F263" s="5" t="str">
        <f>IFERROR(__xludf.DUMMYFUNCTION("""COMPUTED_VALUE"""),"SIM")</f>
        <v>SIM</v>
      </c>
      <c r="G263" s="5" t="str">
        <f>IFERROR(__xludf.DUMMYFUNCTION("""COMPUTED_VALUE"""),"NÃO")</f>
        <v>NÃO</v>
      </c>
      <c r="H263" s="5" t="str">
        <f>IFERROR(__xludf.DUMMYFUNCTION("""COMPUTED_VALUE"""),"PAVIMENTADA")</f>
        <v>PAVIMENTADA</v>
      </c>
      <c r="I263" s="6" t="str">
        <f>IFERROR(__xludf.DUMMYFUNCTION("""COMPUTED_VALUE"""),"-9.548440")</f>
        <v>-9.548440</v>
      </c>
      <c r="J263" s="6" t="str">
        <f>IFERROR(__xludf.DUMMYFUNCTION("""COMPUTED_VALUE"""),"-35.754610")</f>
        <v>-35.754610</v>
      </c>
      <c r="K263" s="5" t="str">
        <f>IFERROR(__xludf.DUMMYFUNCTION("""COMPUTED_VALUE"""),"AV. TANCREDO NEVES, 1576")</f>
        <v>AV. TANCREDO NEVES, 1576</v>
      </c>
      <c r="L263" s="5" t="str">
        <f>IFERROR(__xludf.DUMMYFUNCTION("""COMPUTED_VALUE"""),"COLETORA")</f>
        <v>COLETORA</v>
      </c>
      <c r="M263" s="5" t="str">
        <f>IFERROR(__xludf.DUMMYFUNCTION("""COMPUTED_VALUE"""),"CIDADE UNIVERSITÁRIA")</f>
        <v>CIDADE UNIVERSITÁRIA</v>
      </c>
      <c r="N263" s="5" t="str">
        <f>IFERROR(__xludf.DUMMYFUNCTION("""COMPUTED_VALUE"""),"CENTRO - BAIRRO")</f>
        <v>CENTRO - BAIRRO</v>
      </c>
      <c r="O263" s="5" t="str">
        <f>IFERROR(__xludf.DUMMYFUNCTION("""COMPUTED_VALUE"""),"EM FRENTE A SERRARIA ACAUÃ")</f>
        <v>EM FRENTE A SERRARIA ACAUÃ</v>
      </c>
      <c r="P263" s="5" t="str">
        <f>IFERROR(__xludf.DUMMYFUNCTION("""COMPUTED_VALUE"""),"PRIORIDADE BAIXA")</f>
        <v>PRIORIDADE BAIXA</v>
      </c>
      <c r="Q263" s="5" t="str">
        <f>IFERROR(__xludf.DUMMYFUNCTION("""COMPUTED_VALUE"""),"READEQUAÇÃO DE CALÇADA COM ACESSIBILIDADE, PINTURA DE BAÍA NO ASFALTO.")</f>
        <v>READEQUAÇÃO DE CALÇADA COM ACESSIBILIDADE, PINTURA DE BAÍA NO ASFALTO.</v>
      </c>
      <c r="R263" s="5" t="str">
        <f>IFERROR(__xludf.DUMMYFUNCTION("""COMPUTED_VALUE"""),"NENHUMA DAS OPÇÕES")</f>
        <v>NENHUMA DAS OPÇÕES</v>
      </c>
      <c r="S263" s="5"/>
      <c r="T263" s="5"/>
      <c r="U263" s="5"/>
      <c r="V263" s="9" t="str">
        <f>IFERROR(__xludf.DUMMYFUNCTION("""COMPUTED_VALUE"""),"https://drive.google.com/uc?id=1Y5FLuQXtIpm1YjqSFgd2Dh4VMl6aspnX")</f>
        <v>https://drive.google.com/uc?id=1Y5FLuQXtIpm1YjqSFgd2Dh4VMl6aspnX</v>
      </c>
      <c r="W263" s="5" t="str">
        <f>IFERROR(__xludf.DUMMYFUNCTION("""COMPUTED_VALUE"""),"NÃO")</f>
        <v>NÃO</v>
      </c>
      <c r="X263" s="5" t="str">
        <f>IFERROR(__xludf.DUMMYFUNCTION("""COMPUTED_VALUE"""),"NÃO SE APLICA")</f>
        <v>NÃO SE APLICA</v>
      </c>
    </row>
    <row r="264" hidden="1">
      <c r="A264" s="5">
        <f>IFERROR(__xludf.DUMMYFUNCTION("""COMPUTED_VALUE"""),7.0)</f>
        <v>7</v>
      </c>
      <c r="B264" s="5" t="str">
        <f>IFERROR(__xludf.DUMMYFUNCTION("""COMPUTED_VALUE"""),"CV098")</f>
        <v>CV098</v>
      </c>
      <c r="C264" s="5" t="str">
        <f>IFERROR(__xludf.DUMMYFUNCTION("""COMPUTED_VALUE"""),"NÃO POSSUI")</f>
        <v>NÃO POSSUI</v>
      </c>
      <c r="D264" s="5" t="str">
        <f>IFERROR(__xludf.DUMMYFUNCTION("""COMPUTED_VALUE"""),"FIXADA EM POSTE")</f>
        <v>FIXADA EM POSTE</v>
      </c>
      <c r="E264" s="5" t="str">
        <f>IFERROR(__xludf.DUMMYFUNCTION("""COMPUTED_VALUE"""),"SEM BAIA")</f>
        <v>SEM BAIA</v>
      </c>
      <c r="F264" s="5" t="str">
        <f>IFERROR(__xludf.DUMMYFUNCTION("""COMPUTED_VALUE"""),"NÃO")</f>
        <v>NÃO</v>
      </c>
      <c r="G264" s="5" t="str">
        <f>IFERROR(__xludf.DUMMYFUNCTION("""COMPUTED_VALUE"""),"NÃO")</f>
        <v>NÃO</v>
      </c>
      <c r="H264" s="5" t="str">
        <f>IFERROR(__xludf.DUMMYFUNCTION("""COMPUTED_VALUE"""),"PAVIMENTADA")</f>
        <v>PAVIMENTADA</v>
      </c>
      <c r="I264" s="6" t="str">
        <f>IFERROR(__xludf.DUMMYFUNCTION("""COMPUTED_VALUE"""),"-9.548308")</f>
        <v>-9.548308</v>
      </c>
      <c r="J264" s="6" t="str">
        <f>IFERROR(__xludf.DUMMYFUNCTION("""COMPUTED_VALUE"""),"-35.754453
")</f>
        <v>-35.754453
</v>
      </c>
      <c r="K264" s="5" t="str">
        <f>IFERROR(__xludf.DUMMYFUNCTION("""COMPUTED_VALUE"""),"AV. TANCREDO NEVES, 200")</f>
        <v>AV. TANCREDO NEVES, 200</v>
      </c>
      <c r="L264" s="5" t="str">
        <f>IFERROR(__xludf.DUMMYFUNCTION("""COMPUTED_VALUE"""),"COLETORA")</f>
        <v>COLETORA</v>
      </c>
      <c r="M264" s="5" t="str">
        <f>IFERROR(__xludf.DUMMYFUNCTION("""COMPUTED_VALUE"""),"CIDADE UNIVERSITÁRIA")</f>
        <v>CIDADE UNIVERSITÁRIA</v>
      </c>
      <c r="N264" s="5" t="str">
        <f>IFERROR(__xludf.DUMMYFUNCTION("""COMPUTED_VALUE"""),"BAIRRO - CENTRO")</f>
        <v>BAIRRO - CENTRO</v>
      </c>
      <c r="O264" s="5" t="str">
        <f>IFERROR(__xludf.DUMMYFUNCTION("""COMPUTED_VALUE"""),"EM FRENTE A CLÍNICA VETERINÁRIA PRINCESS")</f>
        <v>EM FRENTE A CLÍNICA VETERINÁRIA PRINCESS</v>
      </c>
      <c r="P264" s="5" t="str">
        <f>IFERROR(__xludf.DUMMYFUNCTION("""COMPUTED_VALUE"""),"PRIORIDADE MÉDIA")</f>
        <v>PRIORIDADE MÉDIA</v>
      </c>
      <c r="Q264" s="5" t="str">
        <f>IFERROR(__xludf.DUMMYFUNCTION("""COMPUTED_VALUE"""),"PLACA COLOCADA EM ESQUINA ENTRE RUAS – NECESSÁRIO RELOCAÇÃO PARA MEIO DE QUADRA, CONFORME SEGUNDA IMAGEM.READEQUAÇÃO DE CALÇADA COM ACESSIBILIDADE, PINTURA DE BAÍA NO ASFALTO.")</f>
        <v>PLACA COLOCADA EM ESQUINA ENTRE RUAS – NECESSÁRIO RELOCAÇÃO PARA MEIO DE QUADRA, CONFORME SEGUNDA IMAGEM.READEQUAÇÃO DE CALÇADA COM ACESSIBILIDADE, PINTURA DE BAÍA NO ASFALTO.</v>
      </c>
      <c r="R264" s="5" t="str">
        <f>IFERROR(__xludf.DUMMYFUNCTION("""COMPUTED_VALUE"""),"NENHUMA DAS OPÇÕES")</f>
        <v>NENHUMA DAS OPÇÕES</v>
      </c>
      <c r="S264" s="5"/>
      <c r="T264" s="5"/>
      <c r="U264" s="5"/>
      <c r="V264" s="9" t="str">
        <f>IFERROR(__xludf.DUMMYFUNCTION("""COMPUTED_VALUE"""),"https://drive.google.com/uc?id=1c09Lv44YnW71bv71hpHinY-UfvFM1I8L")</f>
        <v>https://drive.google.com/uc?id=1c09Lv44YnW71bv71hpHinY-UfvFM1I8L</v>
      </c>
      <c r="W264" s="5" t="str">
        <f>IFERROR(__xludf.DUMMYFUNCTION("""COMPUTED_VALUE"""),"NÃO")</f>
        <v>NÃO</v>
      </c>
      <c r="X264" s="5" t="str">
        <f>IFERROR(__xludf.DUMMYFUNCTION("""COMPUTED_VALUE"""),"NÃO SE APLICA")</f>
        <v>NÃO SE APLICA</v>
      </c>
    </row>
    <row r="265" hidden="1">
      <c r="A265" s="5">
        <f>IFERROR(__xludf.DUMMYFUNCTION("""COMPUTED_VALUE"""),7.0)</f>
        <v>7</v>
      </c>
      <c r="B265" s="5" t="str">
        <f>IFERROR(__xludf.DUMMYFUNCTION("""COMPUTED_VALUE"""),"CV099")</f>
        <v>CV099</v>
      </c>
      <c r="C265" s="5" t="str">
        <f>IFERROR(__xludf.DUMMYFUNCTION("""COMPUTED_VALUE"""),"NÃO POSSUI")</f>
        <v>NÃO POSSUI</v>
      </c>
      <c r="D265" s="5" t="str">
        <f>IFERROR(__xludf.DUMMYFUNCTION("""COMPUTED_VALUE"""),"SEM PLACA")</f>
        <v>SEM PLACA</v>
      </c>
      <c r="E265" s="5" t="str">
        <f>IFERROR(__xludf.DUMMYFUNCTION("""COMPUTED_VALUE"""),"SEM BAIA")</f>
        <v>SEM BAIA</v>
      </c>
      <c r="F265" s="5" t="str">
        <f>IFERROR(__xludf.DUMMYFUNCTION("""COMPUTED_VALUE"""),"NÃO")</f>
        <v>NÃO</v>
      </c>
      <c r="G265" s="5" t="str">
        <f>IFERROR(__xludf.DUMMYFUNCTION("""COMPUTED_VALUE"""),"NÃO")</f>
        <v>NÃO</v>
      </c>
      <c r="H265" s="5" t="str">
        <f>IFERROR(__xludf.DUMMYFUNCTION("""COMPUTED_VALUE"""),"NÃO PAVIMENTADA")</f>
        <v>NÃO PAVIMENTADA</v>
      </c>
      <c r="I265" s="6" t="str">
        <f>IFERROR(__xludf.DUMMYFUNCTION("""COMPUTED_VALUE"""),"-9.547645")</f>
        <v>-9.547645</v>
      </c>
      <c r="J265" s="6" t="str">
        <f>IFERROR(__xludf.DUMMYFUNCTION("""COMPUTED_VALUE""")," -35.752982")</f>
        <v> -35.752982</v>
      </c>
      <c r="K265" s="5" t="str">
        <f>IFERROR(__xludf.DUMMYFUNCTION("""COMPUTED_VALUE"""),"AV. TANCREDO NEVES S/N")</f>
        <v>AV. TANCREDO NEVES S/N</v>
      </c>
      <c r="L265" s="5" t="str">
        <f>IFERROR(__xludf.DUMMYFUNCTION("""COMPUTED_VALUE"""),"COLETORA")</f>
        <v>COLETORA</v>
      </c>
      <c r="M265" s="5" t="str">
        <f>IFERROR(__xludf.DUMMYFUNCTION("""COMPUTED_VALUE"""),"CIDADE UNIVERSITÁRIA")</f>
        <v>CIDADE UNIVERSITÁRIA</v>
      </c>
      <c r="N265" s="5" t="str">
        <f>IFERROR(__xludf.DUMMYFUNCTION("""COMPUTED_VALUE"""),"CENTRO - BAIRRO")</f>
        <v>CENTRO - BAIRRO</v>
      </c>
      <c r="O265" s="5" t="str">
        <f>IFERROR(__xludf.DUMMYFUNCTION("""COMPUTED_VALUE"""),"EM FRENTE A CORPORE DAY")</f>
        <v>EM FRENTE A CORPORE DAY</v>
      </c>
      <c r="P265" s="5" t="str">
        <f>IFERROR(__xludf.DUMMYFUNCTION("""COMPUTED_VALUE"""),"URGENTE")</f>
        <v>URGENTE</v>
      </c>
      <c r="Q265" s="5" t="str">
        <f>IFERROR(__xludf.DUMMYFUNCTION("""COMPUTED_VALUE"""),"READEQUAÇÃO DE CALÇADA COM ACESSIBILIDADE, PINTURA DE BAÍA NO ASFALTO.")</f>
        <v>READEQUAÇÃO DE CALÇADA COM ACESSIBILIDADE, PINTURA DE BAÍA NO ASFALTO.</v>
      </c>
      <c r="R265" s="5" t="str">
        <f>IFERROR(__xludf.DUMMYFUNCTION("""COMPUTED_VALUE"""),"IMPLANTAR ABRIGO")</f>
        <v>IMPLANTAR ABRIGO</v>
      </c>
      <c r="S265" s="5"/>
      <c r="T265" s="5"/>
      <c r="U265" s="5"/>
      <c r="V265" s="9" t="str">
        <f>IFERROR(__xludf.DUMMYFUNCTION("""COMPUTED_VALUE"""),"https://drive.google.com/uc?id=1tDtJXkwuFNDyAy_8hqrlr3Tj8Y0sWz4F")</f>
        <v>https://drive.google.com/uc?id=1tDtJXkwuFNDyAy_8hqrlr3Tj8Y0sWz4F</v>
      </c>
      <c r="W265" s="5" t="str">
        <f>IFERROR(__xludf.DUMMYFUNCTION("""COMPUTED_VALUE"""),"NÃO")</f>
        <v>NÃO</v>
      </c>
      <c r="X265" s="5" t="str">
        <f>IFERROR(__xludf.DUMMYFUNCTION("""COMPUTED_VALUE"""),"NÃO SE APLICA")</f>
        <v>NÃO SE APLICA</v>
      </c>
    </row>
    <row r="266" ht="16.5" hidden="1" customHeight="1">
      <c r="A266" s="5">
        <f>IFERROR(__xludf.DUMMYFUNCTION("""COMPUTED_VALUE"""),7.0)</f>
        <v>7</v>
      </c>
      <c r="B266" s="5" t="str">
        <f>IFERROR(__xludf.DUMMYFUNCTION("""COMPUTED_VALUE"""),"CV100")</f>
        <v>CV100</v>
      </c>
      <c r="C266" s="5" t="str">
        <f>IFERROR(__xludf.DUMMYFUNCTION("""COMPUTED_VALUE"""),"NÃO POSSUI")</f>
        <v>NÃO POSSUI</v>
      </c>
      <c r="D266" s="5" t="str">
        <f>IFERROR(__xludf.DUMMYFUNCTION("""COMPUTED_VALUE"""),"FIXADA EM POSTE")</f>
        <v>FIXADA EM POSTE</v>
      </c>
      <c r="E266" s="5" t="str">
        <f>IFERROR(__xludf.DUMMYFUNCTION("""COMPUTED_VALUE"""),"SEM BAIA")</f>
        <v>SEM BAIA</v>
      </c>
      <c r="F266" s="5" t="str">
        <f>IFERROR(__xludf.DUMMYFUNCTION("""COMPUTED_VALUE"""),"NÃO")</f>
        <v>NÃO</v>
      </c>
      <c r="G266" s="5" t="str">
        <f>IFERROR(__xludf.DUMMYFUNCTION("""COMPUTED_VALUE"""),"NÃO")</f>
        <v>NÃO</v>
      </c>
      <c r="H266" s="5" t="str">
        <f>IFERROR(__xludf.DUMMYFUNCTION("""COMPUTED_VALUE"""),"PAVIMENTADA")</f>
        <v>PAVIMENTADA</v>
      </c>
      <c r="I266" s="6" t="str">
        <f>IFERROR(__xludf.DUMMYFUNCTION("""COMPUTED_VALUE"""),"-9.547567")</f>
        <v>-9.547567</v>
      </c>
      <c r="J266" s="6" t="str">
        <f>IFERROR(__xludf.DUMMYFUNCTION("""COMPUTED_VALUE"""),"-35.752987
")</f>
        <v>-35.752987
</v>
      </c>
      <c r="K266" s="5" t="str">
        <f>IFERROR(__xludf.DUMMYFUNCTION("""COMPUTED_VALUE"""),"AV. TANCREDO NEVES S/N")</f>
        <v>AV. TANCREDO NEVES S/N</v>
      </c>
      <c r="L266" s="5" t="str">
        <f>IFERROR(__xludf.DUMMYFUNCTION("""COMPUTED_VALUE"""),"COLETORA")</f>
        <v>COLETORA</v>
      </c>
      <c r="M266" s="5" t="str">
        <f>IFERROR(__xludf.DUMMYFUNCTION("""COMPUTED_VALUE"""),"CIDADE UNIVERSITÁRIA")</f>
        <v>CIDADE UNIVERSITÁRIA</v>
      </c>
      <c r="N266" s="5" t="str">
        <f>IFERROR(__xludf.DUMMYFUNCTION("""COMPUTED_VALUE"""),"BAIRRO - CENTRO")</f>
        <v>BAIRRO - CENTRO</v>
      </c>
      <c r="O266" s="5" t="str">
        <f>IFERROR(__xludf.DUMMYFUNCTION("""COMPUTED_VALUE"""),"EM FRENTE A CORPORE DAY")</f>
        <v>EM FRENTE A CORPORE DAY</v>
      </c>
      <c r="P266" s="5" t="str">
        <f>IFERROR(__xludf.DUMMYFUNCTION("""COMPUTED_VALUE"""),"PRIORIDADE BAIXA")</f>
        <v>PRIORIDADE BAIXA</v>
      </c>
      <c r="Q266" s="5" t="str">
        <f>IFERROR(__xludf.DUMMYFUNCTION("""COMPUTED_VALUE"""),"READEQUAÇÃO DE CALÇADA COM ACESSIBILIDADE, PINTURA DE BAÍA NO ASFALTO.")</f>
        <v>READEQUAÇÃO DE CALÇADA COM ACESSIBILIDADE, PINTURA DE BAÍA NO ASFALTO.</v>
      </c>
      <c r="R266" s="5" t="str">
        <f>IFERROR(__xludf.DUMMYFUNCTION("""COMPUTED_VALUE"""),"NENHUMA DAS OPÇÕES")</f>
        <v>NENHUMA DAS OPÇÕES</v>
      </c>
      <c r="S266" s="5"/>
      <c r="T266" s="5"/>
      <c r="U266" s="5"/>
      <c r="V266" s="9" t="str">
        <f>IFERROR(__xludf.DUMMYFUNCTION("""COMPUTED_VALUE"""),"https://drive.google.com/uc?id=1WEk1wYhMLsenhhWZDUCc2qoPifSmiSL9")</f>
        <v>https://drive.google.com/uc?id=1WEk1wYhMLsenhhWZDUCc2qoPifSmiSL9</v>
      </c>
      <c r="W266" s="5" t="str">
        <f>IFERROR(__xludf.DUMMYFUNCTION("""COMPUTED_VALUE"""),"NÃO")</f>
        <v>NÃO</v>
      </c>
      <c r="X266" s="5" t="str">
        <f>IFERROR(__xludf.DUMMYFUNCTION("""COMPUTED_VALUE"""),"NÃO SE APLICA")</f>
        <v>NÃO SE APLICA</v>
      </c>
    </row>
    <row r="267" ht="16.5" hidden="1" customHeight="1">
      <c r="A267" s="5">
        <f>IFERROR(__xludf.DUMMYFUNCTION("""COMPUTED_VALUE"""),7.0)</f>
        <v>7</v>
      </c>
      <c r="B267" s="5" t="str">
        <f>IFERROR(__xludf.DUMMYFUNCTION("""COMPUTED_VALUE"""),"CV101")</f>
        <v>CV101</v>
      </c>
      <c r="C267" s="5" t="str">
        <f>IFERROR(__xludf.DUMMYFUNCTION("""COMPUTED_VALUE"""),"NÃO POSSUI")</f>
        <v>NÃO POSSUI</v>
      </c>
      <c r="D267" s="5" t="str">
        <f>IFERROR(__xludf.DUMMYFUNCTION("""COMPUTED_VALUE"""),"SEM PLACA")</f>
        <v>SEM PLACA</v>
      </c>
      <c r="E267" s="5" t="str">
        <f>IFERROR(__xludf.DUMMYFUNCTION("""COMPUTED_VALUE"""),"SEM BAIA")</f>
        <v>SEM BAIA</v>
      </c>
      <c r="F267" s="5" t="str">
        <f>IFERROR(__xludf.DUMMYFUNCTION("""COMPUTED_VALUE"""),"SIM")</f>
        <v>SIM</v>
      </c>
      <c r="G267" s="5" t="str">
        <f>IFERROR(__xludf.DUMMYFUNCTION("""COMPUTED_VALUE"""),"NÃO")</f>
        <v>NÃO</v>
      </c>
      <c r="H267" s="5" t="str">
        <f>IFERROR(__xludf.DUMMYFUNCTION("""COMPUTED_VALUE"""),"PAVIMENTADA")</f>
        <v>PAVIMENTADA</v>
      </c>
      <c r="I267" s="6" t="str">
        <f>IFERROR(__xludf.DUMMYFUNCTION("""COMPUTED_VALUE"""),"-9.54595")</f>
        <v>-9.54595</v>
      </c>
      <c r="J267" s="6" t="str">
        <f>IFERROR(__xludf.DUMMYFUNCTION("""COMPUTED_VALUE"""),"-35.75285
")</f>
        <v>-35.75285
</v>
      </c>
      <c r="K267" s="5" t="str">
        <f>IFERROR(__xludf.DUMMYFUNCTION("""COMPUTED_VALUE"""),"RUA PADRE CÍCERO, 42")</f>
        <v>RUA PADRE CÍCERO, 42</v>
      </c>
      <c r="L267" s="5" t="str">
        <f>IFERROR(__xludf.DUMMYFUNCTION("""COMPUTED_VALUE"""),"COLETORA")</f>
        <v>COLETORA</v>
      </c>
      <c r="M267" s="5" t="str">
        <f>IFERROR(__xludf.DUMMYFUNCTION("""COMPUTED_VALUE"""),"CIDADE UNIVERSITÁRIA")</f>
        <v>CIDADE UNIVERSITÁRIA</v>
      </c>
      <c r="N267" s="5" t="str">
        <f>IFERROR(__xludf.DUMMYFUNCTION("""COMPUTED_VALUE"""),"CENTRO - BAIRRO")</f>
        <v>CENTRO - BAIRRO</v>
      </c>
      <c r="O267" s="5" t="str">
        <f>IFERROR(__xludf.DUMMYFUNCTION("""COMPUTED_VALUE"""),"EM FRENTE AO ATACADÃO IMPORTADOS")</f>
        <v>EM FRENTE AO ATACADÃO IMPORTADOS</v>
      </c>
      <c r="P267" s="5" t="str">
        <f>IFERROR(__xludf.DUMMYFUNCTION("""COMPUTED_VALUE"""),"URGENTE")</f>
        <v>URGENTE</v>
      </c>
      <c r="Q267" s="5" t="str">
        <f>IFERROR(__xludf.DUMMYFUNCTION("""COMPUTED_VALUE"""),"READEQUAÇÃO DE CALÇADA COM ACESSIBILIDADE, PINTURA DE BAÍA NO ASFALTO.")</f>
        <v>READEQUAÇÃO DE CALÇADA COM ACESSIBILIDADE, PINTURA DE BAÍA NO ASFALTO.</v>
      </c>
      <c r="R267" s="5" t="str">
        <f>IFERROR(__xludf.DUMMYFUNCTION("""COMPUTED_VALUE"""),"NENHUMA DAS OPÇÕES")</f>
        <v>NENHUMA DAS OPÇÕES</v>
      </c>
      <c r="S267" s="5"/>
      <c r="T267" s="5"/>
      <c r="U267" s="5"/>
      <c r="V267" s="9" t="str">
        <f>IFERROR(__xludf.DUMMYFUNCTION("""COMPUTED_VALUE"""),"https://drive.google.com/uc?id=13HHM0NKXGGIFs5gj_-ke2bzylFaU_DiI")</f>
        <v>https://drive.google.com/uc?id=13HHM0NKXGGIFs5gj_-ke2bzylFaU_DiI</v>
      </c>
      <c r="W267" s="5" t="str">
        <f>IFERROR(__xludf.DUMMYFUNCTION("""COMPUTED_VALUE"""),"NÃO")</f>
        <v>NÃO</v>
      </c>
      <c r="X267" s="5" t="str">
        <f>IFERROR(__xludf.DUMMYFUNCTION("""COMPUTED_VALUE"""),"NÃO SE APLICA")</f>
        <v>NÃO SE APLICA</v>
      </c>
    </row>
    <row r="268" ht="18.75" customHeight="1">
      <c r="A268" s="5">
        <f>IFERROR(__xludf.DUMMYFUNCTION("""COMPUTED_VALUE"""),7.0)</f>
        <v>7</v>
      </c>
      <c r="B268" s="5" t="str">
        <f>IFERROR(__xludf.DUMMYFUNCTION("""COMPUTED_VALUE"""),"CV102")</f>
        <v>CV102</v>
      </c>
      <c r="C268" s="5" t="str">
        <f>IFERROR(__xludf.DUMMYFUNCTION("""COMPUTED_VALUE"""),"ABRIGO CONCRETO")</f>
        <v>ABRIGO CONCRETO</v>
      </c>
      <c r="D268" s="5" t="str">
        <f>IFERROR(__xludf.DUMMYFUNCTION("""COMPUTED_VALUE"""),"SEM PLACA")</f>
        <v>SEM PLACA</v>
      </c>
      <c r="E268" s="5" t="str">
        <f>IFERROR(__xludf.DUMMYFUNCTION("""COMPUTED_VALUE"""),"SEM BAIA")</f>
        <v>SEM BAIA</v>
      </c>
      <c r="F268" s="5" t="str">
        <f>IFERROR(__xludf.DUMMYFUNCTION("""COMPUTED_VALUE"""),"NÃO")</f>
        <v>NÃO</v>
      </c>
      <c r="G268" s="5" t="str">
        <f>IFERROR(__xludf.DUMMYFUNCTION("""COMPUTED_VALUE"""),"NÃO")</f>
        <v>NÃO</v>
      </c>
      <c r="H268" s="5" t="str">
        <f>IFERROR(__xludf.DUMMYFUNCTION("""COMPUTED_VALUE"""),"NÃO PAVIMENTADA")</f>
        <v>NÃO PAVIMENTADA</v>
      </c>
      <c r="I268" s="6" t="str">
        <f>IFERROR(__xludf.DUMMYFUNCTION("""COMPUTED_VALUE"""),"-9.54415")</f>
        <v>-9.54415</v>
      </c>
      <c r="J268" s="6" t="str">
        <f>IFERROR(__xludf.DUMMYFUNCTION("""COMPUTED_VALUE"""),"-35.75382")</f>
        <v>-35.75382</v>
      </c>
      <c r="K268" s="5" t="str">
        <f>IFERROR(__xludf.DUMMYFUNCTION("""COMPUTED_VALUE"""),"RUA PADRE CÍCERO, 339")</f>
        <v>RUA PADRE CÍCERO, 339</v>
      </c>
      <c r="L268" s="5" t="str">
        <f>IFERROR(__xludf.DUMMYFUNCTION("""COMPUTED_VALUE"""),"COLETORA")</f>
        <v>COLETORA</v>
      </c>
      <c r="M268" s="5" t="str">
        <f>IFERROR(__xludf.DUMMYFUNCTION("""COMPUTED_VALUE"""),"CIDADE UNIVERSITÁRIA")</f>
        <v>CIDADE UNIVERSITÁRIA</v>
      </c>
      <c r="N268" s="5" t="str">
        <f>IFERROR(__xludf.DUMMYFUNCTION("""COMPUTED_VALUE"""),"BAIRRO - CENTRO")</f>
        <v>BAIRRO - CENTRO</v>
      </c>
      <c r="O268" s="5" t="str">
        <f>IFERROR(__xludf.DUMMYFUNCTION("""COMPUTED_VALUE"""),"EM FRENTE A LOJA PAPEL E LAPIZ")</f>
        <v>EM FRENTE A LOJA PAPEL E LAPIZ</v>
      </c>
      <c r="P268" s="5" t="str">
        <f>IFERROR(__xludf.DUMMYFUNCTION("""COMPUTED_VALUE"""),"PRIORIDADE ALTA")</f>
        <v>PRIORIDADE ALTA</v>
      </c>
      <c r="Q268" s="5" t="str">
        <f>IFERROR(__xludf.DUMMYFUNCTION("""COMPUTED_VALUE"""),"READEQUAÇÃO DE CALÇADA COM ACESSIBILIDADE, PINTURA DE BAÍA NO ASFALTO.")</f>
        <v>READEQUAÇÃO DE CALÇADA COM ACESSIBILIDADE, PINTURA DE BAÍA NO ASFALTO.</v>
      </c>
      <c r="R268" s="5" t="str">
        <f>IFERROR(__xludf.DUMMYFUNCTION("""COMPUTED_VALUE"""),"SUBSTITUIR ABRIGO")</f>
        <v>SUBSTITUIR ABRIGO</v>
      </c>
      <c r="S268" s="5"/>
      <c r="T268" s="5"/>
      <c r="U268" s="5"/>
      <c r="V268" s="9" t="str">
        <f>IFERROR(__xludf.DUMMYFUNCTION("""COMPUTED_VALUE"""),"https://drive.google.com/uc?id=1pOBYCKThr9yI3hOPNFsORWrblXaI0x0S")</f>
        <v>https://drive.google.com/uc?id=1pOBYCKThr9yI3hOPNFsORWrblXaI0x0S</v>
      </c>
      <c r="W268" s="5" t="str">
        <f>IFERROR(__xludf.DUMMYFUNCTION("""COMPUTED_VALUE"""),"NÃO")</f>
        <v>NÃO</v>
      </c>
      <c r="X268" s="5" t="str">
        <f>IFERROR(__xludf.DUMMYFUNCTION("""COMPUTED_VALUE"""),"NÃO SE APLICA")</f>
        <v>NÃO SE APLICA</v>
      </c>
    </row>
    <row r="269" hidden="1">
      <c r="A269" s="5">
        <f>IFERROR(__xludf.DUMMYFUNCTION("""COMPUTED_VALUE"""),7.0)</f>
        <v>7</v>
      </c>
      <c r="B269" s="5" t="str">
        <f>IFERROR(__xludf.DUMMYFUNCTION("""COMPUTED_VALUE"""),"CV103")</f>
        <v>CV103</v>
      </c>
      <c r="C269" s="5" t="str">
        <f>IFERROR(__xludf.DUMMYFUNCTION("""COMPUTED_VALUE"""),"NÃO POSSUI")</f>
        <v>NÃO POSSUI</v>
      </c>
      <c r="D269" s="5" t="str">
        <f>IFERROR(__xludf.DUMMYFUNCTION("""COMPUTED_VALUE"""),"COM SUPORTE")</f>
        <v>COM SUPORTE</v>
      </c>
      <c r="E269" s="5" t="str">
        <f>IFERROR(__xludf.DUMMYFUNCTION("""COMPUTED_VALUE"""),"SEM BAIA")</f>
        <v>SEM BAIA</v>
      </c>
      <c r="F269" s="5" t="str">
        <f>IFERROR(__xludf.DUMMYFUNCTION("""COMPUTED_VALUE"""),"NÃO")</f>
        <v>NÃO</v>
      </c>
      <c r="G269" s="5" t="str">
        <f>IFERROR(__xludf.DUMMYFUNCTION("""COMPUTED_VALUE"""),"NÃO")</f>
        <v>NÃO</v>
      </c>
      <c r="H269" s="5" t="str">
        <f>IFERROR(__xludf.DUMMYFUNCTION("""COMPUTED_VALUE"""),"PAVIMENTADA")</f>
        <v>PAVIMENTADA</v>
      </c>
      <c r="I269" s="6" t="str">
        <f>IFERROR(__xludf.DUMMYFUNCTION("""COMPUTED_VALUE"""),"-9.54374")</f>
        <v>-9.54374</v>
      </c>
      <c r="J269" s="6" t="str">
        <f>IFERROR(__xludf.DUMMYFUNCTION("""COMPUTED_VALUE"""),"-35.75402")</f>
        <v>-35.75402</v>
      </c>
      <c r="K269" s="5" t="str">
        <f>IFERROR(__xludf.DUMMYFUNCTION("""COMPUTED_VALUE"""),"RUA PADRE CÍCERO, 174")</f>
        <v>RUA PADRE CÍCERO, 174</v>
      </c>
      <c r="L269" s="5" t="str">
        <f>IFERROR(__xludf.DUMMYFUNCTION("""COMPUTED_VALUE"""),"COLETORA")</f>
        <v>COLETORA</v>
      </c>
      <c r="M269" s="5" t="str">
        <f>IFERROR(__xludf.DUMMYFUNCTION("""COMPUTED_VALUE"""),"CIDADE UNIVERSITÁRIA")</f>
        <v>CIDADE UNIVERSITÁRIA</v>
      </c>
      <c r="N269" s="5" t="str">
        <f>IFERROR(__xludf.DUMMYFUNCTION("""COMPUTED_VALUE"""),"CENTRO - BAIRRO")</f>
        <v>CENTRO - BAIRRO</v>
      </c>
      <c r="O269" s="5" t="str">
        <f>IFERROR(__xludf.DUMMYFUNCTION("""COMPUTED_VALUE"""),"AO LADO DO SUPERMERCADO AZULÃO")</f>
        <v>AO LADO DO SUPERMERCADO AZULÃO</v>
      </c>
      <c r="P269" s="5" t="str">
        <f>IFERROR(__xludf.DUMMYFUNCTION("""COMPUTED_VALUE"""),"PRIORIDADE BAIXA")</f>
        <v>PRIORIDADE BAIXA</v>
      </c>
      <c r="Q269" s="5" t="str">
        <f>IFERROR(__xludf.DUMMYFUNCTION("""COMPUTED_VALUE"""),"READEQUAÇÃO DE CALÇADA COM ACESSIBILIDADE, PINTURA DE BAÍA NO ASFALTO.")</f>
        <v>READEQUAÇÃO DE CALÇADA COM ACESSIBILIDADE, PINTURA DE BAÍA NO ASFALTO.</v>
      </c>
      <c r="R269" s="5" t="str">
        <f>IFERROR(__xludf.DUMMYFUNCTION("""COMPUTED_VALUE"""),"NENHUMA DAS OPÇÕES")</f>
        <v>NENHUMA DAS OPÇÕES</v>
      </c>
      <c r="S269" s="5"/>
      <c r="T269" s="5"/>
      <c r="U269" s="5"/>
      <c r="V269" s="9" t="str">
        <f>IFERROR(__xludf.DUMMYFUNCTION("""COMPUTED_VALUE"""),"https://drive.google.com/uc?id=1sTZXyWs9rLKDhbuf6NUlPhD5l0dEmk1G")</f>
        <v>https://drive.google.com/uc?id=1sTZXyWs9rLKDhbuf6NUlPhD5l0dEmk1G</v>
      </c>
      <c r="W269" s="5" t="str">
        <f>IFERROR(__xludf.DUMMYFUNCTION("""COMPUTED_VALUE"""),"NÃO")</f>
        <v>NÃO</v>
      </c>
      <c r="X269" s="5" t="str">
        <f>IFERROR(__xludf.DUMMYFUNCTION("""COMPUTED_VALUE"""),"NÃO SE APLICA")</f>
        <v>NÃO SE APLICA</v>
      </c>
    </row>
    <row r="270" ht="18.75" hidden="1" customHeight="1">
      <c r="A270" s="5">
        <f>IFERROR(__xludf.DUMMYFUNCTION("""COMPUTED_VALUE"""),7.0)</f>
        <v>7</v>
      </c>
      <c r="B270" s="5" t="str">
        <f>IFERROR(__xludf.DUMMYFUNCTION("""COMPUTED_VALUE"""),"CV104")</f>
        <v>CV104</v>
      </c>
      <c r="C270" s="5" t="str">
        <f>IFERROR(__xludf.DUMMYFUNCTION("""COMPUTED_VALUE"""),"NÃO POSSUI")</f>
        <v>NÃO POSSUI</v>
      </c>
      <c r="D270" s="5" t="str">
        <f>IFERROR(__xludf.DUMMYFUNCTION("""COMPUTED_VALUE"""),"FIXADA EM POSTE")</f>
        <v>FIXADA EM POSTE</v>
      </c>
      <c r="E270" s="5" t="str">
        <f>IFERROR(__xludf.DUMMYFUNCTION("""COMPUTED_VALUE"""),"SEM BAIA")</f>
        <v>SEM BAIA</v>
      </c>
      <c r="F270" s="5" t="str">
        <f>IFERROR(__xludf.DUMMYFUNCTION("""COMPUTED_VALUE"""),"NÃO")</f>
        <v>NÃO</v>
      </c>
      <c r="G270" s="5" t="str">
        <f>IFERROR(__xludf.DUMMYFUNCTION("""COMPUTED_VALUE"""),"NÃO")</f>
        <v>NÃO</v>
      </c>
      <c r="H270" s="5" t="str">
        <f>IFERROR(__xludf.DUMMYFUNCTION("""COMPUTED_VALUE"""),"NÃO PAVIMENTADA")</f>
        <v>NÃO PAVIMENTADA</v>
      </c>
      <c r="I270" s="6" t="str">
        <f>IFERROR(__xludf.DUMMYFUNCTION("""COMPUTED_VALUE"""),"-9.542998")</f>
        <v>-9.542998</v>
      </c>
      <c r="J270" s="6" t="str">
        <f>IFERROR(__xludf.DUMMYFUNCTION("""COMPUTED_VALUE"""),"-35.753068")</f>
        <v>-35.753068</v>
      </c>
      <c r="K270" s="5" t="str">
        <f>IFERROR(__xludf.DUMMYFUNCTION("""COMPUTED_VALUE"""),"RUA BENED. CALAÇA LOUREIRO, 15")</f>
        <v>RUA BENED. CALAÇA LOUREIRO, 15</v>
      </c>
      <c r="L270" s="5" t="str">
        <f>IFERROR(__xludf.DUMMYFUNCTION("""COMPUTED_VALUE"""),"COLETORA")</f>
        <v>COLETORA</v>
      </c>
      <c r="M270" s="5" t="str">
        <f>IFERROR(__xludf.DUMMYFUNCTION("""COMPUTED_VALUE"""),"CIDADE UNIVERSITÁRIA")</f>
        <v>CIDADE UNIVERSITÁRIA</v>
      </c>
      <c r="N270" s="5" t="str">
        <f>IFERROR(__xludf.DUMMYFUNCTION("""COMPUTED_VALUE"""),"CENTRO - BAIRRO")</f>
        <v>CENTRO - BAIRRO</v>
      </c>
      <c r="O270" s="5" t="str">
        <f>IFERROR(__xludf.DUMMYFUNCTION("""COMPUTED_VALUE"""),"EM FRENTE A CASA 15")</f>
        <v>EM FRENTE A CASA 15</v>
      </c>
      <c r="P270" s="5" t="str">
        <f>IFERROR(__xludf.DUMMYFUNCTION("""COMPUTED_VALUE"""),"PRIORIDADE ALTA")</f>
        <v>PRIORIDADE ALTA</v>
      </c>
      <c r="Q270" s="5" t="str">
        <f>IFERROR(__xludf.DUMMYFUNCTION("""COMPUTED_VALUE"""),"READEQUAÇÃO DE CALÇADA COM ACESSIBILIDADE, PINTURA DE BAÍA NO ASFALTO.")</f>
        <v>READEQUAÇÃO DE CALÇADA COM ACESSIBILIDADE, PINTURA DE BAÍA NO ASFALTO.</v>
      </c>
      <c r="R270" s="5" t="str">
        <f>IFERROR(__xludf.DUMMYFUNCTION("""COMPUTED_VALUE"""),"NENHUMA DAS OPÇÕES")</f>
        <v>NENHUMA DAS OPÇÕES</v>
      </c>
      <c r="S270" s="5"/>
      <c r="T270" s="5"/>
      <c r="U270" s="5"/>
      <c r="V270" s="9" t="str">
        <f>IFERROR(__xludf.DUMMYFUNCTION("""COMPUTED_VALUE"""),"https://drive.google.com/uc?id=1HRhqLZCc1fo5UWQ1QgvYthorYuaonxzp")</f>
        <v>https://drive.google.com/uc?id=1HRhqLZCc1fo5UWQ1QgvYthorYuaonxzp</v>
      </c>
      <c r="W270" s="5" t="str">
        <f>IFERROR(__xludf.DUMMYFUNCTION("""COMPUTED_VALUE"""),"NÃO")</f>
        <v>NÃO</v>
      </c>
      <c r="X270" s="5" t="str">
        <f>IFERROR(__xludf.DUMMYFUNCTION("""COMPUTED_VALUE"""),"NÃO SE APLICA")</f>
        <v>NÃO SE APLICA</v>
      </c>
    </row>
    <row r="271" ht="12.75" customHeight="1">
      <c r="A271" s="5">
        <f>IFERROR(__xludf.DUMMYFUNCTION("""COMPUTED_VALUE"""),7.0)</f>
        <v>7</v>
      </c>
      <c r="B271" s="5" t="str">
        <f>IFERROR(__xludf.DUMMYFUNCTION("""COMPUTED_VALUE"""),"CV105")</f>
        <v>CV105</v>
      </c>
      <c r="C271" s="5" t="str">
        <f>IFERROR(__xludf.DUMMYFUNCTION("""COMPUTED_VALUE"""),"ABRIGO CONCRETO")</f>
        <v>ABRIGO CONCRETO</v>
      </c>
      <c r="D271" s="5" t="str">
        <f>IFERROR(__xludf.DUMMYFUNCTION("""COMPUTED_VALUE"""),"FIXADA EM POSTE")</f>
        <v>FIXADA EM POSTE</v>
      </c>
      <c r="E271" s="5" t="str">
        <f>IFERROR(__xludf.DUMMYFUNCTION("""COMPUTED_VALUE"""),"SEM BAIA")</f>
        <v>SEM BAIA</v>
      </c>
      <c r="F271" s="5" t="str">
        <f>IFERROR(__xludf.DUMMYFUNCTION("""COMPUTED_VALUE"""),"NÃO")</f>
        <v>NÃO</v>
      </c>
      <c r="G271" s="5" t="str">
        <f>IFERROR(__xludf.DUMMYFUNCTION("""COMPUTED_VALUE"""),"NÃO")</f>
        <v>NÃO</v>
      </c>
      <c r="H271" s="5" t="str">
        <f>IFERROR(__xludf.DUMMYFUNCTION("""COMPUTED_VALUE"""),"PAVIMENTADA COM AVARIAS")</f>
        <v>PAVIMENTADA COM AVARIAS</v>
      </c>
      <c r="I271" s="6" t="str">
        <f>IFERROR(__xludf.DUMMYFUNCTION("""COMPUTED_VALUE"""),"-9.54234")</f>
        <v>-9.54234</v>
      </c>
      <c r="J271" s="6" t="str">
        <f>IFERROR(__xludf.DUMMYFUNCTION("""COMPUTED_VALUE"""),"-35.75256
")</f>
        <v>-35.75256
</v>
      </c>
      <c r="K271" s="5" t="str">
        <f>IFERROR(__xludf.DUMMYFUNCTION("""COMPUTED_VALUE"""),"RUA TANCREDO NEVES, 21")</f>
        <v>RUA TANCREDO NEVES, 21</v>
      </c>
      <c r="L271" s="5" t="str">
        <f>IFERROR(__xludf.DUMMYFUNCTION("""COMPUTED_VALUE"""),"COLETORA")</f>
        <v>COLETORA</v>
      </c>
      <c r="M271" s="5" t="str">
        <f>IFERROR(__xludf.DUMMYFUNCTION("""COMPUTED_VALUE"""),"CIDADE UNIVERSITÁRIA")</f>
        <v>CIDADE UNIVERSITÁRIA</v>
      </c>
      <c r="N271" s="5" t="str">
        <f>IFERROR(__xludf.DUMMYFUNCTION("""COMPUTED_VALUE"""),"BAIRRO - CENTRO")</f>
        <v>BAIRRO - CENTRO</v>
      </c>
      <c r="O271" s="5" t="str">
        <f>IFERROR(__xludf.DUMMYFUNCTION("""COMPUTED_VALUE"""),"EM FRENTE A IGREJA UNIVERSAL")</f>
        <v>EM FRENTE A IGREJA UNIVERSAL</v>
      </c>
      <c r="P271" s="5" t="str">
        <f>IFERROR(__xludf.DUMMYFUNCTION("""COMPUTED_VALUE"""),"PRIORIDADE ALTA")</f>
        <v>PRIORIDADE ALTA</v>
      </c>
      <c r="Q271" s="5" t="str">
        <f>IFERROR(__xludf.DUMMYFUNCTION("""COMPUTED_VALUE"""),"ABRIGO DANIFICADO - REBOCO, PINTURA E ASSENTO DANIFICADO,  NECESSÁRIO FAZER LIMPEZA DA COBERTA.
PINTURA DA SINALIZAÇÃO DA BAÍA NO ASFALTO, READEQUAÇÃO DE CALÇADA COM ACESSIBILIDADE.
")</f>
        <v>ABRIGO DANIFICADO - REBOCO, PINTURA E ASSENTO DANIFICADO,  NECESSÁRIO FAZER LIMPEZA DA COBERTA.
PINTURA DA SINALIZAÇÃO DA BAÍA NO ASFALTO, READEQUAÇÃO DE CALÇADA COM ACESSIBILIDADE.
</v>
      </c>
      <c r="R271" s="5" t="str">
        <f>IFERROR(__xludf.DUMMYFUNCTION("""COMPUTED_VALUE"""),"SUBSTITUIR ABRIGO")</f>
        <v>SUBSTITUIR ABRIGO</v>
      </c>
      <c r="S271" s="5"/>
      <c r="T271" s="5"/>
      <c r="U271" s="5"/>
      <c r="V271" s="9" t="str">
        <f>IFERROR(__xludf.DUMMYFUNCTION("""COMPUTED_VALUE"""),"https://drive.google.com/uc?id=1CVhW_eu07LqDgjFTP40UGM5uGoMOsfsD")</f>
        <v>https://drive.google.com/uc?id=1CVhW_eu07LqDgjFTP40UGM5uGoMOsfsD</v>
      </c>
      <c r="W271" s="5" t="str">
        <f>IFERROR(__xludf.DUMMYFUNCTION("""COMPUTED_VALUE"""),"NÃO")</f>
        <v>NÃO</v>
      </c>
      <c r="X271" s="5" t="str">
        <f>IFERROR(__xludf.DUMMYFUNCTION("""COMPUTED_VALUE"""),"NÃO SE APLICA")</f>
        <v>NÃO SE APLICA</v>
      </c>
    </row>
    <row r="272" hidden="1">
      <c r="A272" s="5">
        <f>IFERROR(__xludf.DUMMYFUNCTION("""COMPUTED_VALUE"""),7.0)</f>
        <v>7</v>
      </c>
      <c r="B272" s="5" t="str">
        <f>IFERROR(__xludf.DUMMYFUNCTION("""COMPUTED_VALUE"""),"CV106")</f>
        <v>CV106</v>
      </c>
      <c r="C272" s="5" t="str">
        <f>IFERROR(__xludf.DUMMYFUNCTION("""COMPUTED_VALUE"""),"NÃO POSSUI")</f>
        <v>NÃO POSSUI</v>
      </c>
      <c r="D272" s="5" t="str">
        <f>IFERROR(__xludf.DUMMYFUNCTION("""COMPUTED_VALUE"""),"COM SUPORTE")</f>
        <v>COM SUPORTE</v>
      </c>
      <c r="E272" s="5" t="str">
        <f>IFERROR(__xludf.DUMMYFUNCTION("""COMPUTED_VALUE"""),"SEM BAIA")</f>
        <v>SEM BAIA</v>
      </c>
      <c r="F272" s="5" t="str">
        <f>IFERROR(__xludf.DUMMYFUNCTION("""COMPUTED_VALUE"""),"NÃO")</f>
        <v>NÃO</v>
      </c>
      <c r="G272" s="5" t="str">
        <f>IFERROR(__xludf.DUMMYFUNCTION("""COMPUTED_VALUE"""),"NÃO")</f>
        <v>NÃO</v>
      </c>
      <c r="H272" s="5" t="str">
        <f>IFERROR(__xludf.DUMMYFUNCTION("""COMPUTED_VALUE"""),"PAVIMENTADA")</f>
        <v>PAVIMENTADA</v>
      </c>
      <c r="I272" s="6" t="str">
        <f>IFERROR(__xludf.DUMMYFUNCTION("""COMPUTED_VALUE"""),"-9.54098")</f>
        <v>-9.54098</v>
      </c>
      <c r="J272" s="6" t="str">
        <f>IFERROR(__xludf.DUMMYFUNCTION("""COMPUTED_VALUE"""),"-35.75325
")</f>
        <v>-35.75325
</v>
      </c>
      <c r="K272" s="5" t="str">
        <f>IFERROR(__xludf.DUMMYFUNCTION("""COMPUTED_VALUE"""),"RUA TANCREDO NEVES, 520")</f>
        <v>RUA TANCREDO NEVES, 520</v>
      </c>
      <c r="L272" s="5" t="str">
        <f>IFERROR(__xludf.DUMMYFUNCTION("""COMPUTED_VALUE"""),"COLETORA")</f>
        <v>COLETORA</v>
      </c>
      <c r="M272" s="5" t="str">
        <f>IFERROR(__xludf.DUMMYFUNCTION("""COMPUTED_VALUE"""),"CIDADE UNIVERSITÁRIA")</f>
        <v>CIDADE UNIVERSITÁRIA</v>
      </c>
      <c r="N272" s="5" t="str">
        <f>IFERROR(__xludf.DUMMYFUNCTION("""COMPUTED_VALUE"""),"CENTRO - BAIRRO")</f>
        <v>CENTRO - BAIRRO</v>
      </c>
      <c r="O272" s="5" t="str">
        <f>IFERROR(__xludf.DUMMYFUNCTION("""COMPUTED_VALUE"""),"EM FRENTE A LOJA SHOP RAÇÕES")</f>
        <v>EM FRENTE A LOJA SHOP RAÇÕES</v>
      </c>
      <c r="P272" s="5" t="str">
        <f>IFERROR(__xludf.DUMMYFUNCTION("""COMPUTED_VALUE"""),"PRIORIDADE BAIXA")</f>
        <v>PRIORIDADE BAIXA</v>
      </c>
      <c r="Q272" s="5" t="str">
        <f>IFERROR(__xludf.DUMMYFUNCTION("""COMPUTED_VALUE"""),"READEQUAÇÃO DE CALÇADA COM ACESSIBILIDADE, PINTURA DE BAÍA NO ASFALTO.")</f>
        <v>READEQUAÇÃO DE CALÇADA COM ACESSIBILIDADE, PINTURA DE BAÍA NO ASFALTO.</v>
      </c>
      <c r="R272" s="5" t="str">
        <f>IFERROR(__xludf.DUMMYFUNCTION("""COMPUTED_VALUE"""),"NENHUMA DAS OPÇÕES")</f>
        <v>NENHUMA DAS OPÇÕES</v>
      </c>
      <c r="S272" s="5"/>
      <c r="T272" s="5"/>
      <c r="U272" s="5"/>
      <c r="V272" s="9" t="str">
        <f>IFERROR(__xludf.DUMMYFUNCTION("""COMPUTED_VALUE"""),"https://drive.google.com/uc?id=1o1esbGT7rx4Dfwc0uGECDO6nw9dp5EHl")</f>
        <v>https://drive.google.com/uc?id=1o1esbGT7rx4Dfwc0uGECDO6nw9dp5EHl</v>
      </c>
      <c r="W272" s="5" t="str">
        <f>IFERROR(__xludf.DUMMYFUNCTION("""COMPUTED_VALUE"""),"NÃO")</f>
        <v>NÃO</v>
      </c>
      <c r="X272" s="5" t="str">
        <f>IFERROR(__xludf.DUMMYFUNCTION("""COMPUTED_VALUE"""),"NÃO SE APLICA")</f>
        <v>NÃO SE APLICA</v>
      </c>
    </row>
    <row r="273" hidden="1">
      <c r="A273" s="5">
        <f>IFERROR(__xludf.DUMMYFUNCTION("""COMPUTED_VALUE"""),7.0)</f>
        <v>7</v>
      </c>
      <c r="B273" s="5" t="str">
        <f>IFERROR(__xludf.DUMMYFUNCTION("""COMPUTED_VALUE"""),"CV107")</f>
        <v>CV107</v>
      </c>
      <c r="C273" s="5" t="str">
        <f>IFERROR(__xludf.DUMMYFUNCTION("""COMPUTED_VALUE"""),"NÃO POSSUI")</f>
        <v>NÃO POSSUI</v>
      </c>
      <c r="D273" s="5" t="str">
        <f>IFERROR(__xludf.DUMMYFUNCTION("""COMPUTED_VALUE"""),"SEM PLACA")</f>
        <v>SEM PLACA</v>
      </c>
      <c r="E273" s="5" t="str">
        <f>IFERROR(__xludf.DUMMYFUNCTION("""COMPUTED_VALUE"""),"SEM BAIA")</f>
        <v>SEM BAIA</v>
      </c>
      <c r="F273" s="5" t="str">
        <f>IFERROR(__xludf.DUMMYFUNCTION("""COMPUTED_VALUE"""),"NÃO")</f>
        <v>NÃO</v>
      </c>
      <c r="G273" s="5" t="str">
        <f>IFERROR(__xludf.DUMMYFUNCTION("""COMPUTED_VALUE"""),"NÃO")</f>
        <v>NÃO</v>
      </c>
      <c r="H273" s="5" t="str">
        <f>IFERROR(__xludf.DUMMYFUNCTION("""COMPUTED_VALUE"""),"PAVIMENTADA")</f>
        <v>PAVIMENTADA</v>
      </c>
      <c r="I273" s="6" t="str">
        <f>IFERROR(__xludf.DUMMYFUNCTION("""COMPUTED_VALUE"""),"-9.54058")</f>
        <v>-9.54058</v>
      </c>
      <c r="J273" s="6" t="str">
        <f>IFERROR(__xludf.DUMMYFUNCTION("""COMPUTED_VALUE"""),"-35.75347")</f>
        <v>-35.75347</v>
      </c>
      <c r="K273" s="5" t="str">
        <f>IFERROR(__xludf.DUMMYFUNCTION("""COMPUTED_VALUE"""),"RUA TANCREDO NEVES, 394")</f>
        <v>RUA TANCREDO NEVES, 394</v>
      </c>
      <c r="L273" s="5" t="str">
        <f>IFERROR(__xludf.DUMMYFUNCTION("""COMPUTED_VALUE"""),"COLETORA")</f>
        <v>COLETORA</v>
      </c>
      <c r="M273" s="5" t="str">
        <f>IFERROR(__xludf.DUMMYFUNCTION("""COMPUTED_VALUE"""),"CIDADE UNIVERSITÁRIA")</f>
        <v>CIDADE UNIVERSITÁRIA</v>
      </c>
      <c r="N273" s="5" t="str">
        <f>IFERROR(__xludf.DUMMYFUNCTION("""COMPUTED_VALUE"""),"BAIRRO - CENTRO")</f>
        <v>BAIRRO - CENTRO</v>
      </c>
      <c r="O273" s="5" t="str">
        <f>IFERROR(__xludf.DUMMYFUNCTION("""COMPUTED_VALUE"""),"PRÓXIMO A SUPERFARMA ALAGOANA")</f>
        <v>PRÓXIMO A SUPERFARMA ALAGOANA</v>
      </c>
      <c r="P273" s="5" t="str">
        <f>IFERROR(__xludf.DUMMYFUNCTION("""COMPUTED_VALUE"""),"URGENTE")</f>
        <v>URGENTE</v>
      </c>
      <c r="Q273" s="5" t="str">
        <f>IFERROR(__xludf.DUMMYFUNCTION("""COMPUTED_VALUE"""),"READEQUAÇÃO DE CALÇADA COM ACESSIBILIDADE, PINTURA DE BAÍA NO ASFALTO.")</f>
        <v>READEQUAÇÃO DE CALÇADA COM ACESSIBILIDADE, PINTURA DE BAÍA NO ASFALTO.</v>
      </c>
      <c r="R273" s="5" t="str">
        <f>IFERROR(__xludf.DUMMYFUNCTION("""COMPUTED_VALUE"""),"NENHUMA DAS OPÇÕES")</f>
        <v>NENHUMA DAS OPÇÕES</v>
      </c>
      <c r="S273" s="5"/>
      <c r="T273" s="5"/>
      <c r="U273" s="5"/>
      <c r="V273" s="9" t="str">
        <f>IFERROR(__xludf.DUMMYFUNCTION("""COMPUTED_VALUE"""),"https://drive.google.com/uc?id=1Y5_UtuhZTraFAY7QT-R2EJZ8TymKrKaq")</f>
        <v>https://drive.google.com/uc?id=1Y5_UtuhZTraFAY7QT-R2EJZ8TymKrKaq</v>
      </c>
      <c r="W273" s="5" t="str">
        <f>IFERROR(__xludf.DUMMYFUNCTION("""COMPUTED_VALUE"""),"NÃO")</f>
        <v>NÃO</v>
      </c>
      <c r="X273" s="5" t="str">
        <f>IFERROR(__xludf.DUMMYFUNCTION("""COMPUTED_VALUE"""),"NÃO SE APLICA")</f>
        <v>NÃO SE APLICA</v>
      </c>
    </row>
    <row r="274" ht="15.0" customHeight="1">
      <c r="A274" s="5">
        <f>IFERROR(__xludf.DUMMYFUNCTION("""COMPUTED_VALUE"""),7.0)</f>
        <v>7</v>
      </c>
      <c r="B274" s="5" t="str">
        <f>IFERROR(__xludf.DUMMYFUNCTION("""COMPUTED_VALUE"""),"CV108")</f>
        <v>CV108</v>
      </c>
      <c r="C274" s="5" t="str">
        <f>IFERROR(__xludf.DUMMYFUNCTION("""COMPUTED_VALUE"""),"ABRIGO METÁLICO PEQUENO PORTE")</f>
        <v>ABRIGO METÁLICO PEQUENO PORTE</v>
      </c>
      <c r="D274" s="5" t="str">
        <f>IFERROR(__xludf.DUMMYFUNCTION("""COMPUTED_VALUE"""),"COM SUPORTE")</f>
        <v>COM SUPORTE</v>
      </c>
      <c r="E274" s="5" t="str">
        <f>IFERROR(__xludf.DUMMYFUNCTION("""COMPUTED_VALUE"""),"SEM BAIA")</f>
        <v>SEM BAIA</v>
      </c>
      <c r="F274" s="5" t="str">
        <f>IFERROR(__xludf.DUMMYFUNCTION("""COMPUTED_VALUE"""),"NÃO")</f>
        <v>NÃO</v>
      </c>
      <c r="G274" s="5" t="str">
        <f>IFERROR(__xludf.DUMMYFUNCTION("""COMPUTED_VALUE"""),"NÃO")</f>
        <v>NÃO</v>
      </c>
      <c r="H274" s="5" t="str">
        <f>IFERROR(__xludf.DUMMYFUNCTION("""COMPUTED_VALUE"""),"PAVIMENTADA")</f>
        <v>PAVIMENTADA</v>
      </c>
      <c r="I274" s="6" t="str">
        <f>IFERROR(__xludf.DUMMYFUNCTION("""COMPUTED_VALUE"""),"-9.53896")</f>
        <v>-9.53896</v>
      </c>
      <c r="J274" s="6" t="str">
        <f>IFERROR(__xludf.DUMMYFUNCTION("""COMPUTED_VALUE"""),"-35.75447")</f>
        <v>-35.75447</v>
      </c>
      <c r="K274" s="5" t="str">
        <f>IFERROR(__xludf.DUMMYFUNCTION("""COMPUTED_VALUE"""),"RUA SÃO PEDRO, 209")</f>
        <v>RUA SÃO PEDRO, 209</v>
      </c>
      <c r="L274" s="5" t="str">
        <f>IFERROR(__xludf.DUMMYFUNCTION("""COMPUTED_VALUE"""),"COLETORA")</f>
        <v>COLETORA</v>
      </c>
      <c r="M274" s="5" t="str">
        <f>IFERROR(__xludf.DUMMYFUNCTION("""COMPUTED_VALUE"""),"CIDADE UNIVERSITÁRIA")</f>
        <v>CIDADE UNIVERSITÁRIA</v>
      </c>
      <c r="N274" s="5" t="str">
        <f>IFERROR(__xludf.DUMMYFUNCTION("""COMPUTED_VALUE"""),"CENTRO - BAIRRO")</f>
        <v>CENTRO - BAIRRO</v>
      </c>
      <c r="O274" s="5" t="str">
        <f>IFERROR(__xludf.DUMMYFUNCTION("""COMPUTED_VALUE"""),"PRÓXIMO A ESQUINA COM A RUA TANCREDO NEVES, EM FRENTE AO DEPÓSITO GIRASSOL")</f>
        <v>PRÓXIMO A ESQUINA COM A RUA TANCREDO NEVES, EM FRENTE AO DEPÓSITO GIRASSOL</v>
      </c>
      <c r="P274" s="5" t="str">
        <f>IFERROR(__xludf.DUMMYFUNCTION("""COMPUTED_VALUE"""),"PRIORIDADE MÉDIA")</f>
        <v>PRIORIDADE MÉDIA</v>
      </c>
      <c r="Q274" s="5" t="str">
        <f>IFERROR(__xludf.DUMMYFUNCTION("""COMPUTED_VALUE"""),"NECESSÁRIO REPINTURA DE ABRIGO METÁLICO E RELOCAÇÃO DA PLACA PRÓXIMO AO ABRIGO.
READEQUAÇÃO DE CALÇADA COM ACESSIBILIDADE, PINTURA DE BAÍA NO ASFALTO.
")</f>
        <v>NECESSÁRIO REPINTURA DE ABRIGO METÁLICO E RELOCAÇÃO DA PLACA PRÓXIMO AO ABRIGO.
READEQUAÇÃO DE CALÇADA COM ACESSIBILIDADE, PINTURA DE BAÍA NO ASFALTO.
</v>
      </c>
      <c r="R274" s="5" t="str">
        <f>IFERROR(__xludf.DUMMYFUNCTION("""COMPUTED_VALUE"""),"NENHUMA DAS OPÇÕES")</f>
        <v>NENHUMA DAS OPÇÕES</v>
      </c>
      <c r="S274" s="5"/>
      <c r="T274" s="5"/>
      <c r="U274" s="5"/>
      <c r="V274" s="9" t="str">
        <f>IFERROR(__xludf.DUMMYFUNCTION("""COMPUTED_VALUE"""),"https://drive.google.com/uc?id=1MjW5Vh0HY_ZiSlHyt1eemJQGEWF_tQ-_")</f>
        <v>https://drive.google.com/uc?id=1MjW5Vh0HY_ZiSlHyt1eemJQGEWF_tQ-_</v>
      </c>
      <c r="W274" s="5" t="str">
        <f>IFERROR(__xludf.DUMMYFUNCTION("""COMPUTED_VALUE"""),"NÃO")</f>
        <v>NÃO</v>
      </c>
      <c r="X274" s="5" t="str">
        <f>IFERROR(__xludf.DUMMYFUNCTION("""COMPUTED_VALUE"""),"NÃO SE APLICA")</f>
        <v>NÃO SE APLICA</v>
      </c>
    </row>
    <row r="275" hidden="1">
      <c r="A275" s="5">
        <f>IFERROR(__xludf.DUMMYFUNCTION("""COMPUTED_VALUE"""),7.0)</f>
        <v>7</v>
      </c>
      <c r="B275" s="5" t="str">
        <f>IFERROR(__xludf.DUMMYFUNCTION("""COMPUTED_VALUE"""),"CV109")</f>
        <v>CV109</v>
      </c>
      <c r="C275" s="5" t="str">
        <f>IFERROR(__xludf.DUMMYFUNCTION("""COMPUTED_VALUE"""),"NÃO POSSUI")</f>
        <v>NÃO POSSUI</v>
      </c>
      <c r="D275" s="5" t="str">
        <f>IFERROR(__xludf.DUMMYFUNCTION("""COMPUTED_VALUE"""),"SEM PLACA")</f>
        <v>SEM PLACA</v>
      </c>
      <c r="E275" s="5" t="str">
        <f>IFERROR(__xludf.DUMMYFUNCTION("""COMPUTED_VALUE"""),"SEM BAIA")</f>
        <v>SEM BAIA</v>
      </c>
      <c r="F275" s="5" t="str">
        <f>IFERROR(__xludf.DUMMYFUNCTION("""COMPUTED_VALUE"""),"NÃO")</f>
        <v>NÃO</v>
      </c>
      <c r="G275" s="5" t="str">
        <f>IFERROR(__xludf.DUMMYFUNCTION("""COMPUTED_VALUE"""),"NÃO")</f>
        <v>NÃO</v>
      </c>
      <c r="H275" s="5" t="str">
        <f>IFERROR(__xludf.DUMMYFUNCTION("""COMPUTED_VALUE"""),"PAVIMENTADA")</f>
        <v>PAVIMENTADA</v>
      </c>
      <c r="I275" s="6" t="str">
        <f>IFERROR(__xludf.DUMMYFUNCTION("""COMPUTED_VALUE"""),"-9.53909")</f>
        <v>-9.53909</v>
      </c>
      <c r="J275" s="6" t="str">
        <f>IFERROR(__xludf.DUMMYFUNCTION("""COMPUTED_VALUE"""),"-35.75458
")</f>
        <v>-35.75458
</v>
      </c>
      <c r="K275" s="5" t="str">
        <f>IFERROR(__xludf.DUMMYFUNCTION("""COMPUTED_VALUE"""),"RUA SÃO PEDRO, 65")</f>
        <v>RUA SÃO PEDRO, 65</v>
      </c>
      <c r="L275" s="5" t="str">
        <f>IFERROR(__xludf.DUMMYFUNCTION("""COMPUTED_VALUE"""),"COLETORA")</f>
        <v>COLETORA</v>
      </c>
      <c r="M275" s="5" t="str">
        <f>IFERROR(__xludf.DUMMYFUNCTION("""COMPUTED_VALUE"""),"CIDADE UNIVERSITÁRIA")</f>
        <v>CIDADE UNIVERSITÁRIA</v>
      </c>
      <c r="N275" s="5" t="str">
        <f>IFERROR(__xludf.DUMMYFUNCTION("""COMPUTED_VALUE"""),"BAIRRO - CENTRO")</f>
        <v>BAIRRO - CENTRO</v>
      </c>
      <c r="O275" s="5" t="str">
        <f>IFERROR(__xludf.DUMMYFUNCTION("""COMPUTED_VALUE"""),"EM FRENTE A PANIFICAÇÃO SÃO BRAZ")</f>
        <v>EM FRENTE A PANIFICAÇÃO SÃO BRAZ</v>
      </c>
      <c r="P275" s="5" t="str">
        <f>IFERROR(__xludf.DUMMYFUNCTION("""COMPUTED_VALUE"""),"URGENTE")</f>
        <v>URGENTE</v>
      </c>
      <c r="Q275" s="5" t="str">
        <f>IFERROR(__xludf.DUMMYFUNCTION("""COMPUTED_VALUE"""),"READEQUAÇÃO DE CALÇADA COM ACESSIBILIDADE, PINTURA DE BAÍA NO ASFALTO.")</f>
        <v>READEQUAÇÃO DE CALÇADA COM ACESSIBILIDADE, PINTURA DE BAÍA NO ASFALTO.</v>
      </c>
      <c r="R275" s="5" t="str">
        <f>IFERROR(__xludf.DUMMYFUNCTION("""COMPUTED_VALUE"""),"NENHUMA DAS OPÇÕES")</f>
        <v>NENHUMA DAS OPÇÕES</v>
      </c>
      <c r="S275" s="5"/>
      <c r="T275" s="5"/>
      <c r="U275" s="5"/>
      <c r="V275" s="9" t="str">
        <f>IFERROR(__xludf.DUMMYFUNCTION("""COMPUTED_VALUE"""),"https://drive.google.com/uc?id=1MiIbmogdkS0VAul9Jaa6NeRAh4CjPKfq")</f>
        <v>https://drive.google.com/uc?id=1MiIbmogdkS0VAul9Jaa6NeRAh4CjPKfq</v>
      </c>
      <c r="W275" s="5" t="str">
        <f>IFERROR(__xludf.DUMMYFUNCTION("""COMPUTED_VALUE"""),"NÃO")</f>
        <v>NÃO</v>
      </c>
      <c r="X275" s="5" t="str">
        <f>IFERROR(__xludf.DUMMYFUNCTION("""COMPUTED_VALUE"""),"NÃO SE APLICA")</f>
        <v>NÃO SE APLICA</v>
      </c>
    </row>
    <row r="276">
      <c r="A276" s="5">
        <f>IFERROR(__xludf.DUMMYFUNCTION("""COMPUTED_VALUE"""),7.0)</f>
        <v>7</v>
      </c>
      <c r="B276" s="5" t="str">
        <f>IFERROR(__xludf.DUMMYFUNCTION("""COMPUTED_VALUE"""),"CV110")</f>
        <v>CV110</v>
      </c>
      <c r="C276" s="5" t="str">
        <f>IFERROR(__xludf.DUMMYFUNCTION("""COMPUTED_VALUE"""),"ABRIGO CONCRETO")</f>
        <v>ABRIGO CONCRETO</v>
      </c>
      <c r="D276" s="5" t="str">
        <f>IFERROR(__xludf.DUMMYFUNCTION("""COMPUTED_VALUE"""),"SEM PLACA")</f>
        <v>SEM PLACA</v>
      </c>
      <c r="E276" s="5" t="str">
        <f>IFERROR(__xludf.DUMMYFUNCTION("""COMPUTED_VALUE"""),"SEM BAIA")</f>
        <v>SEM BAIA</v>
      </c>
      <c r="F276" s="5" t="str">
        <f>IFERROR(__xludf.DUMMYFUNCTION("""COMPUTED_VALUE"""),"NÃO")</f>
        <v>NÃO</v>
      </c>
      <c r="G276" s="5" t="str">
        <f>IFERROR(__xludf.DUMMYFUNCTION("""COMPUTED_VALUE"""),"NÃO")</f>
        <v>NÃO</v>
      </c>
      <c r="H276" s="5" t="str">
        <f>IFERROR(__xludf.DUMMYFUNCTION("""COMPUTED_VALUE"""),"NÃO PAVIMENTADA")</f>
        <v>NÃO PAVIMENTADA</v>
      </c>
      <c r="I276" s="6" t="str">
        <f>IFERROR(__xludf.DUMMYFUNCTION("""COMPUTED_VALUE"""),"-9.53977")</f>
        <v>-9.53977</v>
      </c>
      <c r="J276" s="6" t="str">
        <f>IFERROR(__xludf.DUMMYFUNCTION("""COMPUTED_VALUE"""),"-35.75597")</f>
        <v>-35.75597</v>
      </c>
      <c r="K276" s="5" t="str">
        <f>IFERROR(__xludf.DUMMYFUNCTION("""COMPUTED_VALUE"""),"RUA SÃO PEDRO, 860")</f>
        <v>RUA SÃO PEDRO, 860</v>
      </c>
      <c r="L276" s="5" t="str">
        <f>IFERROR(__xludf.DUMMYFUNCTION("""COMPUTED_VALUE"""),"COLETORA")</f>
        <v>COLETORA</v>
      </c>
      <c r="M276" s="5" t="str">
        <f>IFERROR(__xludf.DUMMYFUNCTION("""COMPUTED_VALUE"""),"CIDADE UNIVERSITÁRIA")</f>
        <v>CIDADE UNIVERSITÁRIA</v>
      </c>
      <c r="N276" s="5" t="str">
        <f>IFERROR(__xludf.DUMMYFUNCTION("""COMPUTED_VALUE"""),"BAIRRO - CENTRO")</f>
        <v>BAIRRO - CENTRO</v>
      </c>
      <c r="O276" s="5" t="str">
        <f>IFERROR(__xludf.DUMMYFUNCTION("""COMPUTED_VALUE"""),"EM FRENTE A CASA 420")</f>
        <v>EM FRENTE A CASA 420</v>
      </c>
      <c r="P276" s="5" t="str">
        <f>IFERROR(__xludf.DUMMYFUNCTION("""COMPUTED_VALUE"""),"PRIORIDADE ALTA")</f>
        <v>PRIORIDADE ALTA</v>
      </c>
      <c r="Q276" s="5" t="str">
        <f>IFERROR(__xludf.DUMMYFUNCTION("""COMPUTED_VALUE"""),"NECESSÁRIO REPINTURA DE ABRIGO.READEQUAÇÃO DE CALÇADA COM ACESSIBILIDADE, PINTURA DE BAÍA NO ASFALTO.")</f>
        <v>NECESSÁRIO REPINTURA DE ABRIGO.READEQUAÇÃO DE CALÇADA COM ACESSIBILIDADE, PINTURA DE BAÍA NO ASFALTO.</v>
      </c>
      <c r="R276" s="5" t="str">
        <f>IFERROR(__xludf.DUMMYFUNCTION("""COMPUTED_VALUE"""),"SUBSTITUIR ABRIGO")</f>
        <v>SUBSTITUIR ABRIGO</v>
      </c>
      <c r="S276" s="5"/>
      <c r="T276" s="5"/>
      <c r="U276" s="5"/>
      <c r="V276" s="9" t="str">
        <f>IFERROR(__xludf.DUMMYFUNCTION("""COMPUTED_VALUE"""),"https://drive.google.com/uc?id=1IfbiCkRN9NOlWfP0_iBFPoAOh7J0OGY6")</f>
        <v>https://drive.google.com/uc?id=1IfbiCkRN9NOlWfP0_iBFPoAOh7J0OGY6</v>
      </c>
      <c r="W276" s="5" t="str">
        <f>IFERROR(__xludf.DUMMYFUNCTION("""COMPUTED_VALUE"""),"NÃO")</f>
        <v>NÃO</v>
      </c>
      <c r="X276" s="5" t="str">
        <f>IFERROR(__xludf.DUMMYFUNCTION("""COMPUTED_VALUE"""),"NÃO SE APLICA")</f>
        <v>NÃO SE APLICA</v>
      </c>
    </row>
    <row r="277" hidden="1">
      <c r="A277" s="5">
        <f>IFERROR(__xludf.DUMMYFUNCTION("""COMPUTED_VALUE"""),7.0)</f>
        <v>7</v>
      </c>
      <c r="B277" s="5" t="str">
        <f>IFERROR(__xludf.DUMMYFUNCTION("""COMPUTED_VALUE"""),"CV111")</f>
        <v>CV111</v>
      </c>
      <c r="C277" s="5" t="str">
        <f>IFERROR(__xludf.DUMMYFUNCTION("""COMPUTED_VALUE"""),"NÃO POSSUI")</f>
        <v>NÃO POSSUI</v>
      </c>
      <c r="D277" s="5" t="str">
        <f>IFERROR(__xludf.DUMMYFUNCTION("""COMPUTED_VALUE"""),"SEM PLACA")</f>
        <v>SEM PLACA</v>
      </c>
      <c r="E277" s="5" t="str">
        <f>IFERROR(__xludf.DUMMYFUNCTION("""COMPUTED_VALUE"""),"SEM BAIA")</f>
        <v>SEM BAIA</v>
      </c>
      <c r="F277" s="5" t="str">
        <f>IFERROR(__xludf.DUMMYFUNCTION("""COMPUTED_VALUE"""),"NÃO")</f>
        <v>NÃO</v>
      </c>
      <c r="G277" s="5" t="str">
        <f>IFERROR(__xludf.DUMMYFUNCTION("""COMPUTED_VALUE"""),"NÃO")</f>
        <v>NÃO</v>
      </c>
      <c r="H277" s="5" t="str">
        <f>IFERROR(__xludf.DUMMYFUNCTION("""COMPUTED_VALUE"""),"PAVIMENTADA")</f>
        <v>PAVIMENTADA</v>
      </c>
      <c r="I277" s="6" t="str">
        <f>IFERROR(__xludf.DUMMYFUNCTION("""COMPUTED_VALUE"""),"-9.53979")</f>
        <v>-9.53979</v>
      </c>
      <c r="J277" s="6" t="str">
        <f>IFERROR(__xludf.DUMMYFUNCTION("""COMPUTED_VALUE"""),"-35.75605")</f>
        <v>-35.75605</v>
      </c>
      <c r="K277" s="5" t="str">
        <f>IFERROR(__xludf.DUMMYFUNCTION("""COMPUTED_VALUE"""),"RUA SÃO PEDRO, 860")</f>
        <v>RUA SÃO PEDRO, 860</v>
      </c>
      <c r="L277" s="5" t="str">
        <f>IFERROR(__xludf.DUMMYFUNCTION("""COMPUTED_VALUE"""),"COLETORA")</f>
        <v>COLETORA</v>
      </c>
      <c r="M277" s="5" t="str">
        <f>IFERROR(__xludf.DUMMYFUNCTION("""COMPUTED_VALUE"""),"CIDADE UNIVERSITÁRIA")</f>
        <v>CIDADE UNIVERSITÁRIA</v>
      </c>
      <c r="N277" s="5" t="str">
        <f>IFERROR(__xludf.DUMMYFUNCTION("""COMPUTED_VALUE"""),"CENTRO - BAIRRO")</f>
        <v>CENTRO - BAIRRO</v>
      </c>
      <c r="O277" s="5" t="str">
        <f>IFERROR(__xludf.DUMMYFUNCTION("""COMPUTED_VALUE"""),"EM FRENTE AO MARQUINHO – REI DA GELADA.")</f>
        <v>EM FRENTE AO MARQUINHO – REI DA GELADA.</v>
      </c>
      <c r="P277" s="5" t="str">
        <f>IFERROR(__xludf.DUMMYFUNCTION("""COMPUTED_VALUE"""),"URGENTE")</f>
        <v>URGENTE</v>
      </c>
      <c r="Q277" s="5" t="str">
        <f>IFERROR(__xludf.DUMMYFUNCTION("""COMPUTED_VALUE"""),"READEQUAÇÃO DE CALÇADA COM ACESSIBILIDADE, PINTURA DE BAÍA NO ASFALTO.")</f>
        <v>READEQUAÇÃO DE CALÇADA COM ACESSIBILIDADE, PINTURA DE BAÍA NO ASFALTO.</v>
      </c>
      <c r="R277" s="5" t="str">
        <f>IFERROR(__xludf.DUMMYFUNCTION("""COMPUTED_VALUE"""),"NENHUMA DAS OPÇÕES")</f>
        <v>NENHUMA DAS OPÇÕES</v>
      </c>
      <c r="S277" s="5"/>
      <c r="T277" s="5"/>
      <c r="U277" s="5"/>
      <c r="V277" s="9" t="str">
        <f>IFERROR(__xludf.DUMMYFUNCTION("""COMPUTED_VALUE"""),"https://drive.google.com/uc?id=1T2YJG67buORgRjkgONi9MrIUkIo0lixt")</f>
        <v>https://drive.google.com/uc?id=1T2YJG67buORgRjkgONi9MrIUkIo0lixt</v>
      </c>
      <c r="W277" s="5" t="str">
        <f>IFERROR(__xludf.DUMMYFUNCTION("""COMPUTED_VALUE"""),"NÃO")</f>
        <v>NÃO</v>
      </c>
      <c r="X277" s="5" t="str">
        <f>IFERROR(__xludf.DUMMYFUNCTION("""COMPUTED_VALUE"""),"NÃO SE APLICA")</f>
        <v>NÃO SE APLICA</v>
      </c>
    </row>
    <row r="278" hidden="1">
      <c r="A278" s="5">
        <f>IFERROR(__xludf.DUMMYFUNCTION("""COMPUTED_VALUE"""),7.0)</f>
        <v>7</v>
      </c>
      <c r="B278" s="5" t="str">
        <f>IFERROR(__xludf.DUMMYFUNCTION("""COMPUTED_VALUE"""),"CV112")</f>
        <v>CV112</v>
      </c>
      <c r="C278" s="5" t="str">
        <f>IFERROR(__xludf.DUMMYFUNCTION("""COMPUTED_VALUE"""),"NÃO POSSUI")</f>
        <v>NÃO POSSUI</v>
      </c>
      <c r="D278" s="5" t="str">
        <f>IFERROR(__xludf.DUMMYFUNCTION("""COMPUTED_VALUE"""),"SEM PLACA")</f>
        <v>SEM PLACA</v>
      </c>
      <c r="E278" s="5" t="str">
        <f>IFERROR(__xludf.DUMMYFUNCTION("""COMPUTED_VALUE"""),"SEM BAIA")</f>
        <v>SEM BAIA</v>
      </c>
      <c r="F278" s="5" t="str">
        <f>IFERROR(__xludf.DUMMYFUNCTION("""COMPUTED_VALUE"""),"NÃO")</f>
        <v>NÃO</v>
      </c>
      <c r="G278" s="5" t="str">
        <f>IFERROR(__xludf.DUMMYFUNCTION("""COMPUTED_VALUE"""),"NÃO")</f>
        <v>NÃO</v>
      </c>
      <c r="H278" s="5" t="str">
        <f>IFERROR(__xludf.DUMMYFUNCTION("""COMPUTED_VALUE"""),"PAVIMENTADA")</f>
        <v>PAVIMENTADA</v>
      </c>
      <c r="I278" s="6" t="str">
        <f>IFERROR(__xludf.DUMMYFUNCTION("""COMPUTED_VALUE"""),"-9.54066")</f>
        <v>-9.54066</v>
      </c>
      <c r="J278" s="6" t="str">
        <f>IFERROR(__xludf.DUMMYFUNCTION("""COMPUTED_VALUE"""),"-35.75773")</f>
        <v>-35.75773</v>
      </c>
      <c r="K278" s="5" t="str">
        <f>IFERROR(__xludf.DUMMYFUNCTION("""COMPUTED_VALUE"""),"RUA SÃO PEDRO, 35")</f>
        <v>RUA SÃO PEDRO, 35</v>
      </c>
      <c r="L278" s="5" t="str">
        <f>IFERROR(__xludf.DUMMYFUNCTION("""COMPUTED_VALUE"""),"COLETORA")</f>
        <v>COLETORA</v>
      </c>
      <c r="M278" s="5" t="str">
        <f>IFERROR(__xludf.DUMMYFUNCTION("""COMPUTED_VALUE"""),"CIDADE UNIVERSITÁRIA")</f>
        <v>CIDADE UNIVERSITÁRIA</v>
      </c>
      <c r="N278" s="5" t="str">
        <f>IFERROR(__xludf.DUMMYFUNCTION("""COMPUTED_VALUE"""),"CENTRO - BAIRRO")</f>
        <v>CENTRO - BAIRRO</v>
      </c>
      <c r="O278" s="5" t="str">
        <f>IFERROR(__xludf.DUMMYFUNCTION("""COMPUTED_VALUE"""),"EM FRENTE AO SUPERMERCADO BOM PREÇO")</f>
        <v>EM FRENTE AO SUPERMERCADO BOM PREÇO</v>
      </c>
      <c r="P278" s="5" t="str">
        <f>IFERROR(__xludf.DUMMYFUNCTION("""COMPUTED_VALUE"""),"URGENTE")</f>
        <v>URGENTE</v>
      </c>
      <c r="Q278" s="5" t="str">
        <f>IFERROR(__xludf.DUMMYFUNCTION("""COMPUTED_VALUE"""),"NECESSÁRIO REPINTURA DE ABRIGO.READEQUAÇÃO DE CALÇADA COM ACESSIBILIDADE, PINTURA DE BAÍA NO ASFALTO.")</f>
        <v>NECESSÁRIO REPINTURA DE ABRIGO.READEQUAÇÃO DE CALÇADA COM ACESSIBILIDADE, PINTURA DE BAÍA NO ASFALTO.</v>
      </c>
      <c r="R278" s="5" t="str">
        <f>IFERROR(__xludf.DUMMYFUNCTION("""COMPUTED_VALUE"""),"NENHUMA DAS OPÇÕES")</f>
        <v>NENHUMA DAS OPÇÕES</v>
      </c>
      <c r="S278" s="5"/>
      <c r="T278" s="5"/>
      <c r="U278" s="5"/>
      <c r="V278" s="9" t="str">
        <f>IFERROR(__xludf.DUMMYFUNCTION("""COMPUTED_VALUE"""),"https://drive.google.com/uc?id=1ds_KkNJpDribneTCoUjv4gDTjGODny_X")</f>
        <v>https://drive.google.com/uc?id=1ds_KkNJpDribneTCoUjv4gDTjGODny_X</v>
      </c>
      <c r="W278" s="5" t="str">
        <f>IFERROR(__xludf.DUMMYFUNCTION("""COMPUTED_VALUE"""),"NÃO")</f>
        <v>NÃO</v>
      </c>
      <c r="X278" s="5" t="str">
        <f>IFERROR(__xludf.DUMMYFUNCTION("""COMPUTED_VALUE"""),"NÃO SE APLICA")</f>
        <v>NÃO SE APLICA</v>
      </c>
    </row>
    <row r="279" hidden="1">
      <c r="A279" s="5">
        <f>IFERROR(__xludf.DUMMYFUNCTION("""COMPUTED_VALUE"""),7.0)</f>
        <v>7</v>
      </c>
      <c r="B279" s="5" t="str">
        <f>IFERROR(__xludf.DUMMYFUNCTION("""COMPUTED_VALUE"""),"CV113")</f>
        <v>CV113</v>
      </c>
      <c r="C279" s="5" t="str">
        <f>IFERROR(__xludf.DUMMYFUNCTION("""COMPUTED_VALUE"""),"NÃO POSSUI")</f>
        <v>NÃO POSSUI</v>
      </c>
      <c r="D279" s="5" t="str">
        <f>IFERROR(__xludf.DUMMYFUNCTION("""COMPUTED_VALUE"""),"COM SUPORTE")</f>
        <v>COM SUPORTE</v>
      </c>
      <c r="E279" s="5" t="str">
        <f>IFERROR(__xludf.DUMMYFUNCTION("""COMPUTED_VALUE"""),"SEM BAIA")</f>
        <v>SEM BAIA</v>
      </c>
      <c r="F279" s="5" t="str">
        <f>IFERROR(__xludf.DUMMYFUNCTION("""COMPUTED_VALUE"""),"NÃO")</f>
        <v>NÃO</v>
      </c>
      <c r="G279" s="5" t="str">
        <f>IFERROR(__xludf.DUMMYFUNCTION("""COMPUTED_VALUE"""),"NÃO")</f>
        <v>NÃO</v>
      </c>
      <c r="H279" s="5" t="str">
        <f>IFERROR(__xludf.DUMMYFUNCTION("""COMPUTED_VALUE"""),"PAVIMENTADA")</f>
        <v>PAVIMENTADA</v>
      </c>
      <c r="I279" s="6" t="str">
        <f>IFERROR(__xludf.DUMMYFUNCTION("""COMPUTED_VALUE"""),"-9.54071")</f>
        <v>-9.54071</v>
      </c>
      <c r="J279" s="6" t="str">
        <f>IFERROR(__xludf.DUMMYFUNCTION("""COMPUTED_VALUE"""),"-35.75772")</f>
        <v>-35.75772</v>
      </c>
      <c r="K279" s="5" t="str">
        <f>IFERROR(__xludf.DUMMYFUNCTION("""COMPUTED_VALUE"""),"RUA SÃO PEDRO, 87")</f>
        <v>RUA SÃO PEDRO, 87</v>
      </c>
      <c r="L279" s="5" t="str">
        <f>IFERROR(__xludf.DUMMYFUNCTION("""COMPUTED_VALUE"""),"COLETORA")</f>
        <v>COLETORA</v>
      </c>
      <c r="M279" s="5" t="str">
        <f>IFERROR(__xludf.DUMMYFUNCTION("""COMPUTED_VALUE"""),"CIDADE UNIVERSITÁRIA")</f>
        <v>CIDADE UNIVERSITÁRIA</v>
      </c>
      <c r="N279" s="5" t="str">
        <f>IFERROR(__xludf.DUMMYFUNCTION("""COMPUTED_VALUE"""),"BAIRRO - CENTRO")</f>
        <v>BAIRRO - CENTRO</v>
      </c>
      <c r="O279" s="5" t="str">
        <f>IFERROR(__xludf.DUMMYFUNCTION("""COMPUTED_VALUE"""),"EM FRENTE AO SUPERMERCADO BOM PREÇO")</f>
        <v>EM FRENTE AO SUPERMERCADO BOM PREÇO</v>
      </c>
      <c r="P279" s="5" t="str">
        <f>IFERROR(__xludf.DUMMYFUNCTION("""COMPUTED_VALUE"""),"PRIORIDADE BAIXA")</f>
        <v>PRIORIDADE BAIXA</v>
      </c>
      <c r="Q279" s="5" t="str">
        <f>IFERROR(__xludf.DUMMYFUNCTION("""COMPUTED_VALUE"""),"READEQUAÇÃO DE CALÇADA COM ACESSIBILIDADE, PINTURA DE BAÍA NO ASFALTO.")</f>
        <v>READEQUAÇÃO DE CALÇADA COM ACESSIBILIDADE, PINTURA DE BAÍA NO ASFALTO.</v>
      </c>
      <c r="R279" s="5" t="str">
        <f>IFERROR(__xludf.DUMMYFUNCTION("""COMPUTED_VALUE"""),"NENHUMA DAS OPÇÕES")</f>
        <v>NENHUMA DAS OPÇÕES</v>
      </c>
      <c r="S279" s="5"/>
      <c r="T279" s="5"/>
      <c r="U279" s="5"/>
      <c r="V279" s="9" t="str">
        <f>IFERROR(__xludf.DUMMYFUNCTION("""COMPUTED_VALUE"""),"https://drive.google.com/uc?id=1jRXXvHwAHVLkFqmoFLEmQ-sV_UrHms7M")</f>
        <v>https://drive.google.com/uc?id=1jRXXvHwAHVLkFqmoFLEmQ-sV_UrHms7M</v>
      </c>
      <c r="W279" s="5" t="str">
        <f>IFERROR(__xludf.DUMMYFUNCTION("""COMPUTED_VALUE"""),"NÃO")</f>
        <v>NÃO</v>
      </c>
      <c r="X279" s="5" t="str">
        <f>IFERROR(__xludf.DUMMYFUNCTION("""COMPUTED_VALUE"""),"NÃO SE APLICA")</f>
        <v>NÃO SE APLICA</v>
      </c>
    </row>
    <row r="280" hidden="1">
      <c r="A280" s="5">
        <f>IFERROR(__xludf.DUMMYFUNCTION("""COMPUTED_VALUE"""),7.0)</f>
        <v>7</v>
      </c>
      <c r="B280" s="5" t="str">
        <f>IFERROR(__xludf.DUMMYFUNCTION("""COMPUTED_VALUE"""),"CV114")</f>
        <v>CV114</v>
      </c>
      <c r="C280" s="5" t="str">
        <f>IFERROR(__xludf.DUMMYFUNCTION("""COMPUTED_VALUE"""),"NÃO POSSUI")</f>
        <v>NÃO POSSUI</v>
      </c>
      <c r="D280" s="5" t="str">
        <f>IFERROR(__xludf.DUMMYFUNCTION("""COMPUTED_VALUE"""),"SEM PLACA")</f>
        <v>SEM PLACA</v>
      </c>
      <c r="E280" s="5" t="str">
        <f>IFERROR(__xludf.DUMMYFUNCTION("""COMPUTED_VALUE"""),"SEM BAIA")</f>
        <v>SEM BAIA</v>
      </c>
      <c r="F280" s="5" t="str">
        <f>IFERROR(__xludf.DUMMYFUNCTION("""COMPUTED_VALUE"""),"NÃO")</f>
        <v>NÃO</v>
      </c>
      <c r="G280" s="5" t="str">
        <f>IFERROR(__xludf.DUMMYFUNCTION("""COMPUTED_VALUE"""),"NÃO")</f>
        <v>NÃO</v>
      </c>
      <c r="H280" s="5" t="str">
        <f>IFERROR(__xludf.DUMMYFUNCTION("""COMPUTED_VALUE"""),"PAVIMENTADA")</f>
        <v>PAVIMENTADA</v>
      </c>
      <c r="I280" s="6" t="str">
        <f>IFERROR(__xludf.DUMMYFUNCTION("""COMPUTED_VALUE"""),"-9.54122")</f>
        <v>-9.54122</v>
      </c>
      <c r="J280" s="6" t="str">
        <f>IFERROR(__xludf.DUMMYFUNCTION("""COMPUTED_VALUE""")," -35.75895")</f>
        <v> -35.75895</v>
      </c>
      <c r="K280" s="5" t="str">
        <f>IFERROR(__xludf.DUMMYFUNCTION("""COMPUTED_VALUE"""),"RUA SÃO PEDRO, 34C")</f>
        <v>RUA SÃO PEDRO, 34C</v>
      </c>
      <c r="L280" s="5" t="str">
        <f>IFERROR(__xludf.DUMMYFUNCTION("""COMPUTED_VALUE"""),"COLETORA")</f>
        <v>COLETORA</v>
      </c>
      <c r="M280" s="5" t="str">
        <f>IFERROR(__xludf.DUMMYFUNCTION("""COMPUTED_VALUE"""),"CIDADE UNIVERSITÁRIA")</f>
        <v>CIDADE UNIVERSITÁRIA</v>
      </c>
      <c r="N280" s="5" t="str">
        <f>IFERROR(__xludf.DUMMYFUNCTION("""COMPUTED_VALUE"""),"CENTRO - BAIRRO")</f>
        <v>CENTRO - BAIRRO</v>
      </c>
      <c r="O280" s="5" t="str">
        <f>IFERROR(__xludf.DUMMYFUNCTION("""COMPUTED_VALUE"""),"EM FRENTE A PESTALOZZI")</f>
        <v>EM FRENTE A PESTALOZZI</v>
      </c>
      <c r="P280" s="5" t="str">
        <f>IFERROR(__xludf.DUMMYFUNCTION("""COMPUTED_VALUE"""),"PRIORIDADE ALTA")</f>
        <v>PRIORIDADE ALTA</v>
      </c>
      <c r="Q280" s="5" t="str">
        <f>IFERROR(__xludf.DUMMYFUNCTION("""COMPUTED_VALUE"""),"READEQUAÇÃO DE CALÇADA COM ACESSIBILIDADE, PINTURA DE BAÍA NO ASFALTO.")</f>
        <v>READEQUAÇÃO DE CALÇADA COM ACESSIBILIDADE, PINTURA DE BAÍA NO ASFALTO.</v>
      </c>
      <c r="R280" s="5" t="str">
        <f>IFERROR(__xludf.DUMMYFUNCTION("""COMPUTED_VALUE"""),"NENHUMA DAS OPÇÕES")</f>
        <v>NENHUMA DAS OPÇÕES</v>
      </c>
      <c r="S280" s="5"/>
      <c r="T280" s="5"/>
      <c r="U280" s="5"/>
      <c r="V280" s="9" t="str">
        <f>IFERROR(__xludf.DUMMYFUNCTION("""COMPUTED_VALUE"""),"https://drive.google.com/uc?id=1cRJYdA8DMtgYPOLFOyL8igoqi8dG9D9b")</f>
        <v>https://drive.google.com/uc?id=1cRJYdA8DMtgYPOLFOyL8igoqi8dG9D9b</v>
      </c>
      <c r="W280" s="5" t="str">
        <f>IFERROR(__xludf.DUMMYFUNCTION("""COMPUTED_VALUE"""),"NÃO")</f>
        <v>NÃO</v>
      </c>
      <c r="X280" s="5" t="str">
        <f>IFERROR(__xludf.DUMMYFUNCTION("""COMPUTED_VALUE"""),"NÃO SE APLICA")</f>
        <v>NÃO SE APLICA</v>
      </c>
    </row>
    <row r="281">
      <c r="A281" s="5">
        <f>IFERROR(__xludf.DUMMYFUNCTION("""COMPUTED_VALUE"""),7.0)</f>
        <v>7</v>
      </c>
      <c r="B281" s="5" t="str">
        <f>IFERROR(__xludf.DUMMYFUNCTION("""COMPUTED_VALUE"""),"CV115")</f>
        <v>CV115</v>
      </c>
      <c r="C281" s="5" t="str">
        <f>IFERROR(__xludf.DUMMYFUNCTION("""COMPUTED_VALUE"""),"ABRIGO CONCRETO")</f>
        <v>ABRIGO CONCRETO</v>
      </c>
      <c r="D281" s="5" t="str">
        <f>IFERROR(__xludf.DUMMYFUNCTION("""COMPUTED_VALUE"""),"SEM PLACA")</f>
        <v>SEM PLACA</v>
      </c>
      <c r="E281" s="5" t="str">
        <f>IFERROR(__xludf.DUMMYFUNCTION("""COMPUTED_VALUE"""),"SEM BAIA")</f>
        <v>SEM BAIA</v>
      </c>
      <c r="F281" s="5" t="str">
        <f>IFERROR(__xludf.DUMMYFUNCTION("""COMPUTED_VALUE"""),"SIM")</f>
        <v>SIM</v>
      </c>
      <c r="G281" s="5" t="str">
        <f>IFERROR(__xludf.DUMMYFUNCTION("""COMPUTED_VALUE"""),"SIM")</f>
        <v>SIM</v>
      </c>
      <c r="H281" s="5" t="str">
        <f>IFERROR(__xludf.DUMMYFUNCTION("""COMPUTED_VALUE"""),"PAVIMENTADA")</f>
        <v>PAVIMENTADA</v>
      </c>
      <c r="I281" s="6" t="str">
        <f>IFERROR(__xludf.DUMMYFUNCTION("""COMPUTED_VALUE"""),"-9.54103")</f>
        <v>-9.54103</v>
      </c>
      <c r="J281" s="6" t="str">
        <f>IFERROR(__xludf.DUMMYFUNCTION("""COMPUTED_VALUE"""),"-35.75841")</f>
        <v>-35.75841</v>
      </c>
      <c r="K281" s="5" t="str">
        <f>IFERROR(__xludf.DUMMYFUNCTION("""COMPUTED_VALUE"""),"RUA SÃO PEDRO, 530")</f>
        <v>RUA SÃO PEDRO, 530</v>
      </c>
      <c r="L281" s="5" t="str">
        <f>IFERROR(__xludf.DUMMYFUNCTION("""COMPUTED_VALUE"""),"COLETORA")</f>
        <v>COLETORA</v>
      </c>
      <c r="M281" s="5" t="str">
        <f>IFERROR(__xludf.DUMMYFUNCTION("""COMPUTED_VALUE"""),"CIDADE UNIVERSITÁRIA")</f>
        <v>CIDADE UNIVERSITÁRIA</v>
      </c>
      <c r="N281" s="5" t="str">
        <f>IFERROR(__xludf.DUMMYFUNCTION("""COMPUTED_VALUE"""),"BAIRRO - CENTRO")</f>
        <v>BAIRRO - CENTRO</v>
      </c>
      <c r="O281" s="5" t="str">
        <f>IFERROR(__xludf.DUMMYFUNCTION("""COMPUTED_VALUE"""),"EM FRENTE A RESIDENCIAL ALTA VISTA, E PRÓXIMO A PESTALOZZI.")</f>
        <v>EM FRENTE A RESIDENCIAL ALTA VISTA, E PRÓXIMO A PESTALOZZI.</v>
      </c>
      <c r="P281" s="5" t="str">
        <f>IFERROR(__xludf.DUMMYFUNCTION("""COMPUTED_VALUE"""),"PRIORIDADE MÉDIA")</f>
        <v>PRIORIDADE MÉDIA</v>
      </c>
      <c r="Q281" s="5" t="str">
        <f>IFERROR(__xludf.DUMMYFUNCTION("""COMPUTED_VALUE"""),"NECESSÁRIO REPINTURA DE ABRIGO.READEQUAÇÃO DE CALÇADA COM ACESSIBILIDADE, PINTURA DE BAÍA NO ASFALTO.")</f>
        <v>NECESSÁRIO REPINTURA DE ABRIGO.READEQUAÇÃO DE CALÇADA COM ACESSIBILIDADE, PINTURA DE BAÍA NO ASFALTO.</v>
      </c>
      <c r="R281" s="5" t="str">
        <f>IFERROR(__xludf.DUMMYFUNCTION("""COMPUTED_VALUE"""),"SUBSTITUIR ABRIGO")</f>
        <v>SUBSTITUIR ABRIGO</v>
      </c>
      <c r="S281" s="5"/>
      <c r="T281" s="5"/>
      <c r="U281" s="5"/>
      <c r="V281" s="9" t="str">
        <f>IFERROR(__xludf.DUMMYFUNCTION("""COMPUTED_VALUE"""),"https://drive.google.com/uc?id=1nzDQeswPESEBuyoL0GuTmWFQQ2rrjWQq")</f>
        <v>https://drive.google.com/uc?id=1nzDQeswPESEBuyoL0GuTmWFQQ2rrjWQq</v>
      </c>
      <c r="W281" s="5" t="str">
        <f>IFERROR(__xludf.DUMMYFUNCTION("""COMPUTED_VALUE"""),"NÃO")</f>
        <v>NÃO</v>
      </c>
      <c r="X281" s="5" t="str">
        <f>IFERROR(__xludf.DUMMYFUNCTION("""COMPUTED_VALUE"""),"NÃO SE APLICA")</f>
        <v>NÃO SE APLICA</v>
      </c>
    </row>
    <row r="282" hidden="1">
      <c r="A282" s="5">
        <f>IFERROR(__xludf.DUMMYFUNCTION("""COMPUTED_VALUE"""),7.0)</f>
        <v>7</v>
      </c>
      <c r="B282" s="5" t="str">
        <f>IFERROR(__xludf.DUMMYFUNCTION("""COMPUTED_VALUE"""),"CV116")</f>
        <v>CV116</v>
      </c>
      <c r="C282" s="5" t="str">
        <f>IFERROR(__xludf.DUMMYFUNCTION("""COMPUTED_VALUE"""),"NÃO POSSUI")</f>
        <v>NÃO POSSUI</v>
      </c>
      <c r="D282" s="5" t="str">
        <f>IFERROR(__xludf.DUMMYFUNCTION("""COMPUTED_VALUE"""),"COM SUPORTE")</f>
        <v>COM SUPORTE</v>
      </c>
      <c r="E282" s="5" t="str">
        <f>IFERROR(__xludf.DUMMYFUNCTION("""COMPUTED_VALUE"""),"SEM BAIA")</f>
        <v>SEM BAIA</v>
      </c>
      <c r="F282" s="5" t="str">
        <f>IFERROR(__xludf.DUMMYFUNCTION("""COMPUTED_VALUE"""),"NÃO")</f>
        <v>NÃO</v>
      </c>
      <c r="G282" s="5" t="str">
        <f>IFERROR(__xludf.DUMMYFUNCTION("""COMPUTED_VALUE"""),"NÃO")</f>
        <v>NÃO</v>
      </c>
      <c r="H282" s="5" t="str">
        <f>IFERROR(__xludf.DUMMYFUNCTION("""COMPUTED_VALUE"""),"PAVIMENTADA")</f>
        <v>PAVIMENTADA</v>
      </c>
      <c r="I282" s="6" t="str">
        <f>IFERROR(__xludf.DUMMYFUNCTION("""COMPUTED_VALUE"""),"-9.54243")</f>
        <v>-9.54243</v>
      </c>
      <c r="J282" s="6" t="str">
        <f>IFERROR(__xludf.DUMMYFUNCTION("""COMPUTED_VALUE"""),"-35.75917
")</f>
        <v>-35.75917
</v>
      </c>
      <c r="K282" s="5" t="str">
        <f>IFERROR(__xludf.DUMMYFUNCTION("""COMPUTED_VALUE"""),"AV. SEN. ARNO DE MELO, 1603")</f>
        <v>AV. SEN. ARNO DE MELO, 1603</v>
      </c>
      <c r="L282" s="5" t="str">
        <f>IFERROR(__xludf.DUMMYFUNCTION("""COMPUTED_VALUE"""),"COLETORA")</f>
        <v>COLETORA</v>
      </c>
      <c r="M282" s="5" t="str">
        <f>IFERROR(__xludf.DUMMYFUNCTION("""COMPUTED_VALUE"""),"CIDADE UNIVERSITÁRIA")</f>
        <v>CIDADE UNIVERSITÁRIA</v>
      </c>
      <c r="N282" s="5" t="str">
        <f>IFERROR(__xludf.DUMMYFUNCTION("""COMPUTED_VALUE"""),"CENTRO - BAIRRO")</f>
        <v>CENTRO - BAIRRO</v>
      </c>
      <c r="O282" s="5" t="str">
        <f>IFERROR(__xludf.DUMMYFUNCTION("""COMPUTED_VALUE"""),"EM FRENTE AO TERMINAL DE COMPRAS.")</f>
        <v>EM FRENTE AO TERMINAL DE COMPRAS.</v>
      </c>
      <c r="P282" s="5" t="str">
        <f>IFERROR(__xludf.DUMMYFUNCTION("""COMPUTED_VALUE"""),"PRIORIDADE MÉDIA")</f>
        <v>PRIORIDADE MÉDIA</v>
      </c>
      <c r="Q282" s="5" t="str">
        <f>IFERROR(__xludf.DUMMYFUNCTION("""COMPUTED_VALUE"""),"READEQUAÇÃO DE CALÇADA COM ACESSIBILIDADE, PINTURA DE BAÍA NO ASFALTO.")</f>
        <v>READEQUAÇÃO DE CALÇADA COM ACESSIBILIDADE, PINTURA DE BAÍA NO ASFALTO.</v>
      </c>
      <c r="R282" s="5" t="str">
        <f>IFERROR(__xludf.DUMMYFUNCTION("""COMPUTED_VALUE"""),"NENHUMA DAS OPÇÕES")</f>
        <v>NENHUMA DAS OPÇÕES</v>
      </c>
      <c r="S282" s="5"/>
      <c r="T282" s="5"/>
      <c r="U282" s="5"/>
      <c r="V282" s="9" t="str">
        <f>IFERROR(__xludf.DUMMYFUNCTION("""COMPUTED_VALUE"""),"https://drive.google.com/uc?id=1-qp7XcMQZF6I64x1pMScKD5nN3MY2KH5")</f>
        <v>https://drive.google.com/uc?id=1-qp7XcMQZF6I64x1pMScKD5nN3MY2KH5</v>
      </c>
      <c r="W282" s="5" t="str">
        <f>IFERROR(__xludf.DUMMYFUNCTION("""COMPUTED_VALUE"""),"NÃO")</f>
        <v>NÃO</v>
      </c>
      <c r="X282" s="5" t="str">
        <f>IFERROR(__xludf.DUMMYFUNCTION("""COMPUTED_VALUE"""),"NÃO SE APLICA")</f>
        <v>NÃO SE APLICA</v>
      </c>
    </row>
    <row r="283" ht="18.0" hidden="1" customHeight="1">
      <c r="A283" s="5">
        <f>IFERROR(__xludf.DUMMYFUNCTION("""COMPUTED_VALUE"""),7.0)</f>
        <v>7</v>
      </c>
      <c r="B283" s="5" t="str">
        <f>IFERROR(__xludf.DUMMYFUNCTION("""COMPUTED_VALUE"""),"CV117")</f>
        <v>CV117</v>
      </c>
      <c r="C283" s="5" t="str">
        <f>IFERROR(__xludf.DUMMYFUNCTION("""COMPUTED_VALUE"""),"NÃO POSSUI")</f>
        <v>NÃO POSSUI</v>
      </c>
      <c r="D283" s="5" t="str">
        <f>IFERROR(__xludf.DUMMYFUNCTION("""COMPUTED_VALUE"""),"COM SUPORTE")</f>
        <v>COM SUPORTE</v>
      </c>
      <c r="E283" s="5" t="str">
        <f>IFERROR(__xludf.DUMMYFUNCTION("""COMPUTED_VALUE"""),"SEM BAIA")</f>
        <v>SEM BAIA</v>
      </c>
      <c r="F283" s="5" t="str">
        <f>IFERROR(__xludf.DUMMYFUNCTION("""COMPUTED_VALUE"""),"NÃO")</f>
        <v>NÃO</v>
      </c>
      <c r="G283" s="5" t="str">
        <f>IFERROR(__xludf.DUMMYFUNCTION("""COMPUTED_VALUE"""),"NÃO")</f>
        <v>NÃO</v>
      </c>
      <c r="H283" s="5" t="str">
        <f>IFERROR(__xludf.DUMMYFUNCTION("""COMPUTED_VALUE"""),"PAVIMENTADA")</f>
        <v>PAVIMENTADA</v>
      </c>
      <c r="I283" s="6" t="str">
        <f>IFERROR(__xludf.DUMMYFUNCTION("""COMPUTED_VALUE"""),"-9.54238")</f>
        <v>-9.54238</v>
      </c>
      <c r="J283" s="6" t="str">
        <f>IFERROR(__xludf.DUMMYFUNCTION("""COMPUTED_VALUE"""),"-35.75914
")</f>
        <v>-35.75914
</v>
      </c>
      <c r="K283" s="5" t="str">
        <f>IFERROR(__xludf.DUMMYFUNCTION("""COMPUTED_VALUE"""),"AV. SEN. ARNO DE MELO, 177")</f>
        <v>AV. SEN. ARNO DE MELO, 177</v>
      </c>
      <c r="L283" s="5" t="str">
        <f>IFERROR(__xludf.DUMMYFUNCTION("""COMPUTED_VALUE"""),"COLETORA")</f>
        <v>COLETORA</v>
      </c>
      <c r="M283" s="5" t="str">
        <f>IFERROR(__xludf.DUMMYFUNCTION("""COMPUTED_VALUE"""),"CIDADE UNIVERSITÁRIA")</f>
        <v>CIDADE UNIVERSITÁRIA</v>
      </c>
      <c r="N283" s="5" t="str">
        <f>IFERROR(__xludf.DUMMYFUNCTION("""COMPUTED_VALUE"""),"BAIRRO - CENTRO")</f>
        <v>BAIRRO - CENTRO</v>
      </c>
      <c r="O283" s="5" t="str">
        <f>IFERROR(__xludf.DUMMYFUNCTION("""COMPUTED_VALUE"""),"AO LADO DO TERMINAL DE COMPRAS")</f>
        <v>AO LADO DO TERMINAL DE COMPRAS</v>
      </c>
      <c r="P283" s="5" t="str">
        <f>IFERROR(__xludf.DUMMYFUNCTION("""COMPUTED_VALUE"""),"PRIORIDADE BAIXA")</f>
        <v>PRIORIDADE BAIXA</v>
      </c>
      <c r="Q283" s="5" t="str">
        <f>IFERROR(__xludf.DUMMYFUNCTION("""COMPUTED_VALUE"""),"NECESSÁRIO RELOCAÇÃO DA PLACA MAIS PRÓXIMO DA ESQUINA, NO POSTE DA ESQUINA DO TERMINAL DE COMPRAS.
READEQUAÇÃO DE CALÇADA COM ACESSIBILIDADE, PINTURA DE BAÍA NO ASFALTO.
")</f>
        <v>NECESSÁRIO RELOCAÇÃO DA PLACA MAIS PRÓXIMO DA ESQUINA, NO POSTE DA ESQUINA DO TERMINAL DE COMPRAS.
READEQUAÇÃO DE CALÇADA COM ACESSIBILIDADE, PINTURA DE BAÍA NO ASFALTO.
</v>
      </c>
      <c r="R283" s="5" t="str">
        <f>IFERROR(__xludf.DUMMYFUNCTION("""COMPUTED_VALUE"""),"NENHUMA DAS OPÇÕES")</f>
        <v>NENHUMA DAS OPÇÕES</v>
      </c>
      <c r="S283" s="5"/>
      <c r="T283" s="5"/>
      <c r="U283" s="5"/>
      <c r="V283" s="9" t="str">
        <f>IFERROR(__xludf.DUMMYFUNCTION("""COMPUTED_VALUE"""),"https://drive.google.com/uc?id=1g2DPMXNe7cG7wR3iRctBp_bY67RxaFsY")</f>
        <v>https://drive.google.com/uc?id=1g2DPMXNe7cG7wR3iRctBp_bY67RxaFsY</v>
      </c>
      <c r="W283" s="5" t="str">
        <f>IFERROR(__xludf.DUMMYFUNCTION("""COMPUTED_VALUE"""),"NÃO")</f>
        <v>NÃO</v>
      </c>
      <c r="X283" s="5" t="str">
        <f>IFERROR(__xludf.DUMMYFUNCTION("""COMPUTED_VALUE"""),"NÃO SE APLICA")</f>
        <v>NÃO SE APLICA</v>
      </c>
    </row>
    <row r="284" hidden="1">
      <c r="A284" s="5">
        <f>IFERROR(__xludf.DUMMYFUNCTION("""COMPUTED_VALUE"""),7.0)</f>
        <v>7</v>
      </c>
      <c r="B284" s="5" t="str">
        <f>IFERROR(__xludf.DUMMYFUNCTION("""COMPUTED_VALUE"""),"CV118")</f>
        <v>CV118</v>
      </c>
      <c r="C284" s="5" t="str">
        <f>IFERROR(__xludf.DUMMYFUNCTION("""COMPUTED_VALUE"""),"NÃO POSSUI")</f>
        <v>NÃO POSSUI</v>
      </c>
      <c r="D284" s="5" t="str">
        <f>IFERROR(__xludf.DUMMYFUNCTION("""COMPUTED_VALUE"""),"SEM PLACA")</f>
        <v>SEM PLACA</v>
      </c>
      <c r="E284" s="5" t="str">
        <f>IFERROR(__xludf.DUMMYFUNCTION("""COMPUTED_VALUE"""),"SEM BAIA")</f>
        <v>SEM BAIA</v>
      </c>
      <c r="F284" s="5" t="str">
        <f>IFERROR(__xludf.DUMMYFUNCTION("""COMPUTED_VALUE"""),"NÃO")</f>
        <v>NÃO</v>
      </c>
      <c r="G284" s="5" t="str">
        <f>IFERROR(__xludf.DUMMYFUNCTION("""COMPUTED_VALUE"""),"NÃO")</f>
        <v>NÃO</v>
      </c>
      <c r="H284" s="5" t="str">
        <f>IFERROR(__xludf.DUMMYFUNCTION("""COMPUTED_VALUE"""),"PAVIMENTADA COM AVARIAS")</f>
        <v>PAVIMENTADA COM AVARIAS</v>
      </c>
      <c r="I284" s="6" t="str">
        <f>IFERROR(__xludf.DUMMYFUNCTION("""COMPUTED_VALUE"""),"-9.54383")</f>
        <v>-9.54383</v>
      </c>
      <c r="J284" s="6" t="str">
        <f>IFERROR(__xludf.DUMMYFUNCTION("""COMPUTED_VALUE""")," -35.75949
")</f>
        <v> -35.75949
</v>
      </c>
      <c r="K284" s="5" t="str">
        <f>IFERROR(__xludf.DUMMYFUNCTION("""COMPUTED_VALUE"""),"AV. SEN. TEOTÔNIO VILELA, 08")</f>
        <v>AV. SEN. TEOTÔNIO VILELA, 08</v>
      </c>
      <c r="L284" s="5" t="str">
        <f>IFERROR(__xludf.DUMMYFUNCTION("""COMPUTED_VALUE"""),"COLETORA")</f>
        <v>COLETORA</v>
      </c>
      <c r="M284" s="5" t="str">
        <f>IFERROR(__xludf.DUMMYFUNCTION("""COMPUTED_VALUE"""),"CIDADE UNIVERSITÁRIA")</f>
        <v>CIDADE UNIVERSITÁRIA</v>
      </c>
      <c r="N284" s="5" t="str">
        <f>IFERROR(__xludf.DUMMYFUNCTION("""COMPUTED_VALUE"""),"CENTRO - BAIRRO")</f>
        <v>CENTRO - BAIRRO</v>
      </c>
      <c r="O284" s="5" t="str">
        <f>IFERROR(__xludf.DUMMYFUNCTION("""COMPUTED_VALUE"""),"EM FRENTE A GARAGEM DO MLTT TRANSPORTES")</f>
        <v>EM FRENTE A GARAGEM DO MLTT TRANSPORTES</v>
      </c>
      <c r="P284" s="5" t="str">
        <f>IFERROR(__xludf.DUMMYFUNCTION("""COMPUTED_VALUE"""),"PRIORIDADE ALTA")</f>
        <v>PRIORIDADE ALTA</v>
      </c>
      <c r="Q284" s="5" t="str">
        <f>IFERROR(__xludf.DUMMYFUNCTION("""COMPUTED_VALUE"""),"READEQUAÇÃO DE CALÇADA COM ACESSIBILIDADE E PINTURA DE BAÍA NO ASFALTO, LIMPEZA DE VEGETAÇÃO SELVAGEM CRESCENTE.")</f>
        <v>READEQUAÇÃO DE CALÇADA COM ACESSIBILIDADE E PINTURA DE BAÍA NO ASFALTO, LIMPEZA DE VEGETAÇÃO SELVAGEM CRESCENTE.</v>
      </c>
      <c r="R284" s="5" t="str">
        <f>IFERROR(__xludf.DUMMYFUNCTION("""COMPUTED_VALUE"""),"NENHUMA DAS OPÇÕES")</f>
        <v>NENHUMA DAS OPÇÕES</v>
      </c>
      <c r="S284" s="5"/>
      <c r="T284" s="5"/>
      <c r="U284" s="5"/>
      <c r="V284" s="9" t="str">
        <f>IFERROR(__xludf.DUMMYFUNCTION("""COMPUTED_VALUE"""),"https://drive.google.com/uc?id=18oYz2LNCgxvC1nbNoIFFmVgCG8PaRs30")</f>
        <v>https://drive.google.com/uc?id=18oYz2LNCgxvC1nbNoIFFmVgCG8PaRs30</v>
      </c>
      <c r="W284" s="5" t="str">
        <f>IFERROR(__xludf.DUMMYFUNCTION("""COMPUTED_VALUE"""),"NÃO")</f>
        <v>NÃO</v>
      </c>
      <c r="X284" s="5" t="str">
        <f>IFERROR(__xludf.DUMMYFUNCTION("""COMPUTED_VALUE"""),"NÃO SE APLICA")</f>
        <v>NÃO SE APLICA</v>
      </c>
    </row>
    <row r="285" ht="18.75" hidden="1" customHeight="1">
      <c r="A285" s="5">
        <f>IFERROR(__xludf.DUMMYFUNCTION("""COMPUTED_VALUE"""),7.0)</f>
        <v>7</v>
      </c>
      <c r="B285" s="5" t="str">
        <f>IFERROR(__xludf.DUMMYFUNCTION("""COMPUTED_VALUE"""),"CV119")</f>
        <v>CV119</v>
      </c>
      <c r="C285" s="5" t="str">
        <f>IFERROR(__xludf.DUMMYFUNCTION("""COMPUTED_VALUE"""),"NÃO POSSUI")</f>
        <v>NÃO POSSUI</v>
      </c>
      <c r="D285" s="5" t="str">
        <f>IFERROR(__xludf.DUMMYFUNCTION("""COMPUTED_VALUE"""),"COM SUPORTE")</f>
        <v>COM SUPORTE</v>
      </c>
      <c r="E285" s="5" t="str">
        <f>IFERROR(__xludf.DUMMYFUNCTION("""COMPUTED_VALUE"""),"SEM BAIA")</f>
        <v>SEM BAIA</v>
      </c>
      <c r="F285" s="5" t="str">
        <f>IFERROR(__xludf.DUMMYFUNCTION("""COMPUTED_VALUE"""),"NÃO")</f>
        <v>NÃO</v>
      </c>
      <c r="G285" s="5" t="str">
        <f>IFERROR(__xludf.DUMMYFUNCTION("""COMPUTED_VALUE"""),"NÃO")</f>
        <v>NÃO</v>
      </c>
      <c r="H285" s="5" t="str">
        <f>IFERROR(__xludf.DUMMYFUNCTION("""COMPUTED_VALUE"""),"PAVIMENTADA")</f>
        <v>PAVIMENTADA</v>
      </c>
      <c r="I285" s="6" t="str">
        <f>IFERROR(__xludf.DUMMYFUNCTION("""COMPUTED_VALUE"""),"-9.54415")</f>
        <v>-9.54415</v>
      </c>
      <c r="J285" s="6" t="str">
        <f>IFERROR(__xludf.DUMMYFUNCTION("""COMPUTED_VALUE"""),"-35.76006
")</f>
        <v>-35.76006
</v>
      </c>
      <c r="K285" s="5" t="str">
        <f>IFERROR(__xludf.DUMMYFUNCTION("""COMPUTED_VALUE"""),"AV. SEN. TEOTÔNIO VILELA, 56")</f>
        <v>AV. SEN. TEOTÔNIO VILELA, 56</v>
      </c>
      <c r="L285" s="5" t="str">
        <f>IFERROR(__xludf.DUMMYFUNCTION("""COMPUTED_VALUE"""),"COLETORA")</f>
        <v>COLETORA</v>
      </c>
      <c r="M285" s="5" t="str">
        <f>IFERROR(__xludf.DUMMYFUNCTION("""COMPUTED_VALUE"""),"CIDADE UNIVERSITÁRIA")</f>
        <v>CIDADE UNIVERSITÁRIA</v>
      </c>
      <c r="N285" s="5" t="str">
        <f>IFERROR(__xludf.DUMMYFUNCTION("""COMPUTED_VALUE"""),"BAIRRO - CENTRO")</f>
        <v>BAIRRO - CENTRO</v>
      </c>
      <c r="O285" s="5" t="str">
        <f>IFERROR(__xludf.DUMMYFUNCTION("""COMPUTED_VALUE"""),"RÓXIMO A GARAGEM DO MLTT TRANSPORTES")</f>
        <v>RÓXIMO A GARAGEM DO MLTT TRANSPORTES</v>
      </c>
      <c r="P285" s="5" t="str">
        <f>IFERROR(__xludf.DUMMYFUNCTION("""COMPUTED_VALUE"""),"URGENTE")</f>
        <v>URGENTE</v>
      </c>
      <c r="Q285" s="5" t="str">
        <f>IFERROR(__xludf.DUMMYFUNCTION("""COMPUTED_VALUE"""),"READEQUAÇÃO DE CALÇADA COM ACESSIBILIDADE, PINTURA DE BAÍA NO ASFALTO.")</f>
        <v>READEQUAÇÃO DE CALÇADA COM ACESSIBILIDADE, PINTURA DE BAÍA NO ASFALTO.</v>
      </c>
      <c r="R285" s="5" t="str">
        <f>IFERROR(__xludf.DUMMYFUNCTION("""COMPUTED_VALUE"""),"NENHUMA DAS OPÇÕES")</f>
        <v>NENHUMA DAS OPÇÕES</v>
      </c>
      <c r="S285" s="5"/>
      <c r="T285" s="5"/>
      <c r="U285" s="5"/>
      <c r="V285" s="9" t="str">
        <f>IFERROR(__xludf.DUMMYFUNCTION("""COMPUTED_VALUE"""),"https://drive.google.com/uc?id=1cLFe4eWfOJEKR2uk1vO9Hg4iPyd6PDql")</f>
        <v>https://drive.google.com/uc?id=1cLFe4eWfOJEKR2uk1vO9Hg4iPyd6PDql</v>
      </c>
      <c r="W285" s="5" t="str">
        <f>IFERROR(__xludf.DUMMYFUNCTION("""COMPUTED_VALUE"""),"NÃO")</f>
        <v>NÃO</v>
      </c>
      <c r="X285" s="5" t="str">
        <f>IFERROR(__xludf.DUMMYFUNCTION("""COMPUTED_VALUE"""),"NÃO SE APLICA")</f>
        <v>NÃO SE APLICA</v>
      </c>
    </row>
    <row r="286" hidden="1">
      <c r="A286" s="5">
        <f>IFERROR(__xludf.DUMMYFUNCTION("""COMPUTED_VALUE"""),7.0)</f>
        <v>7</v>
      </c>
      <c r="B286" s="5" t="str">
        <f>IFERROR(__xludf.DUMMYFUNCTION("""COMPUTED_VALUE"""),"CV120")</f>
        <v>CV120</v>
      </c>
      <c r="C286" s="5" t="str">
        <f>IFERROR(__xludf.DUMMYFUNCTION("""COMPUTED_VALUE"""),"NÃO POSSUI")</f>
        <v>NÃO POSSUI</v>
      </c>
      <c r="D286" s="5" t="str">
        <f>IFERROR(__xludf.DUMMYFUNCTION("""COMPUTED_VALUE"""),"COM SUPORTE")</f>
        <v>COM SUPORTE</v>
      </c>
      <c r="E286" s="5" t="str">
        <f>IFERROR(__xludf.DUMMYFUNCTION("""COMPUTED_VALUE"""),"SEM BAIA")</f>
        <v>SEM BAIA</v>
      </c>
      <c r="F286" s="5" t="str">
        <f>IFERROR(__xludf.DUMMYFUNCTION("""COMPUTED_VALUE"""),"NÃO")</f>
        <v>NÃO</v>
      </c>
      <c r="G286" s="5" t="str">
        <f>IFERROR(__xludf.DUMMYFUNCTION("""COMPUTED_VALUE"""),"NÃO")</f>
        <v>NÃO</v>
      </c>
      <c r="H286" s="5" t="str">
        <f>IFERROR(__xludf.DUMMYFUNCTION("""COMPUTED_VALUE"""),"PAVIMENTADA")</f>
        <v>PAVIMENTADA</v>
      </c>
      <c r="I286" s="6" t="str">
        <f>IFERROR(__xludf.DUMMYFUNCTION("""COMPUTED_VALUE"""),"-9.54438")</f>
        <v>-9.54438</v>
      </c>
      <c r="J286" s="6" t="str">
        <f>IFERROR(__xludf.DUMMYFUNCTION("""COMPUTED_VALUE"""),"-35.76043")</f>
        <v>-35.76043</v>
      </c>
      <c r="K286" s="5" t="str">
        <f>IFERROR(__xludf.DUMMYFUNCTION("""COMPUTED_VALUE"""),"AV. SEN. TEOTÔNIO VILELA, 104")</f>
        <v>AV. SEN. TEOTÔNIO VILELA, 104</v>
      </c>
      <c r="L286" s="5" t="str">
        <f>IFERROR(__xludf.DUMMYFUNCTION("""COMPUTED_VALUE"""),"COLETORA")</f>
        <v>COLETORA</v>
      </c>
      <c r="M286" s="5" t="str">
        <f>IFERROR(__xludf.DUMMYFUNCTION("""COMPUTED_VALUE"""),"CIDADE UNIVERSITÁRIA")</f>
        <v>CIDADE UNIVERSITÁRIA</v>
      </c>
      <c r="N286" s="5" t="str">
        <f>IFERROR(__xludf.DUMMYFUNCTION("""COMPUTED_VALUE"""),"BAIRRO - CENTRO")</f>
        <v>BAIRRO - CENTRO</v>
      </c>
      <c r="O286" s="5" t="str">
        <f>IFERROR(__xludf.DUMMYFUNCTION("""COMPUTED_VALUE"""),"PRÓXIMO AO RESIDENCIAL SIRIUS")</f>
        <v>PRÓXIMO AO RESIDENCIAL SIRIUS</v>
      </c>
      <c r="P286" s="5" t="str">
        <f>IFERROR(__xludf.DUMMYFUNCTION("""COMPUTED_VALUE"""),"URGENTE")</f>
        <v>URGENTE</v>
      </c>
      <c r="Q286" s="5" t="str">
        <f>IFERROR(__xludf.DUMMYFUNCTION("""COMPUTED_VALUE"""),"RELOCAÇÃO DE PLACA PARA LOCAL DA IMAGEM, NO ABRIGO REABRIGADO CITADO, NO PONTO CV121 ABAIXO")</f>
        <v>RELOCAÇÃO DE PLACA PARA LOCAL DA IMAGEM, NO ABRIGO REABRIGADO CITADO, NO PONTO CV121 ABAIXO</v>
      </c>
      <c r="R286" s="5" t="str">
        <f>IFERROR(__xludf.DUMMYFUNCTION("""COMPUTED_VALUE"""),"NENHUMA DAS OPÇÕES")</f>
        <v>NENHUMA DAS OPÇÕES</v>
      </c>
      <c r="S286" s="5"/>
      <c r="T286" s="5"/>
      <c r="U286" s="5"/>
      <c r="V286" s="9" t="str">
        <f>IFERROR(__xludf.DUMMYFUNCTION("""COMPUTED_VALUE"""),"https://drive.google.com/uc?id=1z2FJiWvNHRp-sVakB6w2AyYmtcePGUxQ")</f>
        <v>https://drive.google.com/uc?id=1z2FJiWvNHRp-sVakB6w2AyYmtcePGUxQ</v>
      </c>
      <c r="W286" s="5" t="str">
        <f>IFERROR(__xludf.DUMMYFUNCTION("""COMPUTED_VALUE"""),"NÃO")</f>
        <v>NÃO</v>
      </c>
      <c r="X286" s="5" t="str">
        <f>IFERROR(__xludf.DUMMYFUNCTION("""COMPUTED_VALUE"""),"NÃO SE APLICA")</f>
        <v>NÃO SE APLICA</v>
      </c>
    </row>
    <row r="287" ht="12.75" customHeight="1">
      <c r="A287" s="5">
        <f>IFERROR(__xludf.DUMMYFUNCTION("""COMPUTED_VALUE"""),7.0)</f>
        <v>7</v>
      </c>
      <c r="B287" s="5" t="str">
        <f>IFERROR(__xludf.DUMMYFUNCTION("""COMPUTED_VALUE"""),"CV121")</f>
        <v>CV121</v>
      </c>
      <c r="C287" s="5" t="str">
        <f>IFERROR(__xludf.DUMMYFUNCTION("""COMPUTED_VALUE"""),"ABRIGO CONCRETO")</f>
        <v>ABRIGO CONCRETO</v>
      </c>
      <c r="D287" s="5" t="str">
        <f>IFERROR(__xludf.DUMMYFUNCTION("""COMPUTED_VALUE"""),"SEM PLACA")</f>
        <v>SEM PLACA</v>
      </c>
      <c r="E287" s="5" t="str">
        <f>IFERROR(__xludf.DUMMYFUNCTION("""COMPUTED_VALUE"""),"SEM BAIA")</f>
        <v>SEM BAIA</v>
      </c>
      <c r="F287" s="5" t="str">
        <f>IFERROR(__xludf.DUMMYFUNCTION("""COMPUTED_VALUE"""),"NÃO")</f>
        <v>NÃO</v>
      </c>
      <c r="G287" s="5" t="str">
        <f>IFERROR(__xludf.DUMMYFUNCTION("""COMPUTED_VALUE"""),"NÃO")</f>
        <v>NÃO</v>
      </c>
      <c r="H287" s="5" t="str">
        <f>IFERROR(__xludf.DUMMYFUNCTION("""COMPUTED_VALUE"""),"NÃO PAVIMENTADA")</f>
        <v>NÃO PAVIMENTADA</v>
      </c>
      <c r="I287" s="6" t="str">
        <f>IFERROR(__xludf.DUMMYFUNCTION("""COMPUTED_VALUE"""),"-9.54489")</f>
        <v>-9.54489</v>
      </c>
      <c r="J287" s="6" t="str">
        <f>IFERROR(__xludf.DUMMYFUNCTION("""COMPUTED_VALUE"""),"-35.76158
")</f>
        <v>-35.76158
</v>
      </c>
      <c r="K287" s="5" t="str">
        <f>IFERROR(__xludf.DUMMYFUNCTION("""COMPUTED_VALUE"""),"AV. SEN. TEOTÔNIO VILELA, 120")</f>
        <v>AV. SEN. TEOTÔNIO VILELA, 120</v>
      </c>
      <c r="L287" s="5" t="str">
        <f>IFERROR(__xludf.DUMMYFUNCTION("""COMPUTED_VALUE"""),"COLETORA")</f>
        <v>COLETORA</v>
      </c>
      <c r="M287" s="5" t="str">
        <f>IFERROR(__xludf.DUMMYFUNCTION("""COMPUTED_VALUE"""),"CIDADE UNIVERSITÁRIA")</f>
        <v>CIDADE UNIVERSITÁRIA</v>
      </c>
      <c r="N287" s="5" t="str">
        <f>IFERROR(__xludf.DUMMYFUNCTION("""COMPUTED_VALUE"""),"CENTRO - BAIRRO")</f>
        <v>CENTRO - BAIRRO</v>
      </c>
      <c r="O287" s="5" t="str">
        <f>IFERROR(__xludf.DUMMYFUNCTION("""COMPUTED_VALUE"""),"PRÓXIMO A CASA 120")</f>
        <v>PRÓXIMO A CASA 120</v>
      </c>
      <c r="P287" s="5" t="str">
        <f>IFERROR(__xludf.DUMMYFUNCTION("""COMPUTED_VALUE"""),"URGENTE")</f>
        <v>URGENTE</v>
      </c>
      <c r="Q287" s="5" t="str">
        <f>IFERROR(__xludf.DUMMYFUNCTION("""COMPUTED_VALUE"""),"RELOCAÇÃO DE UM DOS ABRIGOS PARA OUTRO LADO DA RUA, CONFORME ILUSTRA SEGUNDA IMAGEM E, POSTERIORMENTE, REPINTURA DE AMBOS OS ABRIGOS.
READEQUAÇÃO DE CALÇADA COM ACESSIBILIDADE, PINTURA DE BAÍA NO ASFALTO.
")</f>
        <v>RELOCAÇÃO DE UM DOS ABRIGOS PARA OUTRO LADO DA RUA, CONFORME ILUSTRA SEGUNDA IMAGEM E, POSTERIORMENTE, REPINTURA DE AMBOS OS ABRIGOS.
READEQUAÇÃO DE CALÇADA COM ACESSIBILIDADE, PINTURA DE BAÍA NO ASFALTO.
</v>
      </c>
      <c r="R287" s="5" t="str">
        <f>IFERROR(__xludf.DUMMYFUNCTION("""COMPUTED_VALUE"""),"SUBSTITUIR ABRIGO")</f>
        <v>SUBSTITUIR ABRIGO</v>
      </c>
      <c r="S287" s="5"/>
      <c r="T287" s="5"/>
      <c r="U287" s="5"/>
      <c r="V287" s="9" t="str">
        <f>IFERROR(__xludf.DUMMYFUNCTION("""COMPUTED_VALUE"""),"https://drive.google.com/uc?id=1wjTWdWflYasZke134fROYF8kv7aLy3W_")</f>
        <v>https://drive.google.com/uc?id=1wjTWdWflYasZke134fROYF8kv7aLy3W_</v>
      </c>
      <c r="W287" s="5" t="str">
        <f>IFERROR(__xludf.DUMMYFUNCTION("""COMPUTED_VALUE"""),"NÃO")</f>
        <v>NÃO</v>
      </c>
      <c r="X287" s="5" t="str">
        <f>IFERROR(__xludf.DUMMYFUNCTION("""COMPUTED_VALUE"""),"NÃO SE APLICA")</f>
        <v>NÃO SE APLICA</v>
      </c>
    </row>
    <row r="288" hidden="1">
      <c r="A288" s="5">
        <f>IFERROR(__xludf.DUMMYFUNCTION("""COMPUTED_VALUE"""),7.0)</f>
        <v>7</v>
      </c>
      <c r="B288" s="5" t="str">
        <f>IFERROR(__xludf.DUMMYFUNCTION("""COMPUTED_VALUE"""),"CV122")</f>
        <v>CV122</v>
      </c>
      <c r="C288" s="5" t="str">
        <f>IFERROR(__xludf.DUMMYFUNCTION("""COMPUTED_VALUE"""),"NÃO POSSUI")</f>
        <v>NÃO POSSUI</v>
      </c>
      <c r="D288" s="5" t="str">
        <f>IFERROR(__xludf.DUMMYFUNCTION("""COMPUTED_VALUE"""),"SEM PLACA")</f>
        <v>SEM PLACA</v>
      </c>
      <c r="E288" s="5" t="str">
        <f>IFERROR(__xludf.DUMMYFUNCTION("""COMPUTED_VALUE"""),"SEM BAIA")</f>
        <v>SEM BAIA</v>
      </c>
      <c r="F288" s="5" t="str">
        <f>IFERROR(__xludf.DUMMYFUNCTION("""COMPUTED_VALUE"""),"SIM")</f>
        <v>SIM</v>
      </c>
      <c r="G288" s="5" t="str">
        <f>IFERROR(__xludf.DUMMYFUNCTION("""COMPUTED_VALUE"""),"NÃO")</f>
        <v>NÃO</v>
      </c>
      <c r="H288" s="5" t="str">
        <f>IFERROR(__xludf.DUMMYFUNCTION("""COMPUTED_VALUE"""),"PAVIMENTADA")</f>
        <v>PAVIMENTADA</v>
      </c>
      <c r="I288" s="6" t="str">
        <f>IFERROR(__xludf.DUMMYFUNCTION("""COMPUTED_VALUE"""),"-9.544952")</f>
        <v>-9.544952</v>
      </c>
      <c r="J288" s="6" t="str">
        <f>IFERROR(__xludf.DUMMYFUNCTION("""COMPUTED_VALUE"""),"-35.765111
")</f>
        <v>-35.765111
</v>
      </c>
      <c r="K288" s="5" t="str">
        <f>IFERROR(__xludf.DUMMYFUNCTION("""COMPUTED_VALUE"""),"AV. FREI DAMIÃO DE BOZZANO, S/N")</f>
        <v>AV. FREI DAMIÃO DE BOZZANO, S/N</v>
      </c>
      <c r="L288" s="5" t="str">
        <f>IFERROR(__xludf.DUMMYFUNCTION("""COMPUTED_VALUE"""),"COLETORA")</f>
        <v>COLETORA</v>
      </c>
      <c r="M288" s="5" t="str">
        <f>IFERROR(__xludf.DUMMYFUNCTION("""COMPUTED_VALUE"""),"CIDADE UNIVERSITÁRIA")</f>
        <v>CIDADE UNIVERSITÁRIA</v>
      </c>
      <c r="N288" s="5" t="str">
        <f>IFERROR(__xludf.DUMMYFUNCTION("""COMPUTED_VALUE"""),"CENTRO - BAIRRO")</f>
        <v>CENTRO - BAIRRO</v>
      </c>
      <c r="O288" s="5" t="str">
        <f>IFERROR(__xludf.DUMMYFUNCTION("""COMPUTED_VALUE"""),"EM FRENTE AO RES. JARDIM TROPICAL")</f>
        <v>EM FRENTE AO RES. JARDIM TROPICAL</v>
      </c>
      <c r="P288" s="5" t="str">
        <f>IFERROR(__xludf.DUMMYFUNCTION("""COMPUTED_VALUE"""),"URGENTE")</f>
        <v>URGENTE</v>
      </c>
      <c r="Q288" s="5" t="str">
        <f>IFERROR(__xludf.DUMMYFUNCTION("""COMPUTED_VALUE"""),"READEQUAÇÃO DE CALÇADA COM ACESSIBILIDADE, PINTURA DE BAÍA NO ASFALTO.")</f>
        <v>READEQUAÇÃO DE CALÇADA COM ACESSIBILIDADE, PINTURA DE BAÍA NO ASFALTO.</v>
      </c>
      <c r="R288" s="5" t="str">
        <f>IFERROR(__xludf.DUMMYFUNCTION("""COMPUTED_VALUE"""),"NENHUMA DAS OPÇÕES")</f>
        <v>NENHUMA DAS OPÇÕES</v>
      </c>
      <c r="S288" s="5"/>
      <c r="T288" s="5"/>
      <c r="U288" s="5"/>
      <c r="V288" s="9" t="str">
        <f>IFERROR(__xludf.DUMMYFUNCTION("""COMPUTED_VALUE"""),"https://drive.google.com/uc?id=1gsSitp2EdJMmLrNFpBzlcBhhczzlyCE8")</f>
        <v>https://drive.google.com/uc?id=1gsSitp2EdJMmLrNFpBzlcBhhczzlyCE8</v>
      </c>
      <c r="W288" s="5" t="str">
        <f>IFERROR(__xludf.DUMMYFUNCTION("""COMPUTED_VALUE"""),"NÃO")</f>
        <v>NÃO</v>
      </c>
      <c r="X288" s="5" t="str">
        <f>IFERROR(__xludf.DUMMYFUNCTION("""COMPUTED_VALUE"""),"NÃO SE APLICA")</f>
        <v>NÃO SE APLICA</v>
      </c>
    </row>
    <row r="289">
      <c r="A289" s="5">
        <f>IFERROR(__xludf.DUMMYFUNCTION("""COMPUTED_VALUE"""),7.0)</f>
        <v>7</v>
      </c>
      <c r="B289" s="5" t="str">
        <f>IFERROR(__xludf.DUMMYFUNCTION("""COMPUTED_VALUE"""),"CV123")</f>
        <v>CV123</v>
      </c>
      <c r="C289" s="5" t="str">
        <f>IFERROR(__xludf.DUMMYFUNCTION("""COMPUTED_VALUE"""),"ABRIGO CONCRETO")</f>
        <v>ABRIGO CONCRETO</v>
      </c>
      <c r="D289" s="5" t="str">
        <f>IFERROR(__xludf.DUMMYFUNCTION("""COMPUTED_VALUE"""),"SEM PLACA")</f>
        <v>SEM PLACA</v>
      </c>
      <c r="E289" s="5" t="str">
        <f>IFERROR(__xludf.DUMMYFUNCTION("""COMPUTED_VALUE"""),"SEM BAIA")</f>
        <v>SEM BAIA</v>
      </c>
      <c r="F289" s="5" t="str">
        <f>IFERROR(__xludf.DUMMYFUNCTION("""COMPUTED_VALUE"""),"NÃO")</f>
        <v>NÃO</v>
      </c>
      <c r="G289" s="5" t="str">
        <f>IFERROR(__xludf.DUMMYFUNCTION("""COMPUTED_VALUE"""),"NÃO")</f>
        <v>NÃO</v>
      </c>
      <c r="H289" s="5" t="str">
        <f>IFERROR(__xludf.DUMMYFUNCTION("""COMPUTED_VALUE"""),"NÃO PAVIMENTADA")</f>
        <v>NÃO PAVIMENTADA</v>
      </c>
      <c r="I289" s="6" t="str">
        <f>IFERROR(__xludf.DUMMYFUNCTION("""COMPUTED_VALUE"""),"-9.545136")</f>
        <v>-9.545136</v>
      </c>
      <c r="J289" s="6" t="str">
        <f>IFERROR(__xludf.DUMMYFUNCTION("""COMPUTED_VALUE"""),"-35.765285
")</f>
        <v>-35.765285
</v>
      </c>
      <c r="K289" s="5" t="str">
        <f>IFERROR(__xludf.DUMMYFUNCTION("""COMPUTED_VALUE"""),"AV. FREI DAMIÃO DE BOZZANO, S/N")</f>
        <v>AV. FREI DAMIÃO DE BOZZANO, S/N</v>
      </c>
      <c r="L289" s="5" t="str">
        <f>IFERROR(__xludf.DUMMYFUNCTION("""COMPUTED_VALUE"""),"COLETORA")</f>
        <v>COLETORA</v>
      </c>
      <c r="M289" s="5" t="str">
        <f>IFERROR(__xludf.DUMMYFUNCTION("""COMPUTED_VALUE"""),"CIDADE UNIVERSITÁRIA")</f>
        <v>CIDADE UNIVERSITÁRIA</v>
      </c>
      <c r="N289" s="5" t="str">
        <f>IFERROR(__xludf.DUMMYFUNCTION("""COMPUTED_VALUE"""),"BAIRRO - CENTRO")</f>
        <v>BAIRRO - CENTRO</v>
      </c>
      <c r="O289" s="5" t="str">
        <f>IFERROR(__xludf.DUMMYFUNCTION("""COMPUTED_VALUE"""),"EM FRENTE AO RES. JARDIM TROPICAL")</f>
        <v>EM FRENTE AO RES. JARDIM TROPICAL</v>
      </c>
      <c r="P289" s="5" t="str">
        <f>IFERROR(__xludf.DUMMYFUNCTION("""COMPUTED_VALUE"""),"PRIORIDADE BAIXA")</f>
        <v>PRIORIDADE BAIXA</v>
      </c>
      <c r="Q289" s="5" t="str">
        <f>IFERROR(__xludf.DUMMYFUNCTION("""COMPUTED_VALUE"""),"READEQUAÇÃO DE CALÇADA COM ACESSIBILIDADE, PINTURA DE BAÍA NO ASFALTO.")</f>
        <v>READEQUAÇÃO DE CALÇADA COM ACESSIBILIDADE, PINTURA DE BAÍA NO ASFALTO.</v>
      </c>
      <c r="R289" s="5" t="str">
        <f>IFERROR(__xludf.DUMMYFUNCTION("""COMPUTED_VALUE"""),"SUBSTITUIR ABRIGO")</f>
        <v>SUBSTITUIR ABRIGO</v>
      </c>
      <c r="S289" s="5"/>
      <c r="T289" s="5"/>
      <c r="U289" s="5"/>
      <c r="V289" s="9" t="str">
        <f>IFERROR(__xludf.DUMMYFUNCTION("""COMPUTED_VALUE"""),"https://drive.google.com/uc?id=14QlQFd2nK8Bon7NVb5gznP-CrPMS0lpL")</f>
        <v>https://drive.google.com/uc?id=14QlQFd2nK8Bon7NVb5gznP-CrPMS0lpL</v>
      </c>
      <c r="W289" s="5" t="str">
        <f>IFERROR(__xludf.DUMMYFUNCTION("""COMPUTED_VALUE"""),"NÃO")</f>
        <v>NÃO</v>
      </c>
      <c r="X289" s="5" t="str">
        <f>IFERROR(__xludf.DUMMYFUNCTION("""COMPUTED_VALUE"""),"NÃO SE APLICA")</f>
        <v>NÃO SE APLICA</v>
      </c>
    </row>
    <row r="290" hidden="1">
      <c r="A290" s="5">
        <f>IFERROR(__xludf.DUMMYFUNCTION("""COMPUTED_VALUE"""),7.0)</f>
        <v>7</v>
      </c>
      <c r="B290" s="5" t="str">
        <f>IFERROR(__xludf.DUMMYFUNCTION("""COMPUTED_VALUE"""),"CV124")</f>
        <v>CV124</v>
      </c>
      <c r="C290" s="5" t="str">
        <f>IFERROR(__xludf.DUMMYFUNCTION("""COMPUTED_VALUE"""),"NÃO POSSUI")</f>
        <v>NÃO POSSUI</v>
      </c>
      <c r="D290" s="5" t="str">
        <f>IFERROR(__xludf.DUMMYFUNCTION("""COMPUTED_VALUE"""),"SEM PLACA")</f>
        <v>SEM PLACA</v>
      </c>
      <c r="E290" s="5" t="str">
        <f>IFERROR(__xludf.DUMMYFUNCTION("""COMPUTED_VALUE"""),"SEM BAIA")</f>
        <v>SEM BAIA</v>
      </c>
      <c r="F290" s="5" t="str">
        <f>IFERROR(__xludf.DUMMYFUNCTION("""COMPUTED_VALUE"""),"NÃO")</f>
        <v>NÃO</v>
      </c>
      <c r="G290" s="5" t="str">
        <f>IFERROR(__xludf.DUMMYFUNCTION("""COMPUTED_VALUE"""),"NÃO")</f>
        <v>NÃO</v>
      </c>
      <c r="H290" s="5" t="str">
        <f>IFERROR(__xludf.DUMMYFUNCTION("""COMPUTED_VALUE"""),"PAVIMENTADA")</f>
        <v>PAVIMENTADA</v>
      </c>
      <c r="I290" s="6" t="str">
        <f>IFERROR(__xludf.DUMMYFUNCTION("""COMPUTED_VALUE"""),"-9.545765")</f>
        <v>-9.545765</v>
      </c>
      <c r="J290" s="6" t="str">
        <f>IFERROR(__xludf.DUMMYFUNCTION("""COMPUTED_VALUE"""),"-35.766689
")</f>
        <v>-35.766689
</v>
      </c>
      <c r="K290" s="5" t="str">
        <f>IFERROR(__xludf.DUMMYFUNCTION("""COMPUTED_VALUE"""),"AV. FREI DAMIÃO DE BOZZANO, 261")</f>
        <v>AV. FREI DAMIÃO DE BOZZANO, 261</v>
      </c>
      <c r="L290" s="5" t="str">
        <f>IFERROR(__xludf.DUMMYFUNCTION("""COMPUTED_VALUE"""),"COLETORA")</f>
        <v>COLETORA</v>
      </c>
      <c r="M290" s="5" t="str">
        <f>IFERROR(__xludf.DUMMYFUNCTION("""COMPUTED_VALUE"""),"CIDADE UNIVERSITÁRIA")</f>
        <v>CIDADE UNIVERSITÁRIA</v>
      </c>
      <c r="N290" s="5" t="str">
        <f>IFERROR(__xludf.DUMMYFUNCTION("""COMPUTED_VALUE"""),"CENTRO - BAIRRO")</f>
        <v>CENTRO - BAIRRO</v>
      </c>
      <c r="O290" s="5" t="str">
        <f>IFERROR(__xludf.DUMMYFUNCTION("""COMPUTED_VALUE"""),"EM FRENTE A GALERIA JOSÉ GRACILIANO")</f>
        <v>EM FRENTE A GALERIA JOSÉ GRACILIANO</v>
      </c>
      <c r="P290" s="5" t="str">
        <f>IFERROR(__xludf.DUMMYFUNCTION("""COMPUTED_VALUE"""),"URGENTE")</f>
        <v>URGENTE</v>
      </c>
      <c r="Q290" s="5" t="str">
        <f>IFERROR(__xludf.DUMMYFUNCTION("""COMPUTED_VALUE"""),"READEQUAÇÃO DE CALÇADA COM ACESSIBILIDADE.")</f>
        <v>READEQUAÇÃO DE CALÇADA COM ACESSIBILIDADE.</v>
      </c>
      <c r="R290" s="5" t="str">
        <f>IFERROR(__xludf.DUMMYFUNCTION("""COMPUTED_VALUE"""),"NENHUMA DAS OPÇÕES")</f>
        <v>NENHUMA DAS OPÇÕES</v>
      </c>
      <c r="S290" s="5"/>
      <c r="T290" s="5"/>
      <c r="U290" s="5"/>
      <c r="V290" s="9" t="str">
        <f>IFERROR(__xludf.DUMMYFUNCTION("""COMPUTED_VALUE"""),"https://drive.google.com/uc?id=13uC_a9S4ySbE6M8L4ZUp1EPQRDvqw7lW")</f>
        <v>https://drive.google.com/uc?id=13uC_a9S4ySbE6M8L4ZUp1EPQRDvqw7lW</v>
      </c>
      <c r="W290" s="5" t="str">
        <f>IFERROR(__xludf.DUMMYFUNCTION("""COMPUTED_VALUE"""),"NÃO")</f>
        <v>NÃO</v>
      </c>
      <c r="X290" s="5" t="str">
        <f>IFERROR(__xludf.DUMMYFUNCTION("""COMPUTED_VALUE"""),"NÃO SE APLICA")</f>
        <v>NÃO SE APLICA</v>
      </c>
    </row>
    <row r="291" hidden="1">
      <c r="A291" s="5">
        <f>IFERROR(__xludf.DUMMYFUNCTION("""COMPUTED_VALUE"""),7.0)</f>
        <v>7</v>
      </c>
      <c r="B291" s="5" t="str">
        <f>IFERROR(__xludf.DUMMYFUNCTION("""COMPUTED_VALUE"""),"CV125")</f>
        <v>CV125</v>
      </c>
      <c r="C291" s="5" t="str">
        <f>IFERROR(__xludf.DUMMYFUNCTION("""COMPUTED_VALUE"""),"NÃO POSSUI")</f>
        <v>NÃO POSSUI</v>
      </c>
      <c r="D291" s="5" t="str">
        <f>IFERROR(__xludf.DUMMYFUNCTION("""COMPUTED_VALUE"""),"SEM PLACA")</f>
        <v>SEM PLACA</v>
      </c>
      <c r="E291" s="5" t="str">
        <f>IFERROR(__xludf.DUMMYFUNCTION("""COMPUTED_VALUE"""),"SEM BAIA")</f>
        <v>SEM BAIA</v>
      </c>
      <c r="F291" s="5" t="str">
        <f>IFERROR(__xludf.DUMMYFUNCTION("""COMPUTED_VALUE"""),"NÃO")</f>
        <v>NÃO</v>
      </c>
      <c r="G291" s="5" t="str">
        <f>IFERROR(__xludf.DUMMYFUNCTION("""COMPUTED_VALUE"""),"NÃO")</f>
        <v>NÃO</v>
      </c>
      <c r="H291" s="5" t="str">
        <f>IFERROR(__xludf.DUMMYFUNCTION("""COMPUTED_VALUE"""),"NÃO PAVIMENTADA")</f>
        <v>NÃO PAVIMENTADA</v>
      </c>
      <c r="I291" s="6" t="str">
        <f>IFERROR(__xludf.DUMMYFUNCTION("""COMPUTED_VALUE"""),"-9.545793")</f>
        <v>-9.545793</v>
      </c>
      <c r="J291" s="6" t="str">
        <f>IFERROR(__xludf.DUMMYFUNCTION("""COMPUTED_VALUE"""),"-35.766664")</f>
        <v>-35.766664</v>
      </c>
      <c r="K291" s="5" t="str">
        <f>IFERROR(__xludf.DUMMYFUNCTION("""COMPUTED_VALUE"""),"AV. FREI DAMIÃO DE BOZZANO, 261")</f>
        <v>AV. FREI DAMIÃO DE BOZZANO, 261</v>
      </c>
      <c r="L291" s="5" t="str">
        <f>IFERROR(__xludf.DUMMYFUNCTION("""COMPUTED_VALUE"""),"COLETORA")</f>
        <v>COLETORA</v>
      </c>
      <c r="M291" s="5" t="str">
        <f>IFERROR(__xludf.DUMMYFUNCTION("""COMPUTED_VALUE"""),"CIDADE UNIVERSITÁRIA")</f>
        <v>CIDADE UNIVERSITÁRIA</v>
      </c>
      <c r="N291" s="5" t="str">
        <f>IFERROR(__xludf.DUMMYFUNCTION("""COMPUTED_VALUE"""),"BAIRRO - CENTRO")</f>
        <v>BAIRRO - CENTRO</v>
      </c>
      <c r="O291" s="5" t="str">
        <f>IFERROR(__xludf.DUMMYFUNCTION("""COMPUTED_VALUE"""),"LADO OPOSTO A GALERIA JOSÉ GRACILIANO")</f>
        <v>LADO OPOSTO A GALERIA JOSÉ GRACILIANO</v>
      </c>
      <c r="P291" s="5" t="str">
        <f>IFERROR(__xludf.DUMMYFUNCTION("""COMPUTED_VALUE"""),"URGENTE")</f>
        <v>URGENTE</v>
      </c>
      <c r="Q291" s="5" t="str">
        <f>IFERROR(__xludf.DUMMYFUNCTION("""COMPUTED_VALUE"""),"READEQUAÇÃO DE CALÇADA COM ACESSIBILIDADE, LIMPEZA DE VEGETAÇÃO SELVAGEM CRESCENTE.")</f>
        <v>READEQUAÇÃO DE CALÇADA COM ACESSIBILIDADE, LIMPEZA DE VEGETAÇÃO SELVAGEM CRESCENTE.</v>
      </c>
      <c r="R291" s="5" t="str">
        <f>IFERROR(__xludf.DUMMYFUNCTION("""COMPUTED_VALUE"""),"NENHUMA DAS OPÇÕES")</f>
        <v>NENHUMA DAS OPÇÕES</v>
      </c>
      <c r="S291" s="5"/>
      <c r="T291" s="5"/>
      <c r="U291" s="5"/>
      <c r="V291" s="9" t="str">
        <f>IFERROR(__xludf.DUMMYFUNCTION("""COMPUTED_VALUE"""),"https://drive.google.com/uc?id=18u2qOtr3WP8zgNT7eZkVe80e_56bjVKy")</f>
        <v>https://drive.google.com/uc?id=18u2qOtr3WP8zgNT7eZkVe80e_56bjVKy</v>
      </c>
      <c r="W291" s="5" t="str">
        <f>IFERROR(__xludf.DUMMYFUNCTION("""COMPUTED_VALUE"""),"NÃO")</f>
        <v>NÃO</v>
      </c>
      <c r="X291" s="5" t="str">
        <f>IFERROR(__xludf.DUMMYFUNCTION("""COMPUTED_VALUE"""),"NÃO SE APLICA")</f>
        <v>NÃO SE APLICA</v>
      </c>
    </row>
    <row r="292" hidden="1">
      <c r="A292" s="5">
        <f>IFERROR(__xludf.DUMMYFUNCTION("""COMPUTED_VALUE"""),7.0)</f>
        <v>7</v>
      </c>
      <c r="B292" s="5" t="str">
        <f>IFERROR(__xludf.DUMMYFUNCTION("""COMPUTED_VALUE"""),"CV126")</f>
        <v>CV126</v>
      </c>
      <c r="C292" s="5" t="str">
        <f>IFERROR(__xludf.DUMMYFUNCTION("""COMPUTED_VALUE"""),"NÃO POSSUI")</f>
        <v>NÃO POSSUI</v>
      </c>
      <c r="D292" s="5" t="str">
        <f>IFERROR(__xludf.DUMMYFUNCTION("""COMPUTED_VALUE"""),"SEM PLACA")</f>
        <v>SEM PLACA</v>
      </c>
      <c r="E292" s="5" t="str">
        <f>IFERROR(__xludf.DUMMYFUNCTION("""COMPUTED_VALUE"""),"SEM BAIA")</f>
        <v>SEM BAIA</v>
      </c>
      <c r="F292" s="5" t="str">
        <f>IFERROR(__xludf.DUMMYFUNCTION("""COMPUTED_VALUE"""),"NÃO")</f>
        <v>NÃO</v>
      </c>
      <c r="G292" s="5" t="str">
        <f>IFERROR(__xludf.DUMMYFUNCTION("""COMPUTED_VALUE"""),"NÃO")</f>
        <v>NÃO</v>
      </c>
      <c r="H292" s="5" t="str">
        <f>IFERROR(__xludf.DUMMYFUNCTION("""COMPUTED_VALUE"""),"NÃO PAVIMENTADA")</f>
        <v>NÃO PAVIMENTADA</v>
      </c>
      <c r="I292" s="6" t="str">
        <f>IFERROR(__xludf.DUMMYFUNCTION("""COMPUTED_VALUE"""),"-9.54375")</f>
        <v>-9.54375</v>
      </c>
      <c r="J292" s="6" t="str">
        <f>IFERROR(__xludf.DUMMYFUNCTION("""COMPUTED_VALUE"""),"-35.76789
")</f>
        <v>-35.76789
</v>
      </c>
      <c r="K292" s="5" t="str">
        <f>IFERROR(__xludf.DUMMYFUNCTION("""COMPUTED_VALUE"""),"RUA DOIS, 104")</f>
        <v>RUA DOIS, 104</v>
      </c>
      <c r="L292" s="5" t="str">
        <f>IFERROR(__xludf.DUMMYFUNCTION("""COMPUTED_VALUE"""),"COLETORA")</f>
        <v>COLETORA</v>
      </c>
      <c r="M292" s="5" t="str">
        <f>IFERROR(__xludf.DUMMYFUNCTION("""COMPUTED_VALUE"""),"CIDADE UNIVERSITÁRIA")</f>
        <v>CIDADE UNIVERSITÁRIA</v>
      </c>
      <c r="N292" s="5" t="str">
        <f>IFERROR(__xludf.DUMMYFUNCTION("""COMPUTED_VALUE"""),"CENTRO - BAIRRO")</f>
        <v>CENTRO - BAIRRO</v>
      </c>
      <c r="O292" s="5" t="str">
        <f>IFERROR(__xludf.DUMMYFUNCTION("""COMPUTED_VALUE"""),"PRÓXIMO A MERCEARIA DOIS IRMÃOS")</f>
        <v>PRÓXIMO A MERCEARIA DOIS IRMÃOS</v>
      </c>
      <c r="P292" s="5" t="str">
        <f>IFERROR(__xludf.DUMMYFUNCTION("""COMPUTED_VALUE"""),"URGENTE")</f>
        <v>URGENTE</v>
      </c>
      <c r="Q292" s="5" t="str">
        <f>IFERROR(__xludf.DUMMYFUNCTION("""COMPUTED_VALUE"""),"READEQUAÇÃO DA CALÇADA.")</f>
        <v>READEQUAÇÃO DA CALÇADA.</v>
      </c>
      <c r="R292" s="5" t="str">
        <f>IFERROR(__xludf.DUMMYFUNCTION("""COMPUTED_VALUE"""),"NENHUMA DAS OPÇÕES")</f>
        <v>NENHUMA DAS OPÇÕES</v>
      </c>
      <c r="S292" s="5"/>
      <c r="T292" s="5"/>
      <c r="U292" s="5"/>
      <c r="V292" s="9" t="str">
        <f>IFERROR(__xludf.DUMMYFUNCTION("""COMPUTED_VALUE"""),"https://drive.google.com/uc?id=1pa0Y0AHs9OyyuFbJPEdsUWNL4j6VMpeq")</f>
        <v>https://drive.google.com/uc?id=1pa0Y0AHs9OyyuFbJPEdsUWNL4j6VMpeq</v>
      </c>
      <c r="W292" s="5" t="str">
        <f>IFERROR(__xludf.DUMMYFUNCTION("""COMPUTED_VALUE"""),"NÃO")</f>
        <v>NÃO</v>
      </c>
      <c r="X292" s="5" t="str">
        <f>IFERROR(__xludf.DUMMYFUNCTION("""COMPUTED_VALUE"""),"NÃO SE APLICA")</f>
        <v>NÃO SE APLICA</v>
      </c>
    </row>
    <row r="293" hidden="1">
      <c r="A293" s="5">
        <f>IFERROR(__xludf.DUMMYFUNCTION("""COMPUTED_VALUE"""),7.0)</f>
        <v>7</v>
      </c>
      <c r="B293" s="5" t="str">
        <f>IFERROR(__xludf.DUMMYFUNCTION("""COMPUTED_VALUE"""),"CV127")</f>
        <v>CV127</v>
      </c>
      <c r="C293" s="5" t="str">
        <f>IFERROR(__xludf.DUMMYFUNCTION("""COMPUTED_VALUE"""),"NÃO POSSUI")</f>
        <v>NÃO POSSUI</v>
      </c>
      <c r="D293" s="5" t="str">
        <f>IFERROR(__xludf.DUMMYFUNCTION("""COMPUTED_VALUE"""),"SEM PLACA")</f>
        <v>SEM PLACA</v>
      </c>
      <c r="E293" s="5" t="str">
        <f>IFERROR(__xludf.DUMMYFUNCTION("""COMPUTED_VALUE"""),"SEM BAIA")</f>
        <v>SEM BAIA</v>
      </c>
      <c r="F293" s="5" t="str">
        <f>IFERROR(__xludf.DUMMYFUNCTION("""COMPUTED_VALUE"""),"NÃO")</f>
        <v>NÃO</v>
      </c>
      <c r="G293" s="5" t="str">
        <f>IFERROR(__xludf.DUMMYFUNCTION("""COMPUTED_VALUE"""),"NÃO")</f>
        <v>NÃO</v>
      </c>
      <c r="H293" s="5" t="str">
        <f>IFERROR(__xludf.DUMMYFUNCTION("""COMPUTED_VALUE"""),"NÃO PAVIMENTADA")</f>
        <v>NÃO PAVIMENTADA</v>
      </c>
      <c r="I293" s="6" t="str">
        <f>IFERROR(__xludf.DUMMYFUNCTION("""COMPUTED_VALUE"""),"-9.53899")</f>
        <v>-9.53899</v>
      </c>
      <c r="J293" s="6" t="str">
        <f>IFERROR(__xludf.DUMMYFUNCTION("""COMPUTED_VALUE"""),"-35.77868")</f>
        <v>-35.77868</v>
      </c>
      <c r="K293" s="5" t="str">
        <f>IFERROR(__xludf.DUMMYFUNCTION("""COMPUTED_VALUE"""),"RUA DOIS, 04")</f>
        <v>RUA DOIS, 04</v>
      </c>
      <c r="L293" s="5" t="str">
        <f>IFERROR(__xludf.DUMMYFUNCTION("""COMPUTED_VALUE"""),"COLETORA")</f>
        <v>COLETORA</v>
      </c>
      <c r="M293" s="5" t="str">
        <f>IFERROR(__xludf.DUMMYFUNCTION("""COMPUTED_VALUE"""),"CIDADE UNIVERSITÁRIA")</f>
        <v>CIDADE UNIVERSITÁRIA</v>
      </c>
      <c r="N293" s="5" t="str">
        <f>IFERROR(__xludf.DUMMYFUNCTION("""COMPUTED_VALUE"""),"BAIRRO - CENTRO")</f>
        <v>BAIRRO - CENTRO</v>
      </c>
      <c r="O293" s="5" t="str">
        <f>IFERROR(__xludf.DUMMYFUNCTION("""COMPUTED_VALUE"""),"EM FRENTE AO ÍTALO CELL")</f>
        <v>EM FRENTE AO ÍTALO CELL</v>
      </c>
      <c r="P293" s="5" t="str">
        <f>IFERROR(__xludf.DUMMYFUNCTION("""COMPUTED_VALUE"""),"URGENTE")</f>
        <v>URGENTE</v>
      </c>
      <c r="Q293" s="5" t="str">
        <f>IFERROR(__xludf.DUMMYFUNCTION("""COMPUTED_VALUE"""),"READEQUAÇÃO DA CALÇADA..")</f>
        <v>READEQUAÇÃO DA CALÇADA..</v>
      </c>
      <c r="R293" s="5" t="str">
        <f>IFERROR(__xludf.DUMMYFUNCTION("""COMPUTED_VALUE"""),"NENHUMA DAS OPÇÕES")</f>
        <v>NENHUMA DAS OPÇÕES</v>
      </c>
      <c r="S293" s="5"/>
      <c r="T293" s="5"/>
      <c r="U293" s="5"/>
      <c r="V293" s="9" t="str">
        <f>IFERROR(__xludf.DUMMYFUNCTION("""COMPUTED_VALUE"""),"https://drive.google.com/uc?id=13rPoQVUCJkZZzrOPHT9W8nF5tw5kWYta")</f>
        <v>https://drive.google.com/uc?id=13rPoQVUCJkZZzrOPHT9W8nF5tw5kWYta</v>
      </c>
      <c r="W293" s="5" t="str">
        <f>IFERROR(__xludf.DUMMYFUNCTION("""COMPUTED_VALUE"""),"NÃO")</f>
        <v>NÃO</v>
      </c>
      <c r="X293" s="5" t="str">
        <f>IFERROR(__xludf.DUMMYFUNCTION("""COMPUTED_VALUE"""),"NÃO SE APLICA")</f>
        <v>NÃO SE APLICA</v>
      </c>
    </row>
    <row r="294" hidden="1">
      <c r="A294" s="5">
        <f>IFERROR(__xludf.DUMMYFUNCTION("""COMPUTED_VALUE"""),7.0)</f>
        <v>7</v>
      </c>
      <c r="B294" s="5" t="str">
        <f>IFERROR(__xludf.DUMMYFUNCTION("""COMPUTED_VALUE"""),"CV128")</f>
        <v>CV128</v>
      </c>
      <c r="C294" s="5" t="str">
        <f>IFERROR(__xludf.DUMMYFUNCTION("""COMPUTED_VALUE"""),"NÃO POSSUI")</f>
        <v>NÃO POSSUI</v>
      </c>
      <c r="D294" s="5" t="str">
        <f>IFERROR(__xludf.DUMMYFUNCTION("""COMPUTED_VALUE"""),"SEM PLACA")</f>
        <v>SEM PLACA</v>
      </c>
      <c r="E294" s="5" t="str">
        <f>IFERROR(__xludf.DUMMYFUNCTION("""COMPUTED_VALUE"""),"SEM BAIA")</f>
        <v>SEM BAIA</v>
      </c>
      <c r="F294" s="5" t="str">
        <f>IFERROR(__xludf.DUMMYFUNCTION("""COMPUTED_VALUE"""),"NÃO")</f>
        <v>NÃO</v>
      </c>
      <c r="G294" s="5" t="str">
        <f>IFERROR(__xludf.DUMMYFUNCTION("""COMPUTED_VALUE"""),"NÃO")</f>
        <v>NÃO</v>
      </c>
      <c r="H294" s="5" t="str">
        <f>IFERROR(__xludf.DUMMYFUNCTION("""COMPUTED_VALUE"""),"PAVIMENTADA")</f>
        <v>PAVIMENTADA</v>
      </c>
      <c r="I294" s="6" t="str">
        <f>IFERROR(__xludf.DUMMYFUNCTION("""COMPUTED_VALUE"""),"-9.54211")</f>
        <v>-9.54211</v>
      </c>
      <c r="J294" s="6" t="str">
        <f>IFERROR(__xludf.DUMMYFUNCTION("""COMPUTED_VALUE"""),"-35.76878")</f>
        <v>-35.76878</v>
      </c>
      <c r="K294" s="5" t="str">
        <f>IFERROR(__xludf.DUMMYFUNCTION("""COMPUTED_VALUE"""),"RUA DOIS, 103")</f>
        <v>RUA DOIS, 103</v>
      </c>
      <c r="L294" s="5" t="str">
        <f>IFERROR(__xludf.DUMMYFUNCTION("""COMPUTED_VALUE"""),"COLETORA")</f>
        <v>COLETORA</v>
      </c>
      <c r="M294" s="5" t="str">
        <f>IFERROR(__xludf.DUMMYFUNCTION("""COMPUTED_VALUE"""),"CIDADE UNIVERSITÁRIA")</f>
        <v>CIDADE UNIVERSITÁRIA</v>
      </c>
      <c r="N294" s="5" t="str">
        <f>IFERROR(__xludf.DUMMYFUNCTION("""COMPUTED_VALUE"""),"CENTRO - BAIRRO")</f>
        <v>CENTRO - BAIRRO</v>
      </c>
      <c r="O294" s="5" t="str">
        <f>IFERROR(__xludf.DUMMYFUNCTION("""COMPUTED_VALUE"""),"EM FRENTE A CASA 103")</f>
        <v>EM FRENTE A CASA 103</v>
      </c>
      <c r="P294" s="5" t="str">
        <f>IFERROR(__xludf.DUMMYFUNCTION("""COMPUTED_VALUE"""),"URGENTE")</f>
        <v>URGENTE</v>
      </c>
      <c r="Q294" s="5" t="str">
        <f>IFERROR(__xludf.DUMMYFUNCTION("""COMPUTED_VALUE"""),"READEQUAÇÃO DA CALÇADA..")</f>
        <v>READEQUAÇÃO DA CALÇADA..</v>
      </c>
      <c r="R294" s="5" t="str">
        <f>IFERROR(__xludf.DUMMYFUNCTION("""COMPUTED_VALUE"""),"NENHUMA DAS OPÇÕES")</f>
        <v>NENHUMA DAS OPÇÕES</v>
      </c>
      <c r="S294" s="5"/>
      <c r="T294" s="5"/>
      <c r="U294" s="5"/>
      <c r="V294" s="9" t="str">
        <f>IFERROR(__xludf.DUMMYFUNCTION("""COMPUTED_VALUE"""),"https://drive.google.com/uc?id=10PaSYx8ztzoQcngOfWHaOoUqsZO2he8a")</f>
        <v>https://drive.google.com/uc?id=10PaSYx8ztzoQcngOfWHaOoUqsZO2he8a</v>
      </c>
      <c r="W294" s="5" t="str">
        <f>IFERROR(__xludf.DUMMYFUNCTION("""COMPUTED_VALUE"""),"NÃO")</f>
        <v>NÃO</v>
      </c>
      <c r="X294" s="5" t="str">
        <f>IFERROR(__xludf.DUMMYFUNCTION("""COMPUTED_VALUE"""),"NÃO SE APLICA")</f>
        <v>NÃO SE APLICA</v>
      </c>
    </row>
    <row r="295" hidden="1">
      <c r="A295" s="5">
        <f>IFERROR(__xludf.DUMMYFUNCTION("""COMPUTED_VALUE"""),7.0)</f>
        <v>7</v>
      </c>
      <c r="B295" s="5" t="str">
        <f>IFERROR(__xludf.DUMMYFUNCTION("""COMPUTED_VALUE"""),"CV129")</f>
        <v>CV129</v>
      </c>
      <c r="C295" s="5" t="str">
        <f>IFERROR(__xludf.DUMMYFUNCTION("""COMPUTED_VALUE"""),"NÃO POSSUI")</f>
        <v>NÃO POSSUI</v>
      </c>
      <c r="D295" s="5" t="str">
        <f>IFERROR(__xludf.DUMMYFUNCTION("""COMPUTED_VALUE"""),"FIXADA EM POSTE")</f>
        <v>FIXADA EM POSTE</v>
      </c>
      <c r="E295" s="5" t="str">
        <f>IFERROR(__xludf.DUMMYFUNCTION("""COMPUTED_VALUE"""),"SEM BAIA")</f>
        <v>SEM BAIA</v>
      </c>
      <c r="F295" s="5" t="str">
        <f>IFERROR(__xludf.DUMMYFUNCTION("""COMPUTED_VALUE"""),"NÃO")</f>
        <v>NÃO</v>
      </c>
      <c r="G295" s="5" t="str">
        <f>IFERROR(__xludf.DUMMYFUNCTION("""COMPUTED_VALUE"""),"NÃO")</f>
        <v>NÃO</v>
      </c>
      <c r="H295" s="5" t="str">
        <f>IFERROR(__xludf.DUMMYFUNCTION("""COMPUTED_VALUE"""),"NÃO PAVIMENTADA")</f>
        <v>NÃO PAVIMENTADA</v>
      </c>
      <c r="I295" s="6" t="str">
        <f>IFERROR(__xludf.DUMMYFUNCTION("""COMPUTED_VALUE"""),"-9.54187")</f>
        <v>-9.54187</v>
      </c>
      <c r="J295" s="6" t="str">
        <f>IFERROR(__xludf.DUMMYFUNCTION("""COMPUTED_VALUE"""),"-35.76894")</f>
        <v>-35.76894</v>
      </c>
      <c r="K295" s="5" t="str">
        <f>IFERROR(__xludf.DUMMYFUNCTION("""COMPUTED_VALUE"""),"RUA DOIS, 25")</f>
        <v>RUA DOIS, 25</v>
      </c>
      <c r="L295" s="5" t="str">
        <f>IFERROR(__xludf.DUMMYFUNCTION("""COMPUTED_VALUE"""),"COLETORA")</f>
        <v>COLETORA</v>
      </c>
      <c r="M295" s="5" t="str">
        <f>IFERROR(__xludf.DUMMYFUNCTION("""COMPUTED_VALUE"""),"CIDADE UNIVERSITÁRIA")</f>
        <v>CIDADE UNIVERSITÁRIA</v>
      </c>
      <c r="N295" s="5" t="str">
        <f>IFERROR(__xludf.DUMMYFUNCTION("""COMPUTED_VALUE"""),"BAIRRO - CENTRO")</f>
        <v>BAIRRO - CENTRO</v>
      </c>
      <c r="O295" s="5" t="str">
        <f>IFERROR(__xludf.DUMMYFUNCTION("""COMPUTED_VALUE"""),"EM FRENTE A CASA 25")</f>
        <v>EM FRENTE A CASA 25</v>
      </c>
      <c r="P295" s="5" t="str">
        <f>IFERROR(__xludf.DUMMYFUNCTION("""COMPUTED_VALUE"""),"PRIORIDADE ALTA")</f>
        <v>PRIORIDADE ALTA</v>
      </c>
      <c r="Q295" s="5" t="str">
        <f>IFERROR(__xludf.DUMMYFUNCTION("""COMPUTED_VALUE"""),"REPOSICIONAMENTO DA PLACA PARA O LADO OPOSTO DA RUA, SUBSTITUIÇÃO DE PLACA ATUAL DETERIORADA, POR NOVA PLACA IMPLANTADA EM POSTE, READEQUAÇÃO DA CALÇADA.")</f>
        <v>REPOSICIONAMENTO DA PLACA PARA O LADO OPOSTO DA RUA, SUBSTITUIÇÃO DE PLACA ATUAL DETERIORADA, POR NOVA PLACA IMPLANTADA EM POSTE, READEQUAÇÃO DA CALÇADA.</v>
      </c>
      <c r="R295" s="5" t="str">
        <f>IFERROR(__xludf.DUMMYFUNCTION("""COMPUTED_VALUE"""),"NENHUMA DAS OPÇÕES")</f>
        <v>NENHUMA DAS OPÇÕES</v>
      </c>
      <c r="S295" s="5"/>
      <c r="T295" s="5"/>
      <c r="U295" s="5"/>
      <c r="V295" s="9" t="str">
        <f>IFERROR(__xludf.DUMMYFUNCTION("""COMPUTED_VALUE"""),"https://drive.google.com/uc?id=1bsscerIPojYt-wC0-MeG7Q__fxjwVLs4")</f>
        <v>https://drive.google.com/uc?id=1bsscerIPojYt-wC0-MeG7Q__fxjwVLs4</v>
      </c>
      <c r="W295" s="5" t="str">
        <f>IFERROR(__xludf.DUMMYFUNCTION("""COMPUTED_VALUE"""),"NÃO")</f>
        <v>NÃO</v>
      </c>
      <c r="X295" s="5" t="str">
        <f>IFERROR(__xludf.DUMMYFUNCTION("""COMPUTED_VALUE"""),"NÃO SE APLICA")</f>
        <v>NÃO SE APLICA</v>
      </c>
    </row>
    <row r="296" hidden="1">
      <c r="A296" s="5">
        <f>IFERROR(__xludf.DUMMYFUNCTION("""COMPUTED_VALUE"""),7.0)</f>
        <v>7</v>
      </c>
      <c r="B296" s="5" t="str">
        <f>IFERROR(__xludf.DUMMYFUNCTION("""COMPUTED_VALUE"""),"CV130")</f>
        <v>CV130</v>
      </c>
      <c r="C296" s="5" t="str">
        <f>IFERROR(__xludf.DUMMYFUNCTION("""COMPUTED_VALUE"""),"NÃO POSSUI")</f>
        <v>NÃO POSSUI</v>
      </c>
      <c r="D296" s="5" t="str">
        <f>IFERROR(__xludf.DUMMYFUNCTION("""COMPUTED_VALUE"""),"SEM PLACA")</f>
        <v>SEM PLACA</v>
      </c>
      <c r="E296" s="5" t="str">
        <f>IFERROR(__xludf.DUMMYFUNCTION("""COMPUTED_VALUE"""),"SEM BAIA")</f>
        <v>SEM BAIA</v>
      </c>
      <c r="F296" s="5" t="str">
        <f>IFERROR(__xludf.DUMMYFUNCTION("""COMPUTED_VALUE"""),"NÃO")</f>
        <v>NÃO</v>
      </c>
      <c r="G296" s="5" t="str">
        <f>IFERROR(__xludf.DUMMYFUNCTION("""COMPUTED_VALUE"""),"NÃO")</f>
        <v>NÃO</v>
      </c>
      <c r="H296" s="5" t="str">
        <f>IFERROR(__xludf.DUMMYFUNCTION("""COMPUTED_VALUE"""),"NÃO PAVIMENTADA")</f>
        <v>NÃO PAVIMENTADA</v>
      </c>
      <c r="I296" s="6" t="str">
        <f>IFERROR(__xludf.DUMMYFUNCTION("""COMPUTED_VALUE"""),"-9.54114")</f>
        <v>-9.54114</v>
      </c>
      <c r="J296" s="6" t="str">
        <f>IFERROR(__xludf.DUMMYFUNCTION("""COMPUTED_VALUE"""),"-35.77027")</f>
        <v>-35.77027</v>
      </c>
      <c r="K296" s="5" t="str">
        <f>IFERROR(__xludf.DUMMYFUNCTION("""COMPUTED_VALUE"""),"AV. GAMA LINS, 14")</f>
        <v>AV. GAMA LINS, 14</v>
      </c>
      <c r="L296" s="5" t="str">
        <f>IFERROR(__xludf.DUMMYFUNCTION("""COMPUTED_VALUE"""),"COLETORA")</f>
        <v>COLETORA</v>
      </c>
      <c r="M296" s="5" t="str">
        <f>IFERROR(__xludf.DUMMYFUNCTION("""COMPUTED_VALUE"""),"CIDADE UNIVERSITÁRIA")</f>
        <v>CIDADE UNIVERSITÁRIA</v>
      </c>
      <c r="N296" s="5" t="str">
        <f>IFERROR(__xludf.DUMMYFUNCTION("""COMPUTED_VALUE"""),"BAIRRO - CENTRO")</f>
        <v>BAIRRO - CENTRO</v>
      </c>
      <c r="O296" s="5" t="str">
        <f>IFERROR(__xludf.DUMMYFUNCTION("""COMPUTED_VALUE"""),"EM FRENTE A AGROPET")</f>
        <v>EM FRENTE A AGROPET</v>
      </c>
      <c r="P296" s="5" t="str">
        <f>IFERROR(__xludf.DUMMYFUNCTION("""COMPUTED_VALUE"""),"URGENTE")</f>
        <v>URGENTE</v>
      </c>
      <c r="Q296" s="5" t="str">
        <f>IFERROR(__xludf.DUMMYFUNCTION("""COMPUTED_VALUE"""),"READEQUAÇÃO DA CALÇADA COM ACESSIBILIDADE.")</f>
        <v>READEQUAÇÃO DA CALÇADA COM ACESSIBILIDADE.</v>
      </c>
      <c r="R296" s="5" t="str">
        <f>IFERROR(__xludf.DUMMYFUNCTION("""COMPUTED_VALUE"""),"NENHUMA DAS OPÇÕES")</f>
        <v>NENHUMA DAS OPÇÕES</v>
      </c>
      <c r="S296" s="5"/>
      <c r="T296" s="5"/>
      <c r="U296" s="5"/>
      <c r="V296" s="9" t="str">
        <f>IFERROR(__xludf.DUMMYFUNCTION("""COMPUTED_VALUE"""),"https://drive.google.com/uc?id=1mwBhvMfXZFwt7M56QmAd013Zf4odPN2f")</f>
        <v>https://drive.google.com/uc?id=1mwBhvMfXZFwt7M56QmAd013Zf4odPN2f</v>
      </c>
      <c r="W296" s="5" t="str">
        <f>IFERROR(__xludf.DUMMYFUNCTION("""COMPUTED_VALUE"""),"NÃO")</f>
        <v>NÃO</v>
      </c>
      <c r="X296" s="5" t="str">
        <f>IFERROR(__xludf.DUMMYFUNCTION("""COMPUTED_VALUE"""),"NÃO SE APLICA")</f>
        <v>NÃO SE APLICA</v>
      </c>
    </row>
    <row r="297" hidden="1">
      <c r="A297" s="5">
        <f>IFERROR(__xludf.DUMMYFUNCTION("""COMPUTED_VALUE"""),7.0)</f>
        <v>7</v>
      </c>
      <c r="B297" s="5" t="str">
        <f>IFERROR(__xludf.DUMMYFUNCTION("""COMPUTED_VALUE"""),"CV131")</f>
        <v>CV131</v>
      </c>
      <c r="C297" s="5" t="str">
        <f>IFERROR(__xludf.DUMMYFUNCTION("""COMPUTED_VALUE"""),"NÃO POSSUI")</f>
        <v>NÃO POSSUI</v>
      </c>
      <c r="D297" s="5" t="str">
        <f>IFERROR(__xludf.DUMMYFUNCTION("""COMPUTED_VALUE"""),"SEM PLACA")</f>
        <v>SEM PLACA</v>
      </c>
      <c r="E297" s="5" t="str">
        <f>IFERROR(__xludf.DUMMYFUNCTION("""COMPUTED_VALUE"""),"SEM BAIA")</f>
        <v>SEM BAIA</v>
      </c>
      <c r="F297" s="5" t="str">
        <f>IFERROR(__xludf.DUMMYFUNCTION("""COMPUTED_VALUE"""),"NÃO")</f>
        <v>NÃO</v>
      </c>
      <c r="G297" s="5" t="str">
        <f>IFERROR(__xludf.DUMMYFUNCTION("""COMPUTED_VALUE"""),"NÃO")</f>
        <v>NÃO</v>
      </c>
      <c r="H297" s="5" t="str">
        <f>IFERROR(__xludf.DUMMYFUNCTION("""COMPUTED_VALUE"""),"NÃO PAVIMENTADA")</f>
        <v>NÃO PAVIMENTADA</v>
      </c>
      <c r="I297" s="6" t="str">
        <f>IFERROR(__xludf.DUMMYFUNCTION("""COMPUTED_VALUE"""),"-9.54125")</f>
        <v>-9.54125</v>
      </c>
      <c r="J297" s="6" t="str">
        <f>IFERROR(__xludf.DUMMYFUNCTION("""COMPUTED_VALUE""")," -35.77040")</f>
        <v> -35.77040</v>
      </c>
      <c r="K297" s="5" t="str">
        <f>IFERROR(__xludf.DUMMYFUNCTION("""COMPUTED_VALUE"""),"AV. GAMA LINS, 55")</f>
        <v>AV. GAMA LINS, 55</v>
      </c>
      <c r="L297" s="5" t="str">
        <f>IFERROR(__xludf.DUMMYFUNCTION("""COMPUTED_VALUE"""),"COLETORA")</f>
        <v>COLETORA</v>
      </c>
      <c r="M297" s="5" t="str">
        <f>IFERROR(__xludf.DUMMYFUNCTION("""COMPUTED_VALUE"""),"CIDADE UNIVERSITÁRIA")</f>
        <v>CIDADE UNIVERSITÁRIA</v>
      </c>
      <c r="N297" s="5" t="str">
        <f>IFERROR(__xludf.DUMMYFUNCTION("""COMPUTED_VALUE"""),"CENTRO - BAIRRO")</f>
        <v>CENTRO - BAIRRO</v>
      </c>
      <c r="O297" s="5" t="str">
        <f>IFERROR(__xludf.DUMMYFUNCTION("""COMPUTED_VALUE"""),"EM FRENTE A LOJA CONSTRUO VARIEDADES")</f>
        <v>EM FRENTE A LOJA CONSTRUO VARIEDADES</v>
      </c>
      <c r="P297" s="5" t="str">
        <f>IFERROR(__xludf.DUMMYFUNCTION("""COMPUTED_VALUE"""),"URGENTE")</f>
        <v>URGENTE</v>
      </c>
      <c r="Q297" s="5" t="str">
        <f>IFERROR(__xludf.DUMMYFUNCTION("""COMPUTED_VALUE"""),"READEQUAÇÃO DA CALÇADA COM ACESSIBILIDADE.")</f>
        <v>READEQUAÇÃO DA CALÇADA COM ACESSIBILIDADE.</v>
      </c>
      <c r="R297" s="5" t="str">
        <f>IFERROR(__xludf.DUMMYFUNCTION("""COMPUTED_VALUE"""),"NENHUMA DAS OPÇÕES")</f>
        <v>NENHUMA DAS OPÇÕES</v>
      </c>
      <c r="S297" s="5"/>
      <c r="T297" s="5"/>
      <c r="U297" s="5"/>
      <c r="V297" s="9" t="str">
        <f>IFERROR(__xludf.DUMMYFUNCTION("""COMPUTED_VALUE"""),"https://drive.google.com/uc?id=1ONWBZ3lgGianYm0eXuhoBTtYCVbwWPFt")</f>
        <v>https://drive.google.com/uc?id=1ONWBZ3lgGianYm0eXuhoBTtYCVbwWPFt</v>
      </c>
      <c r="W297" s="5" t="str">
        <f>IFERROR(__xludf.DUMMYFUNCTION("""COMPUTED_VALUE"""),"NÃO")</f>
        <v>NÃO</v>
      </c>
      <c r="X297" s="5" t="str">
        <f>IFERROR(__xludf.DUMMYFUNCTION("""COMPUTED_VALUE"""),"NÃO SE APLICA")</f>
        <v>NÃO SE APLICA</v>
      </c>
    </row>
    <row r="298" hidden="1">
      <c r="A298" s="5">
        <f>IFERROR(__xludf.DUMMYFUNCTION("""COMPUTED_VALUE"""),7.0)</f>
        <v>7</v>
      </c>
      <c r="B298" s="5" t="str">
        <f>IFERROR(__xludf.DUMMYFUNCTION("""COMPUTED_VALUE"""),"CV132")</f>
        <v>CV132</v>
      </c>
      <c r="C298" s="5" t="str">
        <f>IFERROR(__xludf.DUMMYFUNCTION("""COMPUTED_VALUE"""),"NÃO POSSUI")</f>
        <v>NÃO POSSUI</v>
      </c>
      <c r="D298" s="5" t="str">
        <f>IFERROR(__xludf.DUMMYFUNCTION("""COMPUTED_VALUE"""),"SEM PLACA")</f>
        <v>SEM PLACA</v>
      </c>
      <c r="E298" s="5" t="str">
        <f>IFERROR(__xludf.DUMMYFUNCTION("""COMPUTED_VALUE"""),"SEM BAIA")</f>
        <v>SEM BAIA</v>
      </c>
      <c r="F298" s="5" t="str">
        <f>IFERROR(__xludf.DUMMYFUNCTION("""COMPUTED_VALUE"""),"NÃO")</f>
        <v>NÃO</v>
      </c>
      <c r="G298" s="5" t="str">
        <f>IFERROR(__xludf.DUMMYFUNCTION("""COMPUTED_VALUE"""),"NÃO")</f>
        <v>NÃO</v>
      </c>
      <c r="H298" s="5" t="str">
        <f>IFERROR(__xludf.DUMMYFUNCTION("""COMPUTED_VALUE"""),"PAVIMENTADA")</f>
        <v>PAVIMENTADA</v>
      </c>
      <c r="I298" s="6" t="str">
        <f>IFERROR(__xludf.DUMMYFUNCTION("""COMPUTED_VALUE"""),"-9.543022")</f>
        <v>-9.543022</v>
      </c>
      <c r="J298" s="6" t="str">
        <f>IFERROR(__xludf.DUMMYFUNCTION("""COMPUTED_VALUE""")," -35.770304
")</f>
        <v> -35.770304
</v>
      </c>
      <c r="K298" s="5" t="str">
        <f>IFERROR(__xludf.DUMMYFUNCTION("""COMPUTED_VALUE"""),"RUA DENISSON MENEZES, S/N")</f>
        <v>RUA DENISSON MENEZES, S/N</v>
      </c>
      <c r="L298" s="5" t="str">
        <f>IFERROR(__xludf.DUMMYFUNCTION("""COMPUTED_VALUE"""),"COLETORA")</f>
        <v>COLETORA</v>
      </c>
      <c r="M298" s="5" t="str">
        <f>IFERROR(__xludf.DUMMYFUNCTION("""COMPUTED_VALUE"""),"CIDADE UNIVERSITÁRIA")</f>
        <v>CIDADE UNIVERSITÁRIA</v>
      </c>
      <c r="N298" s="5" t="str">
        <f>IFERROR(__xludf.DUMMYFUNCTION("""COMPUTED_VALUE"""),"CENTRO - BAIRRO")</f>
        <v>CENTRO - BAIRRO</v>
      </c>
      <c r="O298" s="5" t="str">
        <f>IFERROR(__xludf.DUMMYFUNCTION("""COMPUTED_VALUE"""),"EM FRENTE A QUADRA DE ESPORTE")</f>
        <v>EM FRENTE A QUADRA DE ESPORTE</v>
      </c>
      <c r="P298" s="5" t="str">
        <f>IFERROR(__xludf.DUMMYFUNCTION("""COMPUTED_VALUE"""),"URGENTE")</f>
        <v>URGENTE</v>
      </c>
      <c r="Q298" s="5" t="str">
        <f>IFERROR(__xludf.DUMMYFUNCTION("""COMPUTED_VALUE"""),"READEQUAÇÃO DA CALÇADA COM ACESSIBILIDADE.")</f>
        <v>READEQUAÇÃO DA CALÇADA COM ACESSIBILIDADE.</v>
      </c>
      <c r="R298" s="5" t="str">
        <f>IFERROR(__xludf.DUMMYFUNCTION("""COMPUTED_VALUE"""),"NENHUMA DAS OPÇÕES")</f>
        <v>NENHUMA DAS OPÇÕES</v>
      </c>
      <c r="S298" s="5"/>
      <c r="T298" s="5"/>
      <c r="U298" s="5"/>
      <c r="V298" s="9" t="str">
        <f>IFERROR(__xludf.DUMMYFUNCTION("""COMPUTED_VALUE"""),"https://drive.google.com/uc?id=1mpcGvswqR8-_0IYHVwupo7eTPvzV_qAk")</f>
        <v>https://drive.google.com/uc?id=1mpcGvswqR8-_0IYHVwupo7eTPvzV_qAk</v>
      </c>
      <c r="W298" s="5" t="str">
        <f>IFERROR(__xludf.DUMMYFUNCTION("""COMPUTED_VALUE"""),"NÃO")</f>
        <v>NÃO</v>
      </c>
      <c r="X298" s="5" t="str">
        <f>IFERROR(__xludf.DUMMYFUNCTION("""COMPUTED_VALUE"""),"NÃO SE APLICA")</f>
        <v>NÃO SE APLICA</v>
      </c>
    </row>
    <row r="299" hidden="1">
      <c r="A299" s="5">
        <f>IFERROR(__xludf.DUMMYFUNCTION("""COMPUTED_VALUE"""),7.0)</f>
        <v>7</v>
      </c>
      <c r="B299" s="5" t="str">
        <f>IFERROR(__xludf.DUMMYFUNCTION("""COMPUTED_VALUE"""),"CV133")</f>
        <v>CV133</v>
      </c>
      <c r="C299" s="5" t="str">
        <f>IFERROR(__xludf.DUMMYFUNCTION("""COMPUTED_VALUE"""),"NÃO POSSUI")</f>
        <v>NÃO POSSUI</v>
      </c>
      <c r="D299" s="5" t="str">
        <f>IFERROR(__xludf.DUMMYFUNCTION("""COMPUTED_VALUE"""),"SEM PLACA")</f>
        <v>SEM PLACA</v>
      </c>
      <c r="E299" s="5" t="str">
        <f>IFERROR(__xludf.DUMMYFUNCTION("""COMPUTED_VALUE"""),"SEM BAIA")</f>
        <v>SEM BAIA</v>
      </c>
      <c r="F299" s="5" t="str">
        <f>IFERROR(__xludf.DUMMYFUNCTION("""COMPUTED_VALUE"""),"NÃO")</f>
        <v>NÃO</v>
      </c>
      <c r="G299" s="5" t="str">
        <f>IFERROR(__xludf.DUMMYFUNCTION("""COMPUTED_VALUE"""),"NÃO")</f>
        <v>NÃO</v>
      </c>
      <c r="H299" s="5" t="str">
        <f>IFERROR(__xludf.DUMMYFUNCTION("""COMPUTED_VALUE"""),"PAVIMENTADA")</f>
        <v>PAVIMENTADA</v>
      </c>
      <c r="I299" s="6" t="str">
        <f>IFERROR(__xludf.DUMMYFUNCTION("""COMPUTED_VALUE"""),"-9.542762")</f>
        <v>-9.542762</v>
      </c>
      <c r="J299" s="6" t="str">
        <f>IFERROR(__xludf.DUMMYFUNCTION("""COMPUTED_VALUE"""),"-35.770348")</f>
        <v>-35.770348</v>
      </c>
      <c r="K299" s="5" t="str">
        <f>IFERROR(__xludf.DUMMYFUNCTION("""COMPUTED_VALUE"""),"RUA DENISSON MENEZES, S/N")</f>
        <v>RUA DENISSON MENEZES, S/N</v>
      </c>
      <c r="L299" s="5" t="str">
        <f>IFERROR(__xludf.DUMMYFUNCTION("""COMPUTED_VALUE"""),"COLETORA")</f>
        <v>COLETORA</v>
      </c>
      <c r="M299" s="5" t="str">
        <f>IFERROR(__xludf.DUMMYFUNCTION("""COMPUTED_VALUE"""),"CIDADE UNIVERSITÁRIA")</f>
        <v>CIDADE UNIVERSITÁRIA</v>
      </c>
      <c r="N299" s="5" t="str">
        <f>IFERROR(__xludf.DUMMYFUNCTION("""COMPUTED_VALUE"""),"BAIRRO - CENTRO")</f>
        <v>BAIRRO - CENTRO</v>
      </c>
      <c r="O299" s="5" t="str">
        <f>IFERROR(__xludf.DUMMYFUNCTION("""COMPUTED_VALUE"""),"EM FRENTE A QUADRA DE ESPORTES")</f>
        <v>EM FRENTE A QUADRA DE ESPORTES</v>
      </c>
      <c r="P299" s="5" t="str">
        <f>IFERROR(__xludf.DUMMYFUNCTION("""COMPUTED_VALUE"""),"URGENTE")</f>
        <v>URGENTE</v>
      </c>
      <c r="Q299" s="5" t="str">
        <f>IFERROR(__xludf.DUMMYFUNCTION("""COMPUTED_VALUE"""),"READEQUAÇÃO DA CALÇADA COM ACESSIBILIDADE.")</f>
        <v>READEQUAÇÃO DA CALÇADA COM ACESSIBILIDADE.</v>
      </c>
      <c r="R299" s="5" t="str">
        <f>IFERROR(__xludf.DUMMYFUNCTION("""COMPUTED_VALUE"""),"NENHUMA DAS OPÇÕES")</f>
        <v>NENHUMA DAS OPÇÕES</v>
      </c>
      <c r="S299" s="5"/>
      <c r="T299" s="5"/>
      <c r="U299" s="5"/>
      <c r="V299" s="9" t="str">
        <f>IFERROR(__xludf.DUMMYFUNCTION("""COMPUTED_VALUE"""),"https://drive.google.com/uc?id=1enkFmCtwGj7TkK8wbKpGRUA-ysjOuTm6")</f>
        <v>https://drive.google.com/uc?id=1enkFmCtwGj7TkK8wbKpGRUA-ysjOuTm6</v>
      </c>
      <c r="W299" s="5" t="str">
        <f>IFERROR(__xludf.DUMMYFUNCTION("""COMPUTED_VALUE"""),"NÃO")</f>
        <v>NÃO</v>
      </c>
      <c r="X299" s="5" t="str">
        <f>IFERROR(__xludf.DUMMYFUNCTION("""COMPUTED_VALUE"""),"NÃO SE APLICA")</f>
        <v>NÃO SE APLICA</v>
      </c>
    </row>
    <row r="300" hidden="1">
      <c r="A300" s="5">
        <f>IFERROR(__xludf.DUMMYFUNCTION("""COMPUTED_VALUE"""),7.0)</f>
        <v>7</v>
      </c>
      <c r="B300" s="5" t="str">
        <f>IFERROR(__xludf.DUMMYFUNCTION("""COMPUTED_VALUE"""),"CV134")</f>
        <v>CV134</v>
      </c>
      <c r="C300" s="5" t="str">
        <f>IFERROR(__xludf.DUMMYFUNCTION("""COMPUTED_VALUE"""),"NÃO POSSUI")</f>
        <v>NÃO POSSUI</v>
      </c>
      <c r="D300" s="5" t="str">
        <f>IFERROR(__xludf.DUMMYFUNCTION("""COMPUTED_VALUE"""),"FIXADA EM POSTE")</f>
        <v>FIXADA EM POSTE</v>
      </c>
      <c r="E300" s="5" t="str">
        <f>IFERROR(__xludf.DUMMYFUNCTION("""COMPUTED_VALUE"""),"SEM BAIA")</f>
        <v>SEM BAIA</v>
      </c>
      <c r="F300" s="5" t="str">
        <f>IFERROR(__xludf.DUMMYFUNCTION("""COMPUTED_VALUE"""),"NÃO")</f>
        <v>NÃO</v>
      </c>
      <c r="G300" s="5" t="str">
        <f>IFERROR(__xludf.DUMMYFUNCTION("""COMPUTED_VALUE"""),"NÃO")</f>
        <v>NÃO</v>
      </c>
      <c r="H300" s="5" t="str">
        <f>IFERROR(__xludf.DUMMYFUNCTION("""COMPUTED_VALUE"""),"PAVIMENTADA")</f>
        <v>PAVIMENTADA</v>
      </c>
      <c r="I300" s="6" t="str">
        <f>IFERROR(__xludf.DUMMYFUNCTION("""COMPUTED_VALUE"""),"-9.551884")</f>
        <v>-9.551884</v>
      </c>
      <c r="J300" s="6" t="str">
        <f>IFERROR(__xludf.DUMMYFUNCTION("""COMPUTED_VALUE"""),"-35.755727
")</f>
        <v>-35.755727
</v>
      </c>
      <c r="K300" s="5" t="str">
        <f>IFERROR(__xludf.DUMMYFUNCTION("""COMPUTED_VALUE"""),"AV. EMPRESÁRIO NELSON OLIVEIRA MENEZES, S/N")</f>
        <v>AV. EMPRESÁRIO NELSON OLIVEIRA MENEZES, S/N</v>
      </c>
      <c r="L300" s="5" t="str">
        <f>IFERROR(__xludf.DUMMYFUNCTION("""COMPUTED_VALUE"""),"COLETORA")</f>
        <v>COLETORA</v>
      </c>
      <c r="M300" s="5" t="str">
        <f>IFERROR(__xludf.DUMMYFUNCTION("""COMPUTED_VALUE"""),"CIDADE UNIVERSITÁRIA")</f>
        <v>CIDADE UNIVERSITÁRIA</v>
      </c>
      <c r="N300" s="5" t="str">
        <f>IFERROR(__xludf.DUMMYFUNCTION("""COMPUTED_VALUE"""),"CENTRO - BAIRRO")</f>
        <v>CENTRO - BAIRRO</v>
      </c>
      <c r="O300" s="5" t="str">
        <f>IFERROR(__xludf.DUMMYFUNCTION("""COMPUTED_VALUE"""),"EM FRENTE A IGREJA SAGRADA FAMÍLIA NAZARÉ")</f>
        <v>EM FRENTE A IGREJA SAGRADA FAMÍLIA NAZARÉ</v>
      </c>
      <c r="P300" s="5" t="str">
        <f>IFERROR(__xludf.DUMMYFUNCTION("""COMPUTED_VALUE"""),"PRIORIDADE ALTA")</f>
        <v>PRIORIDADE ALTA</v>
      </c>
      <c r="Q300" s="5" t="str">
        <f>IFERROR(__xludf.DUMMYFUNCTION("""COMPUTED_VALUE"""),"PONTO DE ÔNIBUS EXTINTO DEVIDO A MUDANÇA DE ITINERÁRIO DOS ÔNIBUS, SENDO ASSIM, A PLACA EXISTENTE DEVERÁ SER RECOLHIDA.")</f>
        <v>PONTO DE ÔNIBUS EXTINTO DEVIDO A MUDANÇA DE ITINERÁRIO DOS ÔNIBUS, SENDO ASSIM, A PLACA EXISTENTE DEVERÁ SER RECOLHIDA.</v>
      </c>
      <c r="R300" s="5" t="str">
        <f>IFERROR(__xludf.DUMMYFUNCTION("""COMPUTED_VALUE"""),"NENHUMA DAS OPÇÕES")</f>
        <v>NENHUMA DAS OPÇÕES</v>
      </c>
      <c r="S300" s="5"/>
      <c r="T300" s="5"/>
      <c r="U300" s="5"/>
      <c r="V300" s="9" t="str">
        <f>IFERROR(__xludf.DUMMYFUNCTION("""COMPUTED_VALUE"""),"https://drive.google.com/uc?id=1b8KzESRPUtguRTYmqicaBf4Zvzw98uki")</f>
        <v>https://drive.google.com/uc?id=1b8KzESRPUtguRTYmqicaBf4Zvzw98uki</v>
      </c>
      <c r="W300" s="5" t="str">
        <f>IFERROR(__xludf.DUMMYFUNCTION("""COMPUTED_VALUE"""),"NÃO")</f>
        <v>NÃO</v>
      </c>
      <c r="X300" s="5" t="str">
        <f>IFERROR(__xludf.DUMMYFUNCTION("""COMPUTED_VALUE"""),"NÃO SE APLICA")</f>
        <v>NÃO SE APLICA</v>
      </c>
    </row>
    <row r="301" hidden="1">
      <c r="A301" s="5">
        <f>IFERROR(__xludf.DUMMYFUNCTION("""COMPUTED_VALUE"""),7.0)</f>
        <v>7</v>
      </c>
      <c r="B301" s="5" t="str">
        <f>IFERROR(__xludf.DUMMYFUNCTION("""COMPUTED_VALUE"""),"CV135")</f>
        <v>CV135</v>
      </c>
      <c r="C301" s="5" t="str">
        <f>IFERROR(__xludf.DUMMYFUNCTION("""COMPUTED_VALUE"""),"NÃO POSSUI")</f>
        <v>NÃO POSSUI</v>
      </c>
      <c r="D301" s="5" t="str">
        <f>IFERROR(__xludf.DUMMYFUNCTION("""COMPUTED_VALUE"""),"FIXADA EM POSTE")</f>
        <v>FIXADA EM POSTE</v>
      </c>
      <c r="E301" s="5" t="str">
        <f>IFERROR(__xludf.DUMMYFUNCTION("""COMPUTED_VALUE"""),"SEM BAIA")</f>
        <v>SEM BAIA</v>
      </c>
      <c r="F301" s="5" t="str">
        <f>IFERROR(__xludf.DUMMYFUNCTION("""COMPUTED_VALUE"""),"NÃO")</f>
        <v>NÃO</v>
      </c>
      <c r="G301" s="5" t="str">
        <f>IFERROR(__xludf.DUMMYFUNCTION("""COMPUTED_VALUE"""),"NÃO")</f>
        <v>NÃO</v>
      </c>
      <c r="H301" s="5" t="str">
        <f>IFERROR(__xludf.DUMMYFUNCTION("""COMPUTED_VALUE"""),"PAVIMENTADA")</f>
        <v>PAVIMENTADA</v>
      </c>
      <c r="I301" s="6" t="str">
        <f>IFERROR(__xludf.DUMMYFUNCTION("""COMPUTED_VALUE"""),"-9.55297")</f>
        <v>-9.55297</v>
      </c>
      <c r="J301" s="6" t="str">
        <f>IFERROR(__xludf.DUMMYFUNCTION("""COMPUTED_VALUE"""),"-35.75275")</f>
        <v>-35.75275</v>
      </c>
      <c r="K301" s="5" t="str">
        <f>IFERROR(__xludf.DUMMYFUNCTION("""COMPUTED_VALUE"""),"AV. DR. ANDRÉ PAPINI GÓIS, 90")</f>
        <v>AV. DR. ANDRÉ PAPINI GÓIS, 90</v>
      </c>
      <c r="L301" s="5" t="str">
        <f>IFERROR(__xludf.DUMMYFUNCTION("""COMPUTED_VALUE"""),"COLETORA")</f>
        <v>COLETORA</v>
      </c>
      <c r="M301" s="5" t="str">
        <f>IFERROR(__xludf.DUMMYFUNCTION("""COMPUTED_VALUE"""),"CIDADE UNIVERSITÁRIA")</f>
        <v>CIDADE UNIVERSITÁRIA</v>
      </c>
      <c r="N301" s="5" t="str">
        <f>IFERROR(__xludf.DUMMYFUNCTION("""COMPUTED_VALUE"""),"CENTRO - BAIRRO")</f>
        <v>CENTRO - BAIRRO</v>
      </c>
      <c r="O301" s="5" t="str">
        <f>IFERROR(__xludf.DUMMYFUNCTION("""COMPUTED_VALUE"""),"EM FRENTE AO GINÁSIO DE ESPORTES")</f>
        <v>EM FRENTE AO GINÁSIO DE ESPORTES</v>
      </c>
      <c r="P301" s="5" t="str">
        <f>IFERROR(__xludf.DUMMYFUNCTION("""COMPUTED_VALUE"""),"PRIORIDADE BAIXA")</f>
        <v>PRIORIDADE BAIXA</v>
      </c>
      <c r="Q301" s="5" t="str">
        <f>IFERROR(__xludf.DUMMYFUNCTION("""COMPUTED_VALUE"""),"READEQUAÇÃO DE CALÇADA COM ACESSIBILIDADE E PINTURA DE BAÍA NO ASFALTO.")</f>
        <v>READEQUAÇÃO DE CALÇADA COM ACESSIBILIDADE E PINTURA DE BAÍA NO ASFALTO.</v>
      </c>
      <c r="R301" s="5" t="str">
        <f>IFERROR(__xludf.DUMMYFUNCTION("""COMPUTED_VALUE"""),"NENHUMA DAS OPÇÕES")</f>
        <v>NENHUMA DAS OPÇÕES</v>
      </c>
      <c r="S301" s="5"/>
      <c r="T301" s="5"/>
      <c r="U301" s="5"/>
      <c r="V301" s="9" t="str">
        <f>IFERROR(__xludf.DUMMYFUNCTION("""COMPUTED_VALUE"""),"https://drive.google.com/uc?id=1M4-YREj3_aEh6sPpLh_YFY8-2hsFfFE4")</f>
        <v>https://drive.google.com/uc?id=1M4-YREj3_aEh6sPpLh_YFY8-2hsFfFE4</v>
      </c>
      <c r="W301" s="5" t="str">
        <f>IFERROR(__xludf.DUMMYFUNCTION("""COMPUTED_VALUE"""),"NÃO")</f>
        <v>NÃO</v>
      </c>
      <c r="X301" s="5" t="str">
        <f>IFERROR(__xludf.DUMMYFUNCTION("""COMPUTED_VALUE"""),"NÃO SE APLICA")</f>
        <v>NÃO SE APLICA</v>
      </c>
    </row>
    <row r="302" ht="19.5" customHeight="1">
      <c r="A302" s="5">
        <f>IFERROR(__xludf.DUMMYFUNCTION("""COMPUTED_VALUE"""),7.0)</f>
        <v>7</v>
      </c>
      <c r="B302" s="5" t="str">
        <f>IFERROR(__xludf.DUMMYFUNCTION("""COMPUTED_VALUE"""),"CV136")</f>
        <v>CV136</v>
      </c>
      <c r="C302" s="5" t="str">
        <f>IFERROR(__xludf.DUMMYFUNCTION("""COMPUTED_VALUE"""),"ABRIGO CONCRETO")</f>
        <v>ABRIGO CONCRETO</v>
      </c>
      <c r="D302" s="5" t="str">
        <f>IFERROR(__xludf.DUMMYFUNCTION("""COMPUTED_VALUE"""),"SEM PLACA")</f>
        <v>SEM PLACA</v>
      </c>
      <c r="E302" s="5" t="str">
        <f>IFERROR(__xludf.DUMMYFUNCTION("""COMPUTED_VALUE"""),"SEM BAIA")</f>
        <v>SEM BAIA</v>
      </c>
      <c r="F302" s="5" t="str">
        <f>IFERROR(__xludf.DUMMYFUNCTION("""COMPUTED_VALUE"""),"SIM")</f>
        <v>SIM</v>
      </c>
      <c r="G302" s="5" t="str">
        <f>IFERROR(__xludf.DUMMYFUNCTION("""COMPUTED_VALUE"""),"NÃO")</f>
        <v>NÃO</v>
      </c>
      <c r="H302" s="5" t="str">
        <f>IFERROR(__xludf.DUMMYFUNCTION("""COMPUTED_VALUE"""),"PAVIMENTADA")</f>
        <v>PAVIMENTADA</v>
      </c>
      <c r="I302" s="6" t="str">
        <f>IFERROR(__xludf.DUMMYFUNCTION("""COMPUTED_VALUE"""),"-9.552976")</f>
        <v>-9.552976</v>
      </c>
      <c r="J302" s="6" t="str">
        <f>IFERROR(__xludf.DUMMYFUNCTION("""COMPUTED_VALUE"""),"-35.752813
")</f>
        <v>-35.752813
</v>
      </c>
      <c r="K302" s="5" t="str">
        <f>IFERROR(__xludf.DUMMYFUNCTION("""COMPUTED_VALUE"""),"AV. DR. ANDRÉ PAPINI GÓIS, S/N")</f>
        <v>AV. DR. ANDRÉ PAPINI GÓIS, S/N</v>
      </c>
      <c r="L302" s="5" t="str">
        <f>IFERROR(__xludf.DUMMYFUNCTION("""COMPUTED_VALUE"""),"COLETORA")</f>
        <v>COLETORA</v>
      </c>
      <c r="M302" s="5" t="str">
        <f>IFERROR(__xludf.DUMMYFUNCTION("""COMPUTED_VALUE"""),"CIDADE UNIVERSITÁRIA")</f>
        <v>CIDADE UNIVERSITÁRIA</v>
      </c>
      <c r="N302" s="5" t="str">
        <f>IFERROR(__xludf.DUMMYFUNCTION("""COMPUTED_VALUE"""),"BAIRRO - CENTRO")</f>
        <v>BAIRRO - CENTRO</v>
      </c>
      <c r="O302" s="5" t="str">
        <f>IFERROR(__xludf.DUMMYFUNCTION("""COMPUTED_VALUE"""),"EM FRENTE AO GINÁSIO DE ESPORTES")</f>
        <v>EM FRENTE AO GINÁSIO DE ESPORTES</v>
      </c>
      <c r="P302" s="5" t="str">
        <f>IFERROR(__xludf.DUMMYFUNCTION("""COMPUTED_VALUE"""),"PRIORIDADE MÉDIA")</f>
        <v>PRIORIDADE MÉDIA</v>
      </c>
      <c r="Q302" s="5" t="str">
        <f>IFERROR(__xludf.DUMMYFUNCTION("""COMPUTED_VALUE"""),"ABRIGO DANIFICADO - REBOCO, PINTURA E ASSENTO DANIFICADO,  NECESSÁRIO FAZER LIMPEZA DA COBERTA.
PINTURA DA SINALIZAÇÃO DA BAÍA NO ASFALTO, READEQUAÇÃO DE CALÇADA COM ACESSIBILIDADE")</f>
        <v>ABRIGO DANIFICADO - REBOCO, PINTURA E ASSENTO DANIFICADO,  NECESSÁRIO FAZER LIMPEZA DA COBERTA.
PINTURA DA SINALIZAÇÃO DA BAÍA NO ASFALTO, READEQUAÇÃO DE CALÇADA COM ACESSIBILIDADE</v>
      </c>
      <c r="R302" s="5" t="str">
        <f>IFERROR(__xludf.DUMMYFUNCTION("""COMPUTED_VALUE"""),"SUBSTITUIR ABRIGO")</f>
        <v>SUBSTITUIR ABRIGO</v>
      </c>
      <c r="S302" s="5"/>
      <c r="T302" s="5"/>
      <c r="U302" s="5"/>
      <c r="V302" s="9" t="str">
        <f>IFERROR(__xludf.DUMMYFUNCTION("""COMPUTED_VALUE"""),"https://drive.google.com/uc?id=1_LOUrQUCAt5xyrhtg01hdUABoGa4FruZ")</f>
        <v>https://drive.google.com/uc?id=1_LOUrQUCAt5xyrhtg01hdUABoGa4FruZ</v>
      </c>
      <c r="W302" s="5" t="str">
        <f>IFERROR(__xludf.DUMMYFUNCTION("""COMPUTED_VALUE"""),"NÃO")</f>
        <v>NÃO</v>
      </c>
      <c r="X302" s="5" t="str">
        <f>IFERROR(__xludf.DUMMYFUNCTION("""COMPUTED_VALUE"""),"NÃO SE APLICA")</f>
        <v>NÃO SE APLICA</v>
      </c>
    </row>
    <row r="303" hidden="1">
      <c r="A303" s="5">
        <f>IFERROR(__xludf.DUMMYFUNCTION("""COMPUTED_VALUE"""),7.0)</f>
        <v>7</v>
      </c>
      <c r="B303" s="5" t="str">
        <f>IFERROR(__xludf.DUMMYFUNCTION("""COMPUTED_VALUE"""),"CV137")</f>
        <v>CV137</v>
      </c>
      <c r="C303" s="5" t="str">
        <f>IFERROR(__xludf.DUMMYFUNCTION("""COMPUTED_VALUE"""),"NÃO POSSUI")</f>
        <v>NÃO POSSUI</v>
      </c>
      <c r="D303" s="5" t="str">
        <f>IFERROR(__xludf.DUMMYFUNCTION("""COMPUTED_VALUE"""),"FIXADA EM POSTE")</f>
        <v>FIXADA EM POSTE</v>
      </c>
      <c r="E303" s="5" t="str">
        <f>IFERROR(__xludf.DUMMYFUNCTION("""COMPUTED_VALUE"""),"SEM BAIA")</f>
        <v>SEM BAIA</v>
      </c>
      <c r="F303" s="5" t="str">
        <f>IFERROR(__xludf.DUMMYFUNCTION("""COMPUTED_VALUE"""),"NÃO")</f>
        <v>NÃO</v>
      </c>
      <c r="G303" s="5" t="str">
        <f>IFERROR(__xludf.DUMMYFUNCTION("""COMPUTED_VALUE"""),"NÃO")</f>
        <v>NÃO</v>
      </c>
      <c r="H303" s="5" t="str">
        <f>IFERROR(__xludf.DUMMYFUNCTION("""COMPUTED_VALUE"""),"PAVIMENTADA")</f>
        <v>PAVIMENTADA</v>
      </c>
      <c r="I303" s="6" t="str">
        <f>IFERROR(__xludf.DUMMYFUNCTION("""COMPUTED_VALUE"""),"-9.551489")</f>
        <v>-9.551489</v>
      </c>
      <c r="J303" s="6" t="str">
        <f>IFERROR(__xludf.DUMMYFUNCTION("""COMPUTED_VALUE"""),"-35.753494
")</f>
        <v>-35.753494
</v>
      </c>
      <c r="K303" s="5" t="str">
        <f>IFERROR(__xludf.DUMMYFUNCTION("""COMPUTED_VALUE"""),"AV. DR. ANDRÉ PAPINI GÓIS, 270")</f>
        <v>AV. DR. ANDRÉ PAPINI GÓIS, 270</v>
      </c>
      <c r="L303" s="5" t="str">
        <f>IFERROR(__xludf.DUMMYFUNCTION("""COMPUTED_VALUE"""),"COLETORA")</f>
        <v>COLETORA</v>
      </c>
      <c r="M303" s="5" t="str">
        <f>IFERROR(__xludf.DUMMYFUNCTION("""COMPUTED_VALUE"""),"CIDADE UNIVERSITÁRIA")</f>
        <v>CIDADE UNIVERSITÁRIA</v>
      </c>
      <c r="N303" s="5" t="str">
        <f>IFERROR(__xludf.DUMMYFUNCTION("""COMPUTED_VALUE"""),"CENTRO - BAIRRO")</f>
        <v>CENTRO - BAIRRO</v>
      </c>
      <c r="O303" s="5" t="str">
        <f>IFERROR(__xludf.DUMMYFUNCTION("""COMPUTED_VALUE"""),"PRÓXIMO A LEKA CONVENIÊNCIAS")</f>
        <v>PRÓXIMO A LEKA CONVENIÊNCIAS</v>
      </c>
      <c r="P303" s="5" t="str">
        <f>IFERROR(__xludf.DUMMYFUNCTION("""COMPUTED_VALUE"""),"PRIORIDADE BAIXA")</f>
        <v>PRIORIDADE BAIXA</v>
      </c>
      <c r="Q303" s="5" t="str">
        <f>IFERROR(__xludf.DUMMYFUNCTION("""COMPUTED_VALUE"""),"READEQUAÇÃO DE CALÇADA COM ACESSIBILIDADE E PINTURA DE BAÍA NO ASFALTO.")</f>
        <v>READEQUAÇÃO DE CALÇADA COM ACESSIBILIDADE E PINTURA DE BAÍA NO ASFALTO.</v>
      </c>
      <c r="R303" s="5" t="str">
        <f>IFERROR(__xludf.DUMMYFUNCTION("""COMPUTED_VALUE"""),"NENHUMA DAS OPÇÕES")</f>
        <v>NENHUMA DAS OPÇÕES</v>
      </c>
      <c r="S303" s="5"/>
      <c r="T303" s="5"/>
      <c r="U303" s="5"/>
      <c r="V303" s="9" t="str">
        <f>IFERROR(__xludf.DUMMYFUNCTION("""COMPUTED_VALUE"""),"https://drive.google.com/uc?id=1gvdRfRlutvXfZKg7-9cgj8eRZk4d15IS")</f>
        <v>https://drive.google.com/uc?id=1gvdRfRlutvXfZKg7-9cgj8eRZk4d15IS</v>
      </c>
      <c r="W303" s="5" t="str">
        <f>IFERROR(__xludf.DUMMYFUNCTION("""COMPUTED_VALUE"""),"NÃO")</f>
        <v>NÃO</v>
      </c>
      <c r="X303" s="5" t="str">
        <f>IFERROR(__xludf.DUMMYFUNCTION("""COMPUTED_VALUE"""),"NÃO SE APLICA")</f>
        <v>NÃO SE APLICA</v>
      </c>
    </row>
    <row r="304" hidden="1">
      <c r="A304" s="5">
        <f>IFERROR(__xludf.DUMMYFUNCTION("""COMPUTED_VALUE"""),7.0)</f>
        <v>7</v>
      </c>
      <c r="B304" s="5" t="str">
        <f>IFERROR(__xludf.DUMMYFUNCTION("""COMPUTED_VALUE"""),"CV138")</f>
        <v>CV138</v>
      </c>
      <c r="C304" s="5" t="str">
        <f>IFERROR(__xludf.DUMMYFUNCTION("""COMPUTED_VALUE"""),"NÃO POSSUI")</f>
        <v>NÃO POSSUI</v>
      </c>
      <c r="D304" s="5" t="str">
        <f>IFERROR(__xludf.DUMMYFUNCTION("""COMPUTED_VALUE"""),"FIXADA EM POSTE")</f>
        <v>FIXADA EM POSTE</v>
      </c>
      <c r="E304" s="5" t="str">
        <f>IFERROR(__xludf.DUMMYFUNCTION("""COMPUTED_VALUE"""),"SEM BAIA")</f>
        <v>SEM BAIA</v>
      </c>
      <c r="F304" s="5" t="str">
        <f>IFERROR(__xludf.DUMMYFUNCTION("""COMPUTED_VALUE"""),"NÃO")</f>
        <v>NÃO</v>
      </c>
      <c r="G304" s="5" t="str">
        <f>IFERROR(__xludf.DUMMYFUNCTION("""COMPUTED_VALUE"""),"NÃO")</f>
        <v>NÃO</v>
      </c>
      <c r="H304" s="5" t="str">
        <f>IFERROR(__xludf.DUMMYFUNCTION("""COMPUTED_VALUE"""),"PAVIMENTADA")</f>
        <v>PAVIMENTADA</v>
      </c>
      <c r="I304" s="6" t="str">
        <f>IFERROR(__xludf.DUMMYFUNCTION("""COMPUTED_VALUE"""),"-9.551524")</f>
        <v>-9.551524</v>
      </c>
      <c r="J304" s="6" t="str">
        <f>IFERROR(__xludf.DUMMYFUNCTION("""COMPUTED_VALUE"""),"-35.753581
")</f>
        <v>-35.753581
</v>
      </c>
      <c r="K304" s="5" t="str">
        <f>IFERROR(__xludf.DUMMYFUNCTION("""COMPUTED_VALUE"""),"AV. DR. ANDRÉ PAPINI GÓIS, 19")</f>
        <v>AV. DR. ANDRÉ PAPINI GÓIS, 19</v>
      </c>
      <c r="L304" s="5" t="str">
        <f>IFERROR(__xludf.DUMMYFUNCTION("""COMPUTED_VALUE"""),"COLETORA")</f>
        <v>COLETORA</v>
      </c>
      <c r="M304" s="5" t="str">
        <f>IFERROR(__xludf.DUMMYFUNCTION("""COMPUTED_VALUE"""),"CIDADE UNIVERSITÁRIA")</f>
        <v>CIDADE UNIVERSITÁRIA</v>
      </c>
      <c r="N304" s="5" t="str">
        <f>IFERROR(__xludf.DUMMYFUNCTION("""COMPUTED_VALUE"""),"BAIRRO - CENTRO")</f>
        <v>BAIRRO - CENTRO</v>
      </c>
      <c r="O304" s="5" t="str">
        <f>IFERROR(__xludf.DUMMYFUNCTION("""COMPUTED_VALUE"""),"EM FRENTE A BELLA’S MODAS")</f>
        <v>EM FRENTE A BELLA’S MODAS</v>
      </c>
      <c r="P304" s="5" t="str">
        <f>IFERROR(__xludf.DUMMYFUNCTION("""COMPUTED_VALUE"""),"PRIORIDADE BAIXA")</f>
        <v>PRIORIDADE BAIXA</v>
      </c>
      <c r="Q304" s="5" t="str">
        <f>IFERROR(__xludf.DUMMYFUNCTION("""COMPUTED_VALUE"""),"READEQUAÇÃO DE CALÇADA COM ACESSIBILIDADE E PINTURA DE BAÍA NO ASFALTO.")</f>
        <v>READEQUAÇÃO DE CALÇADA COM ACESSIBILIDADE E PINTURA DE BAÍA NO ASFALTO.</v>
      </c>
      <c r="R304" s="5" t="str">
        <f>IFERROR(__xludf.DUMMYFUNCTION("""COMPUTED_VALUE"""),"NENHUMA DAS OPÇÕES")</f>
        <v>NENHUMA DAS OPÇÕES</v>
      </c>
      <c r="S304" s="5"/>
      <c r="T304" s="5"/>
      <c r="U304" s="5"/>
      <c r="V304" s="9" t="str">
        <f>IFERROR(__xludf.DUMMYFUNCTION("""COMPUTED_VALUE"""),"https://drive.google.com/uc?id=1sWU1RnAI8pySHL8RhsKxLXzgluB9cnVV")</f>
        <v>https://drive.google.com/uc?id=1sWU1RnAI8pySHL8RhsKxLXzgluB9cnVV</v>
      </c>
      <c r="W304" s="5" t="str">
        <f>IFERROR(__xludf.DUMMYFUNCTION("""COMPUTED_VALUE"""),"NÃO")</f>
        <v>NÃO</v>
      </c>
      <c r="X304" s="5" t="str">
        <f>IFERROR(__xludf.DUMMYFUNCTION("""COMPUTED_VALUE"""),"NÃO SE APLICA")</f>
        <v>NÃO SE APLICA</v>
      </c>
    </row>
    <row r="305" hidden="1">
      <c r="A305" s="5">
        <f>IFERROR(__xludf.DUMMYFUNCTION("""COMPUTED_VALUE"""),7.0)</f>
        <v>7</v>
      </c>
      <c r="B305" s="5" t="str">
        <f>IFERROR(__xludf.DUMMYFUNCTION("""COMPUTED_VALUE"""),"CV139")</f>
        <v>CV139</v>
      </c>
      <c r="C305" s="5" t="str">
        <f>IFERROR(__xludf.DUMMYFUNCTION("""COMPUTED_VALUE"""),"NÃO POSSUI")</f>
        <v>NÃO POSSUI</v>
      </c>
      <c r="D305" s="5" t="str">
        <f>IFERROR(__xludf.DUMMYFUNCTION("""COMPUTED_VALUE"""),"FIXADA EM POSTE")</f>
        <v>FIXADA EM POSTE</v>
      </c>
      <c r="E305" s="5" t="str">
        <f>IFERROR(__xludf.DUMMYFUNCTION("""COMPUTED_VALUE"""),"SEM BAIA")</f>
        <v>SEM BAIA</v>
      </c>
      <c r="F305" s="5" t="str">
        <f>IFERROR(__xludf.DUMMYFUNCTION("""COMPUTED_VALUE"""),"SIM")</f>
        <v>SIM</v>
      </c>
      <c r="G305" s="5" t="str">
        <f>IFERROR(__xludf.DUMMYFUNCTION("""COMPUTED_VALUE"""),"NÃO")</f>
        <v>NÃO</v>
      </c>
      <c r="H305" s="5" t="str">
        <f>IFERROR(__xludf.DUMMYFUNCTION("""COMPUTED_VALUE"""),"PAVIMENTADA")</f>
        <v>PAVIMENTADA</v>
      </c>
      <c r="I305" s="6" t="str">
        <f>IFERROR(__xludf.DUMMYFUNCTION("""COMPUTED_VALUE"""),"-9.549820")</f>
        <v>-9.549820</v>
      </c>
      <c r="J305" s="6" t="str">
        <f>IFERROR(__xludf.DUMMYFUNCTION("""COMPUTED_VALUE"""),"-35.751808
")</f>
        <v>-35.751808
</v>
      </c>
      <c r="K305" s="5" t="str">
        <f>IFERROR(__xludf.DUMMYFUNCTION("""COMPUTED_VALUE"""),"AV. EMPRESÁRIO NELSON OLIVEIRA MENEZES, S/N")</f>
        <v>AV. EMPRESÁRIO NELSON OLIVEIRA MENEZES, S/N</v>
      </c>
      <c r="L305" s="5" t="str">
        <f>IFERROR(__xludf.DUMMYFUNCTION("""COMPUTED_VALUE"""),"COLETORA")</f>
        <v>COLETORA</v>
      </c>
      <c r="M305" s="5" t="str">
        <f>IFERROR(__xludf.DUMMYFUNCTION("""COMPUTED_VALUE"""),"CIDADE UNIVERSITÁRIA")</f>
        <v>CIDADE UNIVERSITÁRIA</v>
      </c>
      <c r="N305" s="5" t="str">
        <f>IFERROR(__xludf.DUMMYFUNCTION("""COMPUTED_VALUE"""),"CENTRO - BAIRRO")</f>
        <v>CENTRO - BAIRRO</v>
      </c>
      <c r="O305" s="5" t="str">
        <f>IFERROR(__xludf.DUMMYFUNCTION("""COMPUTED_VALUE"""),"EM FRENTE ASSOCIAÇÃO DOS MORADORES DO GRACILIANO RAMOS")</f>
        <v>EM FRENTE ASSOCIAÇÃO DOS MORADORES DO GRACILIANO RAMOS</v>
      </c>
      <c r="P305" s="5" t="str">
        <f>IFERROR(__xludf.DUMMYFUNCTION("""COMPUTED_VALUE"""),"PRIORIDADE BAIXA")</f>
        <v>PRIORIDADE BAIXA</v>
      </c>
      <c r="Q305" s="5" t="str">
        <f>IFERROR(__xludf.DUMMYFUNCTION("""COMPUTED_VALUE"""),"READEQUAÇÃO DE CALÇADA COM ACESSIBILIDADE E PINTURA DE BAÍA NO ASFALTO.")</f>
        <v>READEQUAÇÃO DE CALÇADA COM ACESSIBILIDADE E PINTURA DE BAÍA NO ASFALTO.</v>
      </c>
      <c r="R305" s="5" t="str">
        <f>IFERROR(__xludf.DUMMYFUNCTION("""COMPUTED_VALUE"""),"NENHUMA DAS OPÇÕES")</f>
        <v>NENHUMA DAS OPÇÕES</v>
      </c>
      <c r="S305" s="5"/>
      <c r="T305" s="5"/>
      <c r="U305" s="5"/>
      <c r="V305" s="9" t="str">
        <f>IFERROR(__xludf.DUMMYFUNCTION("""COMPUTED_VALUE"""),"https://drive.google.com/uc?id=17e3k2eyt8Zwn3VN_irxhgYf9DjLGqwjI")</f>
        <v>https://drive.google.com/uc?id=17e3k2eyt8Zwn3VN_irxhgYf9DjLGqwjI</v>
      </c>
      <c r="W305" s="5" t="str">
        <f>IFERROR(__xludf.DUMMYFUNCTION("""COMPUTED_VALUE"""),"NÃO")</f>
        <v>NÃO</v>
      </c>
      <c r="X305" s="5" t="str">
        <f>IFERROR(__xludf.DUMMYFUNCTION("""COMPUTED_VALUE"""),"NÃO SE APLICA")</f>
        <v>NÃO SE APLICA</v>
      </c>
    </row>
    <row r="306">
      <c r="A306" s="5">
        <f>IFERROR(__xludf.DUMMYFUNCTION("""COMPUTED_VALUE"""),7.0)</f>
        <v>7</v>
      </c>
      <c r="B306" s="5" t="str">
        <f>IFERROR(__xludf.DUMMYFUNCTION("""COMPUTED_VALUE"""),"CV140")</f>
        <v>CV140</v>
      </c>
      <c r="C306" s="5" t="str">
        <f>IFERROR(__xludf.DUMMYFUNCTION("""COMPUTED_VALUE"""),"ABRIGO CONCRETO")</f>
        <v>ABRIGO CONCRETO</v>
      </c>
      <c r="D306" s="5" t="str">
        <f>IFERROR(__xludf.DUMMYFUNCTION("""COMPUTED_VALUE"""),"SEM PLACA")</f>
        <v>SEM PLACA</v>
      </c>
      <c r="E306" s="5" t="str">
        <f>IFERROR(__xludf.DUMMYFUNCTION("""COMPUTED_VALUE"""),"SEM BAIA")</f>
        <v>SEM BAIA</v>
      </c>
      <c r="F306" s="5" t="str">
        <f>IFERROR(__xludf.DUMMYFUNCTION("""COMPUTED_VALUE"""),"SIM")</f>
        <v>SIM</v>
      </c>
      <c r="G306" s="5" t="str">
        <f>IFERROR(__xludf.DUMMYFUNCTION("""COMPUTED_VALUE"""),"NÃO")</f>
        <v>NÃO</v>
      </c>
      <c r="H306" s="5" t="str">
        <f>IFERROR(__xludf.DUMMYFUNCTION("""COMPUTED_VALUE"""),"PAVIMENTADA")</f>
        <v>PAVIMENTADA</v>
      </c>
      <c r="I306" s="6" t="str">
        <f>IFERROR(__xludf.DUMMYFUNCTION("""COMPUTED_VALUE"""),"-9.549663")</f>
        <v>-9.549663</v>
      </c>
      <c r="J306" s="6" t="str">
        <f>IFERROR(__xludf.DUMMYFUNCTION("""COMPUTED_VALUE""")," -35.751971
")</f>
        <v> -35.751971
</v>
      </c>
      <c r="K306" s="5" t="str">
        <f>IFERROR(__xludf.DUMMYFUNCTION("""COMPUTED_VALUE"""),"AV. EMPRESÁRIO NELSON OLIVEIRA MENEZES, S/N")</f>
        <v>AV. EMPRESÁRIO NELSON OLIVEIRA MENEZES, S/N</v>
      </c>
      <c r="L306" s="5" t="str">
        <f>IFERROR(__xludf.DUMMYFUNCTION("""COMPUTED_VALUE"""),"COLETORA")</f>
        <v>COLETORA</v>
      </c>
      <c r="M306" s="5" t="str">
        <f>IFERROR(__xludf.DUMMYFUNCTION("""COMPUTED_VALUE"""),"CIDADE UNIVERSITÁRIA")</f>
        <v>CIDADE UNIVERSITÁRIA</v>
      </c>
      <c r="N306" s="5" t="str">
        <f>IFERROR(__xludf.DUMMYFUNCTION("""COMPUTED_VALUE"""),"BAIRRO - CENTRO")</f>
        <v>BAIRRO - CENTRO</v>
      </c>
      <c r="O306" s="5" t="str">
        <f>IFERROR(__xludf.DUMMYFUNCTION("""COMPUTED_VALUE"""),"EM FRENTE ASSOCIAÇÃO DOS MORADORES DO GRACILIANO RAMOS")</f>
        <v>EM FRENTE ASSOCIAÇÃO DOS MORADORES DO GRACILIANO RAMOS</v>
      </c>
      <c r="P306" s="5" t="str">
        <f>IFERROR(__xludf.DUMMYFUNCTION("""COMPUTED_VALUE"""),"PRIORIDADE BAIXA")</f>
        <v>PRIORIDADE BAIXA</v>
      </c>
      <c r="Q306" s="5" t="str">
        <f>IFERROR(__xludf.DUMMYFUNCTION("""COMPUTED_VALUE"""),"READEQUAÇÃO DE CALÇADA COM ACESSIBILIDADE E PINTURA DE BAÍA NO ASFALTO.")</f>
        <v>READEQUAÇÃO DE CALÇADA COM ACESSIBILIDADE E PINTURA DE BAÍA NO ASFALTO.</v>
      </c>
      <c r="R306" s="5" t="str">
        <f>IFERROR(__xludf.DUMMYFUNCTION("""COMPUTED_VALUE"""),"SUBSTITUIR ABRIGO")</f>
        <v>SUBSTITUIR ABRIGO</v>
      </c>
      <c r="S306" s="5"/>
      <c r="T306" s="5"/>
      <c r="U306" s="5"/>
      <c r="V306" s="9" t="str">
        <f>IFERROR(__xludf.DUMMYFUNCTION("""COMPUTED_VALUE"""),"https://drive.google.com/uc?id=1OdTLEPGQK-cyXUHFW5KMJ6FS91RbFy17")</f>
        <v>https://drive.google.com/uc?id=1OdTLEPGQK-cyXUHFW5KMJ6FS91RbFy17</v>
      </c>
      <c r="W306" s="5" t="str">
        <f>IFERROR(__xludf.DUMMYFUNCTION("""COMPUTED_VALUE"""),"NÃO")</f>
        <v>NÃO</v>
      </c>
      <c r="X306" s="5" t="str">
        <f>IFERROR(__xludf.DUMMYFUNCTION("""COMPUTED_VALUE"""),"NÃO SE APLICA")</f>
        <v>NÃO SE APLICA</v>
      </c>
    </row>
    <row r="307" hidden="1">
      <c r="A307" s="5">
        <f>IFERROR(__xludf.DUMMYFUNCTION("""COMPUTED_VALUE"""),7.0)</f>
        <v>7</v>
      </c>
      <c r="B307" s="5" t="str">
        <f>IFERROR(__xludf.DUMMYFUNCTION("""COMPUTED_VALUE"""),"CV141")</f>
        <v>CV141</v>
      </c>
      <c r="C307" s="5" t="str">
        <f>IFERROR(__xludf.DUMMYFUNCTION("""COMPUTED_VALUE"""),"NÃO POSSUI")</f>
        <v>NÃO POSSUI</v>
      </c>
      <c r="D307" s="5" t="str">
        <f>IFERROR(__xludf.DUMMYFUNCTION("""COMPUTED_VALUE"""),"FIXADA EM POSTE")</f>
        <v>FIXADA EM POSTE</v>
      </c>
      <c r="E307" s="5" t="str">
        <f>IFERROR(__xludf.DUMMYFUNCTION("""COMPUTED_VALUE"""),"SEM BAIA")</f>
        <v>SEM BAIA</v>
      </c>
      <c r="F307" s="5" t="str">
        <f>IFERROR(__xludf.DUMMYFUNCTION("""COMPUTED_VALUE"""),"NÃO")</f>
        <v>NÃO</v>
      </c>
      <c r="G307" s="5" t="str">
        <f>IFERROR(__xludf.DUMMYFUNCTION("""COMPUTED_VALUE"""),"NÃO")</f>
        <v>NÃO</v>
      </c>
      <c r="H307" s="5" t="str">
        <f>IFERROR(__xludf.DUMMYFUNCTION("""COMPUTED_VALUE"""),"PAVIMENTADA")</f>
        <v>PAVIMENTADA</v>
      </c>
      <c r="I307" s="6" t="str">
        <f>IFERROR(__xludf.DUMMYFUNCTION("""COMPUTED_VALUE"""),"-9.547805")</f>
        <v>-9.547805</v>
      </c>
      <c r="J307" s="6" t="str">
        <f>IFERROR(__xludf.DUMMYFUNCTION("""COMPUTED_VALUE"""),"-35.747795
")</f>
        <v>-35.747795
</v>
      </c>
      <c r="K307" s="5" t="str">
        <f>IFERROR(__xludf.DUMMYFUNCTION("""COMPUTED_VALUE"""),"AV. EMPRESÁRIO NELSON OLIVEIRA MENEZES, S/N")</f>
        <v>AV. EMPRESÁRIO NELSON OLIVEIRA MENEZES, S/N</v>
      </c>
      <c r="L307" s="5" t="str">
        <f>IFERROR(__xludf.DUMMYFUNCTION("""COMPUTED_VALUE"""),"COLETORA")</f>
        <v>COLETORA</v>
      </c>
      <c r="M307" s="5" t="str">
        <f>IFERROR(__xludf.DUMMYFUNCTION("""COMPUTED_VALUE"""),"CIDADE UNIVERSITÁRIA")</f>
        <v>CIDADE UNIVERSITÁRIA</v>
      </c>
      <c r="N307" s="5" t="str">
        <f>IFERROR(__xludf.DUMMYFUNCTION("""COMPUTED_VALUE"""),"CENTRO - BAIRRO")</f>
        <v>CENTRO - BAIRRO</v>
      </c>
      <c r="O307" s="5" t="str">
        <f>IFERROR(__xludf.DUMMYFUNCTION("""COMPUTED_VALUE"""),"EM FRENTE AO TERMINAL DE ÔNIBUS")</f>
        <v>EM FRENTE AO TERMINAL DE ÔNIBUS</v>
      </c>
      <c r="P307" s="5" t="str">
        <f>IFERROR(__xludf.DUMMYFUNCTION("""COMPUTED_VALUE"""),"PRIORIDADE BAIXA")</f>
        <v>PRIORIDADE BAIXA</v>
      </c>
      <c r="Q307" s="5" t="str">
        <f>IFERROR(__xludf.DUMMYFUNCTION("""COMPUTED_VALUE"""),"READEQUAÇÃO DE CALÇADA COM ACESSIBILIDADE E PINTURA DE BAÍA NO ASFALTO.")</f>
        <v>READEQUAÇÃO DE CALÇADA COM ACESSIBILIDADE E PINTURA DE BAÍA NO ASFALTO.</v>
      </c>
      <c r="R307" s="5" t="str">
        <f>IFERROR(__xludf.DUMMYFUNCTION("""COMPUTED_VALUE"""),"NENHUMA DAS OPÇÕES")</f>
        <v>NENHUMA DAS OPÇÕES</v>
      </c>
      <c r="S307" s="5"/>
      <c r="T307" s="5"/>
      <c r="U307" s="5"/>
      <c r="V307" s="9" t="str">
        <f>IFERROR(__xludf.DUMMYFUNCTION("""COMPUTED_VALUE"""),"https://drive.google.com/uc?id=1vx0qvaCe-Weg9oLgNfDFKdKsP9cCBQnG")</f>
        <v>https://drive.google.com/uc?id=1vx0qvaCe-Weg9oLgNfDFKdKsP9cCBQnG</v>
      </c>
      <c r="W307" s="5" t="str">
        <f>IFERROR(__xludf.DUMMYFUNCTION("""COMPUTED_VALUE"""),"NÃO")</f>
        <v>NÃO</v>
      </c>
      <c r="X307" s="5" t="str">
        <f>IFERROR(__xludf.DUMMYFUNCTION("""COMPUTED_VALUE"""),"NÃO SE APLICA")</f>
        <v>NÃO SE APLICA</v>
      </c>
    </row>
    <row r="308">
      <c r="A308" s="5">
        <f>IFERROR(__xludf.DUMMYFUNCTION("""COMPUTED_VALUE"""),7.0)</f>
        <v>7</v>
      </c>
      <c r="B308" s="5" t="str">
        <f>IFERROR(__xludf.DUMMYFUNCTION("""COMPUTED_VALUE"""),"CV142")</f>
        <v>CV142</v>
      </c>
      <c r="C308" s="5" t="str">
        <f>IFERROR(__xludf.DUMMYFUNCTION("""COMPUTED_VALUE"""),"ABRIGO CONCRETO")</f>
        <v>ABRIGO CONCRETO</v>
      </c>
      <c r="D308" s="5" t="str">
        <f>IFERROR(__xludf.DUMMYFUNCTION("""COMPUTED_VALUE"""),"SEM PLACA")</f>
        <v>SEM PLACA</v>
      </c>
      <c r="E308" s="5" t="str">
        <f>IFERROR(__xludf.DUMMYFUNCTION("""COMPUTED_VALUE"""),"SEM BAIA")</f>
        <v>SEM BAIA</v>
      </c>
      <c r="F308" s="5" t="str">
        <f>IFERROR(__xludf.DUMMYFUNCTION("""COMPUTED_VALUE"""),"NÃO")</f>
        <v>NÃO</v>
      </c>
      <c r="G308" s="5" t="str">
        <f>IFERROR(__xludf.DUMMYFUNCTION("""COMPUTED_VALUE"""),"NÃO")</f>
        <v>NÃO</v>
      </c>
      <c r="H308" s="5" t="str">
        <f>IFERROR(__xludf.DUMMYFUNCTION("""COMPUTED_VALUE"""),"PAVIMENTADA COM AVARIAS")</f>
        <v>PAVIMENTADA COM AVARIAS</v>
      </c>
      <c r="I308" s="6" t="str">
        <f>IFERROR(__xludf.DUMMYFUNCTION("""COMPUTED_VALUE"""),"-9.536836")</f>
        <v>-9.536836</v>
      </c>
      <c r="J308" s="6" t="str">
        <f>IFERROR(__xludf.DUMMYFUNCTION("""COMPUTED_VALUE"""),"-35.774493
")</f>
        <v>-35.774493
</v>
      </c>
      <c r="K308" s="5" t="str">
        <f>IFERROR(__xludf.DUMMYFUNCTION("""COMPUTED_VALUE"""),"NOVO JARDIM MÓDULO 4")</f>
        <v>NOVO JARDIM MÓDULO 4</v>
      </c>
      <c r="L308" s="5" t="str">
        <f>IFERROR(__xludf.DUMMYFUNCTION("""COMPUTED_VALUE"""),"COLETORA")</f>
        <v>COLETORA</v>
      </c>
      <c r="M308" s="5" t="str">
        <f>IFERROR(__xludf.DUMMYFUNCTION("""COMPUTED_VALUE"""),"CIDADE UNIVERSITÁRIA")</f>
        <v>CIDADE UNIVERSITÁRIA</v>
      </c>
      <c r="N308" s="5" t="str">
        <f>IFERROR(__xludf.DUMMYFUNCTION("""COMPUTED_VALUE"""),"BAIRRO - CENTRO")</f>
        <v>BAIRRO - CENTRO</v>
      </c>
      <c r="O308" s="5" t="str">
        <f>IFERROR(__xludf.DUMMYFUNCTION("""COMPUTED_VALUE"""),"EM FRENTE AO TERMINAL DE ÔNIBUS")</f>
        <v>EM FRENTE AO TERMINAL DE ÔNIBUS</v>
      </c>
      <c r="P308" s="5" t="str">
        <f>IFERROR(__xludf.DUMMYFUNCTION("""COMPUTED_VALUE"""),"PRIORIDADE BAIXA")</f>
        <v>PRIORIDADE BAIXA</v>
      </c>
      <c r="Q308" s="5" t="str">
        <f>IFERROR(__xludf.DUMMYFUNCTION("""COMPUTED_VALUE"""),"READEQUAÇÃO DE CALÇADA COM ACESSIBILIDADE E PINTURA DE BAÍA NO ASFALTO.")</f>
        <v>READEQUAÇÃO DE CALÇADA COM ACESSIBILIDADE E PINTURA DE BAÍA NO ASFALTO.</v>
      </c>
      <c r="R308" s="5" t="str">
        <f>IFERROR(__xludf.DUMMYFUNCTION("""COMPUTED_VALUE"""),"SUBSTITUIR ABRIGO")</f>
        <v>SUBSTITUIR ABRIGO</v>
      </c>
      <c r="S308" s="5"/>
      <c r="T308" s="5"/>
      <c r="U308" s="5"/>
      <c r="V308" s="9" t="str">
        <f>IFERROR(__xludf.DUMMYFUNCTION("""COMPUTED_VALUE"""),"https://drive.google.com/uc?id=1ZcyKO-Ao8Ep0gd5HWzb9i_YPzgpwZfed")</f>
        <v>https://drive.google.com/uc?id=1ZcyKO-Ao8Ep0gd5HWzb9i_YPzgpwZfed</v>
      </c>
      <c r="W308" s="5" t="str">
        <f>IFERROR(__xludf.DUMMYFUNCTION("""COMPUTED_VALUE"""),"NÃO")</f>
        <v>NÃO</v>
      </c>
      <c r="X308" s="5" t="str">
        <f>IFERROR(__xludf.DUMMYFUNCTION("""COMPUTED_VALUE"""),"NÃO SE APLICA")</f>
        <v>NÃO SE APLICA</v>
      </c>
    </row>
    <row r="309" hidden="1">
      <c r="A309" s="5">
        <f>IFERROR(__xludf.DUMMYFUNCTION("""COMPUTED_VALUE"""),7.0)</f>
        <v>7</v>
      </c>
      <c r="B309" s="5" t="str">
        <f>IFERROR(__xludf.DUMMYFUNCTION("""COMPUTED_VALUE"""),"CV143")</f>
        <v>CV143</v>
      </c>
      <c r="C309" s="5" t="str">
        <f>IFERROR(__xludf.DUMMYFUNCTION("""COMPUTED_VALUE"""),"NÃO POSSUI")</f>
        <v>NÃO POSSUI</v>
      </c>
      <c r="D309" s="5" t="str">
        <f>IFERROR(__xludf.DUMMYFUNCTION("""COMPUTED_VALUE"""),"COM SUPORTE")</f>
        <v>COM SUPORTE</v>
      </c>
      <c r="E309" s="5" t="str">
        <f>IFERROR(__xludf.DUMMYFUNCTION("""COMPUTED_VALUE"""),"SEM BAIA")</f>
        <v>SEM BAIA</v>
      </c>
      <c r="F309" s="5" t="str">
        <f>IFERROR(__xludf.DUMMYFUNCTION("""COMPUTED_VALUE"""),"NÃO")</f>
        <v>NÃO</v>
      </c>
      <c r="G309" s="5" t="str">
        <f>IFERROR(__xludf.DUMMYFUNCTION("""COMPUTED_VALUE"""),"NÃO")</f>
        <v>NÃO</v>
      </c>
      <c r="H309" s="5" t="str">
        <f>IFERROR(__xludf.DUMMYFUNCTION("""COMPUTED_VALUE"""),"PAVIMENTADA")</f>
        <v>PAVIMENTADA</v>
      </c>
      <c r="I309" s="6" t="str">
        <f>IFERROR(__xludf.DUMMYFUNCTION("""COMPUTED_VALUE"""),"-9.547111")</f>
        <v>-9.547111</v>
      </c>
      <c r="J309" s="6" t="str">
        <f>IFERROR(__xludf.DUMMYFUNCTION("""COMPUTED_VALUE"""),"-35.746412
")</f>
        <v>-35.746412
</v>
      </c>
      <c r="K309" s="5" t="str">
        <f>IFERROR(__xludf.DUMMYFUNCTION("""COMPUTED_VALUE"""),"AV. EMPRESÁRIO NELSON OLIVEIRA MENEZES, 1424")</f>
        <v>AV. EMPRESÁRIO NELSON OLIVEIRA MENEZES, 1424</v>
      </c>
      <c r="L309" s="5" t="str">
        <f>IFERROR(__xludf.DUMMYFUNCTION("""COMPUTED_VALUE"""),"COLETORA")</f>
        <v>COLETORA</v>
      </c>
      <c r="M309" s="5" t="str">
        <f>IFERROR(__xludf.DUMMYFUNCTION("""COMPUTED_VALUE"""),"CIDADE UNIVERSITÁRIA")</f>
        <v>CIDADE UNIVERSITÁRIA</v>
      </c>
      <c r="N309" s="5" t="str">
        <f>IFERROR(__xludf.DUMMYFUNCTION("""COMPUTED_VALUE"""),"BAIRRO - CENTRO")</f>
        <v>BAIRRO - CENTRO</v>
      </c>
      <c r="O309" s="5" t="str">
        <f>IFERROR(__xludf.DUMMYFUNCTION("""COMPUTED_VALUE"""),"AV. EMPRESÁRIO NELSON OLIVEIRA MENEZES, 1424")</f>
        <v>AV. EMPRESÁRIO NELSON OLIVEIRA MENEZES, 1424</v>
      </c>
      <c r="P309" s="5" t="str">
        <f>IFERROR(__xludf.DUMMYFUNCTION("""COMPUTED_VALUE"""),"PRIORIDADE BAIXA")</f>
        <v>PRIORIDADE BAIXA</v>
      </c>
      <c r="Q309" s="5" t="str">
        <f>IFERROR(__xludf.DUMMYFUNCTION("""COMPUTED_VALUE"""),"READEQUAÇÃO DE CALÇADA COM ACESSIBILIDADE E PINTURA DE BAÍA NO ASFALTO.")</f>
        <v>READEQUAÇÃO DE CALÇADA COM ACESSIBILIDADE E PINTURA DE BAÍA NO ASFALTO.</v>
      </c>
      <c r="R309" s="5" t="str">
        <f>IFERROR(__xludf.DUMMYFUNCTION("""COMPUTED_VALUE"""),"IMPLANTAR ABRIGO")</f>
        <v>IMPLANTAR ABRIGO</v>
      </c>
      <c r="S309" s="5"/>
      <c r="T309" s="5"/>
      <c r="U309" s="5"/>
      <c r="V309" s="9" t="str">
        <f>IFERROR(__xludf.DUMMYFUNCTION("""COMPUTED_VALUE"""),"https://drive.google.com/uc?id=1dJ_YxD3-TLKnTT4OQi-C7yDdmW1I4hPI")</f>
        <v>https://drive.google.com/uc?id=1dJ_YxD3-TLKnTT4OQi-C7yDdmW1I4hPI</v>
      </c>
      <c r="W309" s="5" t="str">
        <f>IFERROR(__xludf.DUMMYFUNCTION("""COMPUTED_VALUE"""),"NÃO")</f>
        <v>NÃO</v>
      </c>
      <c r="X309" s="5" t="str">
        <f>IFERROR(__xludf.DUMMYFUNCTION("""COMPUTED_VALUE"""),"NÃO SE APLICA")</f>
        <v>NÃO SE APLICA</v>
      </c>
    </row>
    <row r="310" hidden="1">
      <c r="A310" s="5">
        <f>IFERROR(__xludf.DUMMYFUNCTION("""COMPUTED_VALUE"""),7.0)</f>
        <v>7</v>
      </c>
      <c r="B310" s="5" t="str">
        <f>IFERROR(__xludf.DUMMYFUNCTION("""COMPUTED_VALUE"""),"CV144")</f>
        <v>CV144</v>
      </c>
      <c r="C310" s="5" t="str">
        <f>IFERROR(__xludf.DUMMYFUNCTION("""COMPUTED_VALUE"""),"NÃO POSSUI")</f>
        <v>NÃO POSSUI</v>
      </c>
      <c r="D310" s="5" t="str">
        <f>IFERROR(__xludf.DUMMYFUNCTION("""COMPUTED_VALUE"""),"SEM PLACA")</f>
        <v>SEM PLACA</v>
      </c>
      <c r="E310" s="5" t="str">
        <f>IFERROR(__xludf.DUMMYFUNCTION("""COMPUTED_VALUE"""),"SEM BAIA")</f>
        <v>SEM BAIA</v>
      </c>
      <c r="F310" s="5" t="str">
        <f>IFERROR(__xludf.DUMMYFUNCTION("""COMPUTED_VALUE"""),"NÃO")</f>
        <v>NÃO</v>
      </c>
      <c r="G310" s="5" t="str">
        <f>IFERROR(__xludf.DUMMYFUNCTION("""COMPUTED_VALUE"""),"NÃO")</f>
        <v>NÃO</v>
      </c>
      <c r="H310" s="5" t="str">
        <f>IFERROR(__xludf.DUMMYFUNCTION("""COMPUTED_VALUE"""),"PAVIMENTADA")</f>
        <v>PAVIMENTADA</v>
      </c>
      <c r="I310" s="6" t="str">
        <f>IFERROR(__xludf.DUMMYFUNCTION("""COMPUTED_VALUE"""),"-9.546748")</f>
        <v>-9.546748</v>
      </c>
      <c r="J310" s="6" t="str">
        <f>IFERROR(__xludf.DUMMYFUNCTION("""COMPUTED_VALUE"""),"-35.746131")</f>
        <v>-35.746131</v>
      </c>
      <c r="K310" s="5" t="str">
        <f>IFERROR(__xludf.DUMMYFUNCTION("""COMPUTED_VALUE"""),"AV. EMPRESÁRIO NELSON OLIVEIRA MENEZES, 1459")</f>
        <v>AV. EMPRESÁRIO NELSON OLIVEIRA MENEZES, 1459</v>
      </c>
      <c r="L310" s="5" t="str">
        <f>IFERROR(__xludf.DUMMYFUNCTION("""COMPUTED_VALUE"""),"COLETORA")</f>
        <v>COLETORA</v>
      </c>
      <c r="M310" s="5" t="str">
        <f>IFERROR(__xludf.DUMMYFUNCTION("""COMPUTED_VALUE"""),"CIDADE UNIVERSITÁRIA")</f>
        <v>CIDADE UNIVERSITÁRIA</v>
      </c>
      <c r="N310" s="5" t="str">
        <f>IFERROR(__xludf.DUMMYFUNCTION("""COMPUTED_VALUE"""),"BAIRRO - CENTRO")</f>
        <v>BAIRRO - CENTRO</v>
      </c>
      <c r="O310" s="5" t="str">
        <f>IFERROR(__xludf.DUMMYFUNCTION("""COMPUTED_VALUE"""),"EM FRENTE A CASA 1459")</f>
        <v>EM FRENTE A CASA 1459</v>
      </c>
      <c r="P310" s="5" t="str">
        <f>IFERROR(__xludf.DUMMYFUNCTION("""COMPUTED_VALUE"""),"URGENTE")</f>
        <v>URGENTE</v>
      </c>
      <c r="Q310" s="5" t="str">
        <f>IFERROR(__xludf.DUMMYFUNCTION("""COMPUTED_VALUE"""),"READEQUAÇÃO DE CALÇADA COM ACESSIBILIDADE E PINTURA DE BAÍA NO ASFALTO.")</f>
        <v>READEQUAÇÃO DE CALÇADA COM ACESSIBILIDADE E PINTURA DE BAÍA NO ASFALTO.</v>
      </c>
      <c r="R310" s="5" t="str">
        <f>IFERROR(__xludf.DUMMYFUNCTION("""COMPUTED_VALUE"""),"IMPLANTAR ABRIGO")</f>
        <v>IMPLANTAR ABRIGO</v>
      </c>
      <c r="S310" s="5"/>
      <c r="T310" s="5"/>
      <c r="U310" s="5"/>
      <c r="V310" s="9" t="str">
        <f>IFERROR(__xludf.DUMMYFUNCTION("""COMPUTED_VALUE"""),"https://drive.google.com/uc?id=1H6T8iKy6MCUuRiah0HEkp1r8LP5OldTs")</f>
        <v>https://drive.google.com/uc?id=1H6T8iKy6MCUuRiah0HEkp1r8LP5OldTs</v>
      </c>
      <c r="W310" s="5" t="str">
        <f>IFERROR(__xludf.DUMMYFUNCTION("""COMPUTED_VALUE"""),"NÃO")</f>
        <v>NÃO</v>
      </c>
      <c r="X310" s="5" t="str">
        <f>IFERROR(__xludf.DUMMYFUNCTION("""COMPUTED_VALUE"""),"NÃO SE APLICA")</f>
        <v>NÃO SE APLICA</v>
      </c>
    </row>
    <row r="311" hidden="1">
      <c r="A311" s="5">
        <f>IFERROR(__xludf.DUMMYFUNCTION("""COMPUTED_VALUE"""),7.0)</f>
        <v>7</v>
      </c>
      <c r="B311" s="5" t="str">
        <f>IFERROR(__xludf.DUMMYFUNCTION("""COMPUTED_VALUE"""),"CV145")</f>
        <v>CV145</v>
      </c>
      <c r="C311" s="5" t="str">
        <f>IFERROR(__xludf.DUMMYFUNCTION("""COMPUTED_VALUE"""),"NÃO POSSUI")</f>
        <v>NÃO POSSUI</v>
      </c>
      <c r="D311" s="5" t="str">
        <f>IFERROR(__xludf.DUMMYFUNCTION("""COMPUTED_VALUE"""),"SEM PLACA")</f>
        <v>SEM PLACA</v>
      </c>
      <c r="E311" s="5" t="str">
        <f>IFERROR(__xludf.DUMMYFUNCTION("""COMPUTED_VALUE"""),"SEM BAIA")</f>
        <v>SEM BAIA</v>
      </c>
      <c r="F311" s="5" t="str">
        <f>IFERROR(__xludf.DUMMYFUNCTION("""COMPUTED_VALUE"""),"NÃO")</f>
        <v>NÃO</v>
      </c>
      <c r="G311" s="5" t="str">
        <f>IFERROR(__xludf.DUMMYFUNCTION("""COMPUTED_VALUE"""),"NÃO")</f>
        <v>NÃO</v>
      </c>
      <c r="H311" s="5" t="str">
        <f>IFERROR(__xludf.DUMMYFUNCTION("""COMPUTED_VALUE"""),"PAVIMENTADA")</f>
        <v>PAVIMENTADA</v>
      </c>
      <c r="I311" s="6" t="str">
        <f>IFERROR(__xludf.DUMMYFUNCTION("""COMPUTED_VALUE"""),"-9.547663")</f>
        <v>-9.547663</v>
      </c>
      <c r="J311" s="6" t="str">
        <f>IFERROR(__xludf.DUMMYFUNCTION("""COMPUTED_VALUE""")," -35.745408
")</f>
        <v> -35.745408
</v>
      </c>
      <c r="K311" s="5" t="str">
        <f>IFERROR(__xludf.DUMMYFUNCTION("""COMPUTED_VALUE"""),"AV. JOSÉ CAMELO DE FREITAS, 247")</f>
        <v>AV. JOSÉ CAMELO DE FREITAS, 247</v>
      </c>
      <c r="L311" s="5" t="str">
        <f>IFERROR(__xludf.DUMMYFUNCTION("""COMPUTED_VALUE"""),"COLETORA")</f>
        <v>COLETORA</v>
      </c>
      <c r="M311" s="5" t="str">
        <f>IFERROR(__xludf.DUMMYFUNCTION("""COMPUTED_VALUE"""),"CIDADE UNIVERSITÁRIA")</f>
        <v>CIDADE UNIVERSITÁRIA</v>
      </c>
      <c r="N311" s="5" t="str">
        <f>IFERROR(__xludf.DUMMYFUNCTION("""COMPUTED_VALUE"""),"BAIRRO - CENTRO")</f>
        <v>BAIRRO - CENTRO</v>
      </c>
      <c r="O311" s="5" t="str">
        <f>IFERROR(__xludf.DUMMYFUNCTION("""COMPUTED_VALUE"""),"UMA CASA ANTES DA 247")</f>
        <v>UMA CASA ANTES DA 247</v>
      </c>
      <c r="P311" s="5" t="str">
        <f>IFERROR(__xludf.DUMMYFUNCTION("""COMPUTED_VALUE"""),"URGENTE")</f>
        <v>URGENTE</v>
      </c>
      <c r="Q311" s="5" t="str">
        <f>IFERROR(__xludf.DUMMYFUNCTION("""COMPUTED_VALUE"""),"READEQUAÇÃO DE CALÇADA COM ACESSIBILIDADE E PINTURA DE BAÍA NO ASFALTO, (ANTES DA ÁRVORE).")</f>
        <v>READEQUAÇÃO DE CALÇADA COM ACESSIBILIDADE E PINTURA DE BAÍA NO ASFALTO, (ANTES DA ÁRVORE).</v>
      </c>
      <c r="R311" s="5" t="str">
        <f>IFERROR(__xludf.DUMMYFUNCTION("""COMPUTED_VALUE"""),"NENHUMA DAS OPÇÕES")</f>
        <v>NENHUMA DAS OPÇÕES</v>
      </c>
      <c r="S311" s="5"/>
      <c r="T311" s="5"/>
      <c r="U311" s="5"/>
      <c r="V311" s="9" t="str">
        <f>IFERROR(__xludf.DUMMYFUNCTION("""COMPUTED_VALUE"""),"https://drive.google.com/uc?id=1mGkp0AcuDhcsKdFy8JOBFhzWmKyPRy1-")</f>
        <v>https://drive.google.com/uc?id=1mGkp0AcuDhcsKdFy8JOBFhzWmKyPRy1-</v>
      </c>
      <c r="W311" s="5" t="str">
        <f>IFERROR(__xludf.DUMMYFUNCTION("""COMPUTED_VALUE"""),"NÃO")</f>
        <v>NÃO</v>
      </c>
      <c r="X311" s="5" t="str">
        <f>IFERROR(__xludf.DUMMYFUNCTION("""COMPUTED_VALUE"""),"NÃO SE APLICA")</f>
        <v>NÃO SE APLICA</v>
      </c>
    </row>
    <row r="312" hidden="1">
      <c r="A312" s="5">
        <f>IFERROR(__xludf.DUMMYFUNCTION("""COMPUTED_VALUE"""),7.0)</f>
        <v>7</v>
      </c>
      <c r="B312" s="5" t="str">
        <f>IFERROR(__xludf.DUMMYFUNCTION("""COMPUTED_VALUE"""),"CV146")</f>
        <v>CV146</v>
      </c>
      <c r="C312" s="5" t="str">
        <f>IFERROR(__xludf.DUMMYFUNCTION("""COMPUTED_VALUE"""),"NÃO POSSUI")</f>
        <v>NÃO POSSUI</v>
      </c>
      <c r="D312" s="5" t="str">
        <f>IFERROR(__xludf.DUMMYFUNCTION("""COMPUTED_VALUE"""),"SEM PLACA")</f>
        <v>SEM PLACA</v>
      </c>
      <c r="E312" s="5" t="str">
        <f>IFERROR(__xludf.DUMMYFUNCTION("""COMPUTED_VALUE"""),"SEM BAIA")</f>
        <v>SEM BAIA</v>
      </c>
      <c r="F312" s="5" t="str">
        <f>IFERROR(__xludf.DUMMYFUNCTION("""COMPUTED_VALUE"""),"NÃO")</f>
        <v>NÃO</v>
      </c>
      <c r="G312" s="5" t="str">
        <f>IFERROR(__xludf.DUMMYFUNCTION("""COMPUTED_VALUE"""),"NÃO")</f>
        <v>NÃO</v>
      </c>
      <c r="H312" s="5" t="str">
        <f>IFERROR(__xludf.DUMMYFUNCTION("""COMPUTED_VALUE"""),"PAVIMENTADA COM AVARIAS")</f>
        <v>PAVIMENTADA COM AVARIAS</v>
      </c>
      <c r="I312" s="6" t="str">
        <f>IFERROR(__xludf.DUMMYFUNCTION("""COMPUTED_VALUE"""),"-9.54899")</f>
        <v>-9.54899</v>
      </c>
      <c r="J312" s="6" t="str">
        <f>IFERROR(__xludf.DUMMYFUNCTION("""COMPUTED_VALUE""")," -35.74467
")</f>
        <v> -35.74467
</v>
      </c>
      <c r="K312" s="5" t="str">
        <f>IFERROR(__xludf.DUMMYFUNCTION("""COMPUTED_VALUE"""),"AV. JOSÉ CAMELO DE FREITAS, S/N")</f>
        <v>AV. JOSÉ CAMELO DE FREITAS, S/N</v>
      </c>
      <c r="L312" s="5" t="str">
        <f>IFERROR(__xludf.DUMMYFUNCTION("""COMPUTED_VALUE"""),"COLETORA")</f>
        <v>COLETORA</v>
      </c>
      <c r="M312" s="5" t="str">
        <f>IFERROR(__xludf.DUMMYFUNCTION("""COMPUTED_VALUE"""),"CIDADE UNIVERSITÁRIA")</f>
        <v>CIDADE UNIVERSITÁRIA</v>
      </c>
      <c r="N312" s="5" t="str">
        <f>IFERROR(__xludf.DUMMYFUNCTION("""COMPUTED_VALUE"""),"BAIRRO - CENTRO")</f>
        <v>BAIRRO - CENTRO</v>
      </c>
      <c r="O312" s="5" t="str">
        <f>IFERROR(__xludf.DUMMYFUNCTION("""COMPUTED_VALUE"""),"EM FRENTE AO EMPRESARIAL EDVALDO OLIVEIRA")</f>
        <v>EM FRENTE AO EMPRESARIAL EDVALDO OLIVEIRA</v>
      </c>
      <c r="P312" s="5" t="str">
        <f>IFERROR(__xludf.DUMMYFUNCTION("""COMPUTED_VALUE"""),"URGENTE")</f>
        <v>URGENTE</v>
      </c>
      <c r="Q312" s="5" t="str">
        <f>IFERROR(__xludf.DUMMYFUNCTION("""COMPUTED_VALUE"""),"READEQUAÇÃO DE CALÇADA COM ACESSIBILIDADE E PINTURA DE BAÍA NO ASFALTO, (ANTES DO ESTACIONAMENTO)")</f>
        <v>READEQUAÇÃO DE CALÇADA COM ACESSIBILIDADE E PINTURA DE BAÍA NO ASFALTO, (ANTES DO ESTACIONAMENTO)</v>
      </c>
      <c r="R312" s="5" t="str">
        <f>IFERROR(__xludf.DUMMYFUNCTION("""COMPUTED_VALUE"""),"NENHUMA DAS OPÇÕES")</f>
        <v>NENHUMA DAS OPÇÕES</v>
      </c>
      <c r="S312" s="5"/>
      <c r="T312" s="5"/>
      <c r="U312" s="5"/>
      <c r="V312" s="9" t="str">
        <f>IFERROR(__xludf.DUMMYFUNCTION("""COMPUTED_VALUE"""),"https://drive.google.com/uc?id=1veTh3wJ5ekZiEGB6CRcKya5-lr6nzREZ")</f>
        <v>https://drive.google.com/uc?id=1veTh3wJ5ekZiEGB6CRcKya5-lr6nzREZ</v>
      </c>
      <c r="W312" s="5" t="str">
        <f>IFERROR(__xludf.DUMMYFUNCTION("""COMPUTED_VALUE"""),"NÃO")</f>
        <v>NÃO</v>
      </c>
      <c r="X312" s="5" t="str">
        <f>IFERROR(__xludf.DUMMYFUNCTION("""COMPUTED_VALUE"""),"NÃO SE APLICA")</f>
        <v>NÃO SE APLICA</v>
      </c>
    </row>
    <row r="313" hidden="1">
      <c r="A313" s="5">
        <f>IFERROR(__xludf.DUMMYFUNCTION("""COMPUTED_VALUE"""),7.0)</f>
        <v>7</v>
      </c>
      <c r="B313" s="5" t="str">
        <f>IFERROR(__xludf.DUMMYFUNCTION("""COMPUTED_VALUE"""),"CV147")</f>
        <v>CV147</v>
      </c>
      <c r="C313" s="5" t="str">
        <f>IFERROR(__xludf.DUMMYFUNCTION("""COMPUTED_VALUE"""),"NÃO POSSUI")</f>
        <v>NÃO POSSUI</v>
      </c>
      <c r="D313" s="5" t="str">
        <f>IFERROR(__xludf.DUMMYFUNCTION("""COMPUTED_VALUE"""),"FIXADA EM POSTE")</f>
        <v>FIXADA EM POSTE</v>
      </c>
      <c r="E313" s="5" t="str">
        <f>IFERROR(__xludf.DUMMYFUNCTION("""COMPUTED_VALUE"""),"SEM BAIA")</f>
        <v>SEM BAIA</v>
      </c>
      <c r="F313" s="5" t="str">
        <f>IFERROR(__xludf.DUMMYFUNCTION("""COMPUTED_VALUE"""),"NÃO")</f>
        <v>NÃO</v>
      </c>
      <c r="G313" s="5" t="str">
        <f>IFERROR(__xludf.DUMMYFUNCTION("""COMPUTED_VALUE"""),"NÃO")</f>
        <v>NÃO</v>
      </c>
      <c r="H313" s="5" t="str">
        <f>IFERROR(__xludf.DUMMYFUNCTION("""COMPUTED_VALUE"""),"PAVIMENTADA")</f>
        <v>PAVIMENTADA</v>
      </c>
      <c r="I313" s="6" t="str">
        <f>IFERROR(__xludf.DUMMYFUNCTION("""COMPUTED_VALUE"""),"-9.550631")</f>
        <v>-9.550631</v>
      </c>
      <c r="J313" s="6" t="str">
        <f>IFERROR(__xludf.DUMMYFUNCTION("""COMPUTED_VALUE"""),"-35.7463241")</f>
        <v>-35.7463241</v>
      </c>
      <c r="K313" s="5" t="str">
        <f>IFERROR(__xludf.DUMMYFUNCTION("""COMPUTED_VALUE"""),"AV. DR. COUTO MALTA, 1249")</f>
        <v>AV. DR. COUTO MALTA, 1249</v>
      </c>
      <c r="L313" s="5" t="str">
        <f>IFERROR(__xludf.DUMMYFUNCTION("""COMPUTED_VALUE"""),"COLETORA")</f>
        <v>COLETORA</v>
      </c>
      <c r="M313" s="5" t="str">
        <f>IFERROR(__xludf.DUMMYFUNCTION("""COMPUTED_VALUE"""),"CIDADE UNIVERSITÁRIA")</f>
        <v>CIDADE UNIVERSITÁRIA</v>
      </c>
      <c r="N313" s="5" t="str">
        <f>IFERROR(__xludf.DUMMYFUNCTION("""COMPUTED_VALUE"""),"CENTRO - BAIRRO")</f>
        <v>CENTRO - BAIRRO</v>
      </c>
      <c r="O313" s="5" t="str">
        <f>IFERROR(__xludf.DUMMYFUNCTION("""COMPUTED_VALUE"""),"EM FRENTE A CASA 1249")</f>
        <v>EM FRENTE A CASA 1249</v>
      </c>
      <c r="P313" s="5" t="str">
        <f>IFERROR(__xludf.DUMMYFUNCTION("""COMPUTED_VALUE"""),"PRIORIDADE BAIXA")</f>
        <v>PRIORIDADE BAIXA</v>
      </c>
      <c r="Q313" s="5" t="str">
        <f>IFERROR(__xludf.DUMMYFUNCTION("""COMPUTED_VALUE"""),"READEQUAÇÃO DE CALÇADA COM ACESSIBILIDADE E PINTURA DE BAÍA NO ASFALTO.")</f>
        <v>READEQUAÇÃO DE CALÇADA COM ACESSIBILIDADE E PINTURA DE BAÍA NO ASFALTO.</v>
      </c>
      <c r="R313" s="5" t="str">
        <f>IFERROR(__xludf.DUMMYFUNCTION("""COMPUTED_VALUE"""),"NENHUMA DAS OPÇÕES")</f>
        <v>NENHUMA DAS OPÇÕES</v>
      </c>
      <c r="S313" s="5"/>
      <c r="T313" s="5"/>
      <c r="U313" s="5"/>
      <c r="V313" s="9" t="str">
        <f>IFERROR(__xludf.DUMMYFUNCTION("""COMPUTED_VALUE"""),"https://drive.google.com/uc?id=1lyMTsVoScHs72-tBNVFrq5bw1ZHB_Avo")</f>
        <v>https://drive.google.com/uc?id=1lyMTsVoScHs72-tBNVFrq5bw1ZHB_Avo</v>
      </c>
      <c r="W313" s="5" t="str">
        <f>IFERROR(__xludf.DUMMYFUNCTION("""COMPUTED_VALUE"""),"NÃO")</f>
        <v>NÃO</v>
      </c>
      <c r="X313" s="5" t="str">
        <f>IFERROR(__xludf.DUMMYFUNCTION("""COMPUTED_VALUE"""),"NÃO SE APLICA")</f>
        <v>NÃO SE APLICA</v>
      </c>
    </row>
    <row r="314" hidden="1">
      <c r="A314" s="5">
        <f>IFERROR(__xludf.DUMMYFUNCTION("""COMPUTED_VALUE"""),7.0)</f>
        <v>7</v>
      </c>
      <c r="B314" s="5" t="str">
        <f>IFERROR(__xludf.DUMMYFUNCTION("""COMPUTED_VALUE"""),"CV148")</f>
        <v>CV148</v>
      </c>
      <c r="C314" s="5" t="str">
        <f>IFERROR(__xludf.DUMMYFUNCTION("""COMPUTED_VALUE"""),"NÃO POSSUI")</f>
        <v>NÃO POSSUI</v>
      </c>
      <c r="D314" s="5" t="str">
        <f>IFERROR(__xludf.DUMMYFUNCTION("""COMPUTED_VALUE"""),"FIXADA EM POSTE")</f>
        <v>FIXADA EM POSTE</v>
      </c>
      <c r="E314" s="5" t="str">
        <f>IFERROR(__xludf.DUMMYFUNCTION("""COMPUTED_VALUE"""),"SEM BAIA")</f>
        <v>SEM BAIA</v>
      </c>
      <c r="F314" s="5" t="str">
        <f>IFERROR(__xludf.DUMMYFUNCTION("""COMPUTED_VALUE"""),"SIM")</f>
        <v>SIM</v>
      </c>
      <c r="G314" s="5" t="str">
        <f>IFERROR(__xludf.DUMMYFUNCTION("""COMPUTED_VALUE"""),"NÃO")</f>
        <v>NÃO</v>
      </c>
      <c r="H314" s="5" t="str">
        <f>IFERROR(__xludf.DUMMYFUNCTION("""COMPUTED_VALUE"""),"PAVIMENTADA")</f>
        <v>PAVIMENTADA</v>
      </c>
      <c r="I314" s="6" t="str">
        <f>IFERROR(__xludf.DUMMYFUNCTION("""COMPUTED_VALUE"""),"-9.55245")</f>
        <v>-9.55245</v>
      </c>
      <c r="J314" s="6" t="str">
        <f>IFERROR(__xludf.DUMMYFUNCTION("""COMPUTED_VALUE"""),"-35.74991
")</f>
        <v>-35.74991
</v>
      </c>
      <c r="K314" s="5" t="str">
        <f>IFERROR(__xludf.DUMMYFUNCTION("""COMPUTED_VALUE"""),"EM FRENTE AO AÇUDE DO GRACILIANO")</f>
        <v>EM FRENTE AO AÇUDE DO GRACILIANO</v>
      </c>
      <c r="L314" s="5" t="str">
        <f>IFERROR(__xludf.DUMMYFUNCTION("""COMPUTED_VALUE"""),"COLETORA")</f>
        <v>COLETORA</v>
      </c>
      <c r="M314" s="5" t="str">
        <f>IFERROR(__xludf.DUMMYFUNCTION("""COMPUTED_VALUE"""),"CIDADE UNIVERSITÁRIA")</f>
        <v>CIDADE UNIVERSITÁRIA</v>
      </c>
      <c r="N314" s="5" t="str">
        <f>IFERROR(__xludf.DUMMYFUNCTION("""COMPUTED_VALUE"""),"CENTRO - BAIRRO")</f>
        <v>CENTRO - BAIRRO</v>
      </c>
      <c r="O314" s="5" t="str">
        <f>IFERROR(__xludf.DUMMYFUNCTION("""COMPUTED_VALUE"""),"EM FRENTE AO AÇUDE DO GRACILIANO")</f>
        <v>EM FRENTE AO AÇUDE DO GRACILIANO</v>
      </c>
      <c r="P314" s="5" t="str">
        <f>IFERROR(__xludf.DUMMYFUNCTION("""COMPUTED_VALUE"""),"PRIORIDADE BAIXA")</f>
        <v>PRIORIDADE BAIXA</v>
      </c>
      <c r="Q314" s="5" t="str">
        <f>IFERROR(__xludf.DUMMYFUNCTION("""COMPUTED_VALUE"""),"READEQUAÇÃO DE CALÇADA COM ACESSIBILIDADE E PINTURA DE BAÍA NO ASFALTO.")</f>
        <v>READEQUAÇÃO DE CALÇADA COM ACESSIBILIDADE E PINTURA DE BAÍA NO ASFALTO.</v>
      </c>
      <c r="R314" s="5" t="str">
        <f>IFERROR(__xludf.DUMMYFUNCTION("""COMPUTED_VALUE"""),"NENHUMA DAS OPÇÕES")</f>
        <v>NENHUMA DAS OPÇÕES</v>
      </c>
      <c r="S314" s="5"/>
      <c r="T314" s="5"/>
      <c r="U314" s="5"/>
      <c r="V314" s="9" t="str">
        <f>IFERROR(__xludf.DUMMYFUNCTION("""COMPUTED_VALUE"""),"https://drive.google.com/uc?id=11w2dI2tQdAhJIDu-f_JsiveLYphKu0B2")</f>
        <v>https://drive.google.com/uc?id=11w2dI2tQdAhJIDu-f_JsiveLYphKu0B2</v>
      </c>
      <c r="W314" s="5" t="str">
        <f>IFERROR(__xludf.DUMMYFUNCTION("""COMPUTED_VALUE"""),"NÃO")</f>
        <v>NÃO</v>
      </c>
      <c r="X314" s="5" t="str">
        <f>IFERROR(__xludf.DUMMYFUNCTION("""COMPUTED_VALUE"""),"NÃO SE APLICA")</f>
        <v>NÃO SE APLICA</v>
      </c>
    </row>
    <row r="315" ht="19.5" hidden="1" customHeight="1">
      <c r="A315" s="5">
        <f>IFERROR(__xludf.DUMMYFUNCTION("""COMPUTED_VALUE"""),7.0)</f>
        <v>7</v>
      </c>
      <c r="B315" s="5" t="str">
        <f>IFERROR(__xludf.DUMMYFUNCTION("""COMPUTED_VALUE"""),"CV149")</f>
        <v>CV149</v>
      </c>
      <c r="C315" s="5" t="str">
        <f>IFERROR(__xludf.DUMMYFUNCTION("""COMPUTED_VALUE"""),"NÃO POSSUI")</f>
        <v>NÃO POSSUI</v>
      </c>
      <c r="D315" s="5" t="str">
        <f>IFERROR(__xludf.DUMMYFUNCTION("""COMPUTED_VALUE"""),"FIXADA EM POSTE")</f>
        <v>FIXADA EM POSTE</v>
      </c>
      <c r="E315" s="5" t="str">
        <f>IFERROR(__xludf.DUMMYFUNCTION("""COMPUTED_VALUE"""),"SEM BAIA")</f>
        <v>SEM BAIA</v>
      </c>
      <c r="F315" s="5" t="str">
        <f>IFERROR(__xludf.DUMMYFUNCTION("""COMPUTED_VALUE"""),"NÃO")</f>
        <v>NÃO</v>
      </c>
      <c r="G315" s="5" t="str">
        <f>IFERROR(__xludf.DUMMYFUNCTION("""COMPUTED_VALUE"""),"NÃO")</f>
        <v>NÃO</v>
      </c>
      <c r="H315" s="5" t="str">
        <f>IFERROR(__xludf.DUMMYFUNCTION("""COMPUTED_VALUE"""),"PAVIMENTADA")</f>
        <v>PAVIMENTADA</v>
      </c>
      <c r="I315" s="6" t="str">
        <f>IFERROR(__xludf.DUMMYFUNCTION("""COMPUTED_VALUE"""),"-9.550353")</f>
        <v>-9.550353</v>
      </c>
      <c r="J315" s="6" t="str">
        <f>IFERROR(__xludf.DUMMYFUNCTION("""COMPUTED_VALUE""")," -35.744550
")</f>
        <v> -35.744550
</v>
      </c>
      <c r="K315" s="5" t="str">
        <f>IFERROR(__xludf.DUMMYFUNCTION("""COMPUTED_VALUE"""),"EM FRENTE A CASA 17")</f>
        <v>EM FRENTE A CASA 17</v>
      </c>
      <c r="L315" s="5" t="str">
        <f>IFERROR(__xludf.DUMMYFUNCTION("""COMPUTED_VALUE"""),"LOCAL")</f>
        <v>LOCAL</v>
      </c>
      <c r="M315" s="5" t="str">
        <f>IFERROR(__xludf.DUMMYFUNCTION("""COMPUTED_VALUE"""),"CIDADE UNIVERSITÁRIA")</f>
        <v>CIDADE UNIVERSITÁRIA</v>
      </c>
      <c r="N315" s="5" t="str">
        <f>IFERROR(__xludf.DUMMYFUNCTION("""COMPUTED_VALUE"""),"BAIRRO - CENTRO")</f>
        <v>BAIRRO - CENTRO</v>
      </c>
      <c r="O315" s="5" t="str">
        <f>IFERROR(__xludf.DUMMYFUNCTION("""COMPUTED_VALUE"""),"EM FRENTE A CASA 17")</f>
        <v>EM FRENTE A CASA 17</v>
      </c>
      <c r="P315" s="5" t="str">
        <f>IFERROR(__xludf.DUMMYFUNCTION("""COMPUTED_VALUE"""),"PRIORIDADE BAIXA")</f>
        <v>PRIORIDADE BAIXA</v>
      </c>
      <c r="Q315" s="5" t="str">
        <f>IFERROR(__xludf.DUMMYFUNCTION("""COMPUTED_VALUE"""),"READEQUAÇÃO DE CALÇADA COM ACESSIBILIDADE E PINTURA DE BAÍA NO ASFALTO.")</f>
        <v>READEQUAÇÃO DE CALÇADA COM ACESSIBILIDADE E PINTURA DE BAÍA NO ASFALTO.</v>
      </c>
      <c r="R315" s="5" t="str">
        <f>IFERROR(__xludf.DUMMYFUNCTION("""COMPUTED_VALUE"""),"NENHUMA DAS OPÇÕES")</f>
        <v>NENHUMA DAS OPÇÕES</v>
      </c>
      <c r="S315" s="5"/>
      <c r="T315" s="5"/>
      <c r="U315" s="5"/>
      <c r="V315" s="9" t="str">
        <f>IFERROR(__xludf.DUMMYFUNCTION("""COMPUTED_VALUE"""),"https://drive.google.com/uc?id=1mKuHBVZgQJ8rXfWYb4oBoZtYZC1Zt-fZ")</f>
        <v>https://drive.google.com/uc?id=1mKuHBVZgQJ8rXfWYb4oBoZtYZC1Zt-fZ</v>
      </c>
      <c r="W315" s="5" t="str">
        <f>IFERROR(__xludf.DUMMYFUNCTION("""COMPUTED_VALUE"""),"NÃO")</f>
        <v>NÃO</v>
      </c>
      <c r="X315" s="5" t="str">
        <f>IFERROR(__xludf.DUMMYFUNCTION("""COMPUTED_VALUE"""),"NÃO SE APLICA")</f>
        <v>NÃO SE APLICA</v>
      </c>
    </row>
    <row r="316" hidden="1">
      <c r="A316" s="5">
        <f>IFERROR(__xludf.DUMMYFUNCTION("""COMPUTED_VALUE"""),7.0)</f>
        <v>7</v>
      </c>
      <c r="B316" s="5" t="str">
        <f>IFERROR(__xludf.DUMMYFUNCTION("""COMPUTED_VALUE"""),"CV150")</f>
        <v>CV150</v>
      </c>
      <c r="C316" s="5" t="str">
        <f>IFERROR(__xludf.DUMMYFUNCTION("""COMPUTED_VALUE"""),"NÃO POSSUI")</f>
        <v>NÃO POSSUI</v>
      </c>
      <c r="D316" s="5" t="str">
        <f>IFERROR(__xludf.DUMMYFUNCTION("""COMPUTED_VALUE"""),"COM SUPORTE")</f>
        <v>COM SUPORTE</v>
      </c>
      <c r="E316" s="5" t="str">
        <f>IFERROR(__xludf.DUMMYFUNCTION("""COMPUTED_VALUE"""),"SEM BAIA")</f>
        <v>SEM BAIA</v>
      </c>
      <c r="F316" s="5" t="str">
        <f>IFERROR(__xludf.DUMMYFUNCTION("""COMPUTED_VALUE"""),"NÃO")</f>
        <v>NÃO</v>
      </c>
      <c r="G316" s="5" t="str">
        <f>IFERROR(__xludf.DUMMYFUNCTION("""COMPUTED_VALUE"""),"NÃO")</f>
        <v>NÃO</v>
      </c>
      <c r="H316" s="5" t="str">
        <f>IFERROR(__xludf.DUMMYFUNCTION("""COMPUTED_VALUE"""),"PAVIMENTADA")</f>
        <v>PAVIMENTADA</v>
      </c>
      <c r="I316" s="6" t="str">
        <f>IFERROR(__xludf.DUMMYFUNCTION("""COMPUTED_VALUE"""),"-9.550372")</f>
        <v>-9.550372</v>
      </c>
      <c r="J316" s="6" t="str">
        <f>IFERROR(__xludf.DUMMYFUNCTION("""COMPUTED_VALUE"""),"-35.744588
")</f>
        <v>-35.744588
</v>
      </c>
      <c r="K316" s="5" t="str">
        <f>IFERROR(__xludf.DUMMYFUNCTION("""COMPUTED_VALUE"""),"RUA DOS PINHAIS, 17")</f>
        <v>RUA DOS PINHAIS, 17</v>
      </c>
      <c r="L316" s="5" t="str">
        <f>IFERROR(__xludf.DUMMYFUNCTION("""COMPUTED_VALUE"""),"LOCAL")</f>
        <v>LOCAL</v>
      </c>
      <c r="M316" s="5" t="str">
        <f>IFERROR(__xludf.DUMMYFUNCTION("""COMPUTED_VALUE"""),"CIDADE UNIVERSITÁRIA")</f>
        <v>CIDADE UNIVERSITÁRIA</v>
      </c>
      <c r="N316" s="5" t="str">
        <f>IFERROR(__xludf.DUMMYFUNCTION("""COMPUTED_VALUE"""),"CENTRO - BAIRRO")</f>
        <v>CENTRO - BAIRRO</v>
      </c>
      <c r="O316" s="5" t="str">
        <f>IFERROR(__xludf.DUMMYFUNCTION("""COMPUTED_VALUE"""),"EM FRENTE A CASA 17")</f>
        <v>EM FRENTE A CASA 17</v>
      </c>
      <c r="P316" s="5" t="str">
        <f>IFERROR(__xludf.DUMMYFUNCTION("""COMPUTED_VALUE"""),"PRIORIDADE ALTA")</f>
        <v>PRIORIDADE ALTA</v>
      </c>
      <c r="Q316" s="5" t="str">
        <f>IFERROR(__xludf.DUMMYFUNCTION("""COMPUTED_VALUE"""),"PONTO DE ÔNIBUS EXTINTO DEVIDO A MUDANÇA DE ITINERÁRIO DOS ÔNIBUS, SENDO ASSIM, A PLACA EXISTENTE DEVERÁ SER RECOLHIDA.")</f>
        <v>PONTO DE ÔNIBUS EXTINTO DEVIDO A MUDANÇA DE ITINERÁRIO DOS ÔNIBUS, SENDO ASSIM, A PLACA EXISTENTE DEVERÁ SER RECOLHIDA.</v>
      </c>
      <c r="R316" s="5" t="str">
        <f>IFERROR(__xludf.DUMMYFUNCTION("""COMPUTED_VALUE"""),"NENHUMA DAS OPÇÕES")</f>
        <v>NENHUMA DAS OPÇÕES</v>
      </c>
      <c r="S316" s="5"/>
      <c r="T316" s="5"/>
      <c r="U316" s="5"/>
      <c r="V316" s="9" t="str">
        <f>IFERROR(__xludf.DUMMYFUNCTION("""COMPUTED_VALUE"""),"https://drive.google.com/uc?id=1JYe1pn-wZjdwSDUf12diu1NthQ2ZCr6w")</f>
        <v>https://drive.google.com/uc?id=1JYe1pn-wZjdwSDUf12diu1NthQ2ZCr6w</v>
      </c>
      <c r="W316" s="5" t="str">
        <f>IFERROR(__xludf.DUMMYFUNCTION("""COMPUTED_VALUE"""),"NÃO")</f>
        <v>NÃO</v>
      </c>
      <c r="X316" s="5" t="str">
        <f>IFERROR(__xludf.DUMMYFUNCTION("""COMPUTED_VALUE"""),"NÃO SE APLICA")</f>
        <v>NÃO SE APLICA</v>
      </c>
    </row>
    <row r="317" hidden="1">
      <c r="A317" s="5">
        <f>IFERROR(__xludf.DUMMYFUNCTION("""COMPUTED_VALUE"""),7.0)</f>
        <v>7</v>
      </c>
      <c r="B317" s="5" t="str">
        <f>IFERROR(__xludf.DUMMYFUNCTION("""COMPUTED_VALUE"""),"CV151")</f>
        <v>CV151</v>
      </c>
      <c r="C317" s="5" t="str">
        <f>IFERROR(__xludf.DUMMYFUNCTION("""COMPUTED_VALUE"""),"NÃO POSSUI")</f>
        <v>NÃO POSSUI</v>
      </c>
      <c r="D317" s="5" t="str">
        <f>IFERROR(__xludf.DUMMYFUNCTION("""COMPUTED_VALUE"""),"COM SUPORTE")</f>
        <v>COM SUPORTE</v>
      </c>
      <c r="E317" s="5" t="str">
        <f>IFERROR(__xludf.DUMMYFUNCTION("""COMPUTED_VALUE"""),"SEM BAIA")</f>
        <v>SEM BAIA</v>
      </c>
      <c r="F317" s="5" t="str">
        <f>IFERROR(__xludf.DUMMYFUNCTION("""COMPUTED_VALUE"""),"NÃO")</f>
        <v>NÃO</v>
      </c>
      <c r="G317" s="5" t="str">
        <f>IFERROR(__xludf.DUMMYFUNCTION("""COMPUTED_VALUE"""),"NÃO")</f>
        <v>NÃO</v>
      </c>
      <c r="H317" s="5" t="str">
        <f>IFERROR(__xludf.DUMMYFUNCTION("""COMPUTED_VALUE"""),"PAVIMENTADA")</f>
        <v>PAVIMENTADA</v>
      </c>
      <c r="I317" s="6" t="str">
        <f>IFERROR(__xludf.DUMMYFUNCTION("""COMPUTED_VALUE"""),"-9.55291")</f>
        <v>-9.55291</v>
      </c>
      <c r="J317" s="6" t="str">
        <f>IFERROR(__xludf.DUMMYFUNCTION("""COMPUTED_VALUE""")," -35.74671")</f>
        <v> -35.74671</v>
      </c>
      <c r="K317" s="5" t="str">
        <f>IFERROR(__xludf.DUMMYFUNCTION("""COMPUTED_VALUE"""),"RUA JAQUEIRA, 58")</f>
        <v>RUA JAQUEIRA, 58</v>
      </c>
      <c r="L317" s="5" t="str">
        <f>IFERROR(__xludf.DUMMYFUNCTION("""COMPUTED_VALUE"""),"COLETORA")</f>
        <v>COLETORA</v>
      </c>
      <c r="M317" s="5" t="str">
        <f>IFERROR(__xludf.DUMMYFUNCTION("""COMPUTED_VALUE"""),"CIDADE UNIVERSITÁRIA")</f>
        <v>CIDADE UNIVERSITÁRIA</v>
      </c>
      <c r="N317" s="5" t="str">
        <f>IFERROR(__xludf.DUMMYFUNCTION("""COMPUTED_VALUE"""),"BAIRRO - CENTRO")</f>
        <v>BAIRRO - CENTRO</v>
      </c>
      <c r="O317" s="5" t="str">
        <f>IFERROR(__xludf.DUMMYFUNCTION("""COMPUTED_VALUE"""),"PRÓXIMO AO MERCADINHO NOVA VIDA")</f>
        <v>PRÓXIMO AO MERCADINHO NOVA VIDA</v>
      </c>
      <c r="P317" s="5" t="str">
        <f>IFERROR(__xludf.DUMMYFUNCTION("""COMPUTED_VALUE"""),"PRIORIDADE BAIXA")</f>
        <v>PRIORIDADE BAIXA</v>
      </c>
      <c r="Q317" s="5" t="str">
        <f>IFERROR(__xludf.DUMMYFUNCTION("""COMPUTED_VALUE"""),"NECESSITA DE LIMPEZA E RECOLHIMENTO DE DESTROÇOS NA CALÇADA E LIMPEZA DE VEGETAÇÃO SELVAGEM CRESCENTE, READEQUAÇÃO DE CALÇADA COM ACESSIBILIDADE E PINTURA DE BAÍA NO ASFALTO.")</f>
        <v>NECESSITA DE LIMPEZA E RECOLHIMENTO DE DESTROÇOS NA CALÇADA E LIMPEZA DE VEGETAÇÃO SELVAGEM CRESCENTE, READEQUAÇÃO DE CALÇADA COM ACESSIBILIDADE E PINTURA DE BAÍA NO ASFALTO.</v>
      </c>
      <c r="R317" s="5" t="str">
        <f>IFERROR(__xludf.DUMMYFUNCTION("""COMPUTED_VALUE"""),"NENHUMA DAS OPÇÕES")</f>
        <v>NENHUMA DAS OPÇÕES</v>
      </c>
      <c r="S317" s="5"/>
      <c r="T317" s="5"/>
      <c r="U317" s="5"/>
      <c r="V317" s="9" t="str">
        <f>IFERROR(__xludf.DUMMYFUNCTION("""COMPUTED_VALUE"""),"https://drive.google.com/uc?id=1i8_G1tIw4f4kCjvWTogs7-tw2jUmmZt1")</f>
        <v>https://drive.google.com/uc?id=1i8_G1tIw4f4kCjvWTogs7-tw2jUmmZt1</v>
      </c>
      <c r="W317" s="5" t="str">
        <f>IFERROR(__xludf.DUMMYFUNCTION("""COMPUTED_VALUE"""),"NÃO")</f>
        <v>NÃO</v>
      </c>
      <c r="X317" s="5" t="str">
        <f>IFERROR(__xludf.DUMMYFUNCTION("""COMPUTED_VALUE"""),"NÃO SE APLICA")</f>
        <v>NÃO SE APLICA</v>
      </c>
    </row>
    <row r="318" ht="17.25" hidden="1" customHeight="1">
      <c r="A318" s="5">
        <f>IFERROR(__xludf.DUMMYFUNCTION("""COMPUTED_VALUE"""),7.0)</f>
        <v>7</v>
      </c>
      <c r="B318" s="5" t="str">
        <f>IFERROR(__xludf.DUMMYFUNCTION("""COMPUTED_VALUE"""),"CV152")</f>
        <v>CV152</v>
      </c>
      <c r="C318" s="5" t="str">
        <f>IFERROR(__xludf.DUMMYFUNCTION("""COMPUTED_VALUE"""),"NÃO POSSUI")</f>
        <v>NÃO POSSUI</v>
      </c>
      <c r="D318" s="5" t="str">
        <f>IFERROR(__xludf.DUMMYFUNCTION("""COMPUTED_VALUE"""),"FIXADA EM POSTE")</f>
        <v>FIXADA EM POSTE</v>
      </c>
      <c r="E318" s="5" t="str">
        <f>IFERROR(__xludf.DUMMYFUNCTION("""COMPUTED_VALUE"""),"SEM BAIA")</f>
        <v>SEM BAIA</v>
      </c>
      <c r="F318" s="5" t="str">
        <f>IFERROR(__xludf.DUMMYFUNCTION("""COMPUTED_VALUE"""),"SIM")</f>
        <v>SIM</v>
      </c>
      <c r="G318" s="5" t="str">
        <f>IFERROR(__xludf.DUMMYFUNCTION("""COMPUTED_VALUE"""),"SIM")</f>
        <v>SIM</v>
      </c>
      <c r="H318" s="5" t="str">
        <f>IFERROR(__xludf.DUMMYFUNCTION("""COMPUTED_VALUE"""),"PAVIMENTADA")</f>
        <v>PAVIMENTADA</v>
      </c>
      <c r="I318" s="6" t="str">
        <f>IFERROR(__xludf.DUMMYFUNCTION("""COMPUTED_VALUE"""),"-9.561258")</f>
        <v>-9.561258</v>
      </c>
      <c r="J318" s="6" t="str">
        <f>IFERROR(__xludf.DUMMYFUNCTION("""COMPUTED_VALUE"""),"-35.779442
")</f>
        <v>-35.779442
</v>
      </c>
      <c r="K318" s="5" t="str">
        <f>IFERROR(__xludf.DUMMYFUNCTION("""COMPUTED_VALUE"""),"AV. LOURIVAL DE MELO MOTA, S/N")</f>
        <v>AV. LOURIVAL DE MELO MOTA, S/N</v>
      </c>
      <c r="L318" s="5" t="str">
        <f>IFERROR(__xludf.DUMMYFUNCTION("""COMPUTED_VALUE"""),"ARTERIAL ")</f>
        <v>ARTERIAL </v>
      </c>
      <c r="M318" s="5" t="str">
        <f>IFERROR(__xludf.DUMMYFUNCTION("""COMPUTED_VALUE"""),"CIDADE UNIVERSITÁRIA")</f>
        <v>CIDADE UNIVERSITÁRIA</v>
      </c>
      <c r="N318" s="5" t="str">
        <f>IFERROR(__xludf.DUMMYFUNCTION("""COMPUTED_VALUE"""),"CENTRO - BAIRRO")</f>
        <v>CENTRO - BAIRRO</v>
      </c>
      <c r="O318" s="5" t="str">
        <f>IFERROR(__xludf.DUMMYFUNCTION("""COMPUTED_VALUE"""),"ANTES DO HU, EM FRENTE AOS CORREIOS.")</f>
        <v>ANTES DO HU, EM FRENTE AOS CORREIOS.</v>
      </c>
      <c r="P318" s="5" t="str">
        <f>IFERROR(__xludf.DUMMYFUNCTION("""COMPUTED_VALUE"""),"URGENTE")</f>
        <v>URGENTE</v>
      </c>
      <c r="Q318" s="5" t="str">
        <f>IFERROR(__xludf.DUMMYFUNCTION("""COMPUTED_VALUE"""),"NECESSITA DE LIMPEZA E RECOLHIMENTO DE DESTROÇOS NA CALÇADA E LIMPEZA DE VEGETAÇÃO SELVAGEM CRESCENTE, READEQUAÇÃO DE CALÇADA COM ACESSIBILIDADE E PINTURA DE BAÍA NO ASFALTO.")</f>
        <v>NECESSITA DE LIMPEZA E RECOLHIMENTO DE DESTROÇOS NA CALÇADA E LIMPEZA DE VEGETAÇÃO SELVAGEM CRESCENTE, READEQUAÇÃO DE CALÇADA COM ACESSIBILIDADE E PINTURA DE BAÍA NO ASFALTO.</v>
      </c>
      <c r="R318" s="5" t="str">
        <f>IFERROR(__xludf.DUMMYFUNCTION("""COMPUTED_VALUE"""),"NENHUMA DAS OPÇÕES")</f>
        <v>NENHUMA DAS OPÇÕES</v>
      </c>
      <c r="S318" s="5"/>
      <c r="T318" s="5"/>
      <c r="U318" s="5"/>
      <c r="V318" s="9" t="str">
        <f>IFERROR(__xludf.DUMMYFUNCTION("""COMPUTED_VALUE"""),"https://drive.google.com/uc?id=1iAvFt6oQUhYJIOydb-aJiO9kDkgo00sx")</f>
        <v>https://drive.google.com/uc?id=1iAvFt6oQUhYJIOydb-aJiO9kDkgo00sx</v>
      </c>
      <c r="W318" s="5" t="str">
        <f>IFERROR(__xludf.DUMMYFUNCTION("""COMPUTED_VALUE"""),"NÃO")</f>
        <v>NÃO</v>
      </c>
      <c r="X318" s="5" t="str">
        <f>IFERROR(__xludf.DUMMYFUNCTION("""COMPUTED_VALUE"""),"NÃO SE APLICA")</f>
        <v>NÃO SE APLICA</v>
      </c>
    </row>
    <row r="319" hidden="1">
      <c r="A319" s="5">
        <f>IFERROR(__xludf.DUMMYFUNCTION("""COMPUTED_VALUE"""),7.0)</f>
        <v>7</v>
      </c>
      <c r="B319" s="5" t="str">
        <f>IFERROR(__xludf.DUMMYFUNCTION("""COMPUTED_VALUE"""),"CV154")</f>
        <v>CV154</v>
      </c>
      <c r="C319" s="5" t="str">
        <f>IFERROR(__xludf.DUMMYFUNCTION("""COMPUTED_VALUE"""),"NÃO POSSUI")</f>
        <v>NÃO POSSUI</v>
      </c>
      <c r="D319" s="5" t="str">
        <f>IFERROR(__xludf.DUMMYFUNCTION("""COMPUTED_VALUE"""),"SEM PLACA")</f>
        <v>SEM PLACA</v>
      </c>
      <c r="E319" s="5" t="str">
        <f>IFERROR(__xludf.DUMMYFUNCTION("""COMPUTED_VALUE"""),"SEM BAIA")</f>
        <v>SEM BAIA</v>
      </c>
      <c r="F319" s="5" t="str">
        <f>IFERROR(__xludf.DUMMYFUNCTION("""COMPUTED_VALUE"""),"NÃO")</f>
        <v>NÃO</v>
      </c>
      <c r="G319" s="5" t="str">
        <f>IFERROR(__xludf.DUMMYFUNCTION("""COMPUTED_VALUE"""),"NÃO")</f>
        <v>NÃO</v>
      </c>
      <c r="H319" s="5" t="str">
        <f>IFERROR(__xludf.DUMMYFUNCTION("""COMPUTED_VALUE"""),"PAVIMENTADA")</f>
        <v>PAVIMENTADA</v>
      </c>
      <c r="I319" s="6" t="str">
        <f>IFERROR(__xludf.DUMMYFUNCTION("""COMPUTED_VALUE"""),"-9.539591")</f>
        <v>-9.539591</v>
      </c>
      <c r="J319" s="6" t="str">
        <f>IFERROR(__xludf.DUMMYFUNCTION("""COMPUTED_VALUE"""),"-35.781287
")</f>
        <v>-35.781287
</v>
      </c>
      <c r="K319" s="5" t="str">
        <f>IFERROR(__xludf.DUMMYFUNCTION("""COMPUTED_VALUE"""),"RUA X, 68")</f>
        <v>RUA X, 68</v>
      </c>
      <c r="L319" s="5" t="str">
        <f>IFERROR(__xludf.DUMMYFUNCTION("""COMPUTED_VALUE"""),"COLETORA")</f>
        <v>COLETORA</v>
      </c>
      <c r="M319" s="5" t="str">
        <f>IFERROR(__xludf.DUMMYFUNCTION("""COMPUTED_VALUE"""),"CIDADE UNIVERSITÁRIA")</f>
        <v>CIDADE UNIVERSITÁRIA</v>
      </c>
      <c r="N319" s="5" t="str">
        <f>IFERROR(__xludf.DUMMYFUNCTION("""COMPUTED_VALUE"""),"BAIRRO - CENTRO")</f>
        <v>BAIRRO - CENTRO</v>
      </c>
      <c r="O319" s="5" t="str">
        <f>IFERROR(__xludf.DUMMYFUNCTION("""COMPUTED_VALUE"""),"EM FRENTE A CASA 68")</f>
        <v>EM FRENTE A CASA 68</v>
      </c>
      <c r="P319" s="5" t="str">
        <f>IFERROR(__xludf.DUMMYFUNCTION("""COMPUTED_VALUE"""),"URGENTE")</f>
        <v>URGENTE</v>
      </c>
      <c r="Q319" s="5" t="str">
        <f>IFERROR(__xludf.DUMMYFUNCTION("""COMPUTED_VALUE"""),"RELOCAR PLACA EM SUPORTE DE MADEIRA ALINHADO COM TEXTO PINTADO NA BAÍA. READEQUAÇÃO DE CALÇADA COM ACESSIBILIDADE E PINTURA DE BAÍA NO ASFALTO.")</f>
        <v>RELOCAR PLACA EM SUPORTE DE MADEIRA ALINHADO COM TEXTO PINTADO NA BAÍA. READEQUAÇÃO DE CALÇADA COM ACESSIBILIDADE E PINTURA DE BAÍA NO ASFALTO.</v>
      </c>
      <c r="R319" s="5" t="str">
        <f>IFERROR(__xludf.DUMMYFUNCTION("""COMPUTED_VALUE"""),"NENHUMA DAS OPÇÕES")</f>
        <v>NENHUMA DAS OPÇÕES</v>
      </c>
      <c r="S319" s="5"/>
      <c r="T319" s="5"/>
      <c r="U319" s="5"/>
      <c r="V319" s="9" t="str">
        <f>IFERROR(__xludf.DUMMYFUNCTION("""COMPUTED_VALUE"""),"https://drive.google.com/uc?id=1pIK02Aj-b94iaiKWVego6gQTMyFVlawd")</f>
        <v>https://drive.google.com/uc?id=1pIK02Aj-b94iaiKWVego6gQTMyFVlawd</v>
      </c>
      <c r="W319" s="5" t="str">
        <f>IFERROR(__xludf.DUMMYFUNCTION("""COMPUTED_VALUE"""),"NÃO")</f>
        <v>NÃO</v>
      </c>
      <c r="X319" s="5" t="str">
        <f>IFERROR(__xludf.DUMMYFUNCTION("""COMPUTED_VALUE"""),"NÃO SE APLICA")</f>
        <v>NÃO SE APLICA</v>
      </c>
    </row>
    <row r="320" hidden="1">
      <c r="A320" s="5">
        <f>IFERROR(__xludf.DUMMYFUNCTION("""COMPUTED_VALUE"""),7.0)</f>
        <v>7</v>
      </c>
      <c r="B320" s="5" t="str">
        <f>IFERROR(__xludf.DUMMYFUNCTION("""COMPUTED_VALUE"""),"CV155")</f>
        <v>CV155</v>
      </c>
      <c r="C320" s="5" t="str">
        <f>IFERROR(__xludf.DUMMYFUNCTION("""COMPUTED_VALUE"""),"NÃO POSSUI")</f>
        <v>NÃO POSSUI</v>
      </c>
      <c r="D320" s="5" t="str">
        <f>IFERROR(__xludf.DUMMYFUNCTION("""COMPUTED_VALUE"""),"SEM PLACA")</f>
        <v>SEM PLACA</v>
      </c>
      <c r="E320" s="5" t="str">
        <f>IFERROR(__xludf.DUMMYFUNCTION("""COMPUTED_VALUE"""),"SEM BAIA")</f>
        <v>SEM BAIA</v>
      </c>
      <c r="F320" s="5" t="str">
        <f>IFERROR(__xludf.DUMMYFUNCTION("""COMPUTED_VALUE"""),"NÃO")</f>
        <v>NÃO</v>
      </c>
      <c r="G320" s="5" t="str">
        <f>IFERROR(__xludf.DUMMYFUNCTION("""COMPUTED_VALUE"""),"NÃO")</f>
        <v>NÃO</v>
      </c>
      <c r="H320" s="5" t="str">
        <f>IFERROR(__xludf.DUMMYFUNCTION("""COMPUTED_VALUE"""),"PAVIMENTADA")</f>
        <v>PAVIMENTADA</v>
      </c>
      <c r="I320" s="6" t="str">
        <f>IFERROR(__xludf.DUMMYFUNCTION("""COMPUTED_VALUE"""),"-9.532021")</f>
        <v>-9.532021</v>
      </c>
      <c r="J320" s="6" t="str">
        <f>IFERROR(__xludf.DUMMYFUNCTION("""COMPUTED_VALUE"""),"-35.775180
")</f>
        <v>-35.775180
</v>
      </c>
      <c r="K320" s="5" t="str">
        <f>IFERROR(__xludf.DUMMYFUNCTION("""COMPUTED_VALUE"""),"JARDIM ROYAL – 5ª ROTATÓRIA")</f>
        <v>JARDIM ROYAL – 5ª ROTATÓRIA</v>
      </c>
      <c r="L320" s="5" t="str">
        <f>IFERROR(__xludf.DUMMYFUNCTION("""COMPUTED_VALUE"""),"COLETORA")</f>
        <v>COLETORA</v>
      </c>
      <c r="M320" s="5" t="str">
        <f>IFERROR(__xludf.DUMMYFUNCTION("""COMPUTED_VALUE"""),"CIDADE UNIVERSITÁRIA")</f>
        <v>CIDADE UNIVERSITÁRIA</v>
      </c>
      <c r="N320" s="5" t="str">
        <f>IFERROR(__xludf.DUMMYFUNCTION("""COMPUTED_VALUE"""),"BAIRRO - CENTRO / CENTRO - BAIRRO")</f>
        <v>BAIRRO - CENTRO / CENTRO - BAIRRO</v>
      </c>
      <c r="O320" s="5" t="str">
        <f>IFERROR(__xludf.DUMMYFUNCTION("""COMPUTED_VALUE"""),"QUINTA ROTATÓRIA DO CONJUNTO JARDIM ROYAL")</f>
        <v>QUINTA ROTATÓRIA DO CONJUNTO JARDIM ROYAL</v>
      </c>
      <c r="P320" s="5" t="str">
        <f>IFERROR(__xludf.DUMMYFUNCTION("""COMPUTED_VALUE"""),"URGENTE")</f>
        <v>URGENTE</v>
      </c>
      <c r="Q320" s="5" t="str">
        <f>IFERROR(__xludf.DUMMYFUNCTION("""COMPUTED_VALUE"""),"READEQUAÇÃO DE CALÇADA COM ACESSIBILIDADE E PINTURA DE BAÍA NO ASFALTO.")</f>
        <v>READEQUAÇÃO DE CALÇADA COM ACESSIBILIDADE E PINTURA DE BAÍA NO ASFALTO.</v>
      </c>
      <c r="R320" s="5" t="str">
        <f>IFERROR(__xludf.DUMMYFUNCTION("""COMPUTED_VALUE"""),"NENHUMA DAS OPÇÕES")</f>
        <v>NENHUMA DAS OPÇÕES</v>
      </c>
      <c r="S320" s="5"/>
      <c r="T320" s="5"/>
      <c r="U320" s="5"/>
      <c r="V320" s="9" t="str">
        <f>IFERROR(__xludf.DUMMYFUNCTION("""COMPUTED_VALUE"""),"https://drive.google.com/uc?id=1ZpkGqwoPmHcdiM1Ng_9UvxMmNI1hhsPO")</f>
        <v>https://drive.google.com/uc?id=1ZpkGqwoPmHcdiM1Ng_9UvxMmNI1hhsPO</v>
      </c>
      <c r="W320" s="5" t="str">
        <f>IFERROR(__xludf.DUMMYFUNCTION("""COMPUTED_VALUE"""),"NÃO")</f>
        <v>NÃO</v>
      </c>
      <c r="X320" s="5" t="str">
        <f>IFERROR(__xludf.DUMMYFUNCTION("""COMPUTED_VALUE"""),"NÃO SE APLICA")</f>
        <v>NÃO SE APLICA</v>
      </c>
    </row>
    <row r="321" hidden="1">
      <c r="A321" s="5">
        <f>IFERROR(__xludf.DUMMYFUNCTION("""COMPUTED_VALUE"""),7.0)</f>
        <v>7</v>
      </c>
      <c r="B321" s="5" t="str">
        <f>IFERROR(__xludf.DUMMYFUNCTION("""COMPUTED_VALUE"""),"CV156")</f>
        <v>CV156</v>
      </c>
      <c r="C321" s="5" t="str">
        <f>IFERROR(__xludf.DUMMYFUNCTION("""COMPUTED_VALUE"""),"NÃO POSSUI")</f>
        <v>NÃO POSSUI</v>
      </c>
      <c r="D321" s="5" t="str">
        <f>IFERROR(__xludf.DUMMYFUNCTION("""COMPUTED_VALUE"""),"COM SUPORTE")</f>
        <v>COM SUPORTE</v>
      </c>
      <c r="E321" s="5" t="str">
        <f>IFERROR(__xludf.DUMMYFUNCTION("""COMPUTED_VALUE"""),"SEM BAIA")</f>
        <v>SEM BAIA</v>
      </c>
      <c r="F321" s="5" t="str">
        <f>IFERROR(__xludf.DUMMYFUNCTION("""COMPUTED_VALUE"""),"SIM")</f>
        <v>SIM</v>
      </c>
      <c r="G321" s="5" t="str">
        <f>IFERROR(__xludf.DUMMYFUNCTION("""COMPUTED_VALUE"""),"NÃO")</f>
        <v>NÃO</v>
      </c>
      <c r="H321" s="5" t="str">
        <f>IFERROR(__xludf.DUMMYFUNCTION("""COMPUTED_VALUE"""),"PAVIMENTADA")</f>
        <v>PAVIMENTADA</v>
      </c>
      <c r="I321" s="6" t="str">
        <f>IFERROR(__xludf.DUMMYFUNCTION("""COMPUTED_VALUE"""),"-9.531163")</f>
        <v>-9.531163</v>
      </c>
      <c r="J321" s="6" t="str">
        <f>IFERROR(__xludf.DUMMYFUNCTION("""COMPUTED_VALUE"""),"-35.771999")</f>
        <v>-35.771999</v>
      </c>
      <c r="K321" s="5" t="str">
        <f>IFERROR(__xludf.DUMMYFUNCTION("""COMPUTED_VALUE"""),"ALAMEDA DOS ANTÚRIOS, S/N")</f>
        <v>ALAMEDA DOS ANTÚRIOS, S/N</v>
      </c>
      <c r="L321" s="5" t="str">
        <f>IFERROR(__xludf.DUMMYFUNCTION("""COMPUTED_VALUE"""),"COLETORA")</f>
        <v>COLETORA</v>
      </c>
      <c r="M321" s="5" t="str">
        <f>IFERROR(__xludf.DUMMYFUNCTION("""COMPUTED_VALUE"""),"CIDADE UNIVERSITÁRIA")</f>
        <v>CIDADE UNIVERSITÁRIA</v>
      </c>
      <c r="N321" s="5" t="str">
        <f>IFERROR(__xludf.DUMMYFUNCTION("""COMPUTED_VALUE"""),"INTEGRAÇÃO")</f>
        <v>INTEGRAÇÃO</v>
      </c>
      <c r="O321" s="5" t="str">
        <f>IFERROR(__xludf.DUMMYFUNCTION("""COMPUTED_VALUE"""),"EM FRENTE AO RES. JARDIM DOS ANTÚRIOS")</f>
        <v>EM FRENTE AO RES. JARDIM DOS ANTÚRIOS</v>
      </c>
      <c r="P321" s="5" t="str">
        <f>IFERROR(__xludf.DUMMYFUNCTION("""COMPUTED_VALUE"""),"PRIORIDADE BAIXA")</f>
        <v>PRIORIDADE BAIXA</v>
      </c>
      <c r="Q321" s="5" t="str">
        <f>IFERROR(__xludf.DUMMYFUNCTION("""COMPUTED_VALUE"""),"READEQUAÇÃO DE CALÇADA COM ACESSIBILIDADE E PINTURA DE BAÍA NO ASFALTO.")</f>
        <v>READEQUAÇÃO DE CALÇADA COM ACESSIBILIDADE E PINTURA DE BAÍA NO ASFALTO.</v>
      </c>
      <c r="R321" s="5" t="str">
        <f>IFERROR(__xludf.DUMMYFUNCTION("""COMPUTED_VALUE"""),"IMPLANTAR ABRIGO")</f>
        <v>IMPLANTAR ABRIGO</v>
      </c>
      <c r="S321" s="5"/>
      <c r="T321" s="5"/>
      <c r="U321" s="5"/>
      <c r="V321" s="9" t="str">
        <f>IFERROR(__xludf.DUMMYFUNCTION("""COMPUTED_VALUE"""),"https://drive.google.com/uc?id=1gs9WSSwEQxyvHBdVt0nOD5lz1zSiGPlJ")</f>
        <v>https://drive.google.com/uc?id=1gs9WSSwEQxyvHBdVt0nOD5lz1zSiGPlJ</v>
      </c>
      <c r="W321" s="5" t="str">
        <f>IFERROR(__xludf.DUMMYFUNCTION("""COMPUTED_VALUE"""),"NÃO")</f>
        <v>NÃO</v>
      </c>
      <c r="X321" s="5" t="str">
        <f>IFERROR(__xludf.DUMMYFUNCTION("""COMPUTED_VALUE"""),"NÃO SE APLICA")</f>
        <v>NÃO SE APLICA</v>
      </c>
    </row>
    <row r="322" hidden="1">
      <c r="A322" s="5">
        <f>IFERROR(__xludf.DUMMYFUNCTION("""COMPUTED_VALUE"""),7.0)</f>
        <v>7</v>
      </c>
      <c r="B322" s="5" t="str">
        <f>IFERROR(__xludf.DUMMYFUNCTION("""COMPUTED_VALUE"""),"CV157")</f>
        <v>CV157</v>
      </c>
      <c r="C322" s="5" t="str">
        <f>IFERROR(__xludf.DUMMYFUNCTION("""COMPUTED_VALUE"""),"NÃO POSSUI")</f>
        <v>NÃO POSSUI</v>
      </c>
      <c r="D322" s="5" t="str">
        <f>IFERROR(__xludf.DUMMYFUNCTION("""COMPUTED_VALUE"""),"SEM PLACA")</f>
        <v>SEM PLACA</v>
      </c>
      <c r="E322" s="5" t="str">
        <f>IFERROR(__xludf.DUMMYFUNCTION("""COMPUTED_VALUE"""),"SEM BAIA")</f>
        <v>SEM BAIA</v>
      </c>
      <c r="F322" s="5" t="str">
        <f>IFERROR(__xludf.DUMMYFUNCTION("""COMPUTED_VALUE"""),"SIM")</f>
        <v>SIM</v>
      </c>
      <c r="G322" s="5" t="str">
        <f>IFERROR(__xludf.DUMMYFUNCTION("""COMPUTED_VALUE"""),"NÃO")</f>
        <v>NÃO</v>
      </c>
      <c r="H322" s="5" t="str">
        <f>IFERROR(__xludf.DUMMYFUNCTION("""COMPUTED_VALUE"""),"PAVIMENTADA")</f>
        <v>PAVIMENTADA</v>
      </c>
      <c r="I322" s="6" t="str">
        <f>IFERROR(__xludf.DUMMYFUNCTION("""COMPUTED_VALUE"""),"-9.531701")</f>
        <v>-9.531701</v>
      </c>
      <c r="J322" s="6" t="str">
        <f>IFERROR(__xludf.DUMMYFUNCTION("""COMPUTED_VALUE"""),"-35.770216
")</f>
        <v>-35.770216
</v>
      </c>
      <c r="K322" s="5" t="str">
        <f>IFERROR(__xludf.DUMMYFUNCTION("""COMPUTED_VALUE"""),"ALAMEDA DOS ANTÚRIOS, S/N")</f>
        <v>ALAMEDA DOS ANTÚRIOS, S/N</v>
      </c>
      <c r="L322" s="5" t="str">
        <f>IFERROR(__xludf.DUMMYFUNCTION("""COMPUTED_VALUE"""),"COLETORA")</f>
        <v>COLETORA</v>
      </c>
      <c r="M322" s="5" t="str">
        <f>IFERROR(__xludf.DUMMYFUNCTION("""COMPUTED_VALUE"""),"CIDADE UNIVERSITÁRIA")</f>
        <v>CIDADE UNIVERSITÁRIA</v>
      </c>
      <c r="N322" s="5" t="str">
        <f>IFERROR(__xludf.DUMMYFUNCTION("""COMPUTED_VALUE"""),"INTEGRAÇÃO")</f>
        <v>INTEGRAÇÃO</v>
      </c>
      <c r="O322" s="5" t="str">
        <f>IFERROR(__xludf.DUMMYFUNCTION("""COMPUTED_VALUE"""),"PROX. A GUARITA DO RES. JARDIM DOS HIBISCUS E VIOLETAS")</f>
        <v>PROX. A GUARITA DO RES. JARDIM DOS HIBISCUS E VIOLETAS</v>
      </c>
      <c r="P322" s="5" t="str">
        <f>IFERROR(__xludf.DUMMYFUNCTION("""COMPUTED_VALUE"""),"URGENTE")</f>
        <v>URGENTE</v>
      </c>
      <c r="Q322" s="5" t="str">
        <f>IFERROR(__xludf.DUMMYFUNCTION("""COMPUTED_VALUE"""),"READEQUAÇÃO DE CALÇADA COM ACESSIBILIDADE E PINTURA DE BAÍA NO ASFALTO.")</f>
        <v>READEQUAÇÃO DE CALÇADA COM ACESSIBILIDADE E PINTURA DE BAÍA NO ASFALTO.</v>
      </c>
      <c r="R322" s="5" t="str">
        <f>IFERROR(__xludf.DUMMYFUNCTION("""COMPUTED_VALUE"""),"IMPLANTAR ABRIGO")</f>
        <v>IMPLANTAR ABRIGO</v>
      </c>
      <c r="S322" s="5"/>
      <c r="T322" s="5"/>
      <c r="U322" s="5"/>
      <c r="V322" s="9" t="str">
        <f>IFERROR(__xludf.DUMMYFUNCTION("""COMPUTED_VALUE"""),"https://drive.google.com/uc?id=1BEaZ_CibUBy1S1jCUld9OGfTWHc_TpUJ")</f>
        <v>https://drive.google.com/uc?id=1BEaZ_CibUBy1S1jCUld9OGfTWHc_TpUJ</v>
      </c>
      <c r="W322" s="5" t="str">
        <f>IFERROR(__xludf.DUMMYFUNCTION("""COMPUTED_VALUE"""),"NÃO")</f>
        <v>NÃO</v>
      </c>
      <c r="X322" s="5" t="str">
        <f>IFERROR(__xludf.DUMMYFUNCTION("""COMPUTED_VALUE"""),"NÃO SE APLICA")</f>
        <v>NÃO SE APLICA</v>
      </c>
    </row>
    <row r="323" hidden="1">
      <c r="A323" s="5">
        <f>IFERROR(__xludf.DUMMYFUNCTION("""COMPUTED_VALUE"""),7.0)</f>
        <v>7</v>
      </c>
      <c r="B323" s="5" t="str">
        <f>IFERROR(__xludf.DUMMYFUNCTION("""COMPUTED_VALUE"""),"CV159")</f>
        <v>CV159</v>
      </c>
      <c r="C323" s="5" t="str">
        <f>IFERROR(__xludf.DUMMYFUNCTION("""COMPUTED_VALUE"""),"NÃO POSSUI")</f>
        <v>NÃO POSSUI</v>
      </c>
      <c r="D323" s="5" t="str">
        <f>IFERROR(__xludf.DUMMYFUNCTION("""COMPUTED_VALUE"""),"SEM PLACA")</f>
        <v>SEM PLACA</v>
      </c>
      <c r="E323" s="5" t="str">
        <f>IFERROR(__xludf.DUMMYFUNCTION("""COMPUTED_VALUE"""),"SEM BAIA")</f>
        <v>SEM BAIA</v>
      </c>
      <c r="F323" s="5" t="str">
        <f>IFERROR(__xludf.DUMMYFUNCTION("""COMPUTED_VALUE"""),"NÃO")</f>
        <v>NÃO</v>
      </c>
      <c r="G323" s="5" t="str">
        <f>IFERROR(__xludf.DUMMYFUNCTION("""COMPUTED_VALUE"""),"NÃO")</f>
        <v>NÃO</v>
      </c>
      <c r="H323" s="5" t="str">
        <f>IFERROR(__xludf.DUMMYFUNCTION("""COMPUTED_VALUE"""),"PAVIMENTADA")</f>
        <v>PAVIMENTADA</v>
      </c>
      <c r="I323" s="6" t="str">
        <f>IFERROR(__xludf.DUMMYFUNCTION("""COMPUTED_VALUE"""),"-9.53239")</f>
        <v>-9.53239</v>
      </c>
      <c r="J323" s="6" t="str">
        <f>IFERROR(__xludf.DUMMYFUNCTION("""COMPUTED_VALUE"""),"-35.77718")</f>
        <v>-35.77718</v>
      </c>
      <c r="K323" s="5" t="str">
        <f>IFERROR(__xludf.DUMMYFUNCTION("""COMPUTED_VALUE"""),"JARDIM ROYAL – 4ª ROTATÓRIA")</f>
        <v>JARDIM ROYAL – 4ª ROTATÓRIA</v>
      </c>
      <c r="L323" s="5" t="str">
        <f>IFERROR(__xludf.DUMMYFUNCTION("""COMPUTED_VALUE"""),"COLETORA")</f>
        <v>COLETORA</v>
      </c>
      <c r="M323" s="5" t="str">
        <f>IFERROR(__xludf.DUMMYFUNCTION("""COMPUTED_VALUE"""),"CIDADE UNIVERSITÁRIA")</f>
        <v>CIDADE UNIVERSITÁRIA</v>
      </c>
      <c r="N323" s="5" t="str">
        <f>IFERROR(__xludf.DUMMYFUNCTION("""COMPUTED_VALUE"""),"BAIRRO - CENTRO / CENTRO - BAIRRO")</f>
        <v>BAIRRO - CENTRO / CENTRO - BAIRRO</v>
      </c>
      <c r="O323" s="5" t="str">
        <f>IFERROR(__xludf.DUMMYFUNCTION("""COMPUTED_VALUE"""),"PRÓXIMO AO MERCADO VICTORIA")</f>
        <v>PRÓXIMO AO MERCADO VICTORIA</v>
      </c>
      <c r="P323" s="5" t="str">
        <f>IFERROR(__xludf.DUMMYFUNCTION("""COMPUTED_VALUE"""),"URGENTE")</f>
        <v>URGENTE</v>
      </c>
      <c r="Q323" s="5" t="str">
        <f>IFERROR(__xludf.DUMMYFUNCTION("""COMPUTED_VALUE"""),"READEQUAÇÃO DE CALÇADA COM ACESSIBILIDADE E PINTURA DE BAÍA NO ASFALTO.")</f>
        <v>READEQUAÇÃO DE CALÇADA COM ACESSIBILIDADE E PINTURA DE BAÍA NO ASFALTO.</v>
      </c>
      <c r="R323" s="5" t="str">
        <f>IFERROR(__xludf.DUMMYFUNCTION("""COMPUTED_VALUE"""),"NENHUMA DAS OPÇÕES")</f>
        <v>NENHUMA DAS OPÇÕES</v>
      </c>
      <c r="S323" s="5"/>
      <c r="T323" s="5"/>
      <c r="U323" s="5"/>
      <c r="V323" s="9" t="str">
        <f>IFERROR(__xludf.DUMMYFUNCTION("""COMPUTED_VALUE"""),"https://drive.google.com/uc?id=1kUZEBZF7kohXbJAPXjB9V7bbGKil86LT")</f>
        <v>https://drive.google.com/uc?id=1kUZEBZF7kohXbJAPXjB9V7bbGKil86LT</v>
      </c>
      <c r="W323" s="5" t="str">
        <f>IFERROR(__xludf.DUMMYFUNCTION("""COMPUTED_VALUE"""),"NÃO")</f>
        <v>NÃO</v>
      </c>
      <c r="X323" s="5" t="str">
        <f>IFERROR(__xludf.DUMMYFUNCTION("""COMPUTED_VALUE"""),"NÃO SE APLICA")</f>
        <v>NÃO SE APLICA</v>
      </c>
    </row>
    <row r="324" hidden="1">
      <c r="A324" s="5">
        <f>IFERROR(__xludf.DUMMYFUNCTION("""COMPUTED_VALUE"""),7.0)</f>
        <v>7</v>
      </c>
      <c r="B324" s="5" t="str">
        <f>IFERROR(__xludf.DUMMYFUNCTION("""COMPUTED_VALUE"""),"CV160")</f>
        <v>CV160</v>
      </c>
      <c r="C324" s="5" t="str">
        <f>IFERROR(__xludf.DUMMYFUNCTION("""COMPUTED_VALUE"""),"NÃO POSSUI")</f>
        <v>NÃO POSSUI</v>
      </c>
      <c r="D324" s="5" t="str">
        <f>IFERROR(__xludf.DUMMYFUNCTION("""COMPUTED_VALUE"""),"SEM PLACA")</f>
        <v>SEM PLACA</v>
      </c>
      <c r="E324" s="5" t="str">
        <f>IFERROR(__xludf.DUMMYFUNCTION("""COMPUTED_VALUE"""),"SEM BAIA")</f>
        <v>SEM BAIA</v>
      </c>
      <c r="F324" s="5" t="str">
        <f>IFERROR(__xludf.DUMMYFUNCTION("""COMPUTED_VALUE"""),"SIM")</f>
        <v>SIM</v>
      </c>
      <c r="G324" s="5" t="str">
        <f>IFERROR(__xludf.DUMMYFUNCTION("""COMPUTED_VALUE"""),"NÃO")</f>
        <v>NÃO</v>
      </c>
      <c r="H324" s="5" t="str">
        <f>IFERROR(__xludf.DUMMYFUNCTION("""COMPUTED_VALUE"""),"PAVIMENTADA")</f>
        <v>PAVIMENTADA</v>
      </c>
      <c r="I324" s="6" t="str">
        <f>IFERROR(__xludf.DUMMYFUNCTION("""COMPUTED_VALUE"""),"-9.53672")</f>
        <v>-9.53672</v>
      </c>
      <c r="J324" s="6" t="str">
        <f>IFERROR(__xludf.DUMMYFUNCTION("""COMPUTED_VALUE"""),"-35.77894")</f>
        <v>-35.77894</v>
      </c>
      <c r="K324" s="5" t="str">
        <f>IFERROR(__xludf.DUMMYFUNCTION("""COMPUTED_VALUE"""),"JARDIM ROYAL – PRAÇA LOCALIZADA ENTRANDO NA 2ª ROTATÓRIA À DIREITA")</f>
        <v>JARDIM ROYAL – PRAÇA LOCALIZADA ENTRANDO NA 2ª ROTATÓRIA À DIREITA</v>
      </c>
      <c r="L324" s="5" t="str">
        <f>IFERROR(__xludf.DUMMYFUNCTION("""COMPUTED_VALUE"""),"COLETORA")</f>
        <v>COLETORA</v>
      </c>
      <c r="M324" s="5" t="str">
        <f>IFERROR(__xludf.DUMMYFUNCTION("""COMPUTED_VALUE"""),"CIDADE UNIVERSITÁRIA")</f>
        <v>CIDADE UNIVERSITÁRIA</v>
      </c>
      <c r="N324" s="5" t="str">
        <f>IFERROR(__xludf.DUMMYFUNCTION("""COMPUTED_VALUE"""),"BAIRRO - CENTRO")</f>
        <v>BAIRRO - CENTRO</v>
      </c>
      <c r="O324" s="5" t="str">
        <f>IFERROR(__xludf.DUMMYFUNCTION("""COMPUTED_VALUE"""),"JARDIM ROYAL – PRAÇA LOCALIZADA ENTRANDO NA 2ª ROTATÓRIA À DIREITA")</f>
        <v>JARDIM ROYAL – PRAÇA LOCALIZADA ENTRANDO NA 2ª ROTATÓRIA À DIREITA</v>
      </c>
      <c r="P324" s="5" t="str">
        <f>IFERROR(__xludf.DUMMYFUNCTION("""COMPUTED_VALUE"""),"PRIORIDADE ALTA")</f>
        <v>PRIORIDADE ALTA</v>
      </c>
      <c r="Q324" s="5" t="str">
        <f>IFERROR(__xludf.DUMMYFUNCTION("""COMPUTED_VALUE"""),"READEQUAÇÃO DE CALÇADA COM ACESSIBILIDADE E PINTURA DE BAÍA NO ASFALTO.")</f>
        <v>READEQUAÇÃO DE CALÇADA COM ACESSIBILIDADE E PINTURA DE BAÍA NO ASFALTO.</v>
      </c>
      <c r="R324" s="5" t="str">
        <f>IFERROR(__xludf.DUMMYFUNCTION("""COMPUTED_VALUE"""),"NENHUMA DAS OPÇÕES")</f>
        <v>NENHUMA DAS OPÇÕES</v>
      </c>
      <c r="S324" s="5"/>
      <c r="T324" s="5"/>
      <c r="U324" s="5"/>
      <c r="V324" s="9" t="str">
        <f>IFERROR(__xludf.DUMMYFUNCTION("""COMPUTED_VALUE"""),"https://drive.google.com/uc?id=1pXXpnf57-3mSFRTgDkWovzwv3N8j3Y9N")</f>
        <v>https://drive.google.com/uc?id=1pXXpnf57-3mSFRTgDkWovzwv3N8j3Y9N</v>
      </c>
      <c r="W324" s="5" t="str">
        <f>IFERROR(__xludf.DUMMYFUNCTION("""COMPUTED_VALUE"""),"NÃO")</f>
        <v>NÃO</v>
      </c>
      <c r="X324" s="5" t="str">
        <f>IFERROR(__xludf.DUMMYFUNCTION("""COMPUTED_VALUE"""),"NÃO SE APLICA")</f>
        <v>NÃO SE APLICA</v>
      </c>
    </row>
    <row r="325" hidden="1">
      <c r="A325" s="5">
        <f>IFERROR(__xludf.DUMMYFUNCTION("""COMPUTED_VALUE"""),7.0)</f>
        <v>7</v>
      </c>
      <c r="B325" s="5" t="str">
        <f>IFERROR(__xludf.DUMMYFUNCTION("""COMPUTED_VALUE"""),"CV161")</f>
        <v>CV161</v>
      </c>
      <c r="C325" s="5" t="str">
        <f>IFERROR(__xludf.DUMMYFUNCTION("""COMPUTED_VALUE"""),"NÃO POSSUI")</f>
        <v>NÃO POSSUI</v>
      </c>
      <c r="D325" s="5" t="str">
        <f>IFERROR(__xludf.DUMMYFUNCTION("""COMPUTED_VALUE"""),"FIXADA EM POSTE")</f>
        <v>FIXADA EM POSTE</v>
      </c>
      <c r="E325" s="5" t="str">
        <f>IFERROR(__xludf.DUMMYFUNCTION("""COMPUTED_VALUE"""),"SEM BAIA")</f>
        <v>SEM BAIA</v>
      </c>
      <c r="F325" s="5" t="str">
        <f>IFERROR(__xludf.DUMMYFUNCTION("""COMPUTED_VALUE"""),"NÃO")</f>
        <v>NÃO</v>
      </c>
      <c r="G325" s="5" t="str">
        <f>IFERROR(__xludf.DUMMYFUNCTION("""COMPUTED_VALUE"""),"NÃO")</f>
        <v>NÃO</v>
      </c>
      <c r="H325" s="5" t="str">
        <f>IFERROR(__xludf.DUMMYFUNCTION("""COMPUTED_VALUE"""),"PAVIMENTADA")</f>
        <v>PAVIMENTADA</v>
      </c>
      <c r="I325" s="6" t="str">
        <f>IFERROR(__xludf.DUMMYFUNCTION("""COMPUTED_VALUE"""),"-9.533273")</f>
        <v>-9.533273</v>
      </c>
      <c r="J325" s="6" t="str">
        <f>IFERROR(__xludf.DUMMYFUNCTION("""COMPUTED_VALUE"""),"-35.778708
")</f>
        <v>-35.778708
</v>
      </c>
      <c r="K325" s="5" t="str">
        <f>IFERROR(__xludf.DUMMYFUNCTION("""COMPUTED_VALUE"""),"JARDIM ROYAL – 3ª ROTATÓRIA")</f>
        <v>JARDIM ROYAL – 3ª ROTATÓRIA</v>
      </c>
      <c r="L325" s="5" t="str">
        <f>IFERROR(__xludf.DUMMYFUNCTION("""COMPUTED_VALUE"""),"COLETORA")</f>
        <v>COLETORA</v>
      </c>
      <c r="M325" s="5" t="str">
        <f>IFERROR(__xludf.DUMMYFUNCTION("""COMPUTED_VALUE"""),"CIDADE UNIVERSITÁRIA")</f>
        <v>CIDADE UNIVERSITÁRIA</v>
      </c>
      <c r="N325" s="5" t="str">
        <f>IFERROR(__xludf.DUMMYFUNCTION("""COMPUTED_VALUE"""),"BAIRRO - CENTRO")</f>
        <v>BAIRRO - CENTRO</v>
      </c>
      <c r="O325" s="5" t="str">
        <f>IFERROR(__xludf.DUMMYFUNCTION("""COMPUTED_VALUE"""),"PRÓXIMO A IGREJA FILADELPHIA")</f>
        <v>PRÓXIMO A IGREJA FILADELPHIA</v>
      </c>
      <c r="P325" s="5" t="str">
        <f>IFERROR(__xludf.DUMMYFUNCTION("""COMPUTED_VALUE"""),"PRIORIDADE BAIXA")</f>
        <v>PRIORIDADE BAIXA</v>
      </c>
      <c r="Q325" s="5" t="str">
        <f>IFERROR(__xludf.DUMMYFUNCTION("""COMPUTED_VALUE"""),"READEQUAÇÃO DE CALÇADA COM ACESSIBILIDADE E PINTURA DE BAÍA NO ASFALTO.")</f>
        <v>READEQUAÇÃO DE CALÇADA COM ACESSIBILIDADE E PINTURA DE BAÍA NO ASFALTO.</v>
      </c>
      <c r="R325" s="5" t="str">
        <f>IFERROR(__xludf.DUMMYFUNCTION("""COMPUTED_VALUE"""),"NENHUMA DAS OPÇÕES")</f>
        <v>NENHUMA DAS OPÇÕES</v>
      </c>
      <c r="S325" s="5"/>
      <c r="T325" s="5"/>
      <c r="U325" s="5"/>
      <c r="V325" s="9" t="str">
        <f>IFERROR(__xludf.DUMMYFUNCTION("""COMPUTED_VALUE"""),"https://drive.google.com/uc?id=1dRx7i0FUPDvkkwlao1L48VTe6as6Toko")</f>
        <v>https://drive.google.com/uc?id=1dRx7i0FUPDvkkwlao1L48VTe6as6Toko</v>
      </c>
      <c r="W325" s="5" t="str">
        <f>IFERROR(__xludf.DUMMYFUNCTION("""COMPUTED_VALUE"""),"NÃO")</f>
        <v>NÃO</v>
      </c>
      <c r="X325" s="5" t="str">
        <f>IFERROR(__xludf.DUMMYFUNCTION("""COMPUTED_VALUE"""),"NÃO SE APLICA")</f>
        <v>NÃO SE APLICA</v>
      </c>
    </row>
    <row r="326" hidden="1">
      <c r="A326" s="5">
        <f>IFERROR(__xludf.DUMMYFUNCTION("""COMPUTED_VALUE"""),7.0)</f>
        <v>7</v>
      </c>
      <c r="B326" s="5" t="str">
        <f>IFERROR(__xludf.DUMMYFUNCTION("""COMPUTED_VALUE"""),"CV162")</f>
        <v>CV162</v>
      </c>
      <c r="C326" s="5" t="str">
        <f>IFERROR(__xludf.DUMMYFUNCTION("""COMPUTED_VALUE"""),"NÃO POSSUI")</f>
        <v>NÃO POSSUI</v>
      </c>
      <c r="D326" s="5" t="str">
        <f>IFERROR(__xludf.DUMMYFUNCTION("""COMPUTED_VALUE"""),"FIXADA EM POSTE")</f>
        <v>FIXADA EM POSTE</v>
      </c>
      <c r="E326" s="5" t="str">
        <f>IFERROR(__xludf.DUMMYFUNCTION("""COMPUTED_VALUE"""),"SEM BAIA")</f>
        <v>SEM BAIA</v>
      </c>
      <c r="F326" s="5" t="str">
        <f>IFERROR(__xludf.DUMMYFUNCTION("""COMPUTED_VALUE"""),"SIM")</f>
        <v>SIM</v>
      </c>
      <c r="G326" s="5" t="str">
        <f>IFERROR(__xludf.DUMMYFUNCTION("""COMPUTED_VALUE"""),"NÃO")</f>
        <v>NÃO</v>
      </c>
      <c r="H326" s="5" t="str">
        <f>IFERROR(__xludf.DUMMYFUNCTION("""COMPUTED_VALUE"""),"PAVIMENTADA")</f>
        <v>PAVIMENTADA</v>
      </c>
      <c r="I326" s="6" t="str">
        <f>IFERROR(__xludf.DUMMYFUNCTION("""COMPUTED_VALUE"""),"-9.551754")</f>
        <v>-9.551754</v>
      </c>
      <c r="J326" s="6" t="str">
        <f>IFERROR(__xludf.DUMMYFUNCTION("""COMPUTED_VALUE"""),"-35.756011
")</f>
        <v>-35.756011
</v>
      </c>
      <c r="K326" s="5" t="str">
        <f>IFERROR(__xludf.DUMMYFUNCTION("""COMPUTED_VALUE"""),"AV. EMPRESÁRIO NELSON OLIVEIRA MENEZES, S/N")</f>
        <v>AV. EMPRESÁRIO NELSON OLIVEIRA MENEZES, S/N</v>
      </c>
      <c r="L326" s="5" t="str">
        <f>IFERROR(__xludf.DUMMYFUNCTION("""COMPUTED_VALUE"""),"COLETORA")</f>
        <v>COLETORA</v>
      </c>
      <c r="M326" s="5" t="str">
        <f>IFERROR(__xludf.DUMMYFUNCTION("""COMPUTED_VALUE"""),"CIDADE UNIVERSITÁRIA")</f>
        <v>CIDADE UNIVERSITÁRIA</v>
      </c>
      <c r="N326" s="5" t="str">
        <f>IFERROR(__xludf.DUMMYFUNCTION("""COMPUTED_VALUE"""),"BAIRRO - CENTRO")</f>
        <v>BAIRRO - CENTRO</v>
      </c>
      <c r="O326" s="5" t="str">
        <f>IFERROR(__xludf.DUMMYFUNCTION("""COMPUTED_VALUE"""),"EM FRENTE A ASSOCIAÇÃO DOS MORADORES DO ACAUÃ")</f>
        <v>EM FRENTE A ASSOCIAÇÃO DOS MORADORES DO ACAUÃ</v>
      </c>
      <c r="P326" s="5" t="str">
        <f>IFERROR(__xludf.DUMMYFUNCTION("""COMPUTED_VALUE"""),"PRIORIDADE ALTA")</f>
        <v>PRIORIDADE ALTA</v>
      </c>
      <c r="Q326" s="5" t="str">
        <f>IFERROR(__xludf.DUMMYFUNCTION("""COMPUTED_VALUE"""),"PONTO DE ÔNIBUS EXTINTO DEVIDO A MUDANÇA DE ITINERÁRIO DOS ÔNIBUS, SENDO ASSIM, A PLACA EXISTENTE DEVERÁ SER RECOLHIDA.")</f>
        <v>PONTO DE ÔNIBUS EXTINTO DEVIDO A MUDANÇA DE ITINERÁRIO DOS ÔNIBUS, SENDO ASSIM, A PLACA EXISTENTE DEVERÁ SER RECOLHIDA.</v>
      </c>
      <c r="R326" s="5" t="str">
        <f>IFERROR(__xludf.DUMMYFUNCTION("""COMPUTED_VALUE"""),"NENHUMA DAS OPÇÕES")</f>
        <v>NENHUMA DAS OPÇÕES</v>
      </c>
      <c r="S326" s="5"/>
      <c r="T326" s="5"/>
      <c r="U326" s="5"/>
      <c r="V326" s="9" t="str">
        <f>IFERROR(__xludf.DUMMYFUNCTION("""COMPUTED_VALUE"""),"https://drive.google.com/uc?id=19Z5mzUH3wJCkGHtpiHX_CpV8fcEnMkmk")</f>
        <v>https://drive.google.com/uc?id=19Z5mzUH3wJCkGHtpiHX_CpV8fcEnMkmk</v>
      </c>
      <c r="W326" s="5" t="str">
        <f>IFERROR(__xludf.DUMMYFUNCTION("""COMPUTED_VALUE"""),"NÃO")</f>
        <v>NÃO</v>
      </c>
      <c r="X326" s="5" t="str">
        <f>IFERROR(__xludf.DUMMYFUNCTION("""COMPUTED_VALUE"""),"NÃO SE APLICA")</f>
        <v>NÃO SE APLICA</v>
      </c>
    </row>
    <row r="327" hidden="1">
      <c r="A327" s="5">
        <f>IFERROR(__xludf.DUMMYFUNCTION("""COMPUTED_VALUE"""),7.0)</f>
        <v>7</v>
      </c>
      <c r="B327" s="5" t="str">
        <f>IFERROR(__xludf.DUMMYFUNCTION("""COMPUTED_VALUE"""),"CV163")</f>
        <v>CV163</v>
      </c>
      <c r="C327" s="5" t="str">
        <f>IFERROR(__xludf.DUMMYFUNCTION("""COMPUTED_VALUE"""),"NÃO POSSUI")</f>
        <v>NÃO POSSUI</v>
      </c>
      <c r="D327" s="5" t="str">
        <f>IFERROR(__xludf.DUMMYFUNCTION("""COMPUTED_VALUE"""),"SEM PLACA")</f>
        <v>SEM PLACA</v>
      </c>
      <c r="E327" s="5" t="str">
        <f>IFERROR(__xludf.DUMMYFUNCTION("""COMPUTED_VALUE"""),"SEM BAIA")</f>
        <v>SEM BAIA</v>
      </c>
      <c r="F327" s="5" t="str">
        <f>IFERROR(__xludf.DUMMYFUNCTION("""COMPUTED_VALUE"""),"SIM")</f>
        <v>SIM</v>
      </c>
      <c r="G327" s="5" t="str">
        <f>IFERROR(__xludf.DUMMYFUNCTION("""COMPUTED_VALUE"""),"NÃO")</f>
        <v>NÃO</v>
      </c>
      <c r="H327" s="5" t="str">
        <f>IFERROR(__xludf.DUMMYFUNCTION("""COMPUTED_VALUE"""),"PAVIMENTADA")</f>
        <v>PAVIMENTADA</v>
      </c>
      <c r="I327" s="6" t="str">
        <f>IFERROR(__xludf.DUMMYFUNCTION("""COMPUTED_VALUE"""),"-9.555496")</f>
        <v>-9.555496</v>
      </c>
      <c r="J327" s="6" t="str">
        <f>IFERROR(__xludf.DUMMYFUNCTION("""COMPUTED_VALUE"""),"-35.748878
")</f>
        <v>-35.748878
</v>
      </c>
      <c r="K327" s="5" t="str">
        <f>IFERROR(__xludf.DUMMYFUNCTION("""COMPUTED_VALUE"""),"RUA DAS MANGUEIRAS, S/N")</f>
        <v>RUA DAS MANGUEIRAS, S/N</v>
      </c>
      <c r="L327" s="5" t="str">
        <f>IFERROR(__xludf.DUMMYFUNCTION("""COMPUTED_VALUE"""),"COLETORA")</f>
        <v>COLETORA</v>
      </c>
      <c r="M327" s="5" t="str">
        <f>IFERROR(__xludf.DUMMYFUNCTION("""COMPUTED_VALUE"""),"CIDADE UNIVERSITÁRIA")</f>
        <v>CIDADE UNIVERSITÁRIA</v>
      </c>
      <c r="N327" s="5" t="str">
        <f>IFERROR(__xludf.DUMMYFUNCTION("""COMPUTED_VALUE"""),"BAIRRO - CENTRO")</f>
        <v>BAIRRO - CENTRO</v>
      </c>
      <c r="O327" s="5" t="str">
        <f>IFERROR(__xludf.DUMMYFUNCTION("""COMPUTED_VALUE"""),"EM FRENTE AO RES. JARDIM MACEIÓ, NA ENTRADA DO CONJ. PARQUE DAS ÁRVORES")</f>
        <v>EM FRENTE AO RES. JARDIM MACEIÓ, NA ENTRADA DO CONJ. PARQUE DAS ÁRVORES</v>
      </c>
      <c r="P327" s="5" t="str">
        <f>IFERROR(__xludf.DUMMYFUNCTION("""COMPUTED_VALUE"""),"URGENTE")</f>
        <v>URGENTE</v>
      </c>
      <c r="Q327" s="5" t="str">
        <f>IFERROR(__xludf.DUMMYFUNCTION("""COMPUTED_VALUE"""),"READEQUAÇÃO DE CALÇADA COM ACESSIBILIDADE E PINTURA DE BAÍA NO ASFALTO, IMPLANTAÇÃO DE ABRIGO METÁLICO DE MÉDIO OU GRANDE PORTE E PLACA EM POSTE.")</f>
        <v>READEQUAÇÃO DE CALÇADA COM ACESSIBILIDADE E PINTURA DE BAÍA NO ASFALTO, IMPLANTAÇÃO DE ABRIGO METÁLICO DE MÉDIO OU GRANDE PORTE E PLACA EM POSTE.</v>
      </c>
      <c r="R327" s="5" t="str">
        <f>IFERROR(__xludf.DUMMYFUNCTION("""COMPUTED_VALUE"""),"IMPLANTAR ABRIGO")</f>
        <v>IMPLANTAR ABRIGO</v>
      </c>
      <c r="S327" s="5"/>
      <c r="T327" s="5"/>
      <c r="U327" s="5"/>
      <c r="V327" s="9" t="str">
        <f>IFERROR(__xludf.DUMMYFUNCTION("""COMPUTED_VALUE"""),"https://drive.google.com/uc?id=1ahI-p5QF_Bk4gx8rxnQT5deZgQMJED9f")</f>
        <v>https://drive.google.com/uc?id=1ahI-p5QF_Bk4gx8rxnQT5deZgQMJED9f</v>
      </c>
      <c r="W327" s="5" t="str">
        <f>IFERROR(__xludf.DUMMYFUNCTION("""COMPUTED_VALUE"""),"NÃO")</f>
        <v>NÃO</v>
      </c>
      <c r="X327" s="5" t="str">
        <f>IFERROR(__xludf.DUMMYFUNCTION("""COMPUTED_VALUE"""),"NÃO SE APLICA")</f>
        <v>NÃO SE APLICA</v>
      </c>
    </row>
    <row r="328" hidden="1">
      <c r="A328" s="5">
        <f>IFERROR(__xludf.DUMMYFUNCTION("""COMPUTED_VALUE"""),7.0)</f>
        <v>7</v>
      </c>
      <c r="B328" s="5" t="str">
        <f>IFERROR(__xludf.DUMMYFUNCTION("""COMPUTED_VALUE"""),"CV164")</f>
        <v>CV164</v>
      </c>
      <c r="C328" s="5" t="str">
        <f>IFERROR(__xludf.DUMMYFUNCTION("""COMPUTED_VALUE"""),"NÃO POSSUI")</f>
        <v>NÃO POSSUI</v>
      </c>
      <c r="D328" s="5" t="str">
        <f>IFERROR(__xludf.DUMMYFUNCTION("""COMPUTED_VALUE"""),"SEM PLACA")</f>
        <v>SEM PLACA</v>
      </c>
      <c r="E328" s="5" t="str">
        <f>IFERROR(__xludf.DUMMYFUNCTION("""COMPUTED_VALUE"""),"SEM BAIA")</f>
        <v>SEM BAIA</v>
      </c>
      <c r="F328" s="5" t="str">
        <f>IFERROR(__xludf.DUMMYFUNCTION("""COMPUTED_VALUE"""),"NÃO")</f>
        <v>NÃO</v>
      </c>
      <c r="G328" s="5" t="str">
        <f>IFERROR(__xludf.DUMMYFUNCTION("""COMPUTED_VALUE"""),"NÃO")</f>
        <v>NÃO</v>
      </c>
      <c r="H328" s="5" t="str">
        <f>IFERROR(__xludf.DUMMYFUNCTION("""COMPUTED_VALUE"""),"PAVIMENTADA")</f>
        <v>PAVIMENTADA</v>
      </c>
      <c r="I328" s="6" t="str">
        <f>IFERROR(__xludf.DUMMYFUNCTION("""COMPUTED_VALUE"""),"-9.553772")</f>
        <v>-9.553772</v>
      </c>
      <c r="J328" s="6" t="str">
        <f>IFERROR(__xludf.DUMMYFUNCTION("""COMPUTED_VALUE"""),"-35.748485
")</f>
        <v>-35.748485
</v>
      </c>
      <c r="K328" s="5" t="str">
        <f>IFERROR(__xludf.DUMMYFUNCTION("""COMPUTED_VALUE"""),"RUA DAS MANGUEIRAS, S/N")</f>
        <v>RUA DAS MANGUEIRAS, S/N</v>
      </c>
      <c r="L328" s="5" t="str">
        <f>IFERROR(__xludf.DUMMYFUNCTION("""COMPUTED_VALUE"""),"COLETORA")</f>
        <v>COLETORA</v>
      </c>
      <c r="M328" s="5" t="str">
        <f>IFERROR(__xludf.DUMMYFUNCTION("""COMPUTED_VALUE"""),"CIDADE UNIVERSITÁRIA")</f>
        <v>CIDADE UNIVERSITÁRIA</v>
      </c>
      <c r="N328" s="5" t="str">
        <f>IFERROR(__xludf.DUMMYFUNCTION("""COMPUTED_VALUE"""),"BAIRRO - CENTRO")</f>
        <v>BAIRRO - CENTRO</v>
      </c>
      <c r="O328" s="5" t="str">
        <f>IFERROR(__xludf.DUMMYFUNCTION("""COMPUTED_VALUE"""),"CONJ. PARQUE DAS ÁRVORES – EM FRENTE A GALETERIA")</f>
        <v>CONJ. PARQUE DAS ÁRVORES – EM FRENTE A GALETERIA</v>
      </c>
      <c r="P328" s="5" t="str">
        <f>IFERROR(__xludf.DUMMYFUNCTION("""COMPUTED_VALUE"""),"URGENTE")</f>
        <v>URGENTE</v>
      </c>
      <c r="Q328" s="5" t="str">
        <f>IFERROR(__xludf.DUMMYFUNCTION("""COMPUTED_VALUE"""),"READEQUAÇÃO DE CALÇADA COM ACESSIBILIDADE E PINTURA DE BAÍA NO ASFALTO.")</f>
        <v>READEQUAÇÃO DE CALÇADA COM ACESSIBILIDADE E PINTURA DE BAÍA NO ASFALTO.</v>
      </c>
      <c r="R328" s="5" t="str">
        <f>IFERROR(__xludf.DUMMYFUNCTION("""COMPUTED_VALUE"""),"NENHUMA DAS OPÇÕES")</f>
        <v>NENHUMA DAS OPÇÕES</v>
      </c>
      <c r="S328" s="5"/>
      <c r="T328" s="5"/>
      <c r="U328" s="5"/>
      <c r="V328" s="9" t="str">
        <f>IFERROR(__xludf.DUMMYFUNCTION("""COMPUTED_VALUE"""),"https://drive.google.com/uc?id=1UTb37_gHyT8vKol9NeRw3QWnpw1VXtzz")</f>
        <v>https://drive.google.com/uc?id=1UTb37_gHyT8vKol9NeRw3QWnpw1VXtzz</v>
      </c>
      <c r="W328" s="5" t="str">
        <f>IFERROR(__xludf.DUMMYFUNCTION("""COMPUTED_VALUE"""),"NÃO")</f>
        <v>NÃO</v>
      </c>
      <c r="X328" s="5" t="str">
        <f>IFERROR(__xludf.DUMMYFUNCTION("""COMPUTED_VALUE"""),"NÃO SE APLICA")</f>
        <v>NÃO SE APLICA</v>
      </c>
    </row>
    <row r="329">
      <c r="A329" s="14">
        <f>IFERROR(__xludf.DUMMYFUNCTION("""COMPUTED_VALUE"""),7.0)</f>
        <v>7</v>
      </c>
      <c r="B329" s="14" t="str">
        <f>IFERROR(__xludf.DUMMYFUNCTION("""COMPUTED_VALUE"""),"CV165")</f>
        <v>CV165</v>
      </c>
      <c r="C329" s="14" t="str">
        <f>IFERROR(__xludf.DUMMYFUNCTION("""COMPUTED_VALUE"""),"ABRIGO PERSONALIZADO ")</f>
        <v>ABRIGO PERSONALIZADO </v>
      </c>
      <c r="D329" s="14" t="str">
        <f>IFERROR(__xludf.DUMMYFUNCTION("""COMPUTED_VALUE"""),"COM SUPORTE")</f>
        <v>COM SUPORTE</v>
      </c>
      <c r="E329" s="14" t="str">
        <f>IFERROR(__xludf.DUMMYFUNCTION("""COMPUTED_VALUE"""),"SEM BAIA")</f>
        <v>SEM BAIA</v>
      </c>
      <c r="F329" s="14" t="str">
        <f>IFERROR(__xludf.DUMMYFUNCTION("""COMPUTED_VALUE"""),"NÃO")</f>
        <v>NÃO</v>
      </c>
      <c r="G329" s="14" t="str">
        <f>IFERROR(__xludf.DUMMYFUNCTION("""COMPUTED_VALUE"""),"NÃO")</f>
        <v>NÃO</v>
      </c>
      <c r="H329" s="14" t="str">
        <f>IFERROR(__xludf.DUMMYFUNCTION("""COMPUTED_VALUE"""),"NÃO PAVIMENTADA")</f>
        <v>NÃO PAVIMENTADA</v>
      </c>
      <c r="I329" s="15" t="str">
        <f>IFERROR(__xludf.DUMMYFUNCTION("""COMPUTED_VALUE"""),"-9.555555")</f>
        <v>-9.555555</v>
      </c>
      <c r="J329" s="15" t="str">
        <f>IFERROR(__xludf.DUMMYFUNCTION("""COMPUTED_VALUE"""),"-35.749365
")</f>
        <v>-35.749365
</v>
      </c>
      <c r="K329" s="14" t="str">
        <f>IFERROR(__xludf.DUMMYFUNCTION("""COMPUTED_VALUE"""),"AV. MENINO MARCELO, S/N")</f>
        <v>AV. MENINO MARCELO, S/N</v>
      </c>
      <c r="L329" s="14" t="str">
        <f>IFERROR(__xludf.DUMMYFUNCTION("""COMPUTED_VALUE"""),"ARTERIAL ")</f>
        <v>ARTERIAL </v>
      </c>
      <c r="M329" s="14" t="str">
        <f>IFERROR(__xludf.DUMMYFUNCTION("""COMPUTED_VALUE"""),"CIDADE UNIVERSITÁRIA")</f>
        <v>CIDADE UNIVERSITÁRIA</v>
      </c>
      <c r="N329" s="14" t="str">
        <f>IFERROR(__xludf.DUMMYFUNCTION("""COMPUTED_VALUE"""),"CENTRO - BAIRRO")</f>
        <v>CENTRO - BAIRRO</v>
      </c>
      <c r="O329" s="14" t="str">
        <f>IFERROR(__xludf.DUMMYFUNCTION("""COMPUTED_VALUE"""),"DEPOIS DA ENTRADA DO CONJ. PARQUE DAS ÁRVORES")</f>
        <v>DEPOIS DA ENTRADA DO CONJ. PARQUE DAS ÁRVORES</v>
      </c>
      <c r="P329" s="14" t="str">
        <f>IFERROR(__xludf.DUMMYFUNCTION("""COMPUTED_VALUE"""),"PRIORIDADE ALTA")</f>
        <v>PRIORIDADE ALTA</v>
      </c>
      <c r="Q329" s="14" t="str">
        <f>IFERROR(__xludf.DUMMYFUNCTION("""COMPUTED_VALUE"""),"ABRIGO DETERIORADO – NECESSÁRIO IMPLANTAÇÃO DE ASSENTO, PUBLICIDADE E LIMPEZA DA CALÇADA. READEQUAÇÃO DE CALÇADA COM ACESSIBILIDADE E PINTURA DE BAÍA NO ASFALTO.")</f>
        <v>ABRIGO DETERIORADO – NECESSÁRIO IMPLANTAÇÃO DE ASSENTO, PUBLICIDADE E LIMPEZA DA CALÇADA. READEQUAÇÃO DE CALÇADA COM ACESSIBILIDADE E PINTURA DE BAÍA NO ASFALTO.</v>
      </c>
      <c r="R329" s="14" t="str">
        <f>IFERROR(__xludf.DUMMYFUNCTION("""COMPUTED_VALUE"""),"NENHUMA DAS OPÇÕES")</f>
        <v>NENHUMA DAS OPÇÕES</v>
      </c>
      <c r="S329" s="14"/>
      <c r="T329" s="14"/>
      <c r="U329" s="14"/>
      <c r="V329" s="16" t="str">
        <f>IFERROR(__xludf.DUMMYFUNCTION("""COMPUTED_VALUE"""),"https://drive.google.com/uc?id=1yB157tGRLtehnGaefhqV9GYonbZg4CUc")</f>
        <v>https://drive.google.com/uc?id=1yB157tGRLtehnGaefhqV9GYonbZg4CUc</v>
      </c>
      <c r="W329" s="14" t="str">
        <f>IFERROR(__xludf.DUMMYFUNCTION("""COMPUTED_VALUE"""),"NÃO")</f>
        <v>NÃO</v>
      </c>
      <c r="X329" s="14" t="str">
        <f>IFERROR(__xludf.DUMMYFUNCTION("""COMPUTED_VALUE"""),"NÃO SE APLICA")</f>
        <v>NÃO SE APLICA</v>
      </c>
    </row>
    <row r="330" ht="15.75" customHeight="1">
      <c r="A330" s="14">
        <f>IFERROR(__xludf.DUMMYFUNCTION("""COMPUTED_VALUE"""),7.0)</f>
        <v>7</v>
      </c>
      <c r="B330" s="14" t="str">
        <f>IFERROR(__xludf.DUMMYFUNCTION("""COMPUTED_VALUE"""),"CV166")</f>
        <v>CV166</v>
      </c>
      <c r="C330" s="14" t="str">
        <f>IFERROR(__xludf.DUMMYFUNCTION("""COMPUTED_VALUE"""),"ABRIGO CONCRETO")</f>
        <v>ABRIGO CONCRETO</v>
      </c>
      <c r="D330" s="14" t="str">
        <f>IFERROR(__xludf.DUMMYFUNCTION("""COMPUTED_VALUE"""),"COM SUPORTE")</f>
        <v>COM SUPORTE</v>
      </c>
      <c r="E330" s="14" t="str">
        <f>IFERROR(__xludf.DUMMYFUNCTION("""COMPUTED_VALUE"""),"SEM BAIA")</f>
        <v>SEM BAIA</v>
      </c>
      <c r="F330" s="14" t="str">
        <f>IFERROR(__xludf.DUMMYFUNCTION("""COMPUTED_VALUE"""),"NÃO")</f>
        <v>NÃO</v>
      </c>
      <c r="G330" s="14" t="str">
        <f>IFERROR(__xludf.DUMMYFUNCTION("""COMPUTED_VALUE"""),"NÃO")</f>
        <v>NÃO</v>
      </c>
      <c r="H330" s="14" t="str">
        <f>IFERROR(__xludf.DUMMYFUNCTION("""COMPUTED_VALUE"""),"NÃO PAVIMENTADA")</f>
        <v>NÃO PAVIMENTADA</v>
      </c>
      <c r="I330" s="15" t="str">
        <f>IFERROR(__xludf.DUMMYFUNCTION("""COMPUTED_VALUE"""),"-9.554801")</f>
        <v>-9.554801</v>
      </c>
      <c r="J330" s="15" t="str">
        <f>IFERROR(__xludf.DUMMYFUNCTION("""COMPUTED_VALUE""")," -35.755183
")</f>
        <v> -35.755183
</v>
      </c>
      <c r="K330" s="14" t="str">
        <f>IFERROR(__xludf.DUMMYFUNCTION("""COMPUTED_VALUE"""),"AV. MENINO MARCELO, S/N")</f>
        <v>AV. MENINO MARCELO, S/N</v>
      </c>
      <c r="L330" s="14" t="str">
        <f>IFERROR(__xludf.DUMMYFUNCTION("""COMPUTED_VALUE"""),"ARTERIAL ")</f>
        <v>ARTERIAL </v>
      </c>
      <c r="M330" s="14" t="str">
        <f>IFERROR(__xludf.DUMMYFUNCTION("""COMPUTED_VALUE"""),"CIDADE UNIVERSITÁRIA")</f>
        <v>CIDADE UNIVERSITÁRIA</v>
      </c>
      <c r="N330" s="14" t="str">
        <f>IFERROR(__xludf.DUMMYFUNCTION("""COMPUTED_VALUE"""),"CENTRO - BAIRRO")</f>
        <v>CENTRO - BAIRRO</v>
      </c>
      <c r="O330" s="14" t="str">
        <f>IFERROR(__xludf.DUMMYFUNCTION("""COMPUTED_VALUE"""),"DEPOIS DA SE SOLUÇÕES ESCAPAMENTOS")</f>
        <v>DEPOIS DA SE SOLUÇÕES ESCAPAMENTOS</v>
      </c>
      <c r="P330" s="14" t="str">
        <f>IFERROR(__xludf.DUMMYFUNCTION("""COMPUTED_VALUE"""),"URGENTE")</f>
        <v>URGENTE</v>
      </c>
      <c r="Q330" s="14" t="str">
        <f>IFERROR(__xludf.DUMMYFUNCTION("""COMPUTED_VALUE"""),"ABRIGO DANIFICADO - REBOCO, PINTURA E ASSENTO DANIFICADO,  NECESSÁRIO FAZER LIMPEZA DA COBERTA.
PINTURA DA SINALIZAÇÃO DA BAÍA NO ASFALTO, READEQUAÇÃO DE CALÇADA COM ACESSIBILIDADE.
")</f>
        <v>ABRIGO DANIFICADO - REBOCO, PINTURA E ASSENTO DANIFICADO,  NECESSÁRIO FAZER LIMPEZA DA COBERTA.
PINTURA DA SINALIZAÇÃO DA BAÍA NO ASFALTO, READEQUAÇÃO DE CALÇADA COM ACESSIBILIDADE.
</v>
      </c>
      <c r="R330" s="14" t="str">
        <f>IFERROR(__xludf.DUMMYFUNCTION("""COMPUTED_VALUE"""),"SUBSTITUIR ABRIGO")</f>
        <v>SUBSTITUIR ABRIGO</v>
      </c>
      <c r="S330" s="14"/>
      <c r="T330" s="14"/>
      <c r="U330" s="14"/>
      <c r="V330" s="16" t="str">
        <f>IFERROR(__xludf.DUMMYFUNCTION("""COMPUTED_VALUE"""),"https://drive.google.com/uc?id=1LKUuKtHcZPSrzL4cKnX-99xPQQRiBDFH")</f>
        <v>https://drive.google.com/uc?id=1LKUuKtHcZPSrzL4cKnX-99xPQQRiBDFH</v>
      </c>
      <c r="W330" s="14" t="str">
        <f>IFERROR(__xludf.DUMMYFUNCTION("""COMPUTED_VALUE"""),"NÃO")</f>
        <v>NÃO</v>
      </c>
      <c r="X330" s="14" t="str">
        <f>IFERROR(__xludf.DUMMYFUNCTION("""COMPUTED_VALUE"""),"NÃO SE APLICA")</f>
        <v>NÃO SE APLICA</v>
      </c>
    </row>
    <row r="331" ht="17.25" customHeight="1">
      <c r="A331" s="14">
        <f>IFERROR(__xludf.DUMMYFUNCTION("""COMPUTED_VALUE"""),7.0)</f>
        <v>7</v>
      </c>
      <c r="B331" s="14" t="str">
        <f>IFERROR(__xludf.DUMMYFUNCTION("""COMPUTED_VALUE"""),"CV167")</f>
        <v>CV167</v>
      </c>
      <c r="C331" s="14" t="str">
        <f>IFERROR(__xludf.DUMMYFUNCTION("""COMPUTED_VALUE"""),"ABRIGO METÁLICO PEQUENO PORTE")</f>
        <v>ABRIGO METÁLICO PEQUENO PORTE</v>
      </c>
      <c r="D331" s="14" t="str">
        <f>IFERROR(__xludf.DUMMYFUNCTION("""COMPUTED_VALUE"""),"COM SUPORTE")</f>
        <v>COM SUPORTE</v>
      </c>
      <c r="E331" s="14" t="str">
        <f>IFERROR(__xludf.DUMMYFUNCTION("""COMPUTED_VALUE"""),"SEM BAIA")</f>
        <v>SEM BAIA</v>
      </c>
      <c r="F331" s="14" t="str">
        <f>IFERROR(__xludf.DUMMYFUNCTION("""COMPUTED_VALUE"""),"SIM")</f>
        <v>SIM</v>
      </c>
      <c r="G331" s="14" t="str">
        <f>IFERROR(__xludf.DUMMYFUNCTION("""COMPUTED_VALUE"""),"NÃO")</f>
        <v>NÃO</v>
      </c>
      <c r="H331" s="14" t="str">
        <f>IFERROR(__xludf.DUMMYFUNCTION("""COMPUTED_VALUE"""),"PAVIMENTADA")</f>
        <v>PAVIMENTADA</v>
      </c>
      <c r="I331" s="15" t="str">
        <f>IFERROR(__xludf.DUMMYFUNCTION("""COMPUTED_VALUE"""),"-9.556341")</f>
        <v>-9.556341</v>
      </c>
      <c r="J331" s="15" t="str">
        <f>IFERROR(__xludf.DUMMYFUNCTION("""COMPUTED_VALUE"""),"-35.758196
")</f>
        <v>-35.758196
</v>
      </c>
      <c r="K331" s="14" t="str">
        <f>IFERROR(__xludf.DUMMYFUNCTION("""COMPUTED_VALUE"""),"AV. MENINO MARCELO, S/N")</f>
        <v>AV. MENINO MARCELO, S/N</v>
      </c>
      <c r="L331" s="14" t="str">
        <f>IFERROR(__xludf.DUMMYFUNCTION("""COMPUTED_VALUE"""),"ARTERIAL ")</f>
        <v>ARTERIAL </v>
      </c>
      <c r="M331" s="14" t="str">
        <f>IFERROR(__xludf.DUMMYFUNCTION("""COMPUTED_VALUE"""),"CIDADE UNIVERSITÁRIA")</f>
        <v>CIDADE UNIVERSITÁRIA</v>
      </c>
      <c r="N331" s="14" t="str">
        <f>IFERROR(__xludf.DUMMYFUNCTION("""COMPUTED_VALUE"""),"CENTRO - BAIRRO")</f>
        <v>CENTRO - BAIRRO</v>
      </c>
      <c r="O331" s="14" t="str">
        <f>IFERROR(__xludf.DUMMYFUNCTION("""COMPUTED_VALUE"""),"PRÓXIMO AO RES. HERNESTO MARANHÃO")</f>
        <v>PRÓXIMO AO RES. HERNESTO MARANHÃO</v>
      </c>
      <c r="P331" s="14" t="str">
        <f>IFERROR(__xludf.DUMMYFUNCTION("""COMPUTED_VALUE"""),"PRIORIDADE BAIXA")</f>
        <v>PRIORIDADE BAIXA</v>
      </c>
      <c r="Q331" s="14" t="str">
        <f>IFERROR(__xludf.DUMMYFUNCTION("""COMPUTED_VALUE"""),"READEQUAÇÃO DE CALÇADA COM ACESSIBILIDADE E PINTURA DE BAÍA NO ASFALTO.")</f>
        <v>READEQUAÇÃO DE CALÇADA COM ACESSIBILIDADE E PINTURA DE BAÍA NO ASFALTO.</v>
      </c>
      <c r="R331" s="14" t="str">
        <f>IFERROR(__xludf.DUMMYFUNCTION("""COMPUTED_VALUE"""),"NENHUMA DAS OPÇÕES")</f>
        <v>NENHUMA DAS OPÇÕES</v>
      </c>
      <c r="S331" s="14"/>
      <c r="T331" s="14"/>
      <c r="U331" s="14"/>
      <c r="V331" s="16" t="str">
        <f>IFERROR(__xludf.DUMMYFUNCTION("""COMPUTED_VALUE"""),"https://drive.google.com/uc?id=169_XGW1WmpuJddCem3iR-cfuHP1AsF69")</f>
        <v>https://drive.google.com/uc?id=169_XGW1WmpuJddCem3iR-cfuHP1AsF69</v>
      </c>
      <c r="W331" s="14" t="str">
        <f>IFERROR(__xludf.DUMMYFUNCTION("""COMPUTED_VALUE"""),"NÃO")</f>
        <v>NÃO</v>
      </c>
      <c r="X331" s="14" t="str">
        <f>IFERROR(__xludf.DUMMYFUNCTION("""COMPUTED_VALUE"""),"NÃO")</f>
        <v>NÃO</v>
      </c>
    </row>
    <row r="332">
      <c r="A332" s="14">
        <f>IFERROR(__xludf.DUMMYFUNCTION("""COMPUTED_VALUE"""),7.0)</f>
        <v>7</v>
      </c>
      <c r="B332" s="14" t="str">
        <f>IFERROR(__xludf.DUMMYFUNCTION("""COMPUTED_VALUE"""),"CV168")</f>
        <v>CV168</v>
      </c>
      <c r="C332" s="14" t="str">
        <f>IFERROR(__xludf.DUMMYFUNCTION("""COMPUTED_VALUE"""),"ABRIGO CONCRETO")</f>
        <v>ABRIGO CONCRETO</v>
      </c>
      <c r="D332" s="14" t="str">
        <f>IFERROR(__xludf.DUMMYFUNCTION("""COMPUTED_VALUE"""),"COM SUPORTE")</f>
        <v>COM SUPORTE</v>
      </c>
      <c r="E332" s="14" t="str">
        <f>IFERROR(__xludf.DUMMYFUNCTION("""COMPUTED_VALUE"""),"SEM BAIA")</f>
        <v>SEM BAIA</v>
      </c>
      <c r="F332" s="14" t="str">
        <f>IFERROR(__xludf.DUMMYFUNCTION("""COMPUTED_VALUE"""),"NÃO")</f>
        <v>NÃO</v>
      </c>
      <c r="G332" s="14" t="str">
        <f>IFERROR(__xludf.DUMMYFUNCTION("""COMPUTED_VALUE"""),"NÃO")</f>
        <v>NÃO</v>
      </c>
      <c r="H332" s="14" t="str">
        <f>IFERROR(__xludf.DUMMYFUNCTION("""COMPUTED_VALUE"""),"PAVIMENTADA")</f>
        <v>PAVIMENTADA</v>
      </c>
      <c r="I332" s="15" t="str">
        <f>IFERROR(__xludf.DUMMYFUNCTION("""COMPUTED_VALUE"""),"-9.55891")</f>
        <v>-9.55891</v>
      </c>
      <c r="J332" s="15" t="str">
        <f>IFERROR(__xludf.DUMMYFUNCTION("""COMPUTED_VALUE"""),"-35.76331
")</f>
        <v>-35.76331
</v>
      </c>
      <c r="K332" s="14" t="str">
        <f>IFERROR(__xludf.DUMMYFUNCTION("""COMPUTED_VALUE"""),"AV. MENINO MARCELO, S/N")</f>
        <v>AV. MENINO MARCELO, S/N</v>
      </c>
      <c r="L332" s="14" t="str">
        <f>IFERROR(__xludf.DUMMYFUNCTION("""COMPUTED_VALUE"""),"ARTERIAL ")</f>
        <v>ARTERIAL </v>
      </c>
      <c r="M332" s="14" t="str">
        <f>IFERROR(__xludf.DUMMYFUNCTION("""COMPUTED_VALUE"""),"CIDADE UNIVERSITÁRIA")</f>
        <v>CIDADE UNIVERSITÁRIA</v>
      </c>
      <c r="N332" s="14" t="str">
        <f>IFERROR(__xludf.DUMMYFUNCTION("""COMPUTED_VALUE"""),"CENTRO - BAIRRO")</f>
        <v>CENTRO - BAIRRO</v>
      </c>
      <c r="O332" s="14" t="str">
        <f>IFERROR(__xludf.DUMMYFUNCTION("""COMPUTED_VALUE"""),"EM FRENTE DO RES. TABULEIRO DOS MARTINS")</f>
        <v>EM FRENTE DO RES. TABULEIRO DOS MARTINS</v>
      </c>
      <c r="P332" s="14" t="str">
        <f>IFERROR(__xludf.DUMMYFUNCTION("""COMPUTED_VALUE"""),"URGENTE")</f>
        <v>URGENTE</v>
      </c>
      <c r="Q332" s="14" t="str">
        <f>IFERROR(__xludf.DUMMYFUNCTION("""COMPUTED_VALUE"""),"ABRIGOS ESTÃO FECHANDO RUA QUE DÁ ACESSO A CONDOMÍNIO TABULEIRO DOS MARTINS, FAZENDO MORADORES TEREM QUE USAR ENTRADA MAIS DISTANTE.")</f>
        <v>ABRIGOS ESTÃO FECHANDO RUA QUE DÁ ACESSO A CONDOMÍNIO TABULEIRO DOS MARTINS, FAZENDO MORADORES TEREM QUE USAR ENTRADA MAIS DISTANTE.</v>
      </c>
      <c r="R332" s="14" t="str">
        <f>IFERROR(__xludf.DUMMYFUNCTION("""COMPUTED_VALUE"""),"SUBSTITUIR ABRIGO")</f>
        <v>SUBSTITUIR ABRIGO</v>
      </c>
      <c r="S332" s="14"/>
      <c r="T332" s="14"/>
      <c r="U332" s="14"/>
      <c r="V332" s="16" t="str">
        <f>IFERROR(__xludf.DUMMYFUNCTION("""COMPUTED_VALUE"""),"https://drive.google.com/uc?id=16-dA0x0p6RehUPAC_JjBv6lre2ZiCfpO")</f>
        <v>https://drive.google.com/uc?id=16-dA0x0p6RehUPAC_JjBv6lre2ZiCfpO</v>
      </c>
      <c r="W332" s="14" t="str">
        <f>IFERROR(__xludf.DUMMYFUNCTION("""COMPUTED_VALUE"""),"NÃO")</f>
        <v>NÃO</v>
      </c>
      <c r="X332" s="14" t="str">
        <f>IFERROR(__xludf.DUMMYFUNCTION("""COMPUTED_VALUE"""),"NÃO SE APLICA")</f>
        <v>NÃO SE APLICA</v>
      </c>
    </row>
    <row r="333" ht="19.5" customHeight="1">
      <c r="A333" s="14">
        <f>IFERROR(__xludf.DUMMYFUNCTION("""COMPUTED_VALUE"""),7.0)</f>
        <v>7</v>
      </c>
      <c r="B333" s="14" t="str">
        <f>IFERROR(__xludf.DUMMYFUNCTION("""COMPUTED_VALUE"""),"CV169")</f>
        <v>CV169</v>
      </c>
      <c r="C333" s="14" t="str">
        <f>IFERROR(__xludf.DUMMYFUNCTION("""COMPUTED_VALUE"""),"ABRIGO METÁLICO PEQUENO PORTE")</f>
        <v>ABRIGO METÁLICO PEQUENO PORTE</v>
      </c>
      <c r="D333" s="14" t="str">
        <f>IFERROR(__xludf.DUMMYFUNCTION("""COMPUTED_VALUE"""),"COM SUPORTE")</f>
        <v>COM SUPORTE</v>
      </c>
      <c r="E333" s="14" t="str">
        <f>IFERROR(__xludf.DUMMYFUNCTION("""COMPUTED_VALUE"""),"SEM BAIA")</f>
        <v>SEM BAIA</v>
      </c>
      <c r="F333" s="14" t="str">
        <f>IFERROR(__xludf.DUMMYFUNCTION("""COMPUTED_VALUE"""),"NÃO")</f>
        <v>NÃO</v>
      </c>
      <c r="G333" s="14" t="str">
        <f>IFERROR(__xludf.DUMMYFUNCTION("""COMPUTED_VALUE"""),"NÃO")</f>
        <v>NÃO</v>
      </c>
      <c r="H333" s="14" t="str">
        <f>IFERROR(__xludf.DUMMYFUNCTION("""COMPUTED_VALUE"""),"PAVIMENTADA")</f>
        <v>PAVIMENTADA</v>
      </c>
      <c r="I333" s="15" t="str">
        <f>IFERROR(__xludf.DUMMYFUNCTION("""COMPUTED_VALUE"""),"-9.56340")</f>
        <v>-9.56340</v>
      </c>
      <c r="J333" s="15" t="str">
        <f>IFERROR(__xludf.DUMMYFUNCTION("""COMPUTED_VALUE"""),"-35.77217
")</f>
        <v>-35.77217
</v>
      </c>
      <c r="K333" s="14" t="str">
        <f>IFERROR(__xludf.DUMMYFUNCTION("""COMPUTED_VALUE"""),"AV. MENINO MARCELO, S/N")</f>
        <v>AV. MENINO MARCELO, S/N</v>
      </c>
      <c r="L333" s="14" t="str">
        <f>IFERROR(__xludf.DUMMYFUNCTION("""COMPUTED_VALUE"""),"ARTERIAL ")</f>
        <v>ARTERIAL </v>
      </c>
      <c r="M333" s="14" t="str">
        <f>IFERROR(__xludf.DUMMYFUNCTION("""COMPUTED_VALUE"""),"CIDADE UNIVERSITÁRIA")</f>
        <v>CIDADE UNIVERSITÁRIA</v>
      </c>
      <c r="N333" s="14" t="str">
        <f>IFERROR(__xludf.DUMMYFUNCTION("""COMPUTED_VALUE"""),"CENTRO - BAIRRO")</f>
        <v>CENTRO - BAIRRO</v>
      </c>
      <c r="O333" s="14" t="str">
        <f>IFERROR(__xludf.DUMMYFUNCTION("""COMPUTED_VALUE"""),"PRÓXIMO AO HOTEL LUA NUA")</f>
        <v>PRÓXIMO AO HOTEL LUA NUA</v>
      </c>
      <c r="P333" s="14" t="str">
        <f>IFERROR(__xludf.DUMMYFUNCTION("""COMPUTED_VALUE"""),"PRIORIDADE ALTA")</f>
        <v>PRIORIDADE ALTA</v>
      </c>
      <c r="Q333" s="14" t="str">
        <f>IFERROR(__xludf.DUMMYFUNCTION("""COMPUTED_VALUE"""),"BRIGO DANIFICADO - REBOCO, PINTURA E ASSENTO DANIFICADO,  NECESSÁRIO FAZER LIMPEZA DA COBERTA.
PINTURA DA SINALIZAÇÃO DA BAÍA NO ASFALTO, READEQUAÇÃO DE CALÇADA COM ACESSIBILIDADE, LIMPEZA DE VEGETAÇÃO SELVAGEM CRESCENTE.
")</f>
        <v>BRIGO DANIFICADO - REBOCO, PINTURA E ASSENTO DANIFICADO,  NECESSÁRIO FAZER LIMPEZA DA COBERTA.
PINTURA DA SINALIZAÇÃO DA BAÍA NO ASFALTO, READEQUAÇÃO DE CALÇADA COM ACESSIBILIDADE, LIMPEZA DE VEGETAÇÃO SELVAGEM CRESCENTE.
</v>
      </c>
      <c r="R333" s="14" t="str">
        <f>IFERROR(__xludf.DUMMYFUNCTION("""COMPUTED_VALUE"""),"NENHUMA DAS OPÇÕES")</f>
        <v>NENHUMA DAS OPÇÕES</v>
      </c>
      <c r="S333" s="14"/>
      <c r="T333" s="14"/>
      <c r="U333" s="14"/>
      <c r="V333" s="16" t="str">
        <f>IFERROR(__xludf.DUMMYFUNCTION("""COMPUTED_VALUE"""),"https://drive.google.com/uc?id=1AJpEFfgkUaOxTaZeM5YsYlN9PrbtYvWQ")</f>
        <v>https://drive.google.com/uc?id=1AJpEFfgkUaOxTaZeM5YsYlN9PrbtYvWQ</v>
      </c>
      <c r="W333" s="14" t="str">
        <f>IFERROR(__xludf.DUMMYFUNCTION("""COMPUTED_VALUE"""),"NÃO")</f>
        <v>NÃO</v>
      </c>
      <c r="X333" s="14" t="str">
        <f>IFERROR(__xludf.DUMMYFUNCTION("""COMPUTED_VALUE"""),"NÃO")</f>
        <v>NÃO</v>
      </c>
    </row>
    <row r="334" ht="16.5" customHeight="1">
      <c r="A334" s="14">
        <f>IFERROR(__xludf.DUMMYFUNCTION("""COMPUTED_VALUE"""),7.0)</f>
        <v>7</v>
      </c>
      <c r="B334" s="14" t="str">
        <f>IFERROR(__xludf.DUMMYFUNCTION("""COMPUTED_VALUE"""),"CV170")</f>
        <v>CV170</v>
      </c>
      <c r="C334" s="14" t="str">
        <f>IFERROR(__xludf.DUMMYFUNCTION("""COMPUTED_VALUE"""),"ABRIGO METÁLICO PEQUENO PORTE")</f>
        <v>ABRIGO METÁLICO PEQUENO PORTE</v>
      </c>
      <c r="D334" s="14" t="str">
        <f>IFERROR(__xludf.DUMMYFUNCTION("""COMPUTED_VALUE"""),"FIXADA EM POSTE")</f>
        <v>FIXADA EM POSTE</v>
      </c>
      <c r="E334" s="14" t="str">
        <f>IFERROR(__xludf.DUMMYFUNCTION("""COMPUTED_VALUE"""),"SEM BAIA")</f>
        <v>SEM BAIA</v>
      </c>
      <c r="F334" s="14" t="str">
        <f>IFERROR(__xludf.DUMMYFUNCTION("""COMPUTED_VALUE"""),"NÃO")</f>
        <v>NÃO</v>
      </c>
      <c r="G334" s="14" t="str">
        <f>IFERROR(__xludf.DUMMYFUNCTION("""COMPUTED_VALUE"""),"NÃO")</f>
        <v>NÃO</v>
      </c>
      <c r="H334" s="14" t="str">
        <f>IFERROR(__xludf.DUMMYFUNCTION("""COMPUTED_VALUE"""),"PAVIMENTADA")</f>
        <v>PAVIMENTADA</v>
      </c>
      <c r="I334" s="15" t="str">
        <f>IFERROR(__xludf.DUMMYFUNCTION("""COMPUTED_VALUE"""),"-9.56008")</f>
        <v>-9.56008</v>
      </c>
      <c r="J334" s="15" t="str">
        <f>IFERROR(__xludf.DUMMYFUNCTION("""COMPUTED_VALUE"""),"-35.76568
")</f>
        <v>-35.76568
</v>
      </c>
      <c r="K334" s="14" t="str">
        <f>IFERROR(__xludf.DUMMYFUNCTION("""COMPUTED_VALUE"""),"AV. MENINO MARCELO, S/N")</f>
        <v>AV. MENINO MARCELO, S/N</v>
      </c>
      <c r="L334" s="14" t="str">
        <f>IFERROR(__xludf.DUMMYFUNCTION("""COMPUTED_VALUE"""),"ARTERIAL ")</f>
        <v>ARTERIAL </v>
      </c>
      <c r="M334" s="14" t="str">
        <f>IFERROR(__xludf.DUMMYFUNCTION("""COMPUTED_VALUE"""),"CIDADE UNIVERSITÁRIA")</f>
        <v>CIDADE UNIVERSITÁRIA</v>
      </c>
      <c r="N334" s="14" t="str">
        <f>IFERROR(__xludf.DUMMYFUNCTION("""COMPUTED_VALUE"""),"BAIRRO - CENTRO")</f>
        <v>BAIRRO - CENTRO</v>
      </c>
      <c r="O334" s="14" t="str">
        <f>IFERROR(__xludf.DUMMYFUNCTION("""COMPUTED_VALUE"""),"EM FRENTE AO HOSPITAL METROPOLITANO")</f>
        <v>EM FRENTE AO HOSPITAL METROPOLITANO</v>
      </c>
      <c r="P334" s="14" t="str">
        <f>IFERROR(__xludf.DUMMYFUNCTION("""COMPUTED_VALUE"""),"PRIORIDADE BAIXA")</f>
        <v>PRIORIDADE BAIXA</v>
      </c>
      <c r="Q334" s="14" t="str">
        <f>IFERROR(__xludf.DUMMYFUNCTION("""COMPUTED_VALUE"""),"READEQUAÇÃO DE CALÇADA COM ACESSIBILIDADE E PINTURA DE BAÍA NO ASFALTO.")</f>
        <v>READEQUAÇÃO DE CALÇADA COM ACESSIBILIDADE E PINTURA DE BAÍA NO ASFALTO.</v>
      </c>
      <c r="R334" s="14" t="str">
        <f>IFERROR(__xludf.DUMMYFUNCTION("""COMPUTED_VALUE"""),"NENHUMA DAS OPÇÕES")</f>
        <v>NENHUMA DAS OPÇÕES</v>
      </c>
      <c r="S334" s="14"/>
      <c r="T334" s="14"/>
      <c r="U334" s="14"/>
      <c r="V334" s="16" t="str">
        <f>IFERROR(__xludf.DUMMYFUNCTION("""COMPUTED_VALUE"""),"https://drive.google.com/uc?id=1lRNoFcKcEDEjMHxJNUSUZ4JDEuNtyPVy")</f>
        <v>https://drive.google.com/uc?id=1lRNoFcKcEDEjMHxJNUSUZ4JDEuNtyPVy</v>
      </c>
      <c r="W334" s="14" t="str">
        <f>IFERROR(__xludf.DUMMYFUNCTION("""COMPUTED_VALUE"""),"NÃO")</f>
        <v>NÃO</v>
      </c>
      <c r="X334" s="14" t="str">
        <f>IFERROR(__xludf.DUMMYFUNCTION("""COMPUTED_VALUE"""),"NÃO SE APLICA")</f>
        <v>NÃO SE APLICA</v>
      </c>
    </row>
    <row r="335" hidden="1">
      <c r="A335" s="5">
        <f>IFERROR(__xludf.DUMMYFUNCTION("""COMPUTED_VALUE"""),7.0)</f>
        <v>7</v>
      </c>
      <c r="B335" s="5" t="str">
        <f>IFERROR(__xludf.DUMMYFUNCTION("""COMPUTED_VALUE"""),"CV171")</f>
        <v>CV171</v>
      </c>
      <c r="C335" s="5" t="str">
        <f>IFERROR(__xludf.DUMMYFUNCTION("""COMPUTED_VALUE"""),"NÃO POSSUI")</f>
        <v>NÃO POSSUI</v>
      </c>
      <c r="D335" s="5" t="str">
        <f>IFERROR(__xludf.DUMMYFUNCTION("""COMPUTED_VALUE"""),"FIXADA EM POSTE")</f>
        <v>FIXADA EM POSTE</v>
      </c>
      <c r="E335" s="5" t="str">
        <f>IFERROR(__xludf.DUMMYFUNCTION("""COMPUTED_VALUE"""),"SEM BAIA")</f>
        <v>SEM BAIA</v>
      </c>
      <c r="F335" s="5" t="str">
        <f>IFERROR(__xludf.DUMMYFUNCTION("""COMPUTED_VALUE"""),"NÃO")</f>
        <v>NÃO</v>
      </c>
      <c r="G335" s="5" t="str">
        <f>IFERROR(__xludf.DUMMYFUNCTION("""COMPUTED_VALUE"""),"NÃO")</f>
        <v>NÃO</v>
      </c>
      <c r="H335" s="5" t="str">
        <f>IFERROR(__xludf.DUMMYFUNCTION("""COMPUTED_VALUE"""),"NÃO PAVIMENTADA")</f>
        <v>NÃO PAVIMENTADA</v>
      </c>
      <c r="I335" s="6" t="str">
        <f>IFERROR(__xludf.DUMMYFUNCTION("""COMPUTED_VALUE"""),"-9.56172")</f>
        <v>-9.56172</v>
      </c>
      <c r="J335" s="6" t="str">
        <f>IFERROR(__xludf.DUMMYFUNCTION("""COMPUTED_VALUE"""),"-35.76896
")</f>
        <v>-35.76896
</v>
      </c>
      <c r="K335" s="5" t="str">
        <f>IFERROR(__xludf.DUMMYFUNCTION("""COMPUTED_VALUE"""),"AV. MENINO MARCELO, S/N")</f>
        <v>AV. MENINO MARCELO, S/N</v>
      </c>
      <c r="L335" s="5" t="str">
        <f>IFERROR(__xludf.DUMMYFUNCTION("""COMPUTED_VALUE"""),"ARTERIAL ")</f>
        <v>ARTERIAL </v>
      </c>
      <c r="M335" s="5" t="str">
        <f>IFERROR(__xludf.DUMMYFUNCTION("""COMPUTED_VALUE"""),"CIDADE UNIVERSITÁRIA")</f>
        <v>CIDADE UNIVERSITÁRIA</v>
      </c>
      <c r="N335" s="5" t="str">
        <f>IFERROR(__xludf.DUMMYFUNCTION("""COMPUTED_VALUE"""),"BAIRRO - CENTRO")</f>
        <v>BAIRRO - CENTRO</v>
      </c>
      <c r="O335" s="5" t="str">
        <f>IFERROR(__xludf.DUMMYFUNCTION("""COMPUTED_VALUE"""),"EM FRENTE A CIA DO ALUMINIO MCZ")</f>
        <v>EM FRENTE A CIA DO ALUMINIO MCZ</v>
      </c>
      <c r="P335" s="5" t="str">
        <f>IFERROR(__xludf.DUMMYFUNCTION("""COMPUTED_VALUE"""),"PRIORIDADE BAIXA")</f>
        <v>PRIORIDADE BAIXA</v>
      </c>
      <c r="Q335" s="5" t="str">
        <f>IFERROR(__xludf.DUMMYFUNCTION("""COMPUTED_VALUE"""),"READEQUAÇÃO DE CALÇADA COM ACESSIBILIDADE E PINTURA DE BAÍA NO ASFALTO.")</f>
        <v>READEQUAÇÃO DE CALÇADA COM ACESSIBILIDADE E PINTURA DE BAÍA NO ASFALTO.</v>
      </c>
      <c r="R335" s="5" t="str">
        <f>IFERROR(__xludf.DUMMYFUNCTION("""COMPUTED_VALUE"""),"NENHUMA DAS OPÇÕES")</f>
        <v>NENHUMA DAS OPÇÕES</v>
      </c>
      <c r="S335" s="5"/>
      <c r="T335" s="5"/>
      <c r="U335" s="5"/>
      <c r="V335" s="9" t="str">
        <f>IFERROR(__xludf.DUMMYFUNCTION("""COMPUTED_VALUE"""),"https://drive.google.com/uc?id=1RUrqxVhjgp4PaVc9W5jDYO7qBgkwwDV7")</f>
        <v>https://drive.google.com/uc?id=1RUrqxVhjgp4PaVc9W5jDYO7qBgkwwDV7</v>
      </c>
      <c r="W335" s="5" t="str">
        <f>IFERROR(__xludf.DUMMYFUNCTION("""COMPUTED_VALUE"""),"NÃO")</f>
        <v>NÃO</v>
      </c>
      <c r="X335" s="5" t="str">
        <f>IFERROR(__xludf.DUMMYFUNCTION("""COMPUTED_VALUE"""),"NÃO SE APLICA")</f>
        <v>NÃO SE APLICA</v>
      </c>
    </row>
    <row r="336" hidden="1">
      <c r="A336" s="5">
        <f>IFERROR(__xludf.DUMMYFUNCTION("""COMPUTED_VALUE"""),7.0)</f>
        <v>7</v>
      </c>
      <c r="B336" s="5" t="str">
        <f>IFERROR(__xludf.DUMMYFUNCTION("""COMPUTED_VALUE"""),"CV172")</f>
        <v>CV172</v>
      </c>
      <c r="C336" s="5" t="str">
        <f>IFERROR(__xludf.DUMMYFUNCTION("""COMPUTED_VALUE"""),"NÃO POSSUI")</f>
        <v>NÃO POSSUI</v>
      </c>
      <c r="D336" s="5" t="str">
        <f>IFERROR(__xludf.DUMMYFUNCTION("""COMPUTED_VALUE"""),"COM SUPORTE")</f>
        <v>COM SUPORTE</v>
      </c>
      <c r="E336" s="5" t="str">
        <f>IFERROR(__xludf.DUMMYFUNCTION("""COMPUTED_VALUE"""),"SEM BAIA")</f>
        <v>SEM BAIA</v>
      </c>
      <c r="F336" s="5" t="str">
        <f>IFERROR(__xludf.DUMMYFUNCTION("""COMPUTED_VALUE"""),"SIM")</f>
        <v>SIM</v>
      </c>
      <c r="G336" s="5" t="str">
        <f>IFERROR(__xludf.DUMMYFUNCTION("""COMPUTED_VALUE"""),"NÃO")</f>
        <v>NÃO</v>
      </c>
      <c r="H336" s="5" t="str">
        <f>IFERROR(__xludf.DUMMYFUNCTION("""COMPUTED_VALUE"""),"PAVIMENTADA")</f>
        <v>PAVIMENTADA</v>
      </c>
      <c r="I336" s="6" t="str">
        <f>IFERROR(__xludf.DUMMYFUNCTION("""COMPUTED_VALUE"""),"-9.538000")</f>
        <v>-9.538000</v>
      </c>
      <c r="J336" s="6" t="str">
        <f>IFERROR(__xludf.DUMMYFUNCTION("""COMPUTED_VALUE"""),"-35.78672")</f>
        <v>-35.78672</v>
      </c>
      <c r="K336" s="5" t="str">
        <f>IFERROR(__xludf.DUMMYFUNCTION("""COMPUTED_VALUE"""),"R. DR. JURACI PEREIRA, 550")</f>
        <v>R. DR. JURACI PEREIRA, 550</v>
      </c>
      <c r="L336" s="5" t="str">
        <f>IFERROR(__xludf.DUMMYFUNCTION("""COMPUTED_VALUE"""),"COLETORA")</f>
        <v>COLETORA</v>
      </c>
      <c r="M336" s="5" t="str">
        <f>IFERROR(__xludf.DUMMYFUNCTION("""COMPUTED_VALUE"""),"CIDADE UNIVERSITÁRIA")</f>
        <v>CIDADE UNIVERSITÁRIA</v>
      </c>
      <c r="N336" s="5" t="str">
        <f>IFERROR(__xludf.DUMMYFUNCTION("""COMPUTED_VALUE"""),"BAIRRO - CENTRO")</f>
        <v>BAIRRO - CENTRO</v>
      </c>
      <c r="O336" s="5" t="str">
        <f>IFERROR(__xludf.DUMMYFUNCTION("""COMPUTED_VALUE"""),"EM FRENTE A CASA 550")</f>
        <v>EM FRENTE A CASA 550</v>
      </c>
      <c r="P336" s="5" t="str">
        <f>IFERROR(__xludf.DUMMYFUNCTION("""COMPUTED_VALUE"""),"PRIORIDADE BAIXA")</f>
        <v>PRIORIDADE BAIXA</v>
      </c>
      <c r="Q336" s="5" t="str">
        <f>IFERROR(__xludf.DUMMYFUNCTION("""COMPUTED_VALUE"""),"PONTO DE ÔNIBUS EXTINTO DEVIDO A MUDANÇA DE ITINERÁRIO DOS ÔNIBUS, SENDO ASSIM, A PLACA EXISTENTE DEVERÁ SER RECOLHIDA.")</f>
        <v>PONTO DE ÔNIBUS EXTINTO DEVIDO A MUDANÇA DE ITINERÁRIO DOS ÔNIBUS, SENDO ASSIM, A PLACA EXISTENTE DEVERÁ SER RECOLHIDA.</v>
      </c>
      <c r="R336" s="5" t="str">
        <f>IFERROR(__xludf.DUMMYFUNCTION("""COMPUTED_VALUE"""),"NENHUMA DAS OPÇÕES")</f>
        <v>NENHUMA DAS OPÇÕES</v>
      </c>
      <c r="S336" s="5"/>
      <c r="T336" s="5"/>
      <c r="U336" s="5"/>
      <c r="V336" s="9" t="str">
        <f>IFERROR(__xludf.DUMMYFUNCTION("""COMPUTED_VALUE"""),"https://drive.google.com/uc?id=1ip_0Gipt5RSClu2Dfp2PX7nl9PK2RwSD")</f>
        <v>https://drive.google.com/uc?id=1ip_0Gipt5RSClu2Dfp2PX7nl9PK2RwSD</v>
      </c>
      <c r="W336" s="5" t="str">
        <f>IFERROR(__xludf.DUMMYFUNCTION("""COMPUTED_VALUE"""),"NÃO")</f>
        <v>NÃO</v>
      </c>
      <c r="X336" s="5" t="str">
        <f>IFERROR(__xludf.DUMMYFUNCTION("""COMPUTED_VALUE"""),"NÃO SE APLICA")</f>
        <v>NÃO SE APLICA</v>
      </c>
    </row>
    <row r="337" ht="16.5" hidden="1" customHeight="1">
      <c r="A337" s="5">
        <f>IFERROR(__xludf.DUMMYFUNCTION("""COMPUTED_VALUE"""),7.0)</f>
        <v>7</v>
      </c>
      <c r="B337" s="5" t="str">
        <f>IFERROR(__xludf.DUMMYFUNCTION("""COMPUTED_VALUE"""),"CV173")</f>
        <v>CV173</v>
      </c>
      <c r="C337" s="5" t="str">
        <f>IFERROR(__xludf.DUMMYFUNCTION("""COMPUTED_VALUE"""),"NÃO POSSUI")</f>
        <v>NÃO POSSUI</v>
      </c>
      <c r="D337" s="5" t="str">
        <f>IFERROR(__xludf.DUMMYFUNCTION("""COMPUTED_VALUE"""),"COM SUPORTE")</f>
        <v>COM SUPORTE</v>
      </c>
      <c r="E337" s="5" t="str">
        <f>IFERROR(__xludf.DUMMYFUNCTION("""COMPUTED_VALUE"""),"SEM BAIA")</f>
        <v>SEM BAIA</v>
      </c>
      <c r="F337" s="5" t="str">
        <f>IFERROR(__xludf.DUMMYFUNCTION("""COMPUTED_VALUE"""),"NÃO")</f>
        <v>NÃO</v>
      </c>
      <c r="G337" s="5" t="str">
        <f>IFERROR(__xludf.DUMMYFUNCTION("""COMPUTED_VALUE"""),"NÃO")</f>
        <v>NÃO</v>
      </c>
      <c r="H337" s="5" t="str">
        <f>IFERROR(__xludf.DUMMYFUNCTION("""COMPUTED_VALUE"""),"PAVIMENTADA")</f>
        <v>PAVIMENTADA</v>
      </c>
      <c r="I337" s="6" t="str">
        <f>IFERROR(__xludf.DUMMYFUNCTION("""COMPUTED_VALUE"""),"-9.53901")</f>
        <v>-9.53901</v>
      </c>
      <c r="J337" s="6" t="str">
        <f>IFERROR(__xludf.DUMMYFUNCTION("""COMPUTED_VALUE"""),"-35.78862")</f>
        <v>-35.78862</v>
      </c>
      <c r="K337" s="5" t="str">
        <f>IFERROR(__xludf.DUMMYFUNCTION("""COMPUTED_VALUE"""),"R. DR. JURACI PEREIRA, S/N")</f>
        <v>R. DR. JURACI PEREIRA, S/N</v>
      </c>
      <c r="L337" s="5" t="str">
        <f>IFERROR(__xludf.DUMMYFUNCTION("""COMPUTED_VALUE"""),"COLETORA")</f>
        <v>COLETORA</v>
      </c>
      <c r="M337" s="5" t="str">
        <f>IFERROR(__xludf.DUMMYFUNCTION("""COMPUTED_VALUE"""),"CIDADE UNIVERSITÁRIA")</f>
        <v>CIDADE UNIVERSITÁRIA</v>
      </c>
      <c r="N337" s="5" t="str">
        <f>IFERROR(__xludf.DUMMYFUNCTION("""COMPUTED_VALUE"""),"CENTRO - BAIRRO")</f>
        <v>CENTRO - BAIRRO</v>
      </c>
      <c r="O337" s="5" t="str">
        <f>IFERROR(__xludf.DUMMYFUNCTION("""COMPUTED_VALUE"""),"EM FRENTE A FAMÍLIA TRINDADE SANTA")</f>
        <v>EM FRENTE A FAMÍLIA TRINDADE SANTA</v>
      </c>
      <c r="P337" s="5" t="str">
        <f>IFERROR(__xludf.DUMMYFUNCTION("""COMPUTED_VALUE"""),"PRIORIDADE ALTA")</f>
        <v>PRIORIDADE ALTA</v>
      </c>
      <c r="Q337" s="5" t="str">
        <f>IFERROR(__xludf.DUMMYFUNCTION("""COMPUTED_VALUE"""),"PONTO DE ÔNIBUS EXTINTO DEVIDO A MUDANÇA DE ITINERÁRIO DOS ÔNIBUS, SENDO ASSIM, A PLACA EXISTENTE DEVERÁ SER RECOLHIDA.")</f>
        <v>PONTO DE ÔNIBUS EXTINTO DEVIDO A MUDANÇA DE ITINERÁRIO DOS ÔNIBUS, SENDO ASSIM, A PLACA EXISTENTE DEVERÁ SER RECOLHIDA.</v>
      </c>
      <c r="R337" s="5" t="str">
        <f>IFERROR(__xludf.DUMMYFUNCTION("""COMPUTED_VALUE"""),"NENHUMA DAS OPÇÕES")</f>
        <v>NENHUMA DAS OPÇÕES</v>
      </c>
      <c r="S337" s="5"/>
      <c r="T337" s="5"/>
      <c r="U337" s="5"/>
      <c r="V337" s="9" t="str">
        <f>IFERROR(__xludf.DUMMYFUNCTION("""COMPUTED_VALUE"""),"https://drive.google.com/uc?id=1KoRAnV8OEnkZRdjQqTLtE5-sLN_X8oCM")</f>
        <v>https://drive.google.com/uc?id=1KoRAnV8OEnkZRdjQqTLtE5-sLN_X8oCM</v>
      </c>
      <c r="W337" s="5" t="str">
        <f>IFERROR(__xludf.DUMMYFUNCTION("""COMPUTED_VALUE"""),"NÃO")</f>
        <v>NÃO</v>
      </c>
      <c r="X337" s="5" t="str">
        <f>IFERROR(__xludf.DUMMYFUNCTION("""COMPUTED_VALUE"""),"NÃO SE APLICA")</f>
        <v>NÃO SE APLICA</v>
      </c>
    </row>
    <row r="338" hidden="1">
      <c r="A338" s="5">
        <f>IFERROR(__xludf.DUMMYFUNCTION("""COMPUTED_VALUE"""),7.0)</f>
        <v>7</v>
      </c>
      <c r="B338" s="5" t="str">
        <f>IFERROR(__xludf.DUMMYFUNCTION("""COMPUTED_VALUE"""),"CV175")</f>
        <v>CV175</v>
      </c>
      <c r="C338" s="5" t="str">
        <f>IFERROR(__xludf.DUMMYFUNCTION("""COMPUTED_VALUE"""),"NÃO POSSUI")</f>
        <v>NÃO POSSUI</v>
      </c>
      <c r="D338" s="5" t="str">
        <f>IFERROR(__xludf.DUMMYFUNCTION("""COMPUTED_VALUE"""),"SEM PLACA")</f>
        <v>SEM PLACA</v>
      </c>
      <c r="E338" s="5" t="str">
        <f>IFERROR(__xludf.DUMMYFUNCTION("""COMPUTED_VALUE"""),"SEM BAIA")</f>
        <v>SEM BAIA</v>
      </c>
      <c r="F338" s="5" t="str">
        <f>IFERROR(__xludf.DUMMYFUNCTION("""COMPUTED_VALUE"""),"NÃO")</f>
        <v>NÃO</v>
      </c>
      <c r="G338" s="5" t="str">
        <f>IFERROR(__xludf.DUMMYFUNCTION("""COMPUTED_VALUE"""),"NÃO")</f>
        <v>NÃO</v>
      </c>
      <c r="H338" s="5" t="str">
        <f>IFERROR(__xludf.DUMMYFUNCTION("""COMPUTED_VALUE"""),"PAVIMENTADA")</f>
        <v>PAVIMENTADA</v>
      </c>
      <c r="I338" s="6" t="str">
        <f>IFERROR(__xludf.DUMMYFUNCTION("""COMPUTED_VALUE"""),"-9.545677")</f>
        <v>-9.545677</v>
      </c>
      <c r="J338" s="6" t="str">
        <f>IFERROR(__xludf.DUMMYFUNCTION("""COMPUTED_VALUE"""),"-35.746355")</f>
        <v>-35.746355</v>
      </c>
      <c r="K338" s="5" t="str">
        <f>IFERROR(__xludf.DUMMYFUNCTION("""COMPUTED_VALUE"""),"RUA ALAMEDA DA PAZ, 487")</f>
        <v>RUA ALAMEDA DA PAZ, 487</v>
      </c>
      <c r="L338" s="5" t="str">
        <f>IFERROR(__xludf.DUMMYFUNCTION("""COMPUTED_VALUE"""),"LOCAL")</f>
        <v>LOCAL</v>
      </c>
      <c r="M338" s="5" t="str">
        <f>IFERROR(__xludf.DUMMYFUNCTION("""COMPUTED_VALUE"""),"CIDADE UNIVERSITÁRIA")</f>
        <v>CIDADE UNIVERSITÁRIA</v>
      </c>
      <c r="N338" s="5" t="str">
        <f>IFERROR(__xludf.DUMMYFUNCTION("""COMPUTED_VALUE"""),"CIDADE UNIVERSITÁRIA - BENEDITO BENTES")</f>
        <v>CIDADE UNIVERSITÁRIA - BENEDITO BENTES</v>
      </c>
      <c r="O338" s="5" t="str">
        <f>IFERROR(__xludf.DUMMYFUNCTION("""COMPUTED_VALUE"""),"EM FRENTE AO ESPAÇO KIDS")</f>
        <v>EM FRENTE AO ESPAÇO KIDS</v>
      </c>
      <c r="P338" s="5" t="str">
        <f>IFERROR(__xludf.DUMMYFUNCTION("""COMPUTED_VALUE"""),"URGENTE")</f>
        <v>URGENTE</v>
      </c>
      <c r="Q338" s="5" t="str">
        <f>IFERROR(__xludf.DUMMYFUNCTION("""COMPUTED_VALUE"""),"READEQUAÇÃO DE CALÇADA COM ACESSIBILIDADE E PINTURA DE BAÍA NO ASFALTO.")</f>
        <v>READEQUAÇÃO DE CALÇADA COM ACESSIBILIDADE E PINTURA DE BAÍA NO ASFALTO.</v>
      </c>
      <c r="R338" s="5" t="str">
        <f>IFERROR(__xludf.DUMMYFUNCTION("""COMPUTED_VALUE"""),"NENHUMA DAS OPÇÕES")</f>
        <v>NENHUMA DAS OPÇÕES</v>
      </c>
      <c r="S338" s="5"/>
      <c r="T338" s="5"/>
      <c r="U338" s="5"/>
      <c r="V338" s="9" t="str">
        <f>IFERROR(__xludf.DUMMYFUNCTION("""COMPUTED_VALUE"""),"https://drive.google.com/uc?id=1hqRjwfqiyj4E6K-PpCK9AuYHA5tWB-n7")</f>
        <v>https://drive.google.com/uc?id=1hqRjwfqiyj4E6K-PpCK9AuYHA5tWB-n7</v>
      </c>
      <c r="W338" s="5" t="str">
        <f>IFERROR(__xludf.DUMMYFUNCTION("""COMPUTED_VALUE"""),"NÃO")</f>
        <v>NÃO</v>
      </c>
      <c r="X338" s="5" t="str">
        <f>IFERROR(__xludf.DUMMYFUNCTION("""COMPUTED_VALUE"""),"NÃO SE APLICA")</f>
        <v>NÃO SE APLICA</v>
      </c>
    </row>
    <row r="339" hidden="1">
      <c r="A339" s="5">
        <f>IFERROR(__xludf.DUMMYFUNCTION("""COMPUTED_VALUE"""),7.0)</f>
        <v>7</v>
      </c>
      <c r="B339" s="5" t="str">
        <f>IFERROR(__xludf.DUMMYFUNCTION("""COMPUTED_VALUE"""),"CV176")</f>
        <v>CV176</v>
      </c>
      <c r="C339" s="5" t="str">
        <f>IFERROR(__xludf.DUMMYFUNCTION("""COMPUTED_VALUE"""),"NÃO POSSUI")</f>
        <v>NÃO POSSUI</v>
      </c>
      <c r="D339" s="5" t="str">
        <f>IFERROR(__xludf.DUMMYFUNCTION("""COMPUTED_VALUE"""),"SEM PLACA")</f>
        <v>SEM PLACA</v>
      </c>
      <c r="E339" s="5" t="str">
        <f>IFERROR(__xludf.DUMMYFUNCTION("""COMPUTED_VALUE"""),"SEM BAIA")</f>
        <v>SEM BAIA</v>
      </c>
      <c r="F339" s="5" t="str">
        <f>IFERROR(__xludf.DUMMYFUNCTION("""COMPUTED_VALUE"""),"NÃO")</f>
        <v>NÃO</v>
      </c>
      <c r="G339" s="5" t="str">
        <f>IFERROR(__xludf.DUMMYFUNCTION("""COMPUTED_VALUE"""),"NÃO")</f>
        <v>NÃO</v>
      </c>
      <c r="H339" s="5" t="str">
        <f>IFERROR(__xludf.DUMMYFUNCTION("""COMPUTED_VALUE"""),"PAVIMENTADA")</f>
        <v>PAVIMENTADA</v>
      </c>
      <c r="I339" s="6" t="str">
        <f>IFERROR(__xludf.DUMMYFUNCTION("""COMPUTED_VALUE"""),"-9.548574")</f>
        <v>-9.548574</v>
      </c>
      <c r="J339" s="6" t="str">
        <f>IFERROR(__xludf.DUMMYFUNCTION("""COMPUTED_VALUE"""),"-35.741805")</f>
        <v>-35.741805</v>
      </c>
      <c r="K339" s="5" t="str">
        <f>IFERROR(__xludf.DUMMYFUNCTION("""COMPUTED_VALUE"""),"RUA DENIS AGRA")</f>
        <v>RUA DENIS AGRA</v>
      </c>
      <c r="L339" s="5" t="str">
        <f>IFERROR(__xludf.DUMMYFUNCTION("""COMPUTED_VALUE"""),"COLETORA")</f>
        <v>COLETORA</v>
      </c>
      <c r="M339" s="5" t="str">
        <f>IFERROR(__xludf.DUMMYFUNCTION("""COMPUTED_VALUE"""),"CIDADE UNIVERSITÁRIA")</f>
        <v>CIDADE UNIVERSITÁRIA</v>
      </c>
      <c r="N339" s="5" t="str">
        <f>IFERROR(__xludf.DUMMYFUNCTION("""COMPUTED_VALUE""")," BENEDITO BENTES - CIDADE UNIVERSITÁRIA ")</f>
        <v> BENEDITO BENTES - CIDADE UNIVERSITÁRIA </v>
      </c>
      <c r="O339" s="5" t="str">
        <f>IFERROR(__xludf.DUMMYFUNCTION("""COMPUTED_VALUE"""),"PRÓXIMO A LOJA BELITA")</f>
        <v>PRÓXIMO A LOJA BELITA</v>
      </c>
      <c r="P339" s="5" t="str">
        <f>IFERROR(__xludf.DUMMYFUNCTION("""COMPUTED_VALUE"""),"URGENTE")</f>
        <v>URGENTE</v>
      </c>
      <c r="Q339" s="5" t="str">
        <f>IFERROR(__xludf.DUMMYFUNCTION("""COMPUTED_VALUE"""),"READEQUAÇÃO DE CALÇADA COM ACESSIBILIDADE E PINTURA DE BAÍA NO ASFALTO.")</f>
        <v>READEQUAÇÃO DE CALÇADA COM ACESSIBILIDADE E PINTURA DE BAÍA NO ASFALTO.</v>
      </c>
      <c r="R339" s="5" t="str">
        <f>IFERROR(__xludf.DUMMYFUNCTION("""COMPUTED_VALUE"""),"NENHUMA DAS OPÇÕES")</f>
        <v>NENHUMA DAS OPÇÕES</v>
      </c>
      <c r="S339" s="5"/>
      <c r="T339" s="5"/>
      <c r="U339" s="5"/>
      <c r="V339" s="9" t="str">
        <f>IFERROR(__xludf.DUMMYFUNCTION("""COMPUTED_VALUE"""),"https://drive.google.com/uc?id=12GMBW4dGI83_Yp3qdu-eGUNXQQfxXhxs")</f>
        <v>https://drive.google.com/uc?id=12GMBW4dGI83_Yp3qdu-eGUNXQQfxXhxs</v>
      </c>
      <c r="W339" s="5" t="str">
        <f>IFERROR(__xludf.DUMMYFUNCTION("""COMPUTED_VALUE"""),"NÃO")</f>
        <v>NÃO</v>
      </c>
      <c r="X339" s="5" t="str">
        <f>IFERROR(__xludf.DUMMYFUNCTION("""COMPUTED_VALUE"""),"NÃO SE APLICA")</f>
        <v>NÃO SE APLICA</v>
      </c>
    </row>
    <row r="340" hidden="1">
      <c r="A340" s="5">
        <f>IFERROR(__xludf.DUMMYFUNCTION("""COMPUTED_VALUE"""),7.0)</f>
        <v>7</v>
      </c>
      <c r="B340" s="5" t="str">
        <f>IFERROR(__xludf.DUMMYFUNCTION("""COMPUTED_VALUE"""),"CV177")</f>
        <v>CV177</v>
      </c>
      <c r="C340" s="5" t="str">
        <f>IFERROR(__xludf.DUMMYFUNCTION("""COMPUTED_VALUE"""),"NÃO POSSUI")</f>
        <v>NÃO POSSUI</v>
      </c>
      <c r="D340" s="5" t="str">
        <f>IFERROR(__xludf.DUMMYFUNCTION("""COMPUTED_VALUE"""),"COM SUPORTE")</f>
        <v>COM SUPORTE</v>
      </c>
      <c r="E340" s="5" t="str">
        <f>IFERROR(__xludf.DUMMYFUNCTION("""COMPUTED_VALUE"""),"SEM BAIA")</f>
        <v>SEM BAIA</v>
      </c>
      <c r="F340" s="5" t="str">
        <f>IFERROR(__xludf.DUMMYFUNCTION("""COMPUTED_VALUE"""),"NÃO")</f>
        <v>NÃO</v>
      </c>
      <c r="G340" s="5" t="str">
        <f>IFERROR(__xludf.DUMMYFUNCTION("""COMPUTED_VALUE"""),"NÃO")</f>
        <v>NÃO</v>
      </c>
      <c r="H340" s="5" t="str">
        <f>IFERROR(__xludf.DUMMYFUNCTION("""COMPUTED_VALUE"""),"PAVIMENTADA")</f>
        <v>PAVIMENTADA</v>
      </c>
      <c r="I340" s="6" t="str">
        <f>IFERROR(__xludf.DUMMYFUNCTION("""COMPUTED_VALUE"""),"-9.542350")</f>
        <v>-9.542350</v>
      </c>
      <c r="J340" s="6" t="str">
        <f>IFERROR(__xludf.DUMMYFUNCTION("""COMPUTED_VALUE"""),"-35.743545")</f>
        <v>-35.743545</v>
      </c>
      <c r="K340" s="5" t="str">
        <f>IFERROR(__xludf.DUMMYFUNCTION("""COMPUTED_VALUE"""),"RUA JOANA DARC")</f>
        <v>RUA JOANA DARC</v>
      </c>
      <c r="L340" s="5" t="str">
        <f>IFERROR(__xludf.DUMMYFUNCTION("""COMPUTED_VALUE"""),"COLETORA")</f>
        <v>COLETORA</v>
      </c>
      <c r="M340" s="5" t="str">
        <f>IFERROR(__xludf.DUMMYFUNCTION("""COMPUTED_VALUE"""),"CIDADE UNIVERSITÁRIA")</f>
        <v>CIDADE UNIVERSITÁRIA</v>
      </c>
      <c r="N340" s="5" t="str">
        <f>IFERROR(__xludf.DUMMYFUNCTION("""COMPUTED_VALUE""")," BENEDITO BENTES - CIDADE UNIVERSITÁRIA ")</f>
        <v> BENEDITO BENTES - CIDADE UNIVERSITÁRIA </v>
      </c>
      <c r="O340" s="5" t="str">
        <f>IFERROR(__xludf.DUMMYFUNCTION("""COMPUTED_VALUE"""),"EM FRENTE A ESCOLA PROFESSORA MARIA JOSÉ DE OLIVEIRA")</f>
        <v>EM FRENTE A ESCOLA PROFESSORA MARIA JOSÉ DE OLIVEIRA</v>
      </c>
      <c r="P340" s="5" t="str">
        <f>IFERROR(__xludf.DUMMYFUNCTION("""COMPUTED_VALUE"""),"PRIORIDADE BAIXA")</f>
        <v>PRIORIDADE BAIXA</v>
      </c>
      <c r="Q340" s="5" t="str">
        <f>IFERROR(__xludf.DUMMYFUNCTION("""COMPUTED_VALUE"""),"READEQUAÇÃO DE CALÇADA COM ACESSIBILIDADE E PINTURA DE BAÍA NO ASFALTO.")</f>
        <v>READEQUAÇÃO DE CALÇADA COM ACESSIBILIDADE E PINTURA DE BAÍA NO ASFALTO.</v>
      </c>
      <c r="R340" s="5" t="str">
        <f>IFERROR(__xludf.DUMMYFUNCTION("""COMPUTED_VALUE"""),"NENHUMA DAS OPÇÕES")</f>
        <v>NENHUMA DAS OPÇÕES</v>
      </c>
      <c r="S340" s="5"/>
      <c r="T340" s="5"/>
      <c r="U340" s="5"/>
      <c r="V340" s="9" t="str">
        <f>IFERROR(__xludf.DUMMYFUNCTION("""COMPUTED_VALUE"""),"https://drive.google.com/uc?id=1T2VpY07QPhYWOjlSBUxToN352LgnPMcv")</f>
        <v>https://drive.google.com/uc?id=1T2VpY07QPhYWOjlSBUxToN352LgnPMcv</v>
      </c>
      <c r="W340" s="5" t="str">
        <f>IFERROR(__xludf.DUMMYFUNCTION("""COMPUTED_VALUE"""),"NÃO")</f>
        <v>NÃO</v>
      </c>
      <c r="X340" s="5" t="str">
        <f>IFERROR(__xludf.DUMMYFUNCTION("""COMPUTED_VALUE"""),"NÃO SE APLICA")</f>
        <v>NÃO SE APLICA</v>
      </c>
    </row>
    <row r="341" hidden="1">
      <c r="A341" s="5">
        <f>IFERROR(__xludf.DUMMYFUNCTION("""COMPUTED_VALUE"""),7.0)</f>
        <v>7</v>
      </c>
      <c r="B341" s="5" t="str">
        <f>IFERROR(__xludf.DUMMYFUNCTION("""COMPUTED_VALUE"""),"CV178")</f>
        <v>CV178</v>
      </c>
      <c r="C341" s="5" t="str">
        <f>IFERROR(__xludf.DUMMYFUNCTION("""COMPUTED_VALUE"""),"NÃO POSSUI")</f>
        <v>NÃO POSSUI</v>
      </c>
      <c r="D341" s="5" t="str">
        <f>IFERROR(__xludf.DUMMYFUNCTION("""COMPUTED_VALUE"""),"COM SUPORTE")</f>
        <v>COM SUPORTE</v>
      </c>
      <c r="E341" s="5" t="str">
        <f>IFERROR(__xludf.DUMMYFUNCTION("""COMPUTED_VALUE"""),"SEM BAIA")</f>
        <v>SEM BAIA</v>
      </c>
      <c r="F341" s="5" t="str">
        <f>IFERROR(__xludf.DUMMYFUNCTION("""COMPUTED_VALUE"""),"NÃO")</f>
        <v>NÃO</v>
      </c>
      <c r="G341" s="5" t="str">
        <f>IFERROR(__xludf.DUMMYFUNCTION("""COMPUTED_VALUE"""),"NÃO")</f>
        <v>NÃO</v>
      </c>
      <c r="H341" s="5" t="str">
        <f>IFERROR(__xludf.DUMMYFUNCTION("""COMPUTED_VALUE"""),"PAVIMENTADA")</f>
        <v>PAVIMENTADA</v>
      </c>
      <c r="I341" s="6" t="str">
        <f>IFERROR(__xludf.DUMMYFUNCTION("""COMPUTED_VALUE"""),"-9.542230")</f>
        <v>-9.542230</v>
      </c>
      <c r="J341" s="6" t="str">
        <f>IFERROR(__xludf.DUMMYFUNCTION("""COMPUTED_VALUE"""),"-35.743675")</f>
        <v>-35.743675</v>
      </c>
      <c r="K341" s="5" t="str">
        <f>IFERROR(__xludf.DUMMYFUNCTION("""COMPUTED_VALUE"""),"RUA JOANA DARC")</f>
        <v>RUA JOANA DARC</v>
      </c>
      <c r="L341" s="5" t="str">
        <f>IFERROR(__xludf.DUMMYFUNCTION("""COMPUTED_VALUE"""),"COLETORA")</f>
        <v>COLETORA</v>
      </c>
      <c r="M341" s="5" t="str">
        <f>IFERROR(__xludf.DUMMYFUNCTION("""COMPUTED_VALUE"""),"CIDADE UNIVERSITÁRIA")</f>
        <v>CIDADE UNIVERSITÁRIA</v>
      </c>
      <c r="N341" s="5" t="str">
        <f>IFERROR(__xludf.DUMMYFUNCTION("""COMPUTED_VALUE"""),"CIDADE UNIVERSITÁRIA - BENEDITO BENTES")</f>
        <v>CIDADE UNIVERSITÁRIA - BENEDITO BENTES</v>
      </c>
      <c r="O341" s="5" t="str">
        <f>IFERROR(__xludf.DUMMYFUNCTION("""COMPUTED_VALUE"""),"EM FRENTE AO MERCADO SÃO DOMINGOS")</f>
        <v>EM FRENTE AO MERCADO SÃO DOMINGOS</v>
      </c>
      <c r="P341" s="5" t="str">
        <f>IFERROR(__xludf.DUMMYFUNCTION("""COMPUTED_VALUE"""),"PRIORIDADE BAIXA")</f>
        <v>PRIORIDADE BAIXA</v>
      </c>
      <c r="Q341" s="5" t="str">
        <f>IFERROR(__xludf.DUMMYFUNCTION("""COMPUTED_VALUE"""),"READEQUAÇÃO DE CALÇADA COM ACESSIBILIDADE E PINTURA DE BAÍA NO ASFALTO.")</f>
        <v>READEQUAÇÃO DE CALÇADA COM ACESSIBILIDADE E PINTURA DE BAÍA NO ASFALTO.</v>
      </c>
      <c r="R341" s="5" t="str">
        <f>IFERROR(__xludf.DUMMYFUNCTION("""COMPUTED_VALUE"""),"NENHUMA DAS OPÇÕES")</f>
        <v>NENHUMA DAS OPÇÕES</v>
      </c>
      <c r="S341" s="5"/>
      <c r="T341" s="5"/>
      <c r="U341" s="5"/>
      <c r="V341" s="9" t="str">
        <f>IFERROR(__xludf.DUMMYFUNCTION("""COMPUTED_VALUE"""),"https://drive.google.com/uc?id=1osqYe7uC-e3al0b_Yfn1NFtg5WPEwG2E")</f>
        <v>https://drive.google.com/uc?id=1osqYe7uC-e3al0b_Yfn1NFtg5WPEwG2E</v>
      </c>
      <c r="W341" s="5" t="str">
        <f>IFERROR(__xludf.DUMMYFUNCTION("""COMPUTED_VALUE"""),"NÃO")</f>
        <v>NÃO</v>
      </c>
      <c r="X341" s="5" t="str">
        <f>IFERROR(__xludf.DUMMYFUNCTION("""COMPUTED_VALUE"""),"NÃO SE APLICA")</f>
        <v>NÃO SE APLICA</v>
      </c>
    </row>
    <row r="342" hidden="1">
      <c r="A342" s="5">
        <f>IFERROR(__xludf.DUMMYFUNCTION("""COMPUTED_VALUE"""),7.0)</f>
        <v>7</v>
      </c>
      <c r="B342" s="5" t="str">
        <f>IFERROR(__xludf.DUMMYFUNCTION("""COMPUTED_VALUE"""),"CV179")</f>
        <v>CV179</v>
      </c>
      <c r="C342" s="5" t="str">
        <f>IFERROR(__xludf.DUMMYFUNCTION("""COMPUTED_VALUE"""),"NÃO POSSUI")</f>
        <v>NÃO POSSUI</v>
      </c>
      <c r="D342" s="5" t="str">
        <f>IFERROR(__xludf.DUMMYFUNCTION("""COMPUTED_VALUE"""),"SEM PLACA")</f>
        <v>SEM PLACA</v>
      </c>
      <c r="E342" s="5" t="str">
        <f>IFERROR(__xludf.DUMMYFUNCTION("""COMPUTED_VALUE"""),"SEM BAIA")</f>
        <v>SEM BAIA</v>
      </c>
      <c r="F342" s="5" t="str">
        <f>IFERROR(__xludf.DUMMYFUNCTION("""COMPUTED_VALUE"""),"NÃO")</f>
        <v>NÃO</v>
      </c>
      <c r="G342" s="5" t="str">
        <f>IFERROR(__xludf.DUMMYFUNCTION("""COMPUTED_VALUE"""),"NÃO")</f>
        <v>NÃO</v>
      </c>
      <c r="H342" s="5" t="str">
        <f>IFERROR(__xludf.DUMMYFUNCTION("""COMPUTED_VALUE"""),"PAVIMENTADA COM AVARIAS")</f>
        <v>PAVIMENTADA COM AVARIAS</v>
      </c>
      <c r="I342" s="6" t="str">
        <f>IFERROR(__xludf.DUMMYFUNCTION("""COMPUTED_VALUE"""),"-9.539088")</f>
        <v>-9.539088</v>
      </c>
      <c r="J342" s="6" t="str">
        <f>IFERROR(__xludf.DUMMYFUNCTION("""COMPUTED_VALUE"""),"-35.745535")</f>
        <v>-35.745535</v>
      </c>
      <c r="K342" s="5" t="str">
        <f>IFERROR(__xludf.DUMMYFUNCTION("""COMPUTED_VALUE"""),"RUA BENEDITO CALAÇA LOUREIRO")</f>
        <v>RUA BENEDITO CALAÇA LOUREIRO</v>
      </c>
      <c r="L342" s="5" t="str">
        <f>IFERROR(__xludf.DUMMYFUNCTION("""COMPUTED_VALUE"""),"COLETORA")</f>
        <v>COLETORA</v>
      </c>
      <c r="M342" s="5" t="str">
        <f>IFERROR(__xludf.DUMMYFUNCTION("""COMPUTED_VALUE"""),"CIDADE UNIVERSITÁRIA")</f>
        <v>CIDADE UNIVERSITÁRIA</v>
      </c>
      <c r="N342" s="5" t="str">
        <f>IFERROR(__xludf.DUMMYFUNCTION("""COMPUTED_VALUE""")," BENEDITO BENTES - CIDADE UNIVERSITÁRIA ")</f>
        <v> BENEDITO BENTES - CIDADE UNIVERSITÁRIA </v>
      </c>
      <c r="O342" s="5" t="str">
        <f>IFERROR(__xludf.DUMMYFUNCTION("""COMPUTED_VALUE"""),"CASA DE ESQUINA")</f>
        <v>CASA DE ESQUINA</v>
      </c>
      <c r="P342" s="5" t="str">
        <f>IFERROR(__xludf.DUMMYFUNCTION("""COMPUTED_VALUE"""),"URGENTE")</f>
        <v>URGENTE</v>
      </c>
      <c r="Q342" s="5" t="str">
        <f>IFERROR(__xludf.DUMMYFUNCTION("""COMPUTED_VALUE"""),"READEQUAÇÃO DE CALÇADA COM ACESSIBILIDADE E PINTURA DE BAÍA NO ASFALTO.")</f>
        <v>READEQUAÇÃO DE CALÇADA COM ACESSIBILIDADE E PINTURA DE BAÍA NO ASFALTO.</v>
      </c>
      <c r="R342" s="5" t="str">
        <f>IFERROR(__xludf.DUMMYFUNCTION("""COMPUTED_VALUE"""),"NENHUMA DAS OPÇÕES")</f>
        <v>NENHUMA DAS OPÇÕES</v>
      </c>
      <c r="S342" s="5"/>
      <c r="T342" s="5"/>
      <c r="U342" s="5"/>
      <c r="V342" s="9" t="str">
        <f>IFERROR(__xludf.DUMMYFUNCTION("""COMPUTED_VALUE"""),"https://drive.google.com/uc?id=1C345WdtcQIfKbXbZZg27WgyLciTo2OTm")</f>
        <v>https://drive.google.com/uc?id=1C345WdtcQIfKbXbZZg27WgyLciTo2OTm</v>
      </c>
      <c r="W342" s="5" t="str">
        <f>IFERROR(__xludf.DUMMYFUNCTION("""COMPUTED_VALUE"""),"NÃO")</f>
        <v>NÃO</v>
      </c>
      <c r="X342" s="5" t="str">
        <f>IFERROR(__xludf.DUMMYFUNCTION("""COMPUTED_VALUE"""),"NÃO SE APLICA")</f>
        <v>NÃO SE APLICA</v>
      </c>
    </row>
    <row r="343" ht="15.75" hidden="1" customHeight="1">
      <c r="A343" s="5">
        <f>IFERROR(__xludf.DUMMYFUNCTION("""COMPUTED_VALUE"""),7.0)</f>
        <v>7</v>
      </c>
      <c r="B343" s="5" t="str">
        <f>IFERROR(__xludf.DUMMYFUNCTION("""COMPUTED_VALUE"""),"CV180")</f>
        <v>CV180</v>
      </c>
      <c r="C343" s="5" t="str">
        <f>IFERROR(__xludf.DUMMYFUNCTION("""COMPUTED_VALUE"""),"NÃO POSSUI")</f>
        <v>NÃO POSSUI</v>
      </c>
      <c r="D343" s="5" t="str">
        <f>IFERROR(__xludf.DUMMYFUNCTION("""COMPUTED_VALUE"""),"COM SUPORTE")</f>
        <v>COM SUPORTE</v>
      </c>
      <c r="E343" s="5" t="str">
        <f>IFERROR(__xludf.DUMMYFUNCTION("""COMPUTED_VALUE"""),"SEM BAIA")</f>
        <v>SEM BAIA</v>
      </c>
      <c r="F343" s="5" t="str">
        <f>IFERROR(__xludf.DUMMYFUNCTION("""COMPUTED_VALUE"""),"NÃO")</f>
        <v>NÃO</v>
      </c>
      <c r="G343" s="5" t="str">
        <f>IFERROR(__xludf.DUMMYFUNCTION("""COMPUTED_VALUE"""),"NÃO")</f>
        <v>NÃO</v>
      </c>
      <c r="H343" s="5" t="str">
        <f>IFERROR(__xludf.DUMMYFUNCTION("""COMPUTED_VALUE"""),"PAVIMENTADA")</f>
        <v>PAVIMENTADA</v>
      </c>
      <c r="I343" s="6" t="str">
        <f>IFERROR(__xludf.DUMMYFUNCTION("""COMPUTED_VALUE"""),"-9.541009")</f>
        <v>-9.541009</v>
      </c>
      <c r="J343" s="6" t="str">
        <f>IFERROR(__xludf.DUMMYFUNCTION("""COMPUTED_VALUE"""),"-35.749163")</f>
        <v>-35.749163</v>
      </c>
      <c r="K343" s="5" t="str">
        <f>IFERROR(__xludf.DUMMYFUNCTION("""COMPUTED_VALUE"""),"RUA BENEDITO CALAÇA LOUREIRO")</f>
        <v>RUA BENEDITO CALAÇA LOUREIRO</v>
      </c>
      <c r="L343" s="5" t="str">
        <f>IFERROR(__xludf.DUMMYFUNCTION("""COMPUTED_VALUE"""),"COLETORA")</f>
        <v>COLETORA</v>
      </c>
      <c r="M343" s="5" t="str">
        <f>IFERROR(__xludf.DUMMYFUNCTION("""COMPUTED_VALUE"""),"CIDADE UNIVERSITÁRIA")</f>
        <v>CIDADE UNIVERSITÁRIA</v>
      </c>
      <c r="N343" s="5" t="str">
        <f>IFERROR(__xludf.DUMMYFUNCTION("""COMPUTED_VALUE""")," BENEDITO BENTES - CIDADE UNIVERSITÁRIA ")</f>
        <v> BENEDITO BENTES - CIDADE UNIVERSITÁRIA </v>
      </c>
      <c r="O343" s="5" t="str">
        <f>IFERROR(__xludf.DUMMYFUNCTION("""COMPUTED_VALUE"""),"EM FRENTE A CAPRICHO DO PÃO")</f>
        <v>EM FRENTE A CAPRICHO DO PÃO</v>
      </c>
      <c r="P343" s="5" t="str">
        <f>IFERROR(__xludf.DUMMYFUNCTION("""COMPUTED_VALUE"""),"PRIORIDADE BAIXA")</f>
        <v>PRIORIDADE BAIXA</v>
      </c>
      <c r="Q343" s="5" t="str">
        <f>IFERROR(__xludf.DUMMYFUNCTION("""COMPUTED_VALUE"""),"READEQUAÇÃO DE CALÇADA COM ACESSIBILIDADE E PINTURA DE BAÍA NO ASFALTO.")</f>
        <v>READEQUAÇÃO DE CALÇADA COM ACESSIBILIDADE E PINTURA DE BAÍA NO ASFALTO.</v>
      </c>
      <c r="R343" s="5" t="str">
        <f>IFERROR(__xludf.DUMMYFUNCTION("""COMPUTED_VALUE"""),"NENHUMA DAS OPÇÕES")</f>
        <v>NENHUMA DAS OPÇÕES</v>
      </c>
      <c r="S343" s="5"/>
      <c r="T343" s="5"/>
      <c r="U343" s="5"/>
      <c r="V343" s="9" t="str">
        <f>IFERROR(__xludf.DUMMYFUNCTION("""COMPUTED_VALUE"""),"https://drive.google.com/uc?id=1CnGNxpr0-5jlqlz_QzQaCNj-mbHeNlUq")</f>
        <v>https://drive.google.com/uc?id=1CnGNxpr0-5jlqlz_QzQaCNj-mbHeNlUq</v>
      </c>
      <c r="W343" s="5" t="str">
        <f>IFERROR(__xludf.DUMMYFUNCTION("""COMPUTED_VALUE"""),"NÃO")</f>
        <v>NÃO</v>
      </c>
      <c r="X343" s="5" t="str">
        <f>IFERROR(__xludf.DUMMYFUNCTION("""COMPUTED_VALUE"""),"NÃO SE APLICA")</f>
        <v>NÃO SE APLICA</v>
      </c>
    </row>
    <row r="344" hidden="1">
      <c r="A344" s="5">
        <f>IFERROR(__xludf.DUMMYFUNCTION("""COMPUTED_VALUE"""),7.0)</f>
        <v>7</v>
      </c>
      <c r="B344" s="5" t="str">
        <f>IFERROR(__xludf.DUMMYFUNCTION("""COMPUTED_VALUE"""),"CV181")</f>
        <v>CV181</v>
      </c>
      <c r="C344" s="5" t="str">
        <f>IFERROR(__xludf.DUMMYFUNCTION("""COMPUTED_VALUE"""),"NÃO POSSUI")</f>
        <v>NÃO POSSUI</v>
      </c>
      <c r="D344" s="5" t="str">
        <f>IFERROR(__xludf.DUMMYFUNCTION("""COMPUTED_VALUE"""),"SEM PLACA")</f>
        <v>SEM PLACA</v>
      </c>
      <c r="E344" s="5" t="str">
        <f>IFERROR(__xludf.DUMMYFUNCTION("""COMPUTED_VALUE"""),"SEM BAIA")</f>
        <v>SEM BAIA</v>
      </c>
      <c r="F344" s="5" t="str">
        <f>IFERROR(__xludf.DUMMYFUNCTION("""COMPUTED_VALUE"""),"NÃO")</f>
        <v>NÃO</v>
      </c>
      <c r="G344" s="5" t="str">
        <f>IFERROR(__xludf.DUMMYFUNCTION("""COMPUTED_VALUE"""),"NÃO")</f>
        <v>NÃO</v>
      </c>
      <c r="H344" s="5" t="str">
        <f>IFERROR(__xludf.DUMMYFUNCTION("""COMPUTED_VALUE"""),"PAVIMENTADA COM AVARIAS")</f>
        <v>PAVIMENTADA COM AVARIAS</v>
      </c>
      <c r="I344" s="6" t="str">
        <f>IFERROR(__xludf.DUMMYFUNCTION("""COMPUTED_VALUE"""),"-9.541009")</f>
        <v>-9.541009</v>
      </c>
      <c r="J344" s="6" t="str">
        <f>IFERROR(__xludf.DUMMYFUNCTION("""COMPUTED_VALUE"""),"-35.749163")</f>
        <v>-35.749163</v>
      </c>
      <c r="K344" s="5" t="str">
        <f>IFERROR(__xludf.DUMMYFUNCTION("""COMPUTED_VALUE"""),"RUA BENEDITO CALAÇA LOUREIRO")</f>
        <v>RUA BENEDITO CALAÇA LOUREIRO</v>
      </c>
      <c r="L344" s="5" t="str">
        <f>IFERROR(__xludf.DUMMYFUNCTION("""COMPUTED_VALUE"""),"COLETORA")</f>
        <v>COLETORA</v>
      </c>
      <c r="M344" s="5" t="str">
        <f>IFERROR(__xludf.DUMMYFUNCTION("""COMPUTED_VALUE"""),"CIDADE UNIVERSITÁRIA")</f>
        <v>CIDADE UNIVERSITÁRIA</v>
      </c>
      <c r="N344" s="5" t="str">
        <f>IFERROR(__xludf.DUMMYFUNCTION("""COMPUTED_VALUE""")," BENEDITO BENTES - CIDADE UNIVERSITÁRIA ")</f>
        <v> BENEDITO BENTES - CIDADE UNIVERSITÁRIA </v>
      </c>
      <c r="O344" s="5" t="str">
        <f>IFERROR(__xludf.DUMMYFUNCTION("""COMPUTED_VALUE"""),"EM FRENTE A CASA 12")</f>
        <v>EM FRENTE A CASA 12</v>
      </c>
      <c r="P344" s="5" t="str">
        <f>IFERROR(__xludf.DUMMYFUNCTION("""COMPUTED_VALUE"""),"URGENTE")</f>
        <v>URGENTE</v>
      </c>
      <c r="Q344" s="5" t="str">
        <f>IFERROR(__xludf.DUMMYFUNCTION("""COMPUTED_VALUE"""),"READEQUAÇÃO DE CALÇADA COM ACESSIBILIDADE E PINTURA DE BAÍA NO ASFALTO.")</f>
        <v>READEQUAÇÃO DE CALÇADA COM ACESSIBILIDADE E PINTURA DE BAÍA NO ASFALTO.</v>
      </c>
      <c r="R344" s="5" t="str">
        <f>IFERROR(__xludf.DUMMYFUNCTION("""COMPUTED_VALUE"""),"NENHUMA DAS OPÇÕES")</f>
        <v>NENHUMA DAS OPÇÕES</v>
      </c>
      <c r="S344" s="5"/>
      <c r="T344" s="5"/>
      <c r="U344" s="5"/>
      <c r="V344" s="9" t="str">
        <f>IFERROR(__xludf.DUMMYFUNCTION("""COMPUTED_VALUE"""),"https://drive.google.com/uc?id=1Kdy3H8iSy8GSxeEKxOfepW0riENIhvYb")</f>
        <v>https://drive.google.com/uc?id=1Kdy3H8iSy8GSxeEKxOfepW0riENIhvYb</v>
      </c>
      <c r="W344" s="5" t="str">
        <f>IFERROR(__xludf.DUMMYFUNCTION("""COMPUTED_VALUE"""),"NÃO")</f>
        <v>NÃO</v>
      </c>
      <c r="X344" s="5" t="str">
        <f>IFERROR(__xludf.DUMMYFUNCTION("""COMPUTED_VALUE"""),"NÃO SE APLICA")</f>
        <v>NÃO SE APLICA</v>
      </c>
    </row>
    <row r="345" hidden="1">
      <c r="A345" s="5">
        <f>IFERROR(__xludf.DUMMYFUNCTION("""COMPUTED_VALUE"""),7.0)</f>
        <v>7</v>
      </c>
      <c r="B345" s="5" t="str">
        <f>IFERROR(__xludf.DUMMYFUNCTION("""COMPUTED_VALUE"""),"CV182")</f>
        <v>CV182</v>
      </c>
      <c r="C345" s="5" t="str">
        <f>IFERROR(__xludf.DUMMYFUNCTION("""COMPUTED_VALUE"""),"NÃO POSSUI")</f>
        <v>NÃO POSSUI</v>
      </c>
      <c r="D345" s="5" t="str">
        <f>IFERROR(__xludf.DUMMYFUNCTION("""COMPUTED_VALUE"""),"SEM PLACA")</f>
        <v>SEM PLACA</v>
      </c>
      <c r="E345" s="5" t="str">
        <f>IFERROR(__xludf.DUMMYFUNCTION("""COMPUTED_VALUE"""),"SEM BAIA")</f>
        <v>SEM BAIA</v>
      </c>
      <c r="F345" s="5" t="str">
        <f>IFERROR(__xludf.DUMMYFUNCTION("""COMPUTED_VALUE"""),"NÃO")</f>
        <v>NÃO</v>
      </c>
      <c r="G345" s="5" t="str">
        <f>IFERROR(__xludf.DUMMYFUNCTION("""COMPUTED_VALUE"""),"NÃO")</f>
        <v>NÃO</v>
      </c>
      <c r="H345" s="5" t="str">
        <f>IFERROR(__xludf.DUMMYFUNCTION("""COMPUTED_VALUE"""),"PAVIMENTADA")</f>
        <v>PAVIMENTADA</v>
      </c>
      <c r="I345" s="6" t="str">
        <f>IFERROR(__xludf.DUMMYFUNCTION("""COMPUTED_VALUE""")," -9.542477")</f>
        <v> -9.542477</v>
      </c>
      <c r="J345" s="6" t="str">
        <f>IFERROR(__xludf.DUMMYFUNCTION("""COMPUTED_VALUE"""),"-35.752161")</f>
        <v>-35.752161</v>
      </c>
      <c r="K345" s="5" t="str">
        <f>IFERROR(__xludf.DUMMYFUNCTION("""COMPUTED_VALUE"""),"RUA BENEDITO CALAÇA LOUREIRO")</f>
        <v>RUA BENEDITO CALAÇA LOUREIRO</v>
      </c>
      <c r="L345" s="5" t="str">
        <f>IFERROR(__xludf.DUMMYFUNCTION("""COMPUTED_VALUE"""),"COLETORA")</f>
        <v>COLETORA</v>
      </c>
      <c r="M345" s="5" t="str">
        <f>IFERROR(__xludf.DUMMYFUNCTION("""COMPUTED_VALUE"""),"CIDADE UNIVERSITÁRIA")</f>
        <v>CIDADE UNIVERSITÁRIA</v>
      </c>
      <c r="N345" s="5" t="str">
        <f>IFERROR(__xludf.DUMMYFUNCTION("""COMPUTED_VALUE""")," BENEDITO BENTES - CIDADE UNIVERSITÁRIA ")</f>
        <v> BENEDITO BENTES - CIDADE UNIVERSITÁRIA </v>
      </c>
      <c r="O345" s="5" t="str">
        <f>IFERROR(__xludf.DUMMYFUNCTION("""COMPUTED_VALUE"""),"EM FRENTE PEREIRA ALIMENTOS")</f>
        <v>EM FRENTE PEREIRA ALIMENTOS</v>
      </c>
      <c r="P345" s="5" t="str">
        <f>IFERROR(__xludf.DUMMYFUNCTION("""COMPUTED_VALUE"""),"URGENTE")</f>
        <v>URGENTE</v>
      </c>
      <c r="Q345" s="5" t="str">
        <f>IFERROR(__xludf.DUMMYFUNCTION("""COMPUTED_VALUE"""),"READEQUAÇÃO DE CALÇADA COM ACESSIBILIDADE E PINTURA DE BAÍA NO ASFALTO.")</f>
        <v>READEQUAÇÃO DE CALÇADA COM ACESSIBILIDADE E PINTURA DE BAÍA NO ASFALTO.</v>
      </c>
      <c r="R345" s="5" t="str">
        <f>IFERROR(__xludf.DUMMYFUNCTION("""COMPUTED_VALUE"""),"NENHUMA DAS OPÇÕES")</f>
        <v>NENHUMA DAS OPÇÕES</v>
      </c>
      <c r="S345" s="5"/>
      <c r="T345" s="5"/>
      <c r="U345" s="5"/>
      <c r="V345" s="9" t="str">
        <f>IFERROR(__xludf.DUMMYFUNCTION("""COMPUTED_VALUE"""),"https://drive.google.com/uc?id=1ZRerMnbB6bC03Zj5Ymy-aWHKhsHnxodA")</f>
        <v>https://drive.google.com/uc?id=1ZRerMnbB6bC03Zj5Ymy-aWHKhsHnxodA</v>
      </c>
      <c r="W345" s="5" t="str">
        <f>IFERROR(__xludf.DUMMYFUNCTION("""COMPUTED_VALUE"""),"NÃO")</f>
        <v>NÃO</v>
      </c>
      <c r="X345" s="5" t="str">
        <f>IFERROR(__xludf.DUMMYFUNCTION("""COMPUTED_VALUE"""),"NÃO SE APLICA")</f>
        <v>NÃO SE APLICA</v>
      </c>
    </row>
    <row r="346" hidden="1">
      <c r="A346" s="5">
        <f>IFERROR(__xludf.DUMMYFUNCTION("""COMPUTED_VALUE"""),7.0)</f>
        <v>7</v>
      </c>
      <c r="B346" s="5" t="str">
        <f>IFERROR(__xludf.DUMMYFUNCTION("""COMPUTED_VALUE"""),"CV183")</f>
        <v>CV183</v>
      </c>
      <c r="C346" s="5" t="str">
        <f>IFERROR(__xludf.DUMMYFUNCTION("""COMPUTED_VALUE"""),"NÃO POSSUI")</f>
        <v>NÃO POSSUI</v>
      </c>
      <c r="D346" s="5" t="str">
        <f>IFERROR(__xludf.DUMMYFUNCTION("""COMPUTED_VALUE"""),"COM SUPORTE")</f>
        <v>COM SUPORTE</v>
      </c>
      <c r="E346" s="5" t="str">
        <f>IFERROR(__xludf.DUMMYFUNCTION("""COMPUTED_VALUE"""),"SEM BAIA")</f>
        <v>SEM BAIA</v>
      </c>
      <c r="F346" s="5" t="str">
        <f>IFERROR(__xludf.DUMMYFUNCTION("""COMPUTED_VALUE"""),"NÃO")</f>
        <v>NÃO</v>
      </c>
      <c r="G346" s="5" t="str">
        <f>IFERROR(__xludf.DUMMYFUNCTION("""COMPUTED_VALUE"""),"NÃO")</f>
        <v>NÃO</v>
      </c>
      <c r="H346" s="5" t="str">
        <f>IFERROR(__xludf.DUMMYFUNCTION("""COMPUTED_VALUE"""),"PAVIMENTADA COM AVARIAS")</f>
        <v>PAVIMENTADA COM AVARIAS</v>
      </c>
      <c r="I346" s="6" t="str">
        <f>IFERROR(__xludf.DUMMYFUNCTION("""COMPUTED_VALUE"""),"-9.54129")</f>
        <v>-9.54129</v>
      </c>
      <c r="J346" s="6" t="str">
        <f>IFERROR(__xludf.DUMMYFUNCTION("""COMPUTED_VALUE"""),"-35.78298
")</f>
        <v>-35.78298
</v>
      </c>
      <c r="K346" s="5" t="str">
        <f>IFERROR(__xludf.DUMMYFUNCTION("""COMPUTED_VALUE"""),"RUA DOUTOR FÁBIO VANDERLEY")</f>
        <v>RUA DOUTOR FÁBIO VANDERLEY</v>
      </c>
      <c r="L346" s="5" t="str">
        <f>IFERROR(__xludf.DUMMYFUNCTION("""COMPUTED_VALUE"""),"COLETORA")</f>
        <v>COLETORA</v>
      </c>
      <c r="M346" s="5" t="str">
        <f>IFERROR(__xludf.DUMMYFUNCTION("""COMPUTED_VALUE"""),"CIDADE UNIVERSITÁRIA")</f>
        <v>CIDADE UNIVERSITÁRIA</v>
      </c>
      <c r="N346" s="5" t="str">
        <f>IFERROR(__xludf.DUMMYFUNCTION("""COMPUTED_VALUE"""),"BAIRRO - CENTRO / CENTRO - BAIRRO")</f>
        <v>BAIRRO - CENTRO / CENTRO - BAIRRO</v>
      </c>
      <c r="O346" s="5" t="str">
        <f>IFERROR(__xludf.DUMMYFUNCTION("""COMPUTED_VALUE"""),"EM FRENTE A CASA 59")</f>
        <v>EM FRENTE A CASA 59</v>
      </c>
      <c r="P346" s="5" t="str">
        <f>IFERROR(__xludf.DUMMYFUNCTION("""COMPUTED_VALUE"""),"PRIORIDADE MÉDIA")</f>
        <v>PRIORIDADE MÉDIA</v>
      </c>
      <c r="Q346" s="5" t="str">
        <f>IFERROR(__xludf.DUMMYFUNCTION("""COMPUTED_VALUE"""),"READEQUAÇÃO DE CALÇADA COM ACESSIBILIDADE E PINTURA DE BAÍA NO ASFALTO.")</f>
        <v>READEQUAÇÃO DE CALÇADA COM ACESSIBILIDADE E PINTURA DE BAÍA NO ASFALTO.</v>
      </c>
      <c r="R346" s="5" t="str">
        <f>IFERROR(__xludf.DUMMYFUNCTION("""COMPUTED_VALUE"""),"NENHUMA DAS OPÇÕES")</f>
        <v>NENHUMA DAS OPÇÕES</v>
      </c>
      <c r="S346" s="5"/>
      <c r="T346" s="5"/>
      <c r="U346" s="5"/>
      <c r="V346" s="9" t="str">
        <f>IFERROR(__xludf.DUMMYFUNCTION("""COMPUTED_VALUE"""),"https://drive.google.com/uc?id=1aUqUovxsCMOSEaDJF1xqPLGOSwnjr2Lh")</f>
        <v>https://drive.google.com/uc?id=1aUqUovxsCMOSEaDJF1xqPLGOSwnjr2Lh</v>
      </c>
      <c r="W346" s="5" t="str">
        <f>IFERROR(__xludf.DUMMYFUNCTION("""COMPUTED_VALUE"""),"NÃO")</f>
        <v>NÃO</v>
      </c>
      <c r="X346" s="5" t="str">
        <f>IFERROR(__xludf.DUMMYFUNCTION("""COMPUTED_VALUE"""),"NÃO SE APLICA")</f>
        <v>NÃO SE APLICA</v>
      </c>
    </row>
    <row r="347" hidden="1">
      <c r="A347" s="5">
        <f>IFERROR(__xludf.DUMMYFUNCTION("""COMPUTED_VALUE"""),7.0)</f>
        <v>7</v>
      </c>
      <c r="B347" s="5" t="str">
        <f>IFERROR(__xludf.DUMMYFUNCTION("""COMPUTED_VALUE"""),"CV184")</f>
        <v>CV184</v>
      </c>
      <c r="C347" s="5" t="str">
        <f>IFERROR(__xludf.DUMMYFUNCTION("""COMPUTED_VALUE"""),"NÃO POSSUI")</f>
        <v>NÃO POSSUI</v>
      </c>
      <c r="D347" s="5" t="str">
        <f>IFERROR(__xludf.DUMMYFUNCTION("""COMPUTED_VALUE"""),"FIXADA EM POSTE")</f>
        <v>FIXADA EM POSTE</v>
      </c>
      <c r="E347" s="5" t="str">
        <f>IFERROR(__xludf.DUMMYFUNCTION("""COMPUTED_VALUE"""),"SEM BAIA")</f>
        <v>SEM BAIA</v>
      </c>
      <c r="F347" s="5" t="str">
        <f>IFERROR(__xludf.DUMMYFUNCTION("""COMPUTED_VALUE"""),"NÃO")</f>
        <v>NÃO</v>
      </c>
      <c r="G347" s="5" t="str">
        <f>IFERROR(__xludf.DUMMYFUNCTION("""COMPUTED_VALUE"""),"NÃO")</f>
        <v>NÃO</v>
      </c>
      <c r="H347" s="5" t="str">
        <f>IFERROR(__xludf.DUMMYFUNCTION("""COMPUTED_VALUE"""),"PAVIMENTADA")</f>
        <v>PAVIMENTADA</v>
      </c>
      <c r="I347" s="6" t="str">
        <f>IFERROR(__xludf.DUMMYFUNCTION("""COMPUTED_VALUE"""),"-9.53336")</f>
        <v>-9.53336</v>
      </c>
      <c r="J347" s="6" t="str">
        <f>IFERROR(__xludf.DUMMYFUNCTION("""COMPUTED_VALUE"""),"-35.78130")</f>
        <v>-35.78130</v>
      </c>
      <c r="K347" s="5" t="str">
        <f>IFERROR(__xludf.DUMMYFUNCTION("""COMPUTED_VALUE"""),"AV. DE ENTRADA DO RES. MACEIÓ")</f>
        <v>AV. DE ENTRADA DO RES. MACEIÓ</v>
      </c>
      <c r="L347" s="5" t="str">
        <f>IFERROR(__xludf.DUMMYFUNCTION("""COMPUTED_VALUE"""),"COLETORA")</f>
        <v>COLETORA</v>
      </c>
      <c r="M347" s="5" t="str">
        <f>IFERROR(__xludf.DUMMYFUNCTION("""COMPUTED_VALUE"""),"CIDADE UNIVERSITÁRIA")</f>
        <v>CIDADE UNIVERSITÁRIA</v>
      </c>
      <c r="N347" s="5" t="str">
        <f>IFERROR(__xludf.DUMMYFUNCTION("""COMPUTED_VALUE"""),"INTEGRAÇÃO")</f>
        <v>INTEGRAÇÃO</v>
      </c>
      <c r="O347" s="5" t="str">
        <f>IFERROR(__xludf.DUMMYFUNCTION("""COMPUTED_VALUE"""),"EM FRENTE AO JARDIM  DOS PINHEIROS")</f>
        <v>EM FRENTE AO JARDIM  DOS PINHEIROS</v>
      </c>
      <c r="P347" s="5" t="str">
        <f>IFERROR(__xludf.DUMMYFUNCTION("""COMPUTED_VALUE"""),"PRIORIDADE BAIXA")</f>
        <v>PRIORIDADE BAIXA</v>
      </c>
      <c r="Q347" s="5" t="str">
        <f>IFERROR(__xludf.DUMMYFUNCTION("""COMPUTED_VALUE"""),"PINTURA DE BAÍA NO ASFALTO.")</f>
        <v>PINTURA DE BAÍA NO ASFALTO.</v>
      </c>
      <c r="R347" s="5" t="str">
        <f>IFERROR(__xludf.DUMMYFUNCTION("""COMPUTED_VALUE"""),"NENHUMA DAS OPÇÕES")</f>
        <v>NENHUMA DAS OPÇÕES</v>
      </c>
      <c r="S347" s="5"/>
      <c r="T347" s="5"/>
      <c r="U347" s="5"/>
      <c r="V347" s="5"/>
      <c r="W347" s="5" t="str">
        <f>IFERROR(__xludf.DUMMYFUNCTION("""COMPUTED_VALUE"""),"NÃO")</f>
        <v>NÃO</v>
      </c>
      <c r="X347" s="5" t="str">
        <f>IFERROR(__xludf.DUMMYFUNCTION("""COMPUTED_VALUE"""),"NÃO SE APLICA")</f>
        <v>NÃO SE APLICA</v>
      </c>
    </row>
    <row r="348" ht="15.75" hidden="1" customHeight="1">
      <c r="A348" s="5">
        <f>IFERROR(__xludf.DUMMYFUNCTION("""COMPUTED_VALUE"""),7.0)</f>
        <v>7</v>
      </c>
      <c r="B348" s="5" t="str">
        <f>IFERROR(__xludf.DUMMYFUNCTION("""COMPUTED_VALUE"""),"CV186")</f>
        <v>CV186</v>
      </c>
      <c r="C348" s="5" t="str">
        <f>IFERROR(__xludf.DUMMYFUNCTION("""COMPUTED_VALUE"""),"NÃO POSSUI")</f>
        <v>NÃO POSSUI</v>
      </c>
      <c r="D348" s="5" t="str">
        <f>IFERROR(__xludf.DUMMYFUNCTION("""COMPUTED_VALUE"""),"COM SUPORTE")</f>
        <v>COM SUPORTE</v>
      </c>
      <c r="E348" s="5" t="str">
        <f>IFERROR(__xludf.DUMMYFUNCTION("""COMPUTED_VALUE"""),"SEM BAIA")</f>
        <v>SEM BAIA</v>
      </c>
      <c r="F348" s="5" t="str">
        <f>IFERROR(__xludf.DUMMYFUNCTION("""COMPUTED_VALUE"""),"NÃO")</f>
        <v>NÃO</v>
      </c>
      <c r="G348" s="5" t="str">
        <f>IFERROR(__xludf.DUMMYFUNCTION("""COMPUTED_VALUE"""),"NÃO")</f>
        <v>NÃO</v>
      </c>
      <c r="H348" s="5" t="str">
        <f>IFERROR(__xludf.DUMMYFUNCTION("""COMPUTED_VALUE"""),"NÃO PAVIMENTADA")</f>
        <v>NÃO PAVIMENTADA</v>
      </c>
      <c r="I348" s="6" t="str">
        <f>IFERROR(__xludf.DUMMYFUNCTION("""COMPUTED_VALUE"""),"-9.542187")</f>
        <v>-9.542187</v>
      </c>
      <c r="J348" s="6" t="str">
        <f>IFERROR(__xludf.DUMMYFUNCTION("""COMPUTED_VALUE""")," -35.784598")</f>
        <v> -35.784598</v>
      </c>
      <c r="K348" s="5" t="str">
        <f>IFERROR(__xludf.DUMMYFUNCTION("""COMPUTED_VALUE"""),"RUA DOUTOR FÁBIO VANDERLEY")</f>
        <v>RUA DOUTOR FÁBIO VANDERLEY</v>
      </c>
      <c r="L348" s="5" t="str">
        <f>IFERROR(__xludf.DUMMYFUNCTION("""COMPUTED_VALUE"""),"COLETORA")</f>
        <v>COLETORA</v>
      </c>
      <c r="M348" s="5" t="str">
        <f>IFERROR(__xludf.DUMMYFUNCTION("""COMPUTED_VALUE"""),"CIDADE UNIVERSITÁRIA")</f>
        <v>CIDADE UNIVERSITÁRIA</v>
      </c>
      <c r="N348" s="5" t="str">
        <f>IFERROR(__xludf.DUMMYFUNCTION("""COMPUTED_VALUE"""),"BAIRRO - CENTRO / CENTRO - BAIRRO")</f>
        <v>BAIRRO - CENTRO / CENTRO - BAIRRO</v>
      </c>
      <c r="O348" s="5" t="str">
        <f>IFERROR(__xludf.DUMMYFUNCTION("""COMPUTED_VALUE"""),"AO LADO DA 10° DELEGACIA DE POLÍCIA")</f>
        <v>AO LADO DA 10° DELEGACIA DE POLÍCIA</v>
      </c>
      <c r="P348" s="5" t="str">
        <f>IFERROR(__xludf.DUMMYFUNCTION("""COMPUTED_VALUE"""),"PRIORIDADE MÉDIA")</f>
        <v>PRIORIDADE MÉDIA</v>
      </c>
      <c r="Q348" s="5" t="str">
        <f>IFERROR(__xludf.DUMMYFUNCTION("""COMPUTED_VALUE"""),"READEQUAÇÃO DE CALÇADA COM ACESSIBILIDADE E PINTURA DE BAÍA NO ASFALTO.")</f>
        <v>READEQUAÇÃO DE CALÇADA COM ACESSIBILIDADE E PINTURA DE BAÍA NO ASFALTO.</v>
      </c>
      <c r="R348" s="5" t="str">
        <f>IFERROR(__xludf.DUMMYFUNCTION("""COMPUTED_VALUE"""),"NENHUMA DAS OPÇÕES")</f>
        <v>NENHUMA DAS OPÇÕES</v>
      </c>
      <c r="S348" s="5"/>
      <c r="T348" s="5"/>
      <c r="U348" s="5"/>
      <c r="V348" s="9" t="str">
        <f>IFERROR(__xludf.DUMMYFUNCTION("""COMPUTED_VALUE"""),"https://drive.google.com/uc?id=1jZWkGafdDm0Wik_HHcHo3FXg0b4520JR")</f>
        <v>https://drive.google.com/uc?id=1jZWkGafdDm0Wik_HHcHo3FXg0b4520JR</v>
      </c>
      <c r="W348" s="5" t="str">
        <f>IFERROR(__xludf.DUMMYFUNCTION("""COMPUTED_VALUE"""),"NÃO")</f>
        <v>NÃO</v>
      </c>
      <c r="X348" s="5" t="str">
        <f>IFERROR(__xludf.DUMMYFUNCTION("""COMPUTED_VALUE"""),"NÃO SE APLICA")</f>
        <v>NÃO SE APLICA</v>
      </c>
    </row>
    <row r="349">
      <c r="A349" s="5">
        <f>IFERROR(__xludf.DUMMYFUNCTION("""COMPUTED_VALUE"""),7.0)</f>
        <v>7</v>
      </c>
      <c r="B349" s="5" t="str">
        <f>IFERROR(__xludf.DUMMYFUNCTION("""COMPUTED_VALUE"""),"CV187")</f>
        <v>CV187</v>
      </c>
      <c r="C349" s="5" t="str">
        <f>IFERROR(__xludf.DUMMYFUNCTION("""COMPUTED_VALUE"""),"ABRIGO METÁLICO PEQUENO PORTE")</f>
        <v>ABRIGO METÁLICO PEQUENO PORTE</v>
      </c>
      <c r="D349" s="5" t="str">
        <f>IFERROR(__xludf.DUMMYFUNCTION("""COMPUTED_VALUE"""),"COM SUPORTE")</f>
        <v>COM SUPORTE</v>
      </c>
      <c r="E349" s="5" t="str">
        <f>IFERROR(__xludf.DUMMYFUNCTION("""COMPUTED_VALUE"""),"SEM BAIA")</f>
        <v>SEM BAIA</v>
      </c>
      <c r="F349" s="5" t="str">
        <f>IFERROR(__xludf.DUMMYFUNCTION("""COMPUTED_VALUE"""),"NÃO")</f>
        <v>NÃO</v>
      </c>
      <c r="G349" s="5" t="str">
        <f>IFERROR(__xludf.DUMMYFUNCTION("""COMPUTED_VALUE"""),"NÃO")</f>
        <v>NÃO</v>
      </c>
      <c r="H349" s="5" t="str">
        <f>IFERROR(__xludf.DUMMYFUNCTION("""COMPUTED_VALUE"""),"PAVIMENTADA")</f>
        <v>PAVIMENTADA</v>
      </c>
      <c r="I349" s="6" t="str">
        <f>IFERROR(__xludf.DUMMYFUNCTION("""COMPUTED_VALUE"""),"-9.56474")</f>
        <v>-9.56474</v>
      </c>
      <c r="J349" s="6" t="str">
        <f>IFERROR(__xludf.DUMMYFUNCTION("""COMPUTED_VALUE"""),"-35.77490
")</f>
        <v>-35.77490
</v>
      </c>
      <c r="K349" s="5" t="str">
        <f>IFERROR(__xludf.DUMMYFUNCTION("""COMPUTED_VALUE"""),"AV. MENINO MARCELO, S/N")</f>
        <v>AV. MENINO MARCELO, S/N</v>
      </c>
      <c r="L349" s="5" t="str">
        <f>IFERROR(__xludf.DUMMYFUNCTION("""COMPUTED_VALUE"""),"ARTERIAL ")</f>
        <v>ARTERIAL </v>
      </c>
      <c r="M349" s="5" t="str">
        <f>IFERROR(__xludf.DUMMYFUNCTION("""COMPUTED_VALUE"""),"CIDADE UNIVERSITÁRIA")</f>
        <v>CIDADE UNIVERSITÁRIA</v>
      </c>
      <c r="N349" s="5" t="str">
        <f>IFERROR(__xludf.DUMMYFUNCTION("""COMPUTED_VALUE"""),"BAIRRO - CENTRO / CENTRO - BAIRRO")</f>
        <v>BAIRRO - CENTRO / CENTRO - BAIRRO</v>
      </c>
      <c r="O349" s="5" t="str">
        <f>IFERROR(__xludf.DUMMYFUNCTION("""COMPUTED_VALUE"""),"EM FRENTE AO DETRAN")</f>
        <v>EM FRENTE AO DETRAN</v>
      </c>
      <c r="P349" s="5" t="str">
        <f>IFERROR(__xludf.DUMMYFUNCTION("""COMPUTED_VALUE"""),"PRIORIDADE BAIXA")</f>
        <v>PRIORIDADE BAIXA</v>
      </c>
      <c r="Q349" s="5" t="str">
        <f>IFERROR(__xludf.DUMMYFUNCTION("""COMPUTED_VALUE"""),"READEQUAÇÃO DE CALÇADA COM ACESSIBILIDADE E PINTURA DE BAÍA NO ASFALTO.")</f>
        <v>READEQUAÇÃO DE CALÇADA COM ACESSIBILIDADE E PINTURA DE BAÍA NO ASFALTO.</v>
      </c>
      <c r="R349" s="5" t="str">
        <f>IFERROR(__xludf.DUMMYFUNCTION("""COMPUTED_VALUE"""),"NENHUMA DAS OPÇÕES")</f>
        <v>NENHUMA DAS OPÇÕES</v>
      </c>
      <c r="S349" s="5"/>
      <c r="T349" s="5"/>
      <c r="U349" s="5"/>
      <c r="V349" s="5"/>
      <c r="W349" s="5" t="str">
        <f>IFERROR(__xludf.DUMMYFUNCTION("""COMPUTED_VALUE"""),"NÃO")</f>
        <v>NÃO</v>
      </c>
      <c r="X349" s="5" t="str">
        <f>IFERROR(__xludf.DUMMYFUNCTION("""COMPUTED_VALUE"""),"NÃO")</f>
        <v>NÃO</v>
      </c>
    </row>
    <row r="350" ht="13.5" customHeight="1">
      <c r="A350" s="5">
        <f>IFERROR(__xludf.DUMMYFUNCTION("""COMPUTED_VALUE"""),7.0)</f>
        <v>7</v>
      </c>
      <c r="B350" s="5" t="str">
        <f>IFERROR(__xludf.DUMMYFUNCTION("""COMPUTED_VALUE"""),"CV188")</f>
        <v>CV188</v>
      </c>
      <c r="C350" s="5" t="str">
        <f>IFERROR(__xludf.DUMMYFUNCTION("""COMPUTED_VALUE"""),"ABRIGO CONCRETO")</f>
        <v>ABRIGO CONCRETO</v>
      </c>
      <c r="D350" s="5" t="str">
        <f>IFERROR(__xludf.DUMMYFUNCTION("""COMPUTED_VALUE"""),"SEM PLACA")</f>
        <v>SEM PLACA</v>
      </c>
      <c r="E350" s="5" t="str">
        <f>IFERROR(__xludf.DUMMYFUNCTION("""COMPUTED_VALUE"""),"SEM BAIA")</f>
        <v>SEM BAIA</v>
      </c>
      <c r="F350" s="5" t="str">
        <f>IFERROR(__xludf.DUMMYFUNCTION("""COMPUTED_VALUE"""),"NÃO")</f>
        <v>NÃO</v>
      </c>
      <c r="G350" s="5" t="str">
        <f>IFERROR(__xludf.DUMMYFUNCTION("""COMPUTED_VALUE"""),"NÃO")</f>
        <v>NÃO</v>
      </c>
      <c r="H350" s="5" t="str">
        <f>IFERROR(__xludf.DUMMYFUNCTION("""COMPUTED_VALUE"""),"NÃO PAVIMENTADA")</f>
        <v>NÃO PAVIMENTADA</v>
      </c>
      <c r="I350" s="6" t="str">
        <f>IFERROR(__xludf.DUMMYFUNCTION("""COMPUTED_VALUE"""),"-9.55900")</f>
        <v>-9.55900</v>
      </c>
      <c r="J350" s="6" t="str">
        <f>IFERROR(__xludf.DUMMYFUNCTION("""COMPUTED_VALUE""")," -35.76356
")</f>
        <v> -35.76356
</v>
      </c>
      <c r="K350" s="5" t="str">
        <f>IFERROR(__xludf.DUMMYFUNCTION("""COMPUTED_VALUE"""),"AV. MENINO MARCELO, S/N")</f>
        <v>AV. MENINO MARCELO, S/N</v>
      </c>
      <c r="L350" s="5" t="str">
        <f>IFERROR(__xludf.DUMMYFUNCTION("""COMPUTED_VALUE"""),"ARTERIAL ")</f>
        <v>ARTERIAL </v>
      </c>
      <c r="M350" s="5" t="str">
        <f>IFERROR(__xludf.DUMMYFUNCTION("""COMPUTED_VALUE"""),"CIDADE UNIVERSITÁRIA")</f>
        <v>CIDADE UNIVERSITÁRIA</v>
      </c>
      <c r="N350" s="5" t="str">
        <f>IFERROR(__xludf.DUMMYFUNCTION("""COMPUTED_VALUE"""),"BAIRRO - CENTRO / CENTRO - BAIRRO")</f>
        <v>BAIRRO - CENTRO / CENTRO - BAIRRO</v>
      </c>
      <c r="O350" s="5" t="str">
        <f>IFERROR(__xludf.DUMMYFUNCTION("""COMPUTED_VALUE"""),"EM FRENTE DO RES. TABULEIRO DOS MARTINS")</f>
        <v>EM FRENTE DO RES. TABULEIRO DOS MARTINS</v>
      </c>
      <c r="P350" s="5" t="str">
        <f>IFERROR(__xludf.DUMMYFUNCTION("""COMPUTED_VALUE"""),"PRIORIDADE ALTA")</f>
        <v>PRIORIDADE ALTA</v>
      </c>
      <c r="Q350" s="5" t="str">
        <f>IFERROR(__xludf.DUMMYFUNCTION("""COMPUTED_VALUE"""),"REALOCAÇÃO DE UM ABRIGO DE CONCRETO E PLACA FIXADA EM BARROTE DA FICHA CV168 PARA ESTE LOCAL, COM OBJETIVO DE DESOBSTRUIR A VIA DE ACESSO AO RESIDENCIAL TABULEIRO DOS MARTINS.
PODENDO UM ABRIGO SER REALOCADO PARA UM LOCAL A DEFINIR.
")</f>
        <v>REALOCAÇÃO DE UM ABRIGO DE CONCRETO E PLACA FIXADA EM BARROTE DA FICHA CV168 PARA ESTE LOCAL, COM OBJETIVO DE DESOBSTRUIR A VIA DE ACESSO AO RESIDENCIAL TABULEIRO DOS MARTINS.
PODENDO UM ABRIGO SER REALOCADO PARA UM LOCAL A DEFINIR.
</v>
      </c>
      <c r="R350" s="5" t="str">
        <f>IFERROR(__xludf.DUMMYFUNCTION("""COMPUTED_VALUE"""),"NENHUMA DAS OPÇÕES")</f>
        <v>NENHUMA DAS OPÇÕES</v>
      </c>
      <c r="S350" s="5"/>
      <c r="T350" s="5"/>
      <c r="U350" s="5"/>
      <c r="V350" s="9" t="str">
        <f>IFERROR(__xludf.DUMMYFUNCTION("""COMPUTED_VALUE"""),"https://drive.google.com/uc?id=1ED7MP_IrfSGf3z3AGVR0OwwCwYg5a88S")</f>
        <v>https://drive.google.com/uc?id=1ED7MP_IrfSGf3z3AGVR0OwwCwYg5a88S</v>
      </c>
      <c r="W350" s="5" t="str">
        <f>IFERROR(__xludf.DUMMYFUNCTION("""COMPUTED_VALUE"""),"NÃO")</f>
        <v>NÃO</v>
      </c>
      <c r="X350" s="5" t="str">
        <f>IFERROR(__xludf.DUMMYFUNCTION("""COMPUTED_VALUE"""),"NÃO SE APLICA")</f>
        <v>NÃO SE APLICA</v>
      </c>
    </row>
    <row r="351" hidden="1">
      <c r="A351" s="5">
        <f>IFERROR(__xludf.DUMMYFUNCTION("""COMPUTED_VALUE"""),7.0)</f>
        <v>7</v>
      </c>
      <c r="B351" s="5" t="str">
        <f>IFERROR(__xludf.DUMMYFUNCTION("""COMPUTED_VALUE"""),"CV189")</f>
        <v>CV189</v>
      </c>
      <c r="C351" s="5" t="str">
        <f>IFERROR(__xludf.DUMMYFUNCTION("""COMPUTED_VALUE"""),"NÃO POSSUI")</f>
        <v>NÃO POSSUI</v>
      </c>
      <c r="D351" s="5" t="str">
        <f>IFERROR(__xludf.DUMMYFUNCTION("""COMPUTED_VALUE"""),"COM SUPORTE")</f>
        <v>COM SUPORTE</v>
      </c>
      <c r="E351" s="5" t="str">
        <f>IFERROR(__xludf.DUMMYFUNCTION("""COMPUTED_VALUE"""),"SEM BAIA")</f>
        <v>SEM BAIA</v>
      </c>
      <c r="F351" s="5" t="str">
        <f>IFERROR(__xludf.DUMMYFUNCTION("""COMPUTED_VALUE"""),"NÃO")</f>
        <v>NÃO</v>
      </c>
      <c r="G351" s="5" t="str">
        <f>IFERROR(__xludf.DUMMYFUNCTION("""COMPUTED_VALUE"""),"SIM")</f>
        <v>SIM</v>
      </c>
      <c r="H351" s="5" t="str">
        <f>IFERROR(__xludf.DUMMYFUNCTION("""COMPUTED_VALUE"""),"PAVIMENTADA")</f>
        <v>PAVIMENTADA</v>
      </c>
      <c r="I351" s="6" t="str">
        <f>IFERROR(__xludf.DUMMYFUNCTION("""COMPUTED_VALUE"""),"-9.5490")</f>
        <v>-9.5490</v>
      </c>
      <c r="J351" s="6" t="str">
        <f>IFERROR(__xludf.DUMMYFUNCTION("""COMPUTED_VALUE"""),"-35.7423")</f>
        <v>-35.7423</v>
      </c>
      <c r="K351" s="5" t="str">
        <f>IFERROR(__xludf.DUMMYFUNCTION("""COMPUTED_VALUE"""),"AV. HUMBERTO GOMES DE BARROS")</f>
        <v>AV. HUMBERTO GOMES DE BARROS</v>
      </c>
      <c r="L351" s="5" t="str">
        <f>IFERROR(__xludf.DUMMYFUNCTION("""COMPUTED_VALUE"""),"COLETORA")</f>
        <v>COLETORA</v>
      </c>
      <c r="M351" s="5" t="str">
        <f>IFERROR(__xludf.DUMMYFUNCTION("""COMPUTED_VALUE"""),"CIDADE UNIVERSITÁRIA")</f>
        <v>CIDADE UNIVERSITÁRIA</v>
      </c>
      <c r="N351" s="5"/>
      <c r="O351" s="5" t="str">
        <f>IFERROR(__xludf.DUMMYFUNCTION("""COMPUTED_VALUE"""),"AO LADO DO COLÉGIO PROF. MARIA SALETE")</f>
        <v>AO LADO DO COLÉGIO PROF. MARIA SALETE</v>
      </c>
      <c r="P351" s="5" t="str">
        <f>IFERROR(__xludf.DUMMYFUNCTION("""COMPUTED_VALUE"""),"PRIORIDADE BAIXA")</f>
        <v>PRIORIDADE BAIXA</v>
      </c>
      <c r="Q351" s="5" t="str">
        <f>IFERROR(__xludf.DUMMYFUNCTION("""COMPUTED_VALUE"""),"READEQUAÇÃO DE CALÇADA COM ACESSIBILIDADE E PINTURA DE BAÍA NO ASFALTO.")</f>
        <v>READEQUAÇÃO DE CALÇADA COM ACESSIBILIDADE E PINTURA DE BAÍA NO ASFALTO.</v>
      </c>
      <c r="R351" s="5" t="str">
        <f>IFERROR(__xludf.DUMMYFUNCTION("""COMPUTED_VALUE"""),"NENHUMA DAS OPÇÕES")</f>
        <v>NENHUMA DAS OPÇÕES</v>
      </c>
      <c r="S351" s="5"/>
      <c r="T351" s="5"/>
      <c r="U351" s="5"/>
      <c r="V351" s="9" t="str">
        <f>IFERROR(__xludf.DUMMYFUNCTION("""COMPUTED_VALUE"""),"https://drive.google.com/uc?id=1lzamKEKSqcyonYgshGLTGTbia8OpI80p")</f>
        <v>https://drive.google.com/uc?id=1lzamKEKSqcyonYgshGLTGTbia8OpI80p</v>
      </c>
      <c r="W351" s="5" t="str">
        <f>IFERROR(__xludf.DUMMYFUNCTION("""COMPUTED_VALUE"""),"NÃO")</f>
        <v>NÃO</v>
      </c>
      <c r="X351" s="5" t="str">
        <f>IFERROR(__xludf.DUMMYFUNCTION("""COMPUTED_VALUE"""),"NÃO SE APLICA")</f>
        <v>NÃO SE APLICA</v>
      </c>
    </row>
    <row r="352" ht="12.0" hidden="1" customHeight="1">
      <c r="A352" s="5">
        <f>IFERROR(__xludf.DUMMYFUNCTION("""COMPUTED_VALUE"""),7.0)</f>
        <v>7</v>
      </c>
      <c r="B352" s="5" t="str">
        <f>IFERROR(__xludf.DUMMYFUNCTION("""COMPUTED_VALUE"""),"CV190")</f>
        <v>CV190</v>
      </c>
      <c r="C352" s="5" t="str">
        <f>IFERROR(__xludf.DUMMYFUNCTION("""COMPUTED_VALUE"""),"NÃO POSSUI")</f>
        <v>NÃO POSSUI</v>
      </c>
      <c r="D352" s="5" t="str">
        <f>IFERROR(__xludf.DUMMYFUNCTION("""COMPUTED_VALUE"""),"COM SUPORTE")</f>
        <v>COM SUPORTE</v>
      </c>
      <c r="E352" s="5" t="str">
        <f>IFERROR(__xludf.DUMMYFUNCTION("""COMPUTED_VALUE"""),"SEM BAIA")</f>
        <v>SEM BAIA</v>
      </c>
      <c r="F352" s="5" t="str">
        <f>IFERROR(__xludf.DUMMYFUNCTION("""COMPUTED_VALUE"""),"NÃO")</f>
        <v>NÃO</v>
      </c>
      <c r="G352" s="5" t="str">
        <f>IFERROR(__xludf.DUMMYFUNCTION("""COMPUTED_VALUE"""),"NÃO")</f>
        <v>NÃO</v>
      </c>
      <c r="H352" s="5" t="str">
        <f>IFERROR(__xludf.DUMMYFUNCTION("""COMPUTED_VALUE"""),"PAVIMENTADA")</f>
        <v>PAVIMENTADA</v>
      </c>
      <c r="I352" s="6" t="str">
        <f>IFERROR(__xludf.DUMMYFUNCTION("""COMPUTED_VALUE"""),"-9.54530")</f>
        <v>-9.54530</v>
      </c>
      <c r="J352" s="6" t="str">
        <f>IFERROR(__xludf.DUMMYFUNCTION("""COMPUTED_VALUE""")," -35.74850
")</f>
        <v> -35.74850
</v>
      </c>
      <c r="K352" s="5" t="str">
        <f>IFERROR(__xludf.DUMMYFUNCTION("""COMPUTED_VALUE"""),"AV. TANCREDO NEVES
")</f>
        <v>AV. TANCREDO NEVES
</v>
      </c>
      <c r="L352" s="5" t="str">
        <f>IFERROR(__xludf.DUMMYFUNCTION("""COMPUTED_VALUE"""),"COLETORA")</f>
        <v>COLETORA</v>
      </c>
      <c r="M352" s="5" t="str">
        <f>IFERROR(__xludf.DUMMYFUNCTION("""COMPUTED_VALUE"""),"CIDADE UNIVERSITÁRIA")</f>
        <v>CIDADE UNIVERSITÁRIA</v>
      </c>
      <c r="N352" s="5" t="str">
        <f>IFERROR(__xludf.DUMMYFUNCTION("""COMPUTED_VALUE"""),"BAIRRO - CENTRO")</f>
        <v>BAIRRO - CENTRO</v>
      </c>
      <c r="O352" s="5" t="str">
        <f>IFERROR(__xludf.DUMMYFUNCTION("""COMPUTED_VALUE"""),"EM FRENTE A CASA 510")</f>
        <v>EM FRENTE A CASA 510</v>
      </c>
      <c r="P352" s="5" t="str">
        <f>IFERROR(__xludf.DUMMYFUNCTION("""COMPUTED_VALUE"""),"PRIORIDADE BAIXA")</f>
        <v>PRIORIDADE BAIXA</v>
      </c>
      <c r="Q352" s="5" t="str">
        <f>IFERROR(__xludf.DUMMYFUNCTION("""COMPUTED_VALUE"""),"PINTURA DE BAÍA NO ASFALTO.")</f>
        <v>PINTURA DE BAÍA NO ASFALTO.</v>
      </c>
      <c r="R352" s="5" t="str">
        <f>IFERROR(__xludf.DUMMYFUNCTION("""COMPUTED_VALUE"""),"NENHUMA DAS OPÇÕES")</f>
        <v>NENHUMA DAS OPÇÕES</v>
      </c>
      <c r="S352" s="5"/>
      <c r="T352" s="5"/>
      <c r="U352" s="5"/>
      <c r="V352" s="9" t="str">
        <f>IFERROR(__xludf.DUMMYFUNCTION("""COMPUTED_VALUE"""),"https://drive.google.com/uc?id=10mRbtSq0qQMnrrU4Py02giDfi4t9vWYe")</f>
        <v>https://drive.google.com/uc?id=10mRbtSq0qQMnrrU4Py02giDfi4t9vWYe</v>
      </c>
      <c r="W352" s="5" t="str">
        <f>IFERROR(__xludf.DUMMYFUNCTION("""COMPUTED_VALUE"""),"NÃO")</f>
        <v>NÃO</v>
      </c>
      <c r="X352" s="5" t="str">
        <f>IFERROR(__xludf.DUMMYFUNCTION("""COMPUTED_VALUE"""),"NÃO SE APLICA")</f>
        <v>NÃO SE APLICA</v>
      </c>
    </row>
    <row r="353" ht="18.0" hidden="1" customHeight="1">
      <c r="A353" s="5">
        <f>IFERROR(__xludf.DUMMYFUNCTION("""COMPUTED_VALUE"""),7.0)</f>
        <v>7</v>
      </c>
      <c r="B353" s="5" t="str">
        <f>IFERROR(__xludf.DUMMYFUNCTION("""COMPUTED_VALUE"""),"CV191")</f>
        <v>CV191</v>
      </c>
      <c r="C353" s="5" t="str">
        <f>IFERROR(__xludf.DUMMYFUNCTION("""COMPUTED_VALUE"""),"NÃO POSSUI")</f>
        <v>NÃO POSSUI</v>
      </c>
      <c r="D353" s="5" t="str">
        <f>IFERROR(__xludf.DUMMYFUNCTION("""COMPUTED_VALUE"""),"SEM PLACA")</f>
        <v>SEM PLACA</v>
      </c>
      <c r="E353" s="5" t="str">
        <f>IFERROR(__xludf.DUMMYFUNCTION("""COMPUTED_VALUE"""),"SEM BAIA")</f>
        <v>SEM BAIA</v>
      </c>
      <c r="F353" s="5" t="str">
        <f>IFERROR(__xludf.DUMMYFUNCTION("""COMPUTED_VALUE"""),"NÃO")</f>
        <v>NÃO</v>
      </c>
      <c r="G353" s="5" t="str">
        <f>IFERROR(__xludf.DUMMYFUNCTION("""COMPUTED_VALUE"""),"NÃO")</f>
        <v>NÃO</v>
      </c>
      <c r="H353" s="5" t="str">
        <f>IFERROR(__xludf.DUMMYFUNCTION("""COMPUTED_VALUE"""),"PAVIMENTADA")</f>
        <v>PAVIMENTADA</v>
      </c>
      <c r="I353" s="6" t="str">
        <f>IFERROR(__xludf.DUMMYFUNCTION("""COMPUTED_VALUE"""),"-9.54606")</f>
        <v>-9.54606</v>
      </c>
      <c r="J353" s="6" t="str">
        <f>IFERROR(__xludf.DUMMYFUNCTION("""COMPUTED_VALUE"""),"-35.74991
")</f>
        <v>-35.74991
</v>
      </c>
      <c r="K353" s="5" t="str">
        <f>IFERROR(__xludf.DUMMYFUNCTION("""COMPUTED_VALUE"""),"AV. TANCREDO NEVES")</f>
        <v>AV. TANCREDO NEVES</v>
      </c>
      <c r="L353" s="5" t="str">
        <f>IFERROR(__xludf.DUMMYFUNCTION("""COMPUTED_VALUE"""),"COLETORA")</f>
        <v>COLETORA</v>
      </c>
      <c r="M353" s="5" t="str">
        <f>IFERROR(__xludf.DUMMYFUNCTION("""COMPUTED_VALUE"""),"CIDADE UNIVERSITÁRIA")</f>
        <v>CIDADE UNIVERSITÁRIA</v>
      </c>
      <c r="N353" s="5" t="str">
        <f>IFERROR(__xludf.DUMMYFUNCTION("""COMPUTED_VALUE"""),"CENTRO - BAIRRO")</f>
        <v>CENTRO - BAIRRO</v>
      </c>
      <c r="O353" s="5" t="str">
        <f>IFERROR(__xludf.DUMMYFUNCTION("""COMPUTED_VALUE"""),"EM FRENTE A CASA 2136")</f>
        <v>EM FRENTE A CASA 2136</v>
      </c>
      <c r="P353" s="5" t="str">
        <f>IFERROR(__xludf.DUMMYFUNCTION("""COMPUTED_VALUE"""),"PRIORIDADE BAIXA")</f>
        <v>PRIORIDADE BAIXA</v>
      </c>
      <c r="Q353" s="5" t="str">
        <f>IFERROR(__xludf.DUMMYFUNCTION("""COMPUTED_VALUE"""),"PINTURA DE BAÍA NO ASFALTO.")</f>
        <v>PINTURA DE BAÍA NO ASFALTO.</v>
      </c>
      <c r="R353" s="5" t="str">
        <f>IFERROR(__xludf.DUMMYFUNCTION("""COMPUTED_VALUE"""),"NENHUMA DAS OPÇÕES")</f>
        <v>NENHUMA DAS OPÇÕES</v>
      </c>
      <c r="S353" s="5"/>
      <c r="T353" s="5"/>
      <c r="U353" s="5"/>
      <c r="V353" s="5"/>
      <c r="W353" s="5" t="str">
        <f>IFERROR(__xludf.DUMMYFUNCTION("""COMPUTED_VALUE"""),"NÃO")</f>
        <v>NÃO</v>
      </c>
      <c r="X353" s="5" t="str">
        <f>IFERROR(__xludf.DUMMYFUNCTION("""COMPUTED_VALUE"""),"NÃO SE APLICA")</f>
        <v>NÃO SE APLICA</v>
      </c>
    </row>
    <row r="354" hidden="1">
      <c r="A354" s="5">
        <f>IFERROR(__xludf.DUMMYFUNCTION("""COMPUTED_VALUE"""),7.0)</f>
        <v>7</v>
      </c>
      <c r="B354" s="5" t="str">
        <f>IFERROR(__xludf.DUMMYFUNCTION("""COMPUTED_VALUE"""),"CV192")</f>
        <v>CV192</v>
      </c>
      <c r="C354" s="5" t="str">
        <f>IFERROR(__xludf.DUMMYFUNCTION("""COMPUTED_VALUE"""),"NÃO POSSUI")</f>
        <v>NÃO POSSUI</v>
      </c>
      <c r="D354" s="5" t="str">
        <f>IFERROR(__xludf.DUMMYFUNCTION("""COMPUTED_VALUE"""),"SEM PLACA")</f>
        <v>SEM PLACA</v>
      </c>
      <c r="E354" s="5" t="str">
        <f>IFERROR(__xludf.DUMMYFUNCTION("""COMPUTED_VALUE"""),"SEM BAIA")</f>
        <v>SEM BAIA</v>
      </c>
      <c r="F354" s="5" t="str">
        <f>IFERROR(__xludf.DUMMYFUNCTION("""COMPUTED_VALUE"""),"NÃO")</f>
        <v>NÃO</v>
      </c>
      <c r="G354" s="5" t="str">
        <f>IFERROR(__xludf.DUMMYFUNCTION("""COMPUTED_VALUE"""),"NÃO")</f>
        <v>NÃO</v>
      </c>
      <c r="H354" s="5" t="str">
        <f>IFERROR(__xludf.DUMMYFUNCTION("""COMPUTED_VALUE"""),"PAVIMENTADA")</f>
        <v>PAVIMENTADA</v>
      </c>
      <c r="I354" s="6" t="str">
        <f>IFERROR(__xludf.DUMMYFUNCTION("""COMPUTED_VALUE"""),"-9.55043")</f>
        <v>-9.55043</v>
      </c>
      <c r="J354" s="6" t="str">
        <f>IFERROR(__xludf.DUMMYFUNCTION("""COMPUTED_VALUE""")," -35.74570")</f>
        <v> -35.74570</v>
      </c>
      <c r="K354" s="5" t="str">
        <f>IFERROR(__xludf.DUMMYFUNCTION("""COMPUTED_VALUE"""),"AV. DR. FERNANDO COUTO MALTA")</f>
        <v>AV. DR. FERNANDO COUTO MALTA</v>
      </c>
      <c r="L354" s="5" t="str">
        <f>IFERROR(__xludf.DUMMYFUNCTION("""COMPUTED_VALUE"""),"COLETORA")</f>
        <v>COLETORA</v>
      </c>
      <c r="M354" s="5" t="str">
        <f>IFERROR(__xludf.DUMMYFUNCTION("""COMPUTED_VALUE"""),"CIDADE UNIVERSITÁRIA")</f>
        <v>CIDADE UNIVERSITÁRIA</v>
      </c>
      <c r="N354" s="5" t="str">
        <f>IFERROR(__xludf.DUMMYFUNCTION("""COMPUTED_VALUE"""),"CENTRO - BAIRRO")</f>
        <v>CENTRO - BAIRRO</v>
      </c>
      <c r="O354" s="5" t="str">
        <f>IFERROR(__xludf.DUMMYFUNCTION("""COMPUTED_VALUE"""),"ANTES DO AÇOUGUE SÃO FRANCISCO")</f>
        <v>ANTES DO AÇOUGUE SÃO FRANCISCO</v>
      </c>
      <c r="P354" s="5" t="str">
        <f>IFERROR(__xludf.DUMMYFUNCTION("""COMPUTED_VALUE"""),"PRIORIDADE ALTA")</f>
        <v>PRIORIDADE ALTA</v>
      </c>
      <c r="Q354" s="5" t="str">
        <f>IFERROR(__xludf.DUMMYFUNCTION("""COMPUTED_VALUE"""),"PINTURA DE BAÍA NO ASFALTO.")</f>
        <v>PINTURA DE BAÍA NO ASFALTO.</v>
      </c>
      <c r="R354" s="5" t="str">
        <f>IFERROR(__xludf.DUMMYFUNCTION("""COMPUTED_VALUE"""),"NENHUMA DAS OPÇÕES")</f>
        <v>NENHUMA DAS OPÇÕES</v>
      </c>
      <c r="S354" s="5"/>
      <c r="T354" s="5"/>
      <c r="U354" s="5"/>
      <c r="V354" s="9" t="str">
        <f>IFERROR(__xludf.DUMMYFUNCTION("""COMPUTED_VALUE"""),"https://drive.google.com/uc?id=1b8zHTME6OFbDU8LA8zsNRv3t1LIkHXJZ")</f>
        <v>https://drive.google.com/uc?id=1b8zHTME6OFbDU8LA8zsNRv3t1LIkHXJZ</v>
      </c>
      <c r="W354" s="5" t="str">
        <f>IFERROR(__xludf.DUMMYFUNCTION("""COMPUTED_VALUE"""),"NÃO")</f>
        <v>NÃO</v>
      </c>
      <c r="X354" s="5" t="str">
        <f>IFERROR(__xludf.DUMMYFUNCTION("""COMPUTED_VALUE"""),"NÃO SE APLICA")</f>
        <v>NÃO SE APLICA</v>
      </c>
    </row>
    <row r="355" ht="19.5" hidden="1" customHeight="1">
      <c r="A355" s="5">
        <f>IFERROR(__xludf.DUMMYFUNCTION("""COMPUTED_VALUE"""),7.0)</f>
        <v>7</v>
      </c>
      <c r="B355" s="5" t="str">
        <f>IFERROR(__xludf.DUMMYFUNCTION("""COMPUTED_VALUE"""),"CV193")</f>
        <v>CV193</v>
      </c>
      <c r="C355" s="5" t="str">
        <f>IFERROR(__xludf.DUMMYFUNCTION("""COMPUTED_VALUE"""),"NÃO POSSUI")</f>
        <v>NÃO POSSUI</v>
      </c>
      <c r="D355" s="5" t="str">
        <f>IFERROR(__xludf.DUMMYFUNCTION("""COMPUTED_VALUE"""),"SEM PLACA")</f>
        <v>SEM PLACA</v>
      </c>
      <c r="E355" s="5" t="str">
        <f>IFERROR(__xludf.DUMMYFUNCTION("""COMPUTED_VALUE"""),"SEM BAIA")</f>
        <v>SEM BAIA</v>
      </c>
      <c r="F355" s="5" t="str">
        <f>IFERROR(__xludf.DUMMYFUNCTION("""COMPUTED_VALUE"""),"NÃO")</f>
        <v>NÃO</v>
      </c>
      <c r="G355" s="5" t="str">
        <f>IFERROR(__xludf.DUMMYFUNCTION("""COMPUTED_VALUE"""),"NÃO")</f>
        <v>NÃO</v>
      </c>
      <c r="H355" s="5" t="str">
        <f>IFERROR(__xludf.DUMMYFUNCTION("""COMPUTED_VALUE"""),"PAVIMENTADA")</f>
        <v>PAVIMENTADA</v>
      </c>
      <c r="I355" s="6" t="str">
        <f>IFERROR(__xludf.DUMMYFUNCTION("""COMPUTED_VALUE"""),"-9.55019")</f>
        <v>-9.55019</v>
      </c>
      <c r="J355" s="6" t="str">
        <f>IFERROR(__xludf.DUMMYFUNCTION("""COMPUTED_VALUE""")," -35.74627
")</f>
        <v> -35.74627
</v>
      </c>
      <c r="K355" s="5" t="str">
        <f>IFERROR(__xludf.DUMMYFUNCTION("""COMPUTED_VALUE"""),"RUA SESSENTA E DOIS")</f>
        <v>RUA SESSENTA E DOIS</v>
      </c>
      <c r="L355" s="5" t="str">
        <f>IFERROR(__xludf.DUMMYFUNCTION("""COMPUTED_VALUE"""),"LOCAL")</f>
        <v>LOCAL</v>
      </c>
      <c r="M355" s="5" t="str">
        <f>IFERROR(__xludf.DUMMYFUNCTION("""COMPUTED_VALUE"""),"CIDADE UNIVERSITÁRIA")</f>
        <v>CIDADE UNIVERSITÁRIA</v>
      </c>
      <c r="N355" s="5"/>
      <c r="O355" s="5" t="str">
        <f>IFERROR(__xludf.DUMMYFUNCTION("""COMPUTED_VALUE"""),"APÓS A CRECHE ESPAÇO SEGURO")</f>
        <v>APÓS A CRECHE ESPAÇO SEGURO</v>
      </c>
      <c r="P355" s="5" t="str">
        <f>IFERROR(__xludf.DUMMYFUNCTION("""COMPUTED_VALUE"""),"PRIORIDADE ALTA")</f>
        <v>PRIORIDADE ALTA</v>
      </c>
      <c r="Q355" s="5" t="str">
        <f>IFERROR(__xludf.DUMMYFUNCTION("""COMPUTED_VALUE"""),"PINTURA DE BAÍA NO ASFALTO.")</f>
        <v>PINTURA DE BAÍA NO ASFALTO.</v>
      </c>
      <c r="R355" s="5" t="str">
        <f>IFERROR(__xludf.DUMMYFUNCTION("""COMPUTED_VALUE"""),"NENHUMA DAS OPÇÕES")</f>
        <v>NENHUMA DAS OPÇÕES</v>
      </c>
      <c r="S355" s="5"/>
      <c r="T355" s="5"/>
      <c r="U355" s="5"/>
      <c r="V355" s="5"/>
      <c r="W355" s="5" t="str">
        <f>IFERROR(__xludf.DUMMYFUNCTION("""COMPUTED_VALUE"""),"NÃO")</f>
        <v>NÃO</v>
      </c>
      <c r="X355" s="5" t="str">
        <f>IFERROR(__xludf.DUMMYFUNCTION("""COMPUTED_VALUE"""),"NÃO SE APLICA")</f>
        <v>NÃO SE APLICA</v>
      </c>
    </row>
    <row r="356" ht="14.25" hidden="1" customHeight="1">
      <c r="A356" s="5">
        <f>IFERROR(__xludf.DUMMYFUNCTION("""COMPUTED_VALUE"""),7.0)</f>
        <v>7</v>
      </c>
      <c r="B356" s="5" t="str">
        <f>IFERROR(__xludf.DUMMYFUNCTION("""COMPUTED_VALUE"""),"CV194")</f>
        <v>CV194</v>
      </c>
      <c r="C356" s="5" t="str">
        <f>IFERROR(__xludf.DUMMYFUNCTION("""COMPUTED_VALUE"""),"NÃO POSSUI")</f>
        <v>NÃO POSSUI</v>
      </c>
      <c r="D356" s="5" t="str">
        <f>IFERROR(__xludf.DUMMYFUNCTION("""COMPUTED_VALUE"""),"SEM PLACA")</f>
        <v>SEM PLACA</v>
      </c>
      <c r="E356" s="5" t="str">
        <f>IFERROR(__xludf.DUMMYFUNCTION("""COMPUTED_VALUE"""),"SEM BAIA")</f>
        <v>SEM BAIA</v>
      </c>
      <c r="F356" s="5" t="str">
        <f>IFERROR(__xludf.DUMMYFUNCTION("""COMPUTED_VALUE"""),"NÃO")</f>
        <v>NÃO</v>
      </c>
      <c r="G356" s="5" t="str">
        <f>IFERROR(__xludf.DUMMYFUNCTION("""COMPUTED_VALUE"""),"NÃO")</f>
        <v>NÃO</v>
      </c>
      <c r="H356" s="5" t="str">
        <f>IFERROR(__xludf.DUMMYFUNCTION("""COMPUTED_VALUE"""),"PAVIMENTADA")</f>
        <v>PAVIMENTADA</v>
      </c>
      <c r="I356" s="6" t="str">
        <f>IFERROR(__xludf.DUMMYFUNCTION("""COMPUTED_VALUE"""),"-9.55045")</f>
        <v>-9.55045</v>
      </c>
      <c r="J356" s="6" t="str">
        <f>IFERROR(__xludf.DUMMYFUNCTION("""COMPUTED_VALUE"""),"-35.74686")</f>
        <v>-35.74686</v>
      </c>
      <c r="K356" s="5" t="str">
        <f>IFERROR(__xludf.DUMMYFUNCTION("""COMPUTED_VALUE"""),"RUA SESSENTA E UM
")</f>
        <v>RUA SESSENTA E UM
</v>
      </c>
      <c r="L356" s="5" t="str">
        <f>IFERROR(__xludf.DUMMYFUNCTION("""COMPUTED_VALUE"""),"LOCAL")</f>
        <v>LOCAL</v>
      </c>
      <c r="M356" s="5" t="str">
        <f>IFERROR(__xludf.DUMMYFUNCTION("""COMPUTED_VALUE"""),"CIDADE UNIVERSITÁRIA")</f>
        <v>CIDADE UNIVERSITÁRIA</v>
      </c>
      <c r="N356" s="5"/>
      <c r="O356" s="5" t="str">
        <f>IFERROR(__xludf.DUMMYFUNCTION("""COMPUTED_VALUE"""),"EM FRENTE A CASA 41")</f>
        <v>EM FRENTE A CASA 41</v>
      </c>
      <c r="P356" s="5" t="str">
        <f>IFERROR(__xludf.DUMMYFUNCTION("""COMPUTED_VALUE"""),"PRIORIDADE ALTA")</f>
        <v>PRIORIDADE ALTA</v>
      </c>
      <c r="Q356" s="5" t="str">
        <f>IFERROR(__xludf.DUMMYFUNCTION("""COMPUTED_VALUE"""),"PINTURA DE BAÍA NO ASFALTO.")</f>
        <v>PINTURA DE BAÍA NO ASFALTO.</v>
      </c>
      <c r="R356" s="5" t="str">
        <f>IFERROR(__xludf.DUMMYFUNCTION("""COMPUTED_VALUE"""),"NENHUMA DAS OPÇÕES")</f>
        <v>NENHUMA DAS OPÇÕES</v>
      </c>
      <c r="S356" s="5"/>
      <c r="T356" s="5"/>
      <c r="U356" s="5"/>
      <c r="V356" s="5"/>
      <c r="W356" s="5" t="str">
        <f>IFERROR(__xludf.DUMMYFUNCTION("""COMPUTED_VALUE"""),"NÃO")</f>
        <v>NÃO</v>
      </c>
      <c r="X356" s="5" t="str">
        <f>IFERROR(__xludf.DUMMYFUNCTION("""COMPUTED_VALUE"""),"NÃO SE APLICA")</f>
        <v>NÃO SE APLICA</v>
      </c>
    </row>
    <row r="357" ht="15.0" hidden="1" customHeight="1">
      <c r="A357" s="5">
        <f>IFERROR(__xludf.DUMMYFUNCTION("""COMPUTED_VALUE"""),7.0)</f>
        <v>7</v>
      </c>
      <c r="B357" s="5" t="str">
        <f>IFERROR(__xludf.DUMMYFUNCTION("""COMPUTED_VALUE"""),"CV199")</f>
        <v>CV199</v>
      </c>
      <c r="C357" s="5" t="str">
        <f>IFERROR(__xludf.DUMMYFUNCTION("""COMPUTED_VALUE"""),"NÃO POSSUI")</f>
        <v>NÃO POSSUI</v>
      </c>
      <c r="D357" s="5" t="str">
        <f>IFERROR(__xludf.DUMMYFUNCTION("""COMPUTED_VALUE"""),"SEM PLACA")</f>
        <v>SEM PLACA</v>
      </c>
      <c r="E357" s="5" t="str">
        <f>IFERROR(__xludf.DUMMYFUNCTION("""COMPUTED_VALUE"""),"SEM BAIA")</f>
        <v>SEM BAIA</v>
      </c>
      <c r="F357" s="5" t="str">
        <f>IFERROR(__xludf.DUMMYFUNCTION("""COMPUTED_VALUE"""),"NÃO")</f>
        <v>NÃO</v>
      </c>
      <c r="G357" s="5" t="str">
        <f>IFERROR(__xludf.DUMMYFUNCTION("""COMPUTED_VALUE"""),"NÃO")</f>
        <v>NÃO</v>
      </c>
      <c r="H357" s="5" t="str">
        <f>IFERROR(__xludf.DUMMYFUNCTION("""COMPUTED_VALUE"""),"PAVIMENTADA")</f>
        <v>PAVIMENTADA</v>
      </c>
      <c r="I357" s="6" t="str">
        <f>IFERROR(__xludf.DUMMYFUNCTION("""COMPUTED_VALUE"""),"-9.54771")</f>
        <v>-9.54771</v>
      </c>
      <c r="J357" s="6" t="str">
        <f>IFERROR(__xludf.DUMMYFUNCTION("""COMPUTED_VALUE""")," -35.75033
")</f>
        <v> -35.75033
</v>
      </c>
      <c r="K357" s="5" t="str">
        <f>IFERROR(__xludf.DUMMYFUNCTION("""COMPUTED_VALUE"""),"AV. ROSINALDO FERREIRA MENDES ")</f>
        <v>AV. ROSINALDO FERREIRA MENDES </v>
      </c>
      <c r="L357" s="5" t="str">
        <f>IFERROR(__xludf.DUMMYFUNCTION("""COMPUTED_VALUE"""),"COLETORA")</f>
        <v>COLETORA</v>
      </c>
      <c r="M357" s="5" t="str">
        <f>IFERROR(__xludf.DUMMYFUNCTION("""COMPUTED_VALUE"""),"CIDADE UNIVERSITÁRIA")</f>
        <v>CIDADE UNIVERSITÁRIA</v>
      </c>
      <c r="N357" s="5"/>
      <c r="O357" s="5" t="str">
        <f>IFERROR(__xludf.DUMMYFUNCTION("""COMPUTED_VALUE"""),"ANTES DA CASA 496")</f>
        <v>ANTES DA CASA 496</v>
      </c>
      <c r="P357" s="5" t="str">
        <f>IFERROR(__xludf.DUMMYFUNCTION("""COMPUTED_VALUE"""),"PRIORIDADE ALTA")</f>
        <v>PRIORIDADE ALTA</v>
      </c>
      <c r="Q357" s="5" t="str">
        <f>IFERROR(__xludf.DUMMYFUNCTION("""COMPUTED_VALUE"""),"READEQUAÇÃO DE CALÇADA COM ACESSIBILIDADE E PINTURA DE BAÍA NO ASFALTO.")</f>
        <v>READEQUAÇÃO DE CALÇADA COM ACESSIBILIDADE E PINTURA DE BAÍA NO ASFALTO.</v>
      </c>
      <c r="R357" s="5" t="str">
        <f>IFERROR(__xludf.DUMMYFUNCTION("""COMPUTED_VALUE"""),"NENHUMA DAS OPÇÕES")</f>
        <v>NENHUMA DAS OPÇÕES</v>
      </c>
      <c r="S357" s="5"/>
      <c r="T357" s="5"/>
      <c r="U357" s="5"/>
      <c r="V357" s="5"/>
      <c r="W357" s="5" t="str">
        <f>IFERROR(__xludf.DUMMYFUNCTION("""COMPUTED_VALUE"""),"NÃO")</f>
        <v>NÃO</v>
      </c>
      <c r="X357" s="5" t="str">
        <f>IFERROR(__xludf.DUMMYFUNCTION("""COMPUTED_VALUE"""),"NÃO SE APLICA")</f>
        <v>NÃO SE APLICA</v>
      </c>
    </row>
    <row r="358" ht="19.5" hidden="1" customHeight="1">
      <c r="A358" s="5">
        <f>IFERROR(__xludf.DUMMYFUNCTION("""COMPUTED_VALUE"""),7.0)</f>
        <v>7</v>
      </c>
      <c r="B358" s="5" t="str">
        <f>IFERROR(__xludf.DUMMYFUNCTION("""COMPUTED_VALUE"""),"CV200")</f>
        <v>CV200</v>
      </c>
      <c r="C358" s="5" t="str">
        <f>IFERROR(__xludf.DUMMYFUNCTION("""COMPUTED_VALUE"""),"NÃO POSSUI")</f>
        <v>NÃO POSSUI</v>
      </c>
      <c r="D358" s="5" t="str">
        <f>IFERROR(__xludf.DUMMYFUNCTION("""COMPUTED_VALUE"""),"SEM PLACA")</f>
        <v>SEM PLACA</v>
      </c>
      <c r="E358" s="5" t="str">
        <f>IFERROR(__xludf.DUMMYFUNCTION("""COMPUTED_VALUE"""),"SEM BAIA")</f>
        <v>SEM BAIA</v>
      </c>
      <c r="F358" s="5" t="str">
        <f>IFERROR(__xludf.DUMMYFUNCTION("""COMPUTED_VALUE"""),"NÃO")</f>
        <v>NÃO</v>
      </c>
      <c r="G358" s="5" t="str">
        <f>IFERROR(__xludf.DUMMYFUNCTION("""COMPUTED_VALUE"""),"SIM")</f>
        <v>SIM</v>
      </c>
      <c r="H358" s="5" t="str">
        <f>IFERROR(__xludf.DUMMYFUNCTION("""COMPUTED_VALUE"""),"PAVIMENTADA COM AVARIAS")</f>
        <v>PAVIMENTADA COM AVARIAS</v>
      </c>
      <c r="I358" s="6" t="str">
        <f>IFERROR(__xludf.DUMMYFUNCTION("""COMPUTED_VALUE"""),"-9.54443")</f>
        <v>-9.54443</v>
      </c>
      <c r="J358" s="6" t="str">
        <f>IFERROR(__xludf.DUMMYFUNCTION("""COMPUTED_VALUE"""),"-35.76246
")</f>
        <v>-35.76246
</v>
      </c>
      <c r="K358" s="5" t="str">
        <f>IFERROR(__xludf.DUMMYFUNCTION("""COMPUTED_VALUE"""),"AV. ALICE CAROLINA")</f>
        <v>AV. ALICE CAROLINA</v>
      </c>
      <c r="L358" s="5" t="str">
        <f>IFERROR(__xludf.DUMMYFUNCTION("""COMPUTED_VALUE"""),"COLETORA")</f>
        <v>COLETORA</v>
      </c>
      <c r="M358" s="5" t="str">
        <f>IFERROR(__xludf.DUMMYFUNCTION("""COMPUTED_VALUE"""),"CIDADE UNIVERSITÁRIA")</f>
        <v>CIDADE UNIVERSITÁRIA</v>
      </c>
      <c r="N358" s="5" t="str">
        <f>IFERROR(__xludf.DUMMYFUNCTION("""COMPUTED_VALUE""")," BENEDITO BENTES - CIDADE UNIVERSITÁRIA ")</f>
        <v> BENEDITO BENTES - CIDADE UNIVERSITÁRIA </v>
      </c>
      <c r="O358" s="5" t="str">
        <f>IFERROR(__xludf.DUMMYFUNCTION("""COMPUTED_VALUE"""),"EM FRENTE ARENA SANTA ANA")</f>
        <v>EM FRENTE ARENA SANTA ANA</v>
      </c>
      <c r="P358" s="5" t="str">
        <f>IFERROR(__xludf.DUMMYFUNCTION("""COMPUTED_VALUE"""),"PRIORIDADE ALTA")</f>
        <v>PRIORIDADE ALTA</v>
      </c>
      <c r="Q358" s="5" t="str">
        <f>IFERROR(__xludf.DUMMYFUNCTION("""COMPUTED_VALUE"""),"READEQUAÇÃO DE CALÇADA COM ACESSIBILIDADE E PINTURA DE BAÍA NO ASFALTO.")</f>
        <v>READEQUAÇÃO DE CALÇADA COM ACESSIBILIDADE E PINTURA DE BAÍA NO ASFALTO.</v>
      </c>
      <c r="R358" s="5" t="str">
        <f>IFERROR(__xludf.DUMMYFUNCTION("""COMPUTED_VALUE"""),"NENHUMA DAS OPÇÕES")</f>
        <v>NENHUMA DAS OPÇÕES</v>
      </c>
      <c r="S358" s="5"/>
      <c r="T358" s="5"/>
      <c r="U358" s="5"/>
      <c r="V358" s="9" t="str">
        <f>IFERROR(__xludf.DUMMYFUNCTION("""COMPUTED_VALUE"""),"https://drive.google.com/uc?id=1tKe_uV4Lzq1_06M-amATU2tHVkZUymH6")</f>
        <v>https://drive.google.com/uc?id=1tKe_uV4Lzq1_06M-amATU2tHVkZUymH6</v>
      </c>
      <c r="W358" s="5" t="str">
        <f>IFERROR(__xludf.DUMMYFUNCTION("""COMPUTED_VALUE"""),"NÃO")</f>
        <v>NÃO</v>
      </c>
      <c r="X358" s="5" t="str">
        <f>IFERROR(__xludf.DUMMYFUNCTION("""COMPUTED_VALUE"""),"NÃO SE APLICA")</f>
        <v>NÃO SE APLICA</v>
      </c>
    </row>
    <row r="359" hidden="1">
      <c r="A359" s="5">
        <f>IFERROR(__xludf.DUMMYFUNCTION("""COMPUTED_VALUE"""),7.0)</f>
        <v>7</v>
      </c>
      <c r="B359" s="5" t="str">
        <f>IFERROR(__xludf.DUMMYFUNCTION("""COMPUTED_VALUE"""),"CV202")</f>
        <v>CV202</v>
      </c>
      <c r="C359" s="5" t="str">
        <f>IFERROR(__xludf.DUMMYFUNCTION("""COMPUTED_VALUE"""),"NÃO POSSUI")</f>
        <v>NÃO POSSUI</v>
      </c>
      <c r="D359" s="5" t="str">
        <f>IFERROR(__xludf.DUMMYFUNCTION("""COMPUTED_VALUE"""),"SEM PLACA")</f>
        <v>SEM PLACA</v>
      </c>
      <c r="E359" s="5" t="str">
        <f>IFERROR(__xludf.DUMMYFUNCTION("""COMPUTED_VALUE"""),"SEM BAIA")</f>
        <v>SEM BAIA</v>
      </c>
      <c r="F359" s="5" t="str">
        <f>IFERROR(__xludf.DUMMYFUNCTION("""COMPUTED_VALUE"""),"NÃO")</f>
        <v>NÃO</v>
      </c>
      <c r="G359" s="5" t="str">
        <f>IFERROR(__xludf.DUMMYFUNCTION("""COMPUTED_VALUE"""),"NÃO")</f>
        <v>NÃO</v>
      </c>
      <c r="H359" s="5" t="str">
        <f>IFERROR(__xludf.DUMMYFUNCTION("""COMPUTED_VALUE"""),"NÃO PAVIMENTADA")</f>
        <v>NÃO PAVIMENTADA</v>
      </c>
      <c r="I359" s="6" t="str">
        <f>IFERROR(__xludf.DUMMYFUNCTION("""COMPUTED_VALUE"""),"-9.54443")</f>
        <v>-9.54443</v>
      </c>
      <c r="J359" s="6" t="str">
        <f>IFERROR(__xludf.DUMMYFUNCTION("""COMPUTED_VALUE"""),"-35.76253")</f>
        <v>-35.76253</v>
      </c>
      <c r="K359" s="5" t="str">
        <f>IFERROR(__xludf.DUMMYFUNCTION("""COMPUTED_VALUE"""),"AV. ALICE CAROLINA")</f>
        <v>AV. ALICE CAROLINA</v>
      </c>
      <c r="L359" s="5" t="str">
        <f>IFERROR(__xludf.DUMMYFUNCTION("""COMPUTED_VALUE"""),"COLETORA")</f>
        <v>COLETORA</v>
      </c>
      <c r="M359" s="5" t="str">
        <f>IFERROR(__xludf.DUMMYFUNCTION("""COMPUTED_VALUE"""),"CIDADE UNIVERSITÁRIA")</f>
        <v>CIDADE UNIVERSITÁRIA</v>
      </c>
      <c r="N359" s="5" t="str">
        <f>IFERROR(__xludf.DUMMYFUNCTION("""COMPUTED_VALUE"""),"CIDADE UNIVERSITÁRIA - BENEDITO BENTES")</f>
        <v>CIDADE UNIVERSITÁRIA - BENEDITO BENTES</v>
      </c>
      <c r="O359" s="5" t="str">
        <f>IFERROR(__xludf.DUMMYFUNCTION("""COMPUTED_VALUE"""),"EM FRENTE ARENA SANTA ANA")</f>
        <v>EM FRENTE ARENA SANTA ANA</v>
      </c>
      <c r="P359" s="5" t="str">
        <f>IFERROR(__xludf.DUMMYFUNCTION("""COMPUTED_VALUE"""),"PRIORIDADE ALTA")</f>
        <v>PRIORIDADE ALTA</v>
      </c>
      <c r="Q359" s="5" t="str">
        <f>IFERROR(__xludf.DUMMYFUNCTION("""COMPUTED_VALUE"""),"READEQUAÇÃO DE CALÇADA COM ACESSIBILIDADE E PINTURA DE BAÍA NO ASFALTO.")</f>
        <v>READEQUAÇÃO DE CALÇADA COM ACESSIBILIDADE E PINTURA DE BAÍA NO ASFALTO.</v>
      </c>
      <c r="R359" s="5" t="str">
        <f>IFERROR(__xludf.DUMMYFUNCTION("""COMPUTED_VALUE"""),"NENHUMA DAS OPÇÕES")</f>
        <v>NENHUMA DAS OPÇÕES</v>
      </c>
      <c r="S359" s="5"/>
      <c r="T359" s="5"/>
      <c r="U359" s="5"/>
      <c r="V359" s="5"/>
      <c r="W359" s="5" t="str">
        <f>IFERROR(__xludf.DUMMYFUNCTION("""COMPUTED_VALUE"""),"NÃO")</f>
        <v>NÃO</v>
      </c>
      <c r="X359" s="5" t="str">
        <f>IFERROR(__xludf.DUMMYFUNCTION("""COMPUTED_VALUE"""),"NÃO SE APLICA")</f>
        <v>NÃO SE APLICA</v>
      </c>
    </row>
    <row r="360" hidden="1">
      <c r="A360" s="5">
        <f>IFERROR(__xludf.DUMMYFUNCTION("""COMPUTED_VALUE"""),7.0)</f>
        <v>7</v>
      </c>
      <c r="B360" s="5" t="str">
        <f>IFERROR(__xludf.DUMMYFUNCTION("""COMPUTED_VALUE"""),"CV203")</f>
        <v>CV203</v>
      </c>
      <c r="C360" s="5" t="str">
        <f>IFERROR(__xludf.DUMMYFUNCTION("""COMPUTED_VALUE"""),"NÃO POSSUI")</f>
        <v>NÃO POSSUI</v>
      </c>
      <c r="D360" s="5" t="str">
        <f>IFERROR(__xludf.DUMMYFUNCTION("""COMPUTED_VALUE"""),"SEM PLACA")</f>
        <v>SEM PLACA</v>
      </c>
      <c r="E360" s="5" t="str">
        <f>IFERROR(__xludf.DUMMYFUNCTION("""COMPUTED_VALUE"""),"SEM BAIA")</f>
        <v>SEM BAIA</v>
      </c>
      <c r="F360" s="5" t="str">
        <f>IFERROR(__xludf.DUMMYFUNCTION("""COMPUTED_VALUE"""),"NÃO")</f>
        <v>NÃO</v>
      </c>
      <c r="G360" s="5" t="str">
        <f>IFERROR(__xludf.DUMMYFUNCTION("""COMPUTED_VALUE"""),"NÃO")</f>
        <v>NÃO</v>
      </c>
      <c r="H360" s="5" t="str">
        <f>IFERROR(__xludf.DUMMYFUNCTION("""COMPUTED_VALUE"""),"NÃO PAVIMENTADA")</f>
        <v>NÃO PAVIMENTADA</v>
      </c>
      <c r="I360" s="6" t="str">
        <f>IFERROR(__xludf.DUMMYFUNCTION("""COMPUTED_VALUE"""),"-9.545603")</f>
        <v>-9.545603</v>
      </c>
      <c r="J360" s="6" t="str">
        <f>IFERROR(__xludf.DUMMYFUNCTION("""COMPUTED_VALUE""")," -35.758356")</f>
        <v> -35.758356</v>
      </c>
      <c r="K360" s="5" t="str">
        <f>IFERROR(__xludf.DUMMYFUNCTION("""COMPUTED_VALUE"""),"R. BENEDITO CALAÇA LOUREIRO")</f>
        <v>R. BENEDITO CALAÇA LOUREIRO</v>
      </c>
      <c r="L360" s="5" t="str">
        <f>IFERROR(__xludf.DUMMYFUNCTION("""COMPUTED_VALUE"""),"COLETORA")</f>
        <v>COLETORA</v>
      </c>
      <c r="M360" s="5" t="str">
        <f>IFERROR(__xludf.DUMMYFUNCTION("""COMPUTED_VALUE"""),"CIDADE UNIVERSITÁRIA")</f>
        <v>CIDADE UNIVERSITÁRIA</v>
      </c>
      <c r="N360" s="5"/>
      <c r="O360" s="5" t="str">
        <f>IFERROR(__xludf.DUMMYFUNCTION("""COMPUTED_VALUE"""),"DO LADO OPOSTO DA RUA A ENTRADA LATERAL DA REFRESQ")</f>
        <v>DO LADO OPOSTO DA RUA A ENTRADA LATERAL DA REFRESQ</v>
      </c>
      <c r="P360" s="5" t="str">
        <f>IFERROR(__xludf.DUMMYFUNCTION("""COMPUTED_VALUE"""),"PRIORIDADE ALTA")</f>
        <v>PRIORIDADE ALTA</v>
      </c>
      <c r="Q360" s="5" t="str">
        <f>IFERROR(__xludf.DUMMYFUNCTION("""COMPUTED_VALUE"""),"READEQUAÇÃO DE CALÇADA COM ACESSIBILIDADE E PINTURA DE BAÍA NO ASFALTO.")</f>
        <v>READEQUAÇÃO DE CALÇADA COM ACESSIBILIDADE E PINTURA DE BAÍA NO ASFALTO.</v>
      </c>
      <c r="R360" s="5" t="str">
        <f>IFERROR(__xludf.DUMMYFUNCTION("""COMPUTED_VALUE"""),"NENHUMA DAS OPÇÕES")</f>
        <v>NENHUMA DAS OPÇÕES</v>
      </c>
      <c r="S360" s="5"/>
      <c r="T360" s="5"/>
      <c r="U360" s="5"/>
      <c r="V360" s="9" t="str">
        <f>IFERROR(__xludf.DUMMYFUNCTION("""COMPUTED_VALUE"""),"https://drive.google.com/uc?id=1ugV1232c51bYK_ZCJFixOMQzVdgGqFkJ")</f>
        <v>https://drive.google.com/uc?id=1ugV1232c51bYK_ZCJFixOMQzVdgGqFkJ</v>
      </c>
      <c r="W360" s="5" t="str">
        <f>IFERROR(__xludf.DUMMYFUNCTION("""COMPUTED_VALUE"""),"NÃO")</f>
        <v>NÃO</v>
      </c>
      <c r="X360" s="5" t="str">
        <f>IFERROR(__xludf.DUMMYFUNCTION("""COMPUTED_VALUE"""),"NÃO SE APLICA")</f>
        <v>NÃO SE APLICA</v>
      </c>
    </row>
    <row r="361" hidden="1">
      <c r="A361" s="5">
        <f>IFERROR(__xludf.DUMMYFUNCTION("""COMPUTED_VALUE"""),7.0)</f>
        <v>7</v>
      </c>
      <c r="B361" s="5" t="str">
        <f>IFERROR(__xludf.DUMMYFUNCTION("""COMPUTED_VALUE"""),"CV204")</f>
        <v>CV204</v>
      </c>
      <c r="C361" s="5" t="str">
        <f>IFERROR(__xludf.DUMMYFUNCTION("""COMPUTED_VALUE"""),"NÃO POSSUI")</f>
        <v>NÃO POSSUI</v>
      </c>
      <c r="D361" s="5" t="str">
        <f>IFERROR(__xludf.DUMMYFUNCTION("""COMPUTED_VALUE"""),"SEM PLACA")</f>
        <v>SEM PLACA</v>
      </c>
      <c r="E361" s="5" t="str">
        <f>IFERROR(__xludf.DUMMYFUNCTION("""COMPUTED_VALUE"""),"SEM BAIA")</f>
        <v>SEM BAIA</v>
      </c>
      <c r="F361" s="5" t="str">
        <f>IFERROR(__xludf.DUMMYFUNCTION("""COMPUTED_VALUE"""),"NÃO")</f>
        <v>NÃO</v>
      </c>
      <c r="G361" s="5" t="str">
        <f>IFERROR(__xludf.DUMMYFUNCTION("""COMPUTED_VALUE"""),"NÃO")</f>
        <v>NÃO</v>
      </c>
      <c r="H361" s="5" t="str">
        <f>IFERROR(__xludf.DUMMYFUNCTION("""COMPUTED_VALUE"""),"PAVIMENTADA")</f>
        <v>PAVIMENTADA</v>
      </c>
      <c r="I361" s="6" t="str">
        <f>IFERROR(__xludf.DUMMYFUNCTION("""COMPUTED_VALUE"""),"-9.54467")</f>
        <v>-9.54467</v>
      </c>
      <c r="J361" s="6" t="str">
        <f>IFERROR(__xludf.DUMMYFUNCTION("""COMPUTED_VALUE"""),"-35.75650
")</f>
        <v>-35.75650
</v>
      </c>
      <c r="K361" s="5" t="str">
        <f>IFERROR(__xludf.DUMMYFUNCTION("""COMPUTED_VALUE"""),"R. BENEDITO CALAÇA LOUREIRO")</f>
        <v>R. BENEDITO CALAÇA LOUREIRO</v>
      </c>
      <c r="L361" s="5" t="str">
        <f>IFERROR(__xludf.DUMMYFUNCTION("""COMPUTED_VALUE"""),"COLETORA")</f>
        <v>COLETORA</v>
      </c>
      <c r="M361" s="5" t="str">
        <f>IFERROR(__xludf.DUMMYFUNCTION("""COMPUTED_VALUE"""),"CIDADE UNIVERSITÁRIA")</f>
        <v>CIDADE UNIVERSITÁRIA</v>
      </c>
      <c r="N361" s="5"/>
      <c r="O361" s="5"/>
      <c r="P361" s="5" t="str">
        <f>IFERROR(__xludf.DUMMYFUNCTION("""COMPUTED_VALUE"""),"PRIORIDADE ALTA")</f>
        <v>PRIORIDADE ALTA</v>
      </c>
      <c r="Q361" s="5" t="str">
        <f>IFERROR(__xludf.DUMMYFUNCTION("""COMPUTED_VALUE"""),"READEQUAÇÃO DE CALÇADA COM ACESSIBILIDADE E PINTURA DE BAÍA NO ASFALTO.")</f>
        <v>READEQUAÇÃO DE CALÇADA COM ACESSIBILIDADE E PINTURA DE BAÍA NO ASFALTO.</v>
      </c>
      <c r="R361" s="5" t="str">
        <f>IFERROR(__xludf.DUMMYFUNCTION("""COMPUTED_VALUE"""),"NENHUMA DAS OPÇÕES")</f>
        <v>NENHUMA DAS OPÇÕES</v>
      </c>
      <c r="S361" s="5"/>
      <c r="T361" s="5"/>
      <c r="U361" s="5"/>
      <c r="V361" s="5"/>
      <c r="W361" s="5" t="str">
        <f>IFERROR(__xludf.DUMMYFUNCTION("""COMPUTED_VALUE"""),"NÃO")</f>
        <v>NÃO</v>
      </c>
      <c r="X361" s="5" t="str">
        <f>IFERROR(__xludf.DUMMYFUNCTION("""COMPUTED_VALUE"""),"NÃO SE APLICA")</f>
        <v>NÃO SE APLICA</v>
      </c>
    </row>
    <row r="362" hidden="1">
      <c r="A362" s="5">
        <f>IFERROR(__xludf.DUMMYFUNCTION("""COMPUTED_VALUE"""),7.0)</f>
        <v>7</v>
      </c>
      <c r="B362" s="5" t="str">
        <f>IFERROR(__xludf.DUMMYFUNCTION("""COMPUTED_VALUE"""),"CV205")</f>
        <v>CV205</v>
      </c>
      <c r="C362" s="5" t="str">
        <f>IFERROR(__xludf.DUMMYFUNCTION("""COMPUTED_VALUE"""),"NÃO POSSUI")</f>
        <v>NÃO POSSUI</v>
      </c>
      <c r="D362" s="5" t="str">
        <f>IFERROR(__xludf.DUMMYFUNCTION("""COMPUTED_VALUE"""),"SEM PLACA")</f>
        <v>SEM PLACA</v>
      </c>
      <c r="E362" s="5" t="str">
        <f>IFERROR(__xludf.DUMMYFUNCTION("""COMPUTED_VALUE"""),"SEM BAIA")</f>
        <v>SEM BAIA</v>
      </c>
      <c r="F362" s="5" t="str">
        <f>IFERROR(__xludf.DUMMYFUNCTION("""COMPUTED_VALUE"""),"NÃO")</f>
        <v>NÃO</v>
      </c>
      <c r="G362" s="5" t="str">
        <f>IFERROR(__xludf.DUMMYFUNCTION("""COMPUTED_VALUE"""),"NÃO")</f>
        <v>NÃO</v>
      </c>
      <c r="H362" s="5" t="str">
        <f>IFERROR(__xludf.DUMMYFUNCTION("""COMPUTED_VALUE"""),"NÃO PAVIMENTADA")</f>
        <v>NÃO PAVIMENTADA</v>
      </c>
      <c r="I362" s="6" t="str">
        <f>IFERROR(__xludf.DUMMYFUNCTION("""COMPUTED_VALUE"""),"-9.54664")</f>
        <v>-9.54664</v>
      </c>
      <c r="J362" s="6" t="str">
        <f>IFERROR(__xludf.DUMMYFUNCTION("""COMPUTED_VALUE""")," -35.75802
")</f>
        <v> -35.75802
</v>
      </c>
      <c r="K362" s="5" t="str">
        <f>IFERROR(__xludf.DUMMYFUNCTION("""COMPUTED_VALUE"""),"RUA SANTA LUIZA")</f>
        <v>RUA SANTA LUIZA</v>
      </c>
      <c r="L362" s="5" t="str">
        <f>IFERROR(__xludf.DUMMYFUNCTION("""COMPUTED_VALUE"""),"COLETORA")</f>
        <v>COLETORA</v>
      </c>
      <c r="M362" s="5" t="str">
        <f>IFERROR(__xludf.DUMMYFUNCTION("""COMPUTED_VALUE"""),"CIDADE UNIVERSITÁRIA")</f>
        <v>CIDADE UNIVERSITÁRIA</v>
      </c>
      <c r="N362" s="5"/>
      <c r="O362" s="5"/>
      <c r="P362" s="5" t="str">
        <f>IFERROR(__xludf.DUMMYFUNCTION("""COMPUTED_VALUE"""),"PRIORIDADE ALTA")</f>
        <v>PRIORIDADE ALTA</v>
      </c>
      <c r="Q362" s="5" t="str">
        <f>IFERROR(__xludf.DUMMYFUNCTION("""COMPUTED_VALUE"""),"READEQUAÇÃO DE CALÇADA COM ACESSIBILIDADE E PINTURA DE BAÍA NO ASFALTO.")</f>
        <v>READEQUAÇÃO DE CALÇADA COM ACESSIBILIDADE E PINTURA DE BAÍA NO ASFALTO.</v>
      </c>
      <c r="R362" s="5" t="str">
        <f>IFERROR(__xludf.DUMMYFUNCTION("""COMPUTED_VALUE"""),"NENHUMA DAS OPÇÕES")</f>
        <v>NENHUMA DAS OPÇÕES</v>
      </c>
      <c r="S362" s="5"/>
      <c r="T362" s="5"/>
      <c r="U362" s="5"/>
      <c r="V362" s="5"/>
      <c r="W362" s="5" t="str">
        <f>IFERROR(__xludf.DUMMYFUNCTION("""COMPUTED_VALUE"""),"NÃO")</f>
        <v>NÃO</v>
      </c>
      <c r="X362" s="5" t="str">
        <f>IFERROR(__xludf.DUMMYFUNCTION("""COMPUTED_VALUE"""),"NÃO SE APLICA")</f>
        <v>NÃO SE APLICA</v>
      </c>
    </row>
    <row r="363" ht="18.75" hidden="1" customHeight="1">
      <c r="A363" s="5">
        <f>IFERROR(__xludf.DUMMYFUNCTION("""COMPUTED_VALUE"""),7.0)</f>
        <v>7</v>
      </c>
      <c r="B363" s="5" t="str">
        <f>IFERROR(__xludf.DUMMYFUNCTION("""COMPUTED_VALUE"""),"CV206")</f>
        <v>CV206</v>
      </c>
      <c r="C363" s="5" t="str">
        <f>IFERROR(__xludf.DUMMYFUNCTION("""COMPUTED_VALUE"""),"NÃO POSSUI")</f>
        <v>NÃO POSSUI</v>
      </c>
      <c r="D363" s="5" t="str">
        <f>IFERROR(__xludf.DUMMYFUNCTION("""COMPUTED_VALUE"""),"SEM PLACA")</f>
        <v>SEM PLACA</v>
      </c>
      <c r="E363" s="5" t="str">
        <f>IFERROR(__xludf.DUMMYFUNCTION("""COMPUTED_VALUE"""),"SEM BAIA")</f>
        <v>SEM BAIA</v>
      </c>
      <c r="F363" s="5" t="str">
        <f>IFERROR(__xludf.DUMMYFUNCTION("""COMPUTED_VALUE"""),"NÃO")</f>
        <v>NÃO</v>
      </c>
      <c r="G363" s="5" t="str">
        <f>IFERROR(__xludf.DUMMYFUNCTION("""COMPUTED_VALUE"""),"NÃO")</f>
        <v>NÃO</v>
      </c>
      <c r="H363" s="5" t="str">
        <f>IFERROR(__xludf.DUMMYFUNCTION("""COMPUTED_VALUE"""),"NÃO PAVIMENTADA")</f>
        <v>NÃO PAVIMENTADA</v>
      </c>
      <c r="I363" s="6" t="str">
        <f>IFERROR(__xludf.DUMMYFUNCTION("""COMPUTED_VALUE"""),"-9.54466")</f>
        <v>-9.54466</v>
      </c>
      <c r="J363" s="6" t="str">
        <f>IFERROR(__xludf.DUMMYFUNCTION("""COMPUTED_VALUE""")," -35.75405
")</f>
        <v> -35.75405
</v>
      </c>
      <c r="K363" s="5" t="str">
        <f>IFERROR(__xludf.DUMMYFUNCTION("""COMPUTED_VALUE"""),"RUA SANTA LUIZA")</f>
        <v>RUA SANTA LUIZA</v>
      </c>
      <c r="L363" s="5" t="str">
        <f>IFERROR(__xludf.DUMMYFUNCTION("""COMPUTED_VALUE"""),"COLETORA")</f>
        <v>COLETORA</v>
      </c>
      <c r="M363" s="5" t="str">
        <f>IFERROR(__xludf.DUMMYFUNCTION("""COMPUTED_VALUE"""),"CIDADE UNIVERSITÁRIA")</f>
        <v>CIDADE UNIVERSITÁRIA</v>
      </c>
      <c r="N363" s="5"/>
      <c r="O363" s="5" t="str">
        <f>IFERROR(__xludf.DUMMYFUNCTION("""COMPUTED_VALUE"""),"PROXIMO AO COLEGIO DIOGO MARCOS")</f>
        <v>PROXIMO AO COLEGIO DIOGO MARCOS</v>
      </c>
      <c r="P363" s="5" t="str">
        <f>IFERROR(__xludf.DUMMYFUNCTION("""COMPUTED_VALUE"""),"PRIORIDADE ALTA")</f>
        <v>PRIORIDADE ALTA</v>
      </c>
      <c r="Q363" s="5" t="str">
        <f>IFERROR(__xludf.DUMMYFUNCTION("""COMPUTED_VALUE"""),"READEQUAÇÃO DE CALÇADA COM ACESSIBILIDADE E PINTURA DE BAÍA NO ASFALTO.")</f>
        <v>READEQUAÇÃO DE CALÇADA COM ACESSIBILIDADE E PINTURA DE BAÍA NO ASFALTO.</v>
      </c>
      <c r="R363" s="5" t="str">
        <f>IFERROR(__xludf.DUMMYFUNCTION("""COMPUTED_VALUE"""),"NENHUMA DAS OPÇÕES")</f>
        <v>NENHUMA DAS OPÇÕES</v>
      </c>
      <c r="S363" s="5"/>
      <c r="T363" s="5"/>
      <c r="U363" s="5"/>
      <c r="V363" s="5"/>
      <c r="W363" s="5" t="str">
        <f>IFERROR(__xludf.DUMMYFUNCTION("""COMPUTED_VALUE"""),"NÃO")</f>
        <v>NÃO</v>
      </c>
      <c r="X363" s="5" t="str">
        <f>IFERROR(__xludf.DUMMYFUNCTION("""COMPUTED_VALUE"""),"NÃO SE APLICA")</f>
        <v>NÃO SE APLICA</v>
      </c>
    </row>
    <row r="364" hidden="1">
      <c r="A364" s="5">
        <f>IFERROR(__xludf.DUMMYFUNCTION("""COMPUTED_VALUE"""),7.0)</f>
        <v>7</v>
      </c>
      <c r="B364" s="5" t="str">
        <f>IFERROR(__xludf.DUMMYFUNCTION("""COMPUTED_VALUE"""),"CV207")</f>
        <v>CV207</v>
      </c>
      <c r="C364" s="5" t="str">
        <f>IFERROR(__xludf.DUMMYFUNCTION("""COMPUTED_VALUE"""),"NÃO POSSUI")</f>
        <v>NÃO POSSUI</v>
      </c>
      <c r="D364" s="5" t="str">
        <f>IFERROR(__xludf.DUMMYFUNCTION("""COMPUTED_VALUE"""),"SEM PLACA")</f>
        <v>SEM PLACA</v>
      </c>
      <c r="E364" s="5" t="str">
        <f>IFERROR(__xludf.DUMMYFUNCTION("""COMPUTED_VALUE"""),"SEM BAIA")</f>
        <v>SEM BAIA</v>
      </c>
      <c r="F364" s="5" t="str">
        <f>IFERROR(__xludf.DUMMYFUNCTION("""COMPUTED_VALUE"""),"NÃO")</f>
        <v>NÃO</v>
      </c>
      <c r="G364" s="5" t="str">
        <f>IFERROR(__xludf.DUMMYFUNCTION("""COMPUTED_VALUE"""),"NÃO")</f>
        <v>NÃO</v>
      </c>
      <c r="H364" s="5" t="str">
        <f>IFERROR(__xludf.DUMMYFUNCTION("""COMPUTED_VALUE"""),"PAVIMENTADA COM AVARIAS")</f>
        <v>PAVIMENTADA COM AVARIAS</v>
      </c>
      <c r="I364" s="6" t="str">
        <f>IFERROR(__xludf.DUMMYFUNCTION("""COMPUTED_VALUE"""),"-9.54416")</f>
        <v>-9.54416</v>
      </c>
      <c r="J364" s="6" t="str">
        <f>IFERROR(__xludf.DUMMYFUNCTION("""COMPUTED_VALUE""")," -35.75623
")</f>
        <v> -35.75623
</v>
      </c>
      <c r="K364" s="5" t="str">
        <f>IFERROR(__xludf.DUMMYFUNCTION("""COMPUTED_VALUE"""),"AV. TANCREDO NEVES")</f>
        <v>AV. TANCREDO NEVES</v>
      </c>
      <c r="L364" s="5" t="str">
        <f>IFERROR(__xludf.DUMMYFUNCTION("""COMPUTED_VALUE"""),"COLETORA")</f>
        <v>COLETORA</v>
      </c>
      <c r="M364" s="5" t="str">
        <f>IFERROR(__xludf.DUMMYFUNCTION("""COMPUTED_VALUE"""),"CIDADE UNIVERSITÁRIA")</f>
        <v>CIDADE UNIVERSITÁRIA</v>
      </c>
      <c r="N364" s="5" t="str">
        <f>IFERROR(__xludf.DUMMYFUNCTION("""COMPUTED_VALUE"""),"CENTRO - BAIRRO")</f>
        <v>CENTRO - BAIRRO</v>
      </c>
      <c r="O364" s="5" t="str">
        <f>IFERROR(__xludf.DUMMYFUNCTION("""COMPUTED_VALUE"""),"EM FRENTE A CASA 142")</f>
        <v>EM FRENTE A CASA 142</v>
      </c>
      <c r="P364" s="5" t="str">
        <f>IFERROR(__xludf.DUMMYFUNCTION("""COMPUTED_VALUE"""),"PRIORIDADE ALTA")</f>
        <v>PRIORIDADE ALTA</v>
      </c>
      <c r="Q364" s="5" t="str">
        <f>IFERROR(__xludf.DUMMYFUNCTION("""COMPUTED_VALUE"""),"READEQUAÇÃO DE CALÇADA COM ACESSIBILIDADE E PINTURA DE BAÍA NO ASFALTO.")</f>
        <v>READEQUAÇÃO DE CALÇADA COM ACESSIBILIDADE E PINTURA DE BAÍA NO ASFALTO.</v>
      </c>
      <c r="R364" s="5" t="str">
        <f>IFERROR(__xludf.DUMMYFUNCTION("""COMPUTED_VALUE"""),"NENHUMA DAS OPÇÕES")</f>
        <v>NENHUMA DAS OPÇÕES</v>
      </c>
      <c r="S364" s="5"/>
      <c r="T364" s="5"/>
      <c r="U364" s="5"/>
      <c r="V364" s="5"/>
      <c r="W364" s="5" t="str">
        <f>IFERROR(__xludf.DUMMYFUNCTION("""COMPUTED_VALUE"""),"NÃO")</f>
        <v>NÃO</v>
      </c>
      <c r="X364" s="5" t="str">
        <f>IFERROR(__xludf.DUMMYFUNCTION("""COMPUTED_VALUE"""),"NÃO SE APLICA")</f>
        <v>NÃO SE APLICA</v>
      </c>
    </row>
    <row r="365" hidden="1">
      <c r="A365" s="5">
        <f>IFERROR(__xludf.DUMMYFUNCTION("""COMPUTED_VALUE"""),7.0)</f>
        <v>7</v>
      </c>
      <c r="B365" s="5" t="str">
        <f>IFERROR(__xludf.DUMMYFUNCTION("""COMPUTED_VALUE"""),"CV208")</f>
        <v>CV208</v>
      </c>
      <c r="C365" s="5" t="str">
        <f>IFERROR(__xludf.DUMMYFUNCTION("""COMPUTED_VALUE"""),"NÃO POSSUI")</f>
        <v>NÃO POSSUI</v>
      </c>
      <c r="D365" s="5" t="str">
        <f>IFERROR(__xludf.DUMMYFUNCTION("""COMPUTED_VALUE"""),"FIXADA EM POSTE")</f>
        <v>FIXADA EM POSTE</v>
      </c>
      <c r="E365" s="5" t="str">
        <f>IFERROR(__xludf.DUMMYFUNCTION("""COMPUTED_VALUE"""),"SEM BAIA")</f>
        <v>SEM BAIA</v>
      </c>
      <c r="F365" s="5" t="str">
        <f>IFERROR(__xludf.DUMMYFUNCTION("""COMPUTED_VALUE"""),"NÃO")</f>
        <v>NÃO</v>
      </c>
      <c r="G365" s="5" t="str">
        <f>IFERROR(__xludf.DUMMYFUNCTION("""COMPUTED_VALUE"""),"NÃO")</f>
        <v>NÃO</v>
      </c>
      <c r="H365" s="5" t="str">
        <f>IFERROR(__xludf.DUMMYFUNCTION("""COMPUTED_VALUE"""),"PAVIMENTADA")</f>
        <v>PAVIMENTADA</v>
      </c>
      <c r="I365" s="6" t="str">
        <f>IFERROR(__xludf.DUMMYFUNCTION("""COMPUTED_VALUE"""),"-9.535982")</f>
        <v>-9.535982</v>
      </c>
      <c r="J365" s="6" t="str">
        <f>IFERROR(__xludf.DUMMYFUNCTION("""COMPUTED_VALUE"""),"-35.774156")</f>
        <v>-35.774156</v>
      </c>
      <c r="K365" s="5" t="str">
        <f>IFERROR(__xludf.DUMMYFUNCTION("""COMPUTED_VALUE"""),"NOVO JARDIM - 4° ROTATÓRIA")</f>
        <v>NOVO JARDIM - 4° ROTATÓRIA</v>
      </c>
      <c r="L365" s="5" t="str">
        <f>IFERROR(__xludf.DUMMYFUNCTION("""COMPUTED_VALUE"""),"COLETORA")</f>
        <v>COLETORA</v>
      </c>
      <c r="M365" s="5" t="str">
        <f>IFERROR(__xludf.DUMMYFUNCTION("""COMPUTED_VALUE"""),"CIDADE UNIVERSITÁRIA")</f>
        <v>CIDADE UNIVERSITÁRIA</v>
      </c>
      <c r="N365" s="5" t="str">
        <f>IFERROR(__xludf.DUMMYFUNCTION("""COMPUTED_VALUE"""),"BAIRRO - CENTRO")</f>
        <v>BAIRRO - CENTRO</v>
      </c>
      <c r="O365" s="5" t="str">
        <f>IFERROR(__xludf.DUMMYFUNCTION("""COMPUTED_VALUE"""),"EM FRENTE A GALERIA EM CONSTRUÇÃO")</f>
        <v>EM FRENTE A GALERIA EM CONSTRUÇÃO</v>
      </c>
      <c r="P365" s="5" t="str">
        <f>IFERROR(__xludf.DUMMYFUNCTION("""COMPUTED_VALUE"""),"PRIORIDADE BAIXA")</f>
        <v>PRIORIDADE BAIXA</v>
      </c>
      <c r="Q365" s="5" t="str">
        <f>IFERROR(__xludf.DUMMYFUNCTION("""COMPUTED_VALUE"""),"READEQUAÇÃO DE CALÇADA COM ACESSIBILIDADE E PINTURA DE BAÍA NO ASFALTO.")</f>
        <v>READEQUAÇÃO DE CALÇADA COM ACESSIBILIDADE E PINTURA DE BAÍA NO ASFALTO.</v>
      </c>
      <c r="R365" s="5" t="str">
        <f>IFERROR(__xludf.DUMMYFUNCTION("""COMPUTED_VALUE"""),"NENHUMA DAS OPÇÕES")</f>
        <v>NENHUMA DAS OPÇÕES</v>
      </c>
      <c r="S365" s="5"/>
      <c r="T365" s="5"/>
      <c r="U365" s="5"/>
      <c r="V365" s="5"/>
      <c r="W365" s="5" t="str">
        <f>IFERROR(__xludf.DUMMYFUNCTION("""COMPUTED_VALUE"""),"NÃO")</f>
        <v>NÃO</v>
      </c>
      <c r="X365" s="5" t="str">
        <f>IFERROR(__xludf.DUMMYFUNCTION("""COMPUTED_VALUE"""),"NÃO SE APLICA")</f>
        <v>NÃO SE APLICA</v>
      </c>
    </row>
    <row r="366" hidden="1">
      <c r="A366" s="5">
        <f>IFERROR(__xludf.DUMMYFUNCTION("""COMPUTED_VALUE"""),7.0)</f>
        <v>7</v>
      </c>
      <c r="B366" s="5" t="str">
        <f>IFERROR(__xludf.DUMMYFUNCTION("""COMPUTED_VALUE"""),"CV209")</f>
        <v>CV209</v>
      </c>
      <c r="C366" s="5" t="str">
        <f>IFERROR(__xludf.DUMMYFUNCTION("""COMPUTED_VALUE"""),"NÃO POSSUI")</f>
        <v>NÃO POSSUI</v>
      </c>
      <c r="D366" s="5" t="str">
        <f>IFERROR(__xludf.DUMMYFUNCTION("""COMPUTED_VALUE"""),"FIXADA EM POSTE")</f>
        <v>FIXADA EM POSTE</v>
      </c>
      <c r="E366" s="5" t="str">
        <f>IFERROR(__xludf.DUMMYFUNCTION("""COMPUTED_VALUE"""),"SEM BAIA")</f>
        <v>SEM BAIA</v>
      </c>
      <c r="F366" s="5" t="str">
        <f>IFERROR(__xludf.DUMMYFUNCTION("""COMPUTED_VALUE"""),"NÃO")</f>
        <v>NÃO</v>
      </c>
      <c r="G366" s="5" t="str">
        <f>IFERROR(__xludf.DUMMYFUNCTION("""COMPUTED_VALUE"""),"NÃO")</f>
        <v>NÃO</v>
      </c>
      <c r="H366" s="5" t="str">
        <f>IFERROR(__xludf.DUMMYFUNCTION("""COMPUTED_VALUE"""),"PAVIMENTADA")</f>
        <v>PAVIMENTADA</v>
      </c>
      <c r="I366" s="6" t="str">
        <f>IFERROR(__xludf.DUMMYFUNCTION("""COMPUTED_VALUE"""),"-9.536789")</f>
        <v>-9.536789</v>
      </c>
      <c r="J366" s="6" t="str">
        <f>IFERROR(__xludf.DUMMYFUNCTION("""COMPUTED_VALUE"""),"-35.77593")</f>
        <v>-35.77593</v>
      </c>
      <c r="K366" s="5" t="str">
        <f>IFERROR(__xludf.DUMMYFUNCTION("""COMPUTED_VALUE"""),"NOVO JARDIM  - 3ª ROTATÓRIA")</f>
        <v>NOVO JARDIM  - 3ª ROTATÓRIA</v>
      </c>
      <c r="L366" s="5" t="str">
        <f>IFERROR(__xludf.DUMMYFUNCTION("""COMPUTED_VALUE"""),"COLETORA")</f>
        <v>COLETORA</v>
      </c>
      <c r="M366" s="5" t="str">
        <f>IFERROR(__xludf.DUMMYFUNCTION("""COMPUTED_VALUE"""),"CIDADE UNIVERSITÁRIA")</f>
        <v>CIDADE UNIVERSITÁRIA</v>
      </c>
      <c r="N366" s="5" t="str">
        <f>IFERROR(__xludf.DUMMYFUNCTION("""COMPUTED_VALUE"""),"BAIRRO - CENTRO / CENTRO - BAIRRO")</f>
        <v>BAIRRO - CENTRO / CENTRO - BAIRRO</v>
      </c>
      <c r="O366" s="5" t="str">
        <f>IFERROR(__xludf.DUMMYFUNCTION("""COMPUTED_VALUE"""),"EM FRENTE A ULTRAGAZ")</f>
        <v>EM FRENTE A ULTRAGAZ</v>
      </c>
      <c r="P366" s="5" t="str">
        <f>IFERROR(__xludf.DUMMYFUNCTION("""COMPUTED_VALUE"""),"PRIORIDADE BAIXA")</f>
        <v>PRIORIDADE BAIXA</v>
      </c>
      <c r="Q366" s="5" t="str">
        <f>IFERROR(__xludf.DUMMYFUNCTION("""COMPUTED_VALUE"""),"READEQUAÇÃO DE CALÇADA COM ACESSIBILIDADE E PINTURA DE BAÍA NO ASFALTO.")</f>
        <v>READEQUAÇÃO DE CALÇADA COM ACESSIBILIDADE E PINTURA DE BAÍA NO ASFALTO.</v>
      </c>
      <c r="R366" s="5" t="str">
        <f>IFERROR(__xludf.DUMMYFUNCTION("""COMPUTED_VALUE"""),"NENHUMA DAS OPÇÕES")</f>
        <v>NENHUMA DAS OPÇÕES</v>
      </c>
      <c r="S366" s="5"/>
      <c r="T366" s="5"/>
      <c r="U366" s="5"/>
      <c r="V366" s="9" t="str">
        <f>IFERROR(__xludf.DUMMYFUNCTION("""COMPUTED_VALUE"""),"https://drive.google.com/uc?id=1iqtgCNA_9yE8JTzpLIEhT-Dm5gLE72j3")</f>
        <v>https://drive.google.com/uc?id=1iqtgCNA_9yE8JTzpLIEhT-Dm5gLE72j3</v>
      </c>
      <c r="W366" s="5" t="str">
        <f>IFERROR(__xludf.DUMMYFUNCTION("""COMPUTED_VALUE"""),"NÃO")</f>
        <v>NÃO</v>
      </c>
      <c r="X366" s="5" t="str">
        <f>IFERROR(__xludf.DUMMYFUNCTION("""COMPUTED_VALUE"""),"NÃO SE APLICA")</f>
        <v>NÃO SE APLICA</v>
      </c>
    </row>
    <row r="367" hidden="1">
      <c r="A367" s="5">
        <f>IFERROR(__xludf.DUMMYFUNCTION("""COMPUTED_VALUE"""),7.0)</f>
        <v>7</v>
      </c>
      <c r="B367" s="5" t="str">
        <f>IFERROR(__xludf.DUMMYFUNCTION("""COMPUTED_VALUE"""),"CV210")</f>
        <v>CV210</v>
      </c>
      <c r="C367" s="5" t="str">
        <f>IFERROR(__xludf.DUMMYFUNCTION("""COMPUTED_VALUE"""),"NÃO POSSUI")</f>
        <v>NÃO POSSUI</v>
      </c>
      <c r="D367" s="5" t="str">
        <f>IFERROR(__xludf.DUMMYFUNCTION("""COMPUTED_VALUE"""),"COM SUPORTE")</f>
        <v>COM SUPORTE</v>
      </c>
      <c r="E367" s="5" t="str">
        <f>IFERROR(__xludf.DUMMYFUNCTION("""COMPUTED_VALUE"""),"SEM BAIA")</f>
        <v>SEM BAIA</v>
      </c>
      <c r="F367" s="5" t="str">
        <f>IFERROR(__xludf.DUMMYFUNCTION("""COMPUTED_VALUE"""),"NÃO")</f>
        <v>NÃO</v>
      </c>
      <c r="G367" s="5" t="str">
        <f>IFERROR(__xludf.DUMMYFUNCTION("""COMPUTED_VALUE"""),"NÃO")</f>
        <v>NÃO</v>
      </c>
      <c r="H367" s="5" t="str">
        <f>IFERROR(__xludf.DUMMYFUNCTION("""COMPUTED_VALUE"""),"NÃO PAVIMENTADA")</f>
        <v>NÃO PAVIMENTADA</v>
      </c>
      <c r="I367" s="6" t="str">
        <f>IFERROR(__xludf.DUMMYFUNCTION("""COMPUTED_VALUE"""),"-9.545492")</f>
        <v>-9.545492</v>
      </c>
      <c r="J367" s="6" t="str">
        <f>IFERROR(__xludf.DUMMYFUNCTION("""COMPUTED_VALUE"""),"-35.758198")</f>
        <v>-35.758198</v>
      </c>
      <c r="K367" s="5" t="str">
        <f>IFERROR(__xludf.DUMMYFUNCTION("""COMPUTED_VALUE"""),"RUA BENEDITO CALAÇA - VILLAGE")</f>
        <v>RUA BENEDITO CALAÇA - VILLAGE</v>
      </c>
      <c r="L367" s="5" t="str">
        <f>IFERROR(__xludf.DUMMYFUNCTION("""COMPUTED_VALUE"""),"COLETORA")</f>
        <v>COLETORA</v>
      </c>
      <c r="M367" s="5" t="str">
        <f>IFERROR(__xludf.DUMMYFUNCTION("""COMPUTED_VALUE"""),"CIDADE UNIVERSITÁRIA")</f>
        <v>CIDADE UNIVERSITÁRIA</v>
      </c>
      <c r="N367" s="5" t="str">
        <f>IFERROR(__xludf.DUMMYFUNCTION("""COMPUTED_VALUE"""),"BAIRRO - CENTRO / CENTRO - BAIRRO")</f>
        <v>BAIRRO - CENTRO / CENTRO - BAIRRO</v>
      </c>
      <c r="O367" s="5" t="str">
        <f>IFERROR(__xludf.DUMMYFUNCTION("""COMPUTED_VALUE"""),"EM FRENTE A REFRESC")</f>
        <v>EM FRENTE A REFRESC</v>
      </c>
      <c r="P367" s="5" t="str">
        <f>IFERROR(__xludf.DUMMYFUNCTION("""COMPUTED_VALUE"""),"PRIORIDADE BAIXA")</f>
        <v>PRIORIDADE BAIXA</v>
      </c>
      <c r="Q367" s="5" t="str">
        <f>IFERROR(__xludf.DUMMYFUNCTION("""COMPUTED_VALUE"""),"READEQUAÇÃO DE CALÇADA COM ACESSIBILIDADE E PINTURA DE BAÍA NO ASFALTO.")</f>
        <v>READEQUAÇÃO DE CALÇADA COM ACESSIBILIDADE E PINTURA DE BAÍA NO ASFALTO.</v>
      </c>
      <c r="R367" s="5" t="str">
        <f>IFERROR(__xludf.DUMMYFUNCTION("""COMPUTED_VALUE"""),"NENHUMA DAS OPÇÕES")</f>
        <v>NENHUMA DAS OPÇÕES</v>
      </c>
      <c r="S367" s="5"/>
      <c r="T367" s="5"/>
      <c r="U367" s="5"/>
      <c r="V367" s="5"/>
      <c r="W367" s="5" t="str">
        <f>IFERROR(__xludf.DUMMYFUNCTION("""COMPUTED_VALUE"""),"NÃO")</f>
        <v>NÃO</v>
      </c>
      <c r="X367" s="5" t="str">
        <f>IFERROR(__xludf.DUMMYFUNCTION("""COMPUTED_VALUE"""),"NÃO SE APLICA")</f>
        <v>NÃO SE APLICA</v>
      </c>
    </row>
    <row r="368" hidden="1">
      <c r="A368" s="5">
        <f>IFERROR(__xludf.DUMMYFUNCTION("""COMPUTED_VALUE"""),7.0)</f>
        <v>7</v>
      </c>
      <c r="B368" s="5" t="str">
        <f>IFERROR(__xludf.DUMMYFUNCTION("""COMPUTED_VALUE"""),"CV211")</f>
        <v>CV211</v>
      </c>
      <c r="C368" s="5" t="str">
        <f>IFERROR(__xludf.DUMMYFUNCTION("""COMPUTED_VALUE"""),"NÃO POSSUI")</f>
        <v>NÃO POSSUI</v>
      </c>
      <c r="D368" s="5" t="str">
        <f>IFERROR(__xludf.DUMMYFUNCTION("""COMPUTED_VALUE"""),"FIXADA EM POSTE")</f>
        <v>FIXADA EM POSTE</v>
      </c>
      <c r="E368" s="5" t="str">
        <f>IFERROR(__xludf.DUMMYFUNCTION("""COMPUTED_VALUE"""),"SEM BAIA")</f>
        <v>SEM BAIA</v>
      </c>
      <c r="F368" s="5" t="str">
        <f>IFERROR(__xludf.DUMMYFUNCTION("""COMPUTED_VALUE"""),"NÃO")</f>
        <v>NÃO</v>
      </c>
      <c r="G368" s="5" t="str">
        <f>IFERROR(__xludf.DUMMYFUNCTION("""COMPUTED_VALUE"""),"NÃO")</f>
        <v>NÃO</v>
      </c>
      <c r="H368" s="5" t="str">
        <f>IFERROR(__xludf.DUMMYFUNCTION("""COMPUTED_VALUE"""),"PAVIMENTADA")</f>
        <v>PAVIMENTADA</v>
      </c>
      <c r="I368" s="6" t="str">
        <f>IFERROR(__xludf.DUMMYFUNCTION("""COMPUTED_VALUE"""),"-9.543858")</f>
        <v>-9.543858</v>
      </c>
      <c r="J368" s="6" t="str">
        <f>IFERROR(__xludf.DUMMYFUNCTION("""COMPUTED_VALUE"""),"-35.758403")</f>
        <v>-35.758403</v>
      </c>
      <c r="K368" s="5" t="str">
        <f>IFERROR(__xludf.DUMMYFUNCTION("""COMPUTED_VALUE"""),"RUA BENEDITO CALAÇA - VILLAGE")</f>
        <v>RUA BENEDITO CALAÇA - VILLAGE</v>
      </c>
      <c r="L368" s="5" t="str">
        <f>IFERROR(__xludf.DUMMYFUNCTION("""COMPUTED_VALUE"""),"COLETORA")</f>
        <v>COLETORA</v>
      </c>
      <c r="M368" s="5" t="str">
        <f>IFERROR(__xludf.DUMMYFUNCTION("""COMPUTED_VALUE"""),"CIDADE UNIVERSITÁRIA")</f>
        <v>CIDADE UNIVERSITÁRIA</v>
      </c>
      <c r="N368" s="5" t="str">
        <f>IFERROR(__xludf.DUMMYFUNCTION("""COMPUTED_VALUE"""),"CIDADE UNIVERSITÁRIA - BENEDITO BENTES")</f>
        <v>CIDADE UNIVERSITÁRIA - BENEDITO BENTES</v>
      </c>
      <c r="O368" s="5" t="str">
        <f>IFERROR(__xludf.DUMMYFUNCTION("""COMPUTED_VALUE"""),"EM FRENTE A CASA 2002")</f>
        <v>EM FRENTE A CASA 2002</v>
      </c>
      <c r="P368" s="5" t="str">
        <f>IFERROR(__xludf.DUMMYFUNCTION("""COMPUTED_VALUE"""),"PRIORIDADE BAIXA")</f>
        <v>PRIORIDADE BAIXA</v>
      </c>
      <c r="Q368" s="5" t="str">
        <f>IFERROR(__xludf.DUMMYFUNCTION("""COMPUTED_VALUE"""),"PINTURA DA BAIA NO ASFALTO ")</f>
        <v>PINTURA DA BAIA NO ASFALTO </v>
      </c>
      <c r="R368" s="5" t="str">
        <f>IFERROR(__xludf.DUMMYFUNCTION("""COMPUTED_VALUE"""),"NENHUMA DAS OPÇÕES")</f>
        <v>NENHUMA DAS OPÇÕES</v>
      </c>
      <c r="S368" s="5"/>
      <c r="T368" s="5"/>
      <c r="U368" s="5"/>
      <c r="V368" s="5"/>
      <c r="W368" s="5" t="str">
        <f>IFERROR(__xludf.DUMMYFUNCTION("""COMPUTED_VALUE"""),"NÃO")</f>
        <v>NÃO</v>
      </c>
      <c r="X368" s="5" t="str">
        <f>IFERROR(__xludf.DUMMYFUNCTION("""COMPUTED_VALUE"""),"NÃO SE APLICA")</f>
        <v>NÃO SE APLICA</v>
      </c>
    </row>
    <row r="369" hidden="1">
      <c r="A369" s="5">
        <f>IFERROR(__xludf.DUMMYFUNCTION("""COMPUTED_VALUE"""),7.0)</f>
        <v>7</v>
      </c>
      <c r="B369" s="5" t="str">
        <f>IFERROR(__xludf.DUMMYFUNCTION("""COMPUTED_VALUE"""),"CV212")</f>
        <v>CV212</v>
      </c>
      <c r="C369" s="5" t="str">
        <f>IFERROR(__xludf.DUMMYFUNCTION("""COMPUTED_VALUE"""),"NÃO POSSUI")</f>
        <v>NÃO POSSUI</v>
      </c>
      <c r="D369" s="5" t="str">
        <f>IFERROR(__xludf.DUMMYFUNCTION("""COMPUTED_VALUE"""),"FIXADA EM POSTE")</f>
        <v>FIXADA EM POSTE</v>
      </c>
      <c r="E369" s="5" t="str">
        <f>IFERROR(__xludf.DUMMYFUNCTION("""COMPUTED_VALUE"""),"SEM BAIA")</f>
        <v>SEM BAIA</v>
      </c>
      <c r="F369" s="5" t="str">
        <f>IFERROR(__xludf.DUMMYFUNCTION("""COMPUTED_VALUE"""),"NÃO")</f>
        <v>NÃO</v>
      </c>
      <c r="G369" s="5" t="str">
        <f>IFERROR(__xludf.DUMMYFUNCTION("""COMPUTED_VALUE"""),"NÃO")</f>
        <v>NÃO</v>
      </c>
      <c r="H369" s="5" t="str">
        <f>IFERROR(__xludf.DUMMYFUNCTION("""COMPUTED_VALUE"""),"PAVIMENTADA")</f>
        <v>PAVIMENTADA</v>
      </c>
      <c r="I369" s="6" t="str">
        <f>IFERROR(__xludf.DUMMYFUNCTION("""COMPUTED_VALUE"""),"-9.529427")</f>
        <v>-9.529427</v>
      </c>
      <c r="J369" s="6" t="str">
        <f>IFERROR(__xludf.DUMMYFUNCTION("""COMPUTED_VALUE"""),"-35.779040")</f>
        <v>-35.779040</v>
      </c>
      <c r="K369" s="5" t="str">
        <f>IFERROR(__xludf.DUMMYFUNCTION("""COMPUTED_VALUE"""),"AV. DR. MANOEL VALENTE DE LIMA 175")</f>
        <v>AV. DR. MANOEL VALENTE DE LIMA 175</v>
      </c>
      <c r="L369" s="5" t="str">
        <f>IFERROR(__xludf.DUMMYFUNCTION("""COMPUTED_VALUE"""),"LOCAL")</f>
        <v>LOCAL</v>
      </c>
      <c r="M369" s="5" t="str">
        <f>IFERROR(__xludf.DUMMYFUNCTION("""COMPUTED_VALUE"""),"CIDADE UNIVERSITÁRIA")</f>
        <v>CIDADE UNIVERSITÁRIA</v>
      </c>
      <c r="N369" s="5"/>
      <c r="O369" s="5" t="str">
        <f>IFERROR(__xludf.DUMMYFUNCTION("""COMPUTED_VALUE"""),"EM FRENTE AO CON. JARDIM FLAMBOYANT")</f>
        <v>EM FRENTE AO CON. JARDIM FLAMBOYANT</v>
      </c>
      <c r="P369" s="5" t="str">
        <f>IFERROR(__xludf.DUMMYFUNCTION("""COMPUTED_VALUE"""),"PRIORIDADE BAIXA")</f>
        <v>PRIORIDADE BAIXA</v>
      </c>
      <c r="Q369" s="5" t="str">
        <f>IFERROR(__xludf.DUMMYFUNCTION("""COMPUTED_VALUE"""),"PINTURA DA BAIA NO ASFALTO ")</f>
        <v>PINTURA DA BAIA NO ASFALTO </v>
      </c>
      <c r="R369" s="5" t="str">
        <f>IFERROR(__xludf.DUMMYFUNCTION("""COMPUTED_VALUE"""),"NENHUMA DAS OPÇÕES")</f>
        <v>NENHUMA DAS OPÇÕES</v>
      </c>
      <c r="S369" s="5"/>
      <c r="T369" s="5"/>
      <c r="U369" s="5"/>
      <c r="V369" s="5"/>
      <c r="W369" s="5" t="str">
        <f>IFERROR(__xludf.DUMMYFUNCTION("""COMPUTED_VALUE"""),"NÃO")</f>
        <v>NÃO</v>
      </c>
      <c r="X369" s="5" t="str">
        <f>IFERROR(__xludf.DUMMYFUNCTION("""COMPUTED_VALUE"""),"NÃO SE APLICA")</f>
        <v>NÃO SE APLICA</v>
      </c>
    </row>
    <row r="370" ht="16.5" hidden="1" customHeight="1">
      <c r="A370" s="5">
        <f>IFERROR(__xludf.DUMMYFUNCTION("""COMPUTED_VALUE"""),7.0)</f>
        <v>7</v>
      </c>
      <c r="B370" s="5" t="str">
        <f>IFERROR(__xludf.DUMMYFUNCTION("""COMPUTED_VALUE"""),"CV213")</f>
        <v>CV213</v>
      </c>
      <c r="C370" s="5" t="str">
        <f>IFERROR(__xludf.DUMMYFUNCTION("""COMPUTED_VALUE"""),"NÃO POSSUI")</f>
        <v>NÃO POSSUI</v>
      </c>
      <c r="D370" s="5" t="str">
        <f>IFERROR(__xludf.DUMMYFUNCTION("""COMPUTED_VALUE"""),"FIXADA EM POSTE")</f>
        <v>FIXADA EM POSTE</v>
      </c>
      <c r="E370" s="5" t="str">
        <f>IFERROR(__xludf.DUMMYFUNCTION("""COMPUTED_VALUE"""),"SEM BAIA")</f>
        <v>SEM BAIA</v>
      </c>
      <c r="F370" s="5" t="str">
        <f>IFERROR(__xludf.DUMMYFUNCTION("""COMPUTED_VALUE"""),"NÃO")</f>
        <v>NÃO</v>
      </c>
      <c r="G370" s="5" t="str">
        <f>IFERROR(__xludf.DUMMYFUNCTION("""COMPUTED_VALUE"""),"NÃO")</f>
        <v>NÃO</v>
      </c>
      <c r="H370" s="5" t="str">
        <f>IFERROR(__xludf.DUMMYFUNCTION("""COMPUTED_VALUE"""),"PAVIMENTADA")</f>
        <v>PAVIMENTADA</v>
      </c>
      <c r="I370" s="6" t="str">
        <f>IFERROR(__xludf.DUMMYFUNCTION("""COMPUTED_VALUE"""),"-9.541649")</f>
        <v>-9.541649</v>
      </c>
      <c r="J370" s="6" t="str">
        <f>IFERROR(__xludf.DUMMYFUNCTION("""COMPUTED_VALUE"""),"-35.777938")</f>
        <v>-35.777938</v>
      </c>
      <c r="K370" s="5" t="str">
        <f>IFERROR(__xludf.DUMMYFUNCTION("""COMPUTED_VALUE"""),"NOVO JARDIM")</f>
        <v>NOVO JARDIM</v>
      </c>
      <c r="L370" s="5" t="str">
        <f>IFERROR(__xludf.DUMMYFUNCTION("""COMPUTED_VALUE"""),"COLETORA")</f>
        <v>COLETORA</v>
      </c>
      <c r="M370" s="5" t="str">
        <f>IFERROR(__xludf.DUMMYFUNCTION("""COMPUTED_VALUE"""),"CIDADE UNIVERSITÁRIA")</f>
        <v>CIDADE UNIVERSITÁRIA</v>
      </c>
      <c r="N370" s="5" t="str">
        <f>IFERROR(__xludf.DUMMYFUNCTION("""COMPUTED_VALUE"""),"INTEGRAÇÃO")</f>
        <v>INTEGRAÇÃO</v>
      </c>
      <c r="O370" s="5" t="str">
        <f>IFERROR(__xludf.DUMMYFUNCTION("""COMPUTED_VALUE"""),"PRÓXIMO A ASSOCIAÇÃO NOVO JARDIM")</f>
        <v>PRÓXIMO A ASSOCIAÇÃO NOVO JARDIM</v>
      </c>
      <c r="P370" s="5" t="str">
        <f>IFERROR(__xludf.DUMMYFUNCTION("""COMPUTED_VALUE"""),"PRIORIDADE BAIXA")</f>
        <v>PRIORIDADE BAIXA</v>
      </c>
      <c r="Q370" s="5" t="str">
        <f>IFERROR(__xludf.DUMMYFUNCTION("""COMPUTED_VALUE"""),"PINTURA DA BAIA NO ASFALTO ")</f>
        <v>PINTURA DA BAIA NO ASFALTO </v>
      </c>
      <c r="R370" s="5" t="str">
        <f>IFERROR(__xludf.DUMMYFUNCTION("""COMPUTED_VALUE"""),"NENHUMA DAS OPÇÕES")</f>
        <v>NENHUMA DAS OPÇÕES</v>
      </c>
      <c r="S370" s="5"/>
      <c r="T370" s="5"/>
      <c r="U370" s="5"/>
      <c r="V370" s="9" t="str">
        <f>IFERROR(__xludf.DUMMYFUNCTION("""COMPUTED_VALUE"""),"https://drive.google.com/uc?id=1-8QXvhUY2Cnhy3h9nafCTbZwI9rNSrDF")</f>
        <v>https://drive.google.com/uc?id=1-8QXvhUY2Cnhy3h9nafCTbZwI9rNSrDF</v>
      </c>
      <c r="W370" s="5" t="str">
        <f>IFERROR(__xludf.DUMMYFUNCTION("""COMPUTED_VALUE"""),"NÃO")</f>
        <v>NÃO</v>
      </c>
      <c r="X370" s="5" t="str">
        <f>IFERROR(__xludf.DUMMYFUNCTION("""COMPUTED_VALUE"""),"NÃO SE APLICA")</f>
        <v>NÃO SE APLICA</v>
      </c>
    </row>
    <row r="371" hidden="1">
      <c r="A371" s="5">
        <f>IFERROR(__xludf.DUMMYFUNCTION("""COMPUTED_VALUE"""),7.0)</f>
        <v>7</v>
      </c>
      <c r="B371" s="5" t="str">
        <f>IFERROR(__xludf.DUMMYFUNCTION("""COMPUTED_VALUE"""),"CV214")</f>
        <v>CV214</v>
      </c>
      <c r="C371" s="5" t="str">
        <f>IFERROR(__xludf.DUMMYFUNCTION("""COMPUTED_VALUE"""),"NÃO POSSUI")</f>
        <v>NÃO POSSUI</v>
      </c>
      <c r="D371" s="5" t="str">
        <f>IFERROR(__xludf.DUMMYFUNCTION("""COMPUTED_VALUE"""),"FIXADA EM POSTE")</f>
        <v>FIXADA EM POSTE</v>
      </c>
      <c r="E371" s="5" t="str">
        <f>IFERROR(__xludf.DUMMYFUNCTION("""COMPUTED_VALUE"""),"SEM BAIA")</f>
        <v>SEM BAIA</v>
      </c>
      <c r="F371" s="5" t="str">
        <f>IFERROR(__xludf.DUMMYFUNCTION("""COMPUTED_VALUE"""),"NÃO")</f>
        <v>NÃO</v>
      </c>
      <c r="G371" s="5" t="str">
        <f>IFERROR(__xludf.DUMMYFUNCTION("""COMPUTED_VALUE"""),"NÃO")</f>
        <v>NÃO</v>
      </c>
      <c r="H371" s="5" t="str">
        <f>IFERROR(__xludf.DUMMYFUNCTION("""COMPUTED_VALUE"""),"PAVIMENTADA")</f>
        <v>PAVIMENTADA</v>
      </c>
      <c r="I371" s="6" t="str">
        <f>IFERROR(__xludf.DUMMYFUNCTION("""COMPUTED_VALUE"""),"-9.540790")</f>
        <v>-9.540790</v>
      </c>
      <c r="J371" s="6" t="str">
        <f>IFERROR(__xludf.DUMMYFUNCTION("""COMPUTED_VALUE"""),"-35.776392")</f>
        <v>-35.776392</v>
      </c>
      <c r="K371" s="5" t="str">
        <f>IFERROR(__xludf.DUMMYFUNCTION("""COMPUTED_VALUE"""),"NOVO JARDIM")</f>
        <v>NOVO JARDIM</v>
      </c>
      <c r="L371" s="5" t="str">
        <f>IFERROR(__xludf.DUMMYFUNCTION("""COMPUTED_VALUE"""),"COLETORA")</f>
        <v>COLETORA</v>
      </c>
      <c r="M371" s="5" t="str">
        <f>IFERROR(__xludf.DUMMYFUNCTION("""COMPUTED_VALUE"""),"CIDADE UNIVERSITÁRIA")</f>
        <v>CIDADE UNIVERSITÁRIA</v>
      </c>
      <c r="N371" s="5" t="str">
        <f>IFERROR(__xludf.DUMMYFUNCTION("""COMPUTED_VALUE"""),"INTEGRAÇÃO")</f>
        <v>INTEGRAÇÃO</v>
      </c>
      <c r="O371" s="5" t="str">
        <f>IFERROR(__xludf.DUMMYFUNCTION("""COMPUTED_VALUE"""),"PRÓXIMO A ASSOCIAÇÃO NOVO JARDIM")</f>
        <v>PRÓXIMO A ASSOCIAÇÃO NOVO JARDIM</v>
      </c>
      <c r="P371" s="5" t="str">
        <f>IFERROR(__xludf.DUMMYFUNCTION("""COMPUTED_VALUE"""),"PRIORIDADE BAIXA")</f>
        <v>PRIORIDADE BAIXA</v>
      </c>
      <c r="Q371" s="5"/>
      <c r="R371" s="5" t="str">
        <f>IFERROR(__xludf.DUMMYFUNCTION("""COMPUTED_VALUE"""),"NENHUMA DAS OPÇÕES")</f>
        <v>NENHUMA DAS OPÇÕES</v>
      </c>
      <c r="S371" s="5"/>
      <c r="T371" s="5"/>
      <c r="U371" s="5"/>
      <c r="V371" s="9" t="str">
        <f>IFERROR(__xludf.DUMMYFUNCTION("""COMPUTED_VALUE"""),"https://drive.google.com/uc?id=1pEpkEySvKFbyyzlF0NUpXKClRCt8QDYb")</f>
        <v>https://drive.google.com/uc?id=1pEpkEySvKFbyyzlF0NUpXKClRCt8QDYb</v>
      </c>
      <c r="W371" s="5" t="str">
        <f>IFERROR(__xludf.DUMMYFUNCTION("""COMPUTED_VALUE"""),"NÃO")</f>
        <v>NÃO</v>
      </c>
      <c r="X371" s="5" t="str">
        <f>IFERROR(__xludf.DUMMYFUNCTION("""COMPUTED_VALUE"""),"NÃO SE APLICA")</f>
        <v>NÃO SE APLICA</v>
      </c>
    </row>
    <row r="372" hidden="1">
      <c r="A372" s="5">
        <f>IFERROR(__xludf.DUMMYFUNCTION("""COMPUTED_VALUE"""),7.0)</f>
        <v>7</v>
      </c>
      <c r="B372" s="5" t="str">
        <f>IFERROR(__xludf.DUMMYFUNCTION("""COMPUTED_VALUE"""),"CV215")</f>
        <v>CV215</v>
      </c>
      <c r="C372" s="5" t="str">
        <f>IFERROR(__xludf.DUMMYFUNCTION("""COMPUTED_VALUE"""),"NÃO POSSUI")</f>
        <v>NÃO POSSUI</v>
      </c>
      <c r="D372" s="5" t="str">
        <f>IFERROR(__xludf.DUMMYFUNCTION("""COMPUTED_VALUE"""),"FIXADA EM POSTE")</f>
        <v>FIXADA EM POSTE</v>
      </c>
      <c r="E372" s="5" t="str">
        <f>IFERROR(__xludf.DUMMYFUNCTION("""COMPUTED_VALUE"""),"SEM BAIA")</f>
        <v>SEM BAIA</v>
      </c>
      <c r="F372" s="5" t="str">
        <f>IFERROR(__xludf.DUMMYFUNCTION("""COMPUTED_VALUE"""),"NÃO")</f>
        <v>NÃO</v>
      </c>
      <c r="G372" s="5" t="str">
        <f>IFERROR(__xludf.DUMMYFUNCTION("""COMPUTED_VALUE"""),"NÃO")</f>
        <v>NÃO</v>
      </c>
      <c r="H372" s="5" t="str">
        <f>IFERROR(__xludf.DUMMYFUNCTION("""COMPUTED_VALUE"""),"PAVIMENTADA")</f>
        <v>PAVIMENTADA</v>
      </c>
      <c r="I372" s="6" t="str">
        <f>IFERROR(__xludf.DUMMYFUNCTION("""COMPUTED_VALUE"""),"-9.539097")</f>
        <v>-9.539097</v>
      </c>
      <c r="J372" s="6" t="str">
        <f>IFERROR(__xludf.DUMMYFUNCTION("""COMPUTED_VALUE"""),"-35.773153")</f>
        <v>-35.773153</v>
      </c>
      <c r="K372" s="5" t="str">
        <f>IFERROR(__xludf.DUMMYFUNCTION("""COMPUTED_VALUE"""),"NOVO JARDIM")</f>
        <v>NOVO JARDIM</v>
      </c>
      <c r="L372" s="5" t="str">
        <f>IFERROR(__xludf.DUMMYFUNCTION("""COMPUTED_VALUE"""),"COLETORA")</f>
        <v>COLETORA</v>
      </c>
      <c r="M372" s="5" t="str">
        <f>IFERROR(__xludf.DUMMYFUNCTION("""COMPUTED_VALUE"""),"CIDADE UNIVERSITÁRIA")</f>
        <v>CIDADE UNIVERSITÁRIA</v>
      </c>
      <c r="N372" s="5" t="str">
        <f>IFERROR(__xludf.DUMMYFUNCTION("""COMPUTED_VALUE"""),"INTEGRAÇÃO")</f>
        <v>INTEGRAÇÃO</v>
      </c>
      <c r="O372" s="5" t="str">
        <f>IFERROR(__xludf.DUMMYFUNCTION("""COMPUTED_VALUE"""),"PRÓXIMO A ASSOCIAÇÃO NOVO JARDIM")</f>
        <v>PRÓXIMO A ASSOCIAÇÃO NOVO JARDIM</v>
      </c>
      <c r="P372" s="5" t="str">
        <f>IFERROR(__xludf.DUMMYFUNCTION("""COMPUTED_VALUE"""),"PRIORIDADE BAIXA")</f>
        <v>PRIORIDADE BAIXA</v>
      </c>
      <c r="Q372" s="5" t="str">
        <f>IFERROR(__xludf.DUMMYFUNCTION("""COMPUTED_VALUE"""),"PINTURA DA BAIA NO ASFALTO E LIMPEZA DA VEGETAÇÃO ")</f>
        <v>PINTURA DA BAIA NO ASFALTO E LIMPEZA DA VEGETAÇÃO </v>
      </c>
      <c r="R372" s="5" t="str">
        <f>IFERROR(__xludf.DUMMYFUNCTION("""COMPUTED_VALUE"""),"NENHUMA DAS OPÇÕES")</f>
        <v>NENHUMA DAS OPÇÕES</v>
      </c>
      <c r="S372" s="5"/>
      <c r="T372" s="5"/>
      <c r="U372" s="5"/>
      <c r="V372" s="9" t="str">
        <f>IFERROR(__xludf.DUMMYFUNCTION("""COMPUTED_VALUE"""),"https://drive.google.com/uc?id=1r8AhvaXNJSfm64P0I4-S-t-R8Xl3SNsB")</f>
        <v>https://drive.google.com/uc?id=1r8AhvaXNJSfm64P0I4-S-t-R8Xl3SNsB</v>
      </c>
      <c r="W372" s="5" t="str">
        <f>IFERROR(__xludf.DUMMYFUNCTION("""COMPUTED_VALUE"""),"NÃO")</f>
        <v>NÃO</v>
      </c>
      <c r="X372" s="5" t="str">
        <f>IFERROR(__xludf.DUMMYFUNCTION("""COMPUTED_VALUE"""),"NÃO SE APLICA")</f>
        <v>NÃO SE APLICA</v>
      </c>
    </row>
    <row r="373" hidden="1">
      <c r="A373" s="5">
        <f>IFERROR(__xludf.DUMMYFUNCTION("""COMPUTED_VALUE"""),7.0)</f>
        <v>7</v>
      </c>
      <c r="B373" s="5" t="str">
        <f>IFERROR(__xludf.DUMMYFUNCTION("""COMPUTED_VALUE"""),"CV216")</f>
        <v>CV216</v>
      </c>
      <c r="C373" s="5" t="str">
        <f>IFERROR(__xludf.DUMMYFUNCTION("""COMPUTED_VALUE"""),"NÃO POSSUI")</f>
        <v>NÃO POSSUI</v>
      </c>
      <c r="D373" s="5" t="str">
        <f>IFERROR(__xludf.DUMMYFUNCTION("""COMPUTED_VALUE"""),"COM SUPORTE")</f>
        <v>COM SUPORTE</v>
      </c>
      <c r="E373" s="5" t="str">
        <f>IFERROR(__xludf.DUMMYFUNCTION("""COMPUTED_VALUE"""),"SEM BAIA")</f>
        <v>SEM BAIA</v>
      </c>
      <c r="F373" s="5" t="str">
        <f>IFERROR(__xludf.DUMMYFUNCTION("""COMPUTED_VALUE"""),"NÃO")</f>
        <v>NÃO</v>
      </c>
      <c r="G373" s="5" t="str">
        <f>IFERROR(__xludf.DUMMYFUNCTION("""COMPUTED_VALUE"""),"NÃO")</f>
        <v>NÃO</v>
      </c>
      <c r="H373" s="5" t="str">
        <f>IFERROR(__xludf.DUMMYFUNCTION("""COMPUTED_VALUE"""),"PAVIMENTADA")</f>
        <v>PAVIMENTADA</v>
      </c>
      <c r="I373" s="6" t="str">
        <f>IFERROR(__xludf.DUMMYFUNCTION("""COMPUTED_VALUE"""),"-9.5368")</f>
        <v>-9.5368</v>
      </c>
      <c r="J373" s="6" t="str">
        <f>IFERROR(__xludf.DUMMYFUNCTION("""COMPUTED_VALUE"""),"-35.7925")</f>
        <v>-35.7925</v>
      </c>
      <c r="K373" s="5" t="str">
        <f>IFERROR(__xludf.DUMMYFUNCTION("""COMPUTED_VALUE"""),"RUA JOSE MARIA BARRETO GALVÃO")</f>
        <v>RUA JOSE MARIA BARRETO GALVÃO</v>
      </c>
      <c r="L373" s="5" t="str">
        <f>IFERROR(__xludf.DUMMYFUNCTION("""COMPUTED_VALUE"""),"COLETORA")</f>
        <v>COLETORA</v>
      </c>
      <c r="M373" s="5" t="str">
        <f>IFERROR(__xludf.DUMMYFUNCTION("""COMPUTED_VALUE"""),"CIDADE UNIVERSITÁRIA")</f>
        <v>CIDADE UNIVERSITÁRIA</v>
      </c>
      <c r="N373" s="5" t="str">
        <f>IFERROR(__xludf.DUMMYFUNCTION("""COMPUTED_VALUE"""),"INTEGRAÇÃO")</f>
        <v>INTEGRAÇÃO</v>
      </c>
      <c r="O373" s="5" t="str">
        <f>IFERROR(__xludf.DUMMYFUNCTION("""COMPUTED_VALUE"""),"ENTRADA DA CHURRASCARIA PORTEIRA DO GAÚCHO")</f>
        <v>ENTRADA DA CHURRASCARIA PORTEIRA DO GAÚCHO</v>
      </c>
      <c r="P373" s="5" t="str">
        <f>IFERROR(__xludf.DUMMYFUNCTION("""COMPUTED_VALUE"""),"PRIORIDADE BAIXA")</f>
        <v>PRIORIDADE BAIXA</v>
      </c>
      <c r="Q373" s="5"/>
      <c r="R373" s="5" t="str">
        <f>IFERROR(__xludf.DUMMYFUNCTION("""COMPUTED_VALUE"""),"NENHUMA DAS OPÇÕES")</f>
        <v>NENHUMA DAS OPÇÕES</v>
      </c>
      <c r="S373" s="5"/>
      <c r="T373" s="5"/>
      <c r="U373" s="7">
        <f>IFERROR(__xludf.DUMMYFUNCTION("""COMPUTED_VALUE"""),45128.0)</f>
        <v>45128</v>
      </c>
      <c r="V373" s="9" t="str">
        <f>IFERROR(__xludf.DUMMYFUNCTION("""COMPUTED_VALUE"""),"https://drive.google.com/uc?id=1_fZh5Xfip6jZqxDYRnUby8w_9rZMFgyj")</f>
        <v>https://drive.google.com/uc?id=1_fZh5Xfip6jZqxDYRnUby8w_9rZMFgyj</v>
      </c>
      <c r="W373" s="5" t="str">
        <f>IFERROR(__xludf.DUMMYFUNCTION("""COMPUTED_VALUE"""),"NÃO")</f>
        <v>NÃO</v>
      </c>
      <c r="X373" s="5" t="str">
        <f>IFERROR(__xludf.DUMMYFUNCTION("""COMPUTED_VALUE"""),"NÃO SE APLICA")</f>
        <v>NÃO SE APLICA</v>
      </c>
    </row>
    <row r="374" hidden="1">
      <c r="A374" s="5">
        <f>IFERROR(__xludf.DUMMYFUNCTION("""COMPUTED_VALUE"""),7.0)</f>
        <v>7</v>
      </c>
      <c r="B374" s="5" t="str">
        <f>IFERROR(__xludf.DUMMYFUNCTION("""COMPUTED_VALUE"""),"CV217")</f>
        <v>CV217</v>
      </c>
      <c r="C374" s="5" t="str">
        <f>IFERROR(__xludf.DUMMYFUNCTION("""COMPUTED_VALUE"""),"NÃO POSSUI")</f>
        <v>NÃO POSSUI</v>
      </c>
      <c r="D374" s="5" t="str">
        <f>IFERROR(__xludf.DUMMYFUNCTION("""COMPUTED_VALUE"""),"FIXADA EM POSTE")</f>
        <v>FIXADA EM POSTE</v>
      </c>
      <c r="E374" s="5" t="str">
        <f>IFERROR(__xludf.DUMMYFUNCTION("""COMPUTED_VALUE"""),"SEM BAIA")</f>
        <v>SEM BAIA</v>
      </c>
      <c r="F374" s="5" t="str">
        <f>IFERROR(__xludf.DUMMYFUNCTION("""COMPUTED_VALUE"""),"NÃO")</f>
        <v>NÃO</v>
      </c>
      <c r="G374" s="5" t="str">
        <f>IFERROR(__xludf.DUMMYFUNCTION("""COMPUTED_VALUE"""),"NÃO")</f>
        <v>NÃO</v>
      </c>
      <c r="H374" s="5" t="str">
        <f>IFERROR(__xludf.DUMMYFUNCTION("""COMPUTED_VALUE"""),"PAVIMENTADA")</f>
        <v>PAVIMENTADA</v>
      </c>
      <c r="I374" s="6" t="str">
        <f>IFERROR(__xludf.DUMMYFUNCTION("""COMPUTED_VALUE"""),"-9.5367")</f>
        <v>-9.5367</v>
      </c>
      <c r="J374" s="6" t="str">
        <f>IFERROR(__xludf.DUMMYFUNCTION("""COMPUTED_VALUE"""),"-35.7924")</f>
        <v>-35.7924</v>
      </c>
      <c r="K374" s="5" t="str">
        <f>IFERROR(__xludf.DUMMYFUNCTION("""COMPUTED_VALUE"""),"RUA JOSE MARIA BARRETO GALVÃO")</f>
        <v>RUA JOSE MARIA BARRETO GALVÃO</v>
      </c>
      <c r="L374" s="5" t="str">
        <f>IFERROR(__xludf.DUMMYFUNCTION("""COMPUTED_VALUE"""),"COLETORA")</f>
        <v>COLETORA</v>
      </c>
      <c r="M374" s="5" t="str">
        <f>IFERROR(__xludf.DUMMYFUNCTION("""COMPUTED_VALUE"""),"CIDADE UNIVERSITÁRIA")</f>
        <v>CIDADE UNIVERSITÁRIA</v>
      </c>
      <c r="N374" s="5" t="str">
        <f>IFERROR(__xludf.DUMMYFUNCTION("""COMPUTED_VALUE"""),"INTEGRAÇÃO")</f>
        <v>INTEGRAÇÃO</v>
      </c>
      <c r="O374" s="5" t="str">
        <f>IFERROR(__xludf.DUMMYFUNCTION("""COMPUTED_VALUE"""),"EM FRENTE A CASA 05")</f>
        <v>EM FRENTE A CASA 05</v>
      </c>
      <c r="P374" s="5" t="str">
        <f>IFERROR(__xludf.DUMMYFUNCTION("""COMPUTED_VALUE"""),"PRIORIDADE BAIXA")</f>
        <v>PRIORIDADE BAIXA</v>
      </c>
      <c r="Q374" s="5"/>
      <c r="R374" s="5" t="str">
        <f>IFERROR(__xludf.DUMMYFUNCTION("""COMPUTED_VALUE"""),"NENHUMA DAS OPÇÕES")</f>
        <v>NENHUMA DAS OPÇÕES</v>
      </c>
      <c r="S374" s="5"/>
      <c r="T374" s="5"/>
      <c r="U374" s="7">
        <f>IFERROR(__xludf.DUMMYFUNCTION("""COMPUTED_VALUE"""),45128.0)</f>
        <v>45128</v>
      </c>
      <c r="V374" s="9" t="str">
        <f>IFERROR(__xludf.DUMMYFUNCTION("""COMPUTED_VALUE"""),"https://drive.google.com/uc?id=1-lsG5PLoLWGKoAu8iXcVh2vx3nnOPF1L")</f>
        <v>https://drive.google.com/uc?id=1-lsG5PLoLWGKoAu8iXcVh2vx3nnOPF1L</v>
      </c>
      <c r="W374" s="5" t="str">
        <f>IFERROR(__xludf.DUMMYFUNCTION("""COMPUTED_VALUE"""),"NÃO")</f>
        <v>NÃO</v>
      </c>
      <c r="X374" s="5" t="str">
        <f>IFERROR(__xludf.DUMMYFUNCTION("""COMPUTED_VALUE"""),"NÃO SE APLICA")</f>
        <v>NÃO SE APLICA</v>
      </c>
    </row>
    <row r="375" hidden="1">
      <c r="A375" s="5">
        <f>IFERROR(__xludf.DUMMYFUNCTION("""COMPUTED_VALUE"""),7.0)</f>
        <v>7</v>
      </c>
      <c r="B375" s="5" t="str">
        <f>IFERROR(__xludf.DUMMYFUNCTION("""COMPUTED_VALUE"""),"CV218")</f>
        <v>CV218</v>
      </c>
      <c r="C375" s="5" t="str">
        <f>IFERROR(__xludf.DUMMYFUNCTION("""COMPUTED_VALUE"""),"NÃO POSSUI")</f>
        <v>NÃO POSSUI</v>
      </c>
      <c r="D375" s="5" t="str">
        <f>IFERROR(__xludf.DUMMYFUNCTION("""COMPUTED_VALUE"""),"COM SUPORTE")</f>
        <v>COM SUPORTE</v>
      </c>
      <c r="E375" s="5" t="str">
        <f>IFERROR(__xludf.DUMMYFUNCTION("""COMPUTED_VALUE"""),"SEM BAIA")</f>
        <v>SEM BAIA</v>
      </c>
      <c r="F375" s="5" t="str">
        <f>IFERROR(__xludf.DUMMYFUNCTION("""COMPUTED_VALUE"""),"NÃO")</f>
        <v>NÃO</v>
      </c>
      <c r="G375" s="5" t="str">
        <f>IFERROR(__xludf.DUMMYFUNCTION("""COMPUTED_VALUE"""),"NÃO")</f>
        <v>NÃO</v>
      </c>
      <c r="H375" s="5" t="str">
        <f>IFERROR(__xludf.DUMMYFUNCTION("""COMPUTED_VALUE"""),"PAVIMENTADA")</f>
        <v>PAVIMENTADA</v>
      </c>
      <c r="I375" s="6" t="str">
        <f>IFERROR(__xludf.DUMMYFUNCTION("""COMPUTED_VALUE"""),"-9.5353")</f>
        <v>-9.5353</v>
      </c>
      <c r="J375" s="6" t="str">
        <f>IFERROR(__xludf.DUMMYFUNCTION("""COMPUTED_VALUE"""),"-35.7899")</f>
        <v>-35.7899</v>
      </c>
      <c r="K375" s="5" t="str">
        <f>IFERROR(__xludf.DUMMYFUNCTION("""COMPUTED_VALUE"""),"RUA JOSE MARIA BARRETO GALVÃO")</f>
        <v>RUA JOSE MARIA BARRETO GALVÃO</v>
      </c>
      <c r="L375" s="5" t="str">
        <f>IFERROR(__xludf.DUMMYFUNCTION("""COMPUTED_VALUE"""),"COLETORA")</f>
        <v>COLETORA</v>
      </c>
      <c r="M375" s="5" t="str">
        <f>IFERROR(__xludf.DUMMYFUNCTION("""COMPUTED_VALUE"""),"CIDADE UNIVERSITÁRIA")</f>
        <v>CIDADE UNIVERSITÁRIA</v>
      </c>
      <c r="N375" s="5" t="str">
        <f>IFERROR(__xludf.DUMMYFUNCTION("""COMPUTED_VALUE"""),"INTEGRAÇÃO")</f>
        <v>INTEGRAÇÃO</v>
      </c>
      <c r="O375" s="5" t="str">
        <f>IFERROR(__xludf.DUMMYFUNCTION("""COMPUTED_VALUE"""),"PRÓXIMO A CASA 30B")</f>
        <v>PRÓXIMO A CASA 30B</v>
      </c>
      <c r="P375" s="5" t="str">
        <f>IFERROR(__xludf.DUMMYFUNCTION("""COMPUTED_VALUE"""),"PRIORIDADE BAIXA")</f>
        <v>PRIORIDADE BAIXA</v>
      </c>
      <c r="Q375" s="5"/>
      <c r="R375" s="5" t="str">
        <f>IFERROR(__xludf.DUMMYFUNCTION("""COMPUTED_VALUE"""),"NENHUMA DAS OPÇÕES")</f>
        <v>NENHUMA DAS OPÇÕES</v>
      </c>
      <c r="S375" s="5"/>
      <c r="T375" s="5"/>
      <c r="U375" s="7">
        <f>IFERROR(__xludf.DUMMYFUNCTION("""COMPUTED_VALUE"""),45128.0)</f>
        <v>45128</v>
      </c>
      <c r="V375" s="9" t="str">
        <f>IFERROR(__xludf.DUMMYFUNCTION("""COMPUTED_VALUE"""),"https://drive.google.com/uc?id=1FacTGgZQr_6eeiQBeF4aTz0ICQfHBx9-")</f>
        <v>https://drive.google.com/uc?id=1FacTGgZQr_6eeiQBeF4aTz0ICQfHBx9-</v>
      </c>
      <c r="W375" s="5" t="str">
        <f>IFERROR(__xludf.DUMMYFUNCTION("""COMPUTED_VALUE"""),"NÃO")</f>
        <v>NÃO</v>
      </c>
      <c r="X375" s="5" t="str">
        <f>IFERROR(__xludf.DUMMYFUNCTION("""COMPUTED_VALUE"""),"NÃO SE APLICA")</f>
        <v>NÃO SE APLICA</v>
      </c>
    </row>
    <row r="376" hidden="1">
      <c r="A376" s="5">
        <f>IFERROR(__xludf.DUMMYFUNCTION("""COMPUTED_VALUE"""),7.0)</f>
        <v>7</v>
      </c>
      <c r="B376" s="5" t="str">
        <f>IFERROR(__xludf.DUMMYFUNCTION("""COMPUTED_VALUE"""),"CV219")</f>
        <v>CV219</v>
      </c>
      <c r="C376" s="5" t="str">
        <f>IFERROR(__xludf.DUMMYFUNCTION("""COMPUTED_VALUE"""),"NÃO POSSUI")</f>
        <v>NÃO POSSUI</v>
      </c>
      <c r="D376" s="5" t="str">
        <f>IFERROR(__xludf.DUMMYFUNCTION("""COMPUTED_VALUE"""),"FIXADA EM POSTE")</f>
        <v>FIXADA EM POSTE</v>
      </c>
      <c r="E376" s="5" t="str">
        <f>IFERROR(__xludf.DUMMYFUNCTION("""COMPUTED_VALUE"""),"SEM BAIA")</f>
        <v>SEM BAIA</v>
      </c>
      <c r="F376" s="5" t="str">
        <f>IFERROR(__xludf.DUMMYFUNCTION("""COMPUTED_VALUE"""),"NÃO")</f>
        <v>NÃO</v>
      </c>
      <c r="G376" s="5" t="str">
        <f>IFERROR(__xludf.DUMMYFUNCTION("""COMPUTED_VALUE"""),"NÃO")</f>
        <v>NÃO</v>
      </c>
      <c r="H376" s="5" t="str">
        <f>IFERROR(__xludf.DUMMYFUNCTION("""COMPUTED_VALUE"""),"NÃO PAVIMENTADA")</f>
        <v>NÃO PAVIMENTADA</v>
      </c>
      <c r="I376" s="6" t="str">
        <f>IFERROR(__xludf.DUMMYFUNCTION("""COMPUTED_VALUE"""),"-9.5354")</f>
        <v>-9.5354</v>
      </c>
      <c r="J376" s="6" t="str">
        <f>IFERROR(__xludf.DUMMYFUNCTION("""COMPUTED_VALUE"""),"-35.7902")</f>
        <v>-35.7902</v>
      </c>
      <c r="K376" s="5" t="str">
        <f>IFERROR(__xludf.DUMMYFUNCTION("""COMPUTED_VALUE"""),"RUA JOSE MARIA BARRETO GALVÃO")</f>
        <v>RUA JOSE MARIA BARRETO GALVÃO</v>
      </c>
      <c r="L376" s="5" t="str">
        <f>IFERROR(__xludf.DUMMYFUNCTION("""COMPUTED_VALUE"""),"COLETORA")</f>
        <v>COLETORA</v>
      </c>
      <c r="M376" s="5" t="str">
        <f>IFERROR(__xludf.DUMMYFUNCTION("""COMPUTED_VALUE"""),"CIDADE UNIVERSITÁRIA")</f>
        <v>CIDADE UNIVERSITÁRIA</v>
      </c>
      <c r="N376" s="5" t="str">
        <f>IFERROR(__xludf.DUMMYFUNCTION("""COMPUTED_VALUE"""),"INTEGRAÇÃO")</f>
        <v>INTEGRAÇÃO</v>
      </c>
      <c r="O376" s="5" t="str">
        <f>IFERROR(__xludf.DUMMYFUNCTION("""COMPUTED_VALUE"""),"PRÓXIMO A CASA 30B")</f>
        <v>PRÓXIMO A CASA 30B</v>
      </c>
      <c r="P376" s="5" t="str">
        <f>IFERROR(__xludf.DUMMYFUNCTION("""COMPUTED_VALUE"""),"PRIORIDADE BAIXA")</f>
        <v>PRIORIDADE BAIXA</v>
      </c>
      <c r="Q376" s="5"/>
      <c r="R376" s="5" t="str">
        <f>IFERROR(__xludf.DUMMYFUNCTION("""COMPUTED_VALUE"""),"NENHUMA DAS OPÇÕES")</f>
        <v>NENHUMA DAS OPÇÕES</v>
      </c>
      <c r="S376" s="5"/>
      <c r="T376" s="5"/>
      <c r="U376" s="7">
        <f>IFERROR(__xludf.DUMMYFUNCTION("""COMPUTED_VALUE"""),45128.0)</f>
        <v>45128</v>
      </c>
      <c r="V376" s="9" t="str">
        <f>IFERROR(__xludf.DUMMYFUNCTION("""COMPUTED_VALUE"""),"https://drive.google.com/uc?id=1OFPmPrsqpArXVtkNNqLv9mmqmxHAo46J")</f>
        <v>https://drive.google.com/uc?id=1OFPmPrsqpArXVtkNNqLv9mmqmxHAo46J</v>
      </c>
      <c r="W376" s="5" t="str">
        <f>IFERROR(__xludf.DUMMYFUNCTION("""COMPUTED_VALUE"""),"NÃO")</f>
        <v>NÃO</v>
      </c>
      <c r="X376" s="5" t="str">
        <f>IFERROR(__xludf.DUMMYFUNCTION("""COMPUTED_VALUE"""),"NÃO SE APLICA")</f>
        <v>NÃO SE APLICA</v>
      </c>
    </row>
    <row r="377" hidden="1">
      <c r="A377" s="5">
        <f>IFERROR(__xludf.DUMMYFUNCTION("""COMPUTED_VALUE"""),7.0)</f>
        <v>7</v>
      </c>
      <c r="B377" s="5" t="str">
        <f>IFERROR(__xludf.DUMMYFUNCTION("""COMPUTED_VALUE"""),"CV220")</f>
        <v>CV220</v>
      </c>
      <c r="C377" s="5" t="str">
        <f>IFERROR(__xludf.DUMMYFUNCTION("""COMPUTED_VALUE"""),"NÃO POSSUI")</f>
        <v>NÃO POSSUI</v>
      </c>
      <c r="D377" s="5" t="str">
        <f>IFERROR(__xludf.DUMMYFUNCTION("""COMPUTED_VALUE"""),"FIXADA EM POSTE")</f>
        <v>FIXADA EM POSTE</v>
      </c>
      <c r="E377" s="5" t="str">
        <f>IFERROR(__xludf.DUMMYFUNCTION("""COMPUTED_VALUE"""),"SEM BAIA")</f>
        <v>SEM BAIA</v>
      </c>
      <c r="F377" s="5" t="str">
        <f>IFERROR(__xludf.DUMMYFUNCTION("""COMPUTED_VALUE"""),"NÃO")</f>
        <v>NÃO</v>
      </c>
      <c r="G377" s="5" t="str">
        <f>IFERROR(__xludf.DUMMYFUNCTION("""COMPUTED_VALUE"""),"NÃO")</f>
        <v>NÃO</v>
      </c>
      <c r="H377" s="5" t="str">
        <f>IFERROR(__xludf.DUMMYFUNCTION("""COMPUTED_VALUE"""),"PAVIMENTADA")</f>
        <v>PAVIMENTADA</v>
      </c>
      <c r="I377" s="6" t="str">
        <f>IFERROR(__xludf.DUMMYFUNCTION("""COMPUTED_VALUE"""),"-9.5341")</f>
        <v>-9.5341</v>
      </c>
      <c r="J377" s="6" t="str">
        <f>IFERROR(__xludf.DUMMYFUNCTION("""COMPUTED_VALUE"""),"-35.7898")</f>
        <v>-35.7898</v>
      </c>
      <c r="K377" s="5" t="str">
        <f>IFERROR(__xludf.DUMMYFUNCTION("""COMPUTED_VALUE"""),"RUA SALDADI ADRIÃO JOSÉ DA SILVA")</f>
        <v>RUA SALDADI ADRIÃO JOSÉ DA SILVA</v>
      </c>
      <c r="L377" s="5" t="str">
        <f>IFERROR(__xludf.DUMMYFUNCTION("""COMPUTED_VALUE"""),"LOCAL")</f>
        <v>LOCAL</v>
      </c>
      <c r="M377" s="5" t="str">
        <f>IFERROR(__xludf.DUMMYFUNCTION("""COMPUTED_VALUE"""),"CIDADE UNIVERSITÁRIA")</f>
        <v>CIDADE UNIVERSITÁRIA</v>
      </c>
      <c r="N377" s="5" t="str">
        <f>IFERROR(__xludf.DUMMYFUNCTION("""COMPUTED_VALUE"""),"INTEGRAÇÃO")</f>
        <v>INTEGRAÇÃO</v>
      </c>
      <c r="O377" s="5" t="str">
        <f>IFERROR(__xludf.DUMMYFUNCTION("""COMPUTED_VALUE"""),"CASA 09")</f>
        <v>CASA 09</v>
      </c>
      <c r="P377" s="5" t="str">
        <f>IFERROR(__xludf.DUMMYFUNCTION("""COMPUTED_VALUE"""),"PRIORIDADE BAIXA")</f>
        <v>PRIORIDADE BAIXA</v>
      </c>
      <c r="Q377" s="5"/>
      <c r="R377" s="5" t="str">
        <f>IFERROR(__xludf.DUMMYFUNCTION("""COMPUTED_VALUE"""),"NENHUMA DAS OPÇÕES")</f>
        <v>NENHUMA DAS OPÇÕES</v>
      </c>
      <c r="S377" s="5"/>
      <c r="T377" s="5"/>
      <c r="U377" s="7">
        <f>IFERROR(__xludf.DUMMYFUNCTION("""COMPUTED_VALUE"""),45128.0)</f>
        <v>45128</v>
      </c>
      <c r="V377" s="9" t="str">
        <f>IFERROR(__xludf.DUMMYFUNCTION("""COMPUTED_VALUE"""),"https://drive.google.com/uc?id=1Ur-iBvypNK_vlbrjkZ1almkNgGQPZjfn/")</f>
        <v>https://drive.google.com/uc?id=1Ur-iBvypNK_vlbrjkZ1almkNgGQPZjfn/</v>
      </c>
      <c r="W377" s="5" t="str">
        <f>IFERROR(__xludf.DUMMYFUNCTION("""COMPUTED_VALUE"""),"NÃO")</f>
        <v>NÃO</v>
      </c>
      <c r="X377" s="5" t="str">
        <f>IFERROR(__xludf.DUMMYFUNCTION("""COMPUTED_VALUE"""),"NÃO SE APLICA")</f>
        <v>NÃO SE APLICA</v>
      </c>
    </row>
    <row r="378" hidden="1">
      <c r="A378" s="5">
        <f>IFERROR(__xludf.DUMMYFUNCTION("""COMPUTED_VALUE"""),7.0)</f>
        <v>7</v>
      </c>
      <c r="B378" s="5" t="str">
        <f>IFERROR(__xludf.DUMMYFUNCTION("""COMPUTED_VALUE"""),"CV221")</f>
        <v>CV221</v>
      </c>
      <c r="C378" s="5" t="str">
        <f>IFERROR(__xludf.DUMMYFUNCTION("""COMPUTED_VALUE"""),"NÃO POSSUI")</f>
        <v>NÃO POSSUI</v>
      </c>
      <c r="D378" s="5" t="str">
        <f>IFERROR(__xludf.DUMMYFUNCTION("""COMPUTED_VALUE"""),"COM SUPORTE")</f>
        <v>COM SUPORTE</v>
      </c>
      <c r="E378" s="5" t="str">
        <f>IFERROR(__xludf.DUMMYFUNCTION("""COMPUTED_VALUE"""),"SEM BAIA")</f>
        <v>SEM BAIA</v>
      </c>
      <c r="F378" s="5" t="str">
        <f>IFERROR(__xludf.DUMMYFUNCTION("""COMPUTED_VALUE"""),"NÃO")</f>
        <v>NÃO</v>
      </c>
      <c r="G378" s="5" t="str">
        <f>IFERROR(__xludf.DUMMYFUNCTION("""COMPUTED_VALUE"""),"NÃO")</f>
        <v>NÃO</v>
      </c>
      <c r="H378" s="5" t="str">
        <f>IFERROR(__xludf.DUMMYFUNCTION("""COMPUTED_VALUE"""),"NÃO PAVIMENTADA")</f>
        <v>NÃO PAVIMENTADA</v>
      </c>
      <c r="I378" s="6" t="str">
        <f>IFERROR(__xludf.DUMMYFUNCTION("""COMPUTED_VALUE"""),"-9.5340")</f>
        <v>-9.5340</v>
      </c>
      <c r="J378" s="6" t="str">
        <f>IFERROR(__xludf.DUMMYFUNCTION("""COMPUTED_VALUE"""),"-35.7899")</f>
        <v>-35.7899</v>
      </c>
      <c r="K378" s="5" t="str">
        <f>IFERROR(__xludf.DUMMYFUNCTION("""COMPUTED_VALUE"""),"RUA SALDADI ADRIÃO JOSÉ DA SILVA")</f>
        <v>RUA SALDADI ADRIÃO JOSÉ DA SILVA</v>
      </c>
      <c r="L378" s="5" t="str">
        <f>IFERROR(__xludf.DUMMYFUNCTION("""COMPUTED_VALUE"""),"LOCAL")</f>
        <v>LOCAL</v>
      </c>
      <c r="M378" s="5" t="str">
        <f>IFERROR(__xludf.DUMMYFUNCTION("""COMPUTED_VALUE"""),"CIDADE UNIVERSITÁRIA")</f>
        <v>CIDADE UNIVERSITÁRIA</v>
      </c>
      <c r="N378" s="5" t="str">
        <f>IFERROR(__xludf.DUMMYFUNCTION("""COMPUTED_VALUE"""),"INTEGRAÇÃO")</f>
        <v>INTEGRAÇÃO</v>
      </c>
      <c r="O378" s="5" t="str">
        <f>IFERROR(__xludf.DUMMYFUNCTION("""COMPUTED_VALUE"""),"CASA 09")</f>
        <v>CASA 09</v>
      </c>
      <c r="P378" s="5" t="str">
        <f>IFERROR(__xludf.DUMMYFUNCTION("""COMPUTED_VALUE"""),"PRIORIDADE BAIXA")</f>
        <v>PRIORIDADE BAIXA</v>
      </c>
      <c r="Q378" s="5"/>
      <c r="R378" s="5" t="str">
        <f>IFERROR(__xludf.DUMMYFUNCTION("""COMPUTED_VALUE"""),"NENHUMA DAS OPÇÕES")</f>
        <v>NENHUMA DAS OPÇÕES</v>
      </c>
      <c r="S378" s="5"/>
      <c r="T378" s="5"/>
      <c r="U378" s="7">
        <f>IFERROR(__xludf.DUMMYFUNCTION("""COMPUTED_VALUE"""),45128.0)</f>
        <v>45128</v>
      </c>
      <c r="V378" s="9" t="str">
        <f>IFERROR(__xludf.DUMMYFUNCTION("""COMPUTED_VALUE"""),"https://drive.google.com/uc?id=1jQ5zMEEaz5K01Qs3mwdCv0VepdvzavjC")</f>
        <v>https://drive.google.com/uc?id=1jQ5zMEEaz5K01Qs3mwdCv0VepdvzavjC</v>
      </c>
      <c r="W378" s="5" t="str">
        <f>IFERROR(__xludf.DUMMYFUNCTION("""COMPUTED_VALUE"""),"NÃO")</f>
        <v>NÃO</v>
      </c>
      <c r="X378" s="5" t="str">
        <f>IFERROR(__xludf.DUMMYFUNCTION("""COMPUTED_VALUE"""),"NÃO SE APLICA")</f>
        <v>NÃO SE APLICA</v>
      </c>
    </row>
    <row r="379" hidden="1">
      <c r="A379" s="5">
        <f>IFERROR(__xludf.DUMMYFUNCTION("""COMPUTED_VALUE"""),7.0)</f>
        <v>7</v>
      </c>
      <c r="B379" s="5" t="str">
        <f>IFERROR(__xludf.DUMMYFUNCTION("""COMPUTED_VALUE"""),"CV222")</f>
        <v>CV222</v>
      </c>
      <c r="C379" s="5" t="str">
        <f>IFERROR(__xludf.DUMMYFUNCTION("""COMPUTED_VALUE"""),"NÃO POSSUI")</f>
        <v>NÃO POSSUI</v>
      </c>
      <c r="D379" s="5" t="str">
        <f>IFERROR(__xludf.DUMMYFUNCTION("""COMPUTED_VALUE"""),"COM SUPORTE")</f>
        <v>COM SUPORTE</v>
      </c>
      <c r="E379" s="5" t="str">
        <f>IFERROR(__xludf.DUMMYFUNCTION("""COMPUTED_VALUE"""),"SEM BAIA")</f>
        <v>SEM BAIA</v>
      </c>
      <c r="F379" s="5" t="str">
        <f>IFERROR(__xludf.DUMMYFUNCTION("""COMPUTED_VALUE"""),"NÃO")</f>
        <v>NÃO</v>
      </c>
      <c r="G379" s="5" t="str">
        <f>IFERROR(__xludf.DUMMYFUNCTION("""COMPUTED_VALUE"""),"NÃO")</f>
        <v>NÃO</v>
      </c>
      <c r="H379" s="5" t="str">
        <f>IFERROR(__xludf.DUMMYFUNCTION("""COMPUTED_VALUE"""),"PAVIMENTADA COM AVARIAS")</f>
        <v>PAVIMENTADA COM AVARIAS</v>
      </c>
      <c r="I379" s="6" t="str">
        <f>IFERROR(__xludf.DUMMYFUNCTION("""COMPUTED_VALUE"""),"-9.5321")</f>
        <v>-9.5321</v>
      </c>
      <c r="J379" s="6" t="str">
        <f>IFERROR(__xludf.DUMMYFUNCTION("""COMPUTED_VALUE"""),"-35.7911")</f>
        <v>-35.7911</v>
      </c>
      <c r="K379" s="5" t="str">
        <f>IFERROR(__xludf.DUMMYFUNCTION("""COMPUTED_VALUE"""),"RUA 24 LOTEAMENTO ACAUA")</f>
        <v>RUA 24 LOTEAMENTO ACAUA</v>
      </c>
      <c r="L379" s="5" t="str">
        <f>IFERROR(__xludf.DUMMYFUNCTION("""COMPUTED_VALUE"""),"COLETORA")</f>
        <v>COLETORA</v>
      </c>
      <c r="M379" s="5" t="str">
        <f>IFERROR(__xludf.DUMMYFUNCTION("""COMPUTED_VALUE"""),"CIDADE UNIVERSITÁRIA")</f>
        <v>CIDADE UNIVERSITÁRIA</v>
      </c>
      <c r="N379" s="5" t="str">
        <f>IFERROR(__xludf.DUMMYFUNCTION("""COMPUTED_VALUE"""),"INTEGRAÇÃO")</f>
        <v>INTEGRAÇÃO</v>
      </c>
      <c r="O379" s="5" t="str">
        <f>IFERROR(__xludf.DUMMYFUNCTION("""COMPUTED_VALUE"""),"CASA 21")</f>
        <v>CASA 21</v>
      </c>
      <c r="P379" s="5" t="str">
        <f>IFERROR(__xludf.DUMMYFUNCTION("""COMPUTED_VALUE"""),"PRIORIDADE BAIXA")</f>
        <v>PRIORIDADE BAIXA</v>
      </c>
      <c r="Q379" s="5"/>
      <c r="R379" s="5" t="str">
        <f>IFERROR(__xludf.DUMMYFUNCTION("""COMPUTED_VALUE"""),"NENHUMA DAS OPÇÕES")</f>
        <v>NENHUMA DAS OPÇÕES</v>
      </c>
      <c r="S379" s="5"/>
      <c r="T379" s="5"/>
      <c r="U379" s="7">
        <f>IFERROR(__xludf.DUMMYFUNCTION("""COMPUTED_VALUE"""),45128.0)</f>
        <v>45128</v>
      </c>
      <c r="V379" s="9" t="str">
        <f>IFERROR(__xludf.DUMMYFUNCTION("""COMPUTED_VALUE"""),"https://drive.google.com/uc?id=11GT8TvrIvAmxaOEYOknwixHteodWTcZN")</f>
        <v>https://drive.google.com/uc?id=11GT8TvrIvAmxaOEYOknwixHteodWTcZN</v>
      </c>
      <c r="W379" s="5" t="str">
        <f>IFERROR(__xludf.DUMMYFUNCTION("""COMPUTED_VALUE"""),"NÃO")</f>
        <v>NÃO</v>
      </c>
      <c r="X379" s="5" t="str">
        <f>IFERROR(__xludf.DUMMYFUNCTION("""COMPUTED_VALUE"""),"NÃO SE APLICA")</f>
        <v>NÃO SE APLICA</v>
      </c>
    </row>
    <row r="380" hidden="1">
      <c r="A380" s="5">
        <f>IFERROR(__xludf.DUMMYFUNCTION("""COMPUTED_VALUE"""),7.0)</f>
        <v>7</v>
      </c>
      <c r="B380" s="5" t="str">
        <f>IFERROR(__xludf.DUMMYFUNCTION("""COMPUTED_VALUE"""),"CV223")</f>
        <v>CV223</v>
      </c>
      <c r="C380" s="5" t="str">
        <f>IFERROR(__xludf.DUMMYFUNCTION("""COMPUTED_VALUE"""),"NÃO POSSUI")</f>
        <v>NÃO POSSUI</v>
      </c>
      <c r="D380" s="5" t="str">
        <f>IFERROR(__xludf.DUMMYFUNCTION("""COMPUTED_VALUE"""),"COM SUPORTE")</f>
        <v>COM SUPORTE</v>
      </c>
      <c r="E380" s="5" t="str">
        <f>IFERROR(__xludf.DUMMYFUNCTION("""COMPUTED_VALUE"""),"SEM BAIA")</f>
        <v>SEM BAIA</v>
      </c>
      <c r="F380" s="5" t="str">
        <f>IFERROR(__xludf.DUMMYFUNCTION("""COMPUTED_VALUE"""),"NÃO")</f>
        <v>NÃO</v>
      </c>
      <c r="G380" s="5" t="str">
        <f>IFERROR(__xludf.DUMMYFUNCTION("""COMPUTED_VALUE"""),"NÃO")</f>
        <v>NÃO</v>
      </c>
      <c r="H380" s="5" t="str">
        <f>IFERROR(__xludf.DUMMYFUNCTION("""COMPUTED_VALUE"""),"PAVIMENTADA")</f>
        <v>PAVIMENTADA</v>
      </c>
      <c r="I380" s="6" t="str">
        <f>IFERROR(__xludf.DUMMYFUNCTION("""COMPUTED_VALUE"""),"-9.5326")</f>
        <v>-9.5326</v>
      </c>
      <c r="J380" s="6" t="str">
        <f>IFERROR(__xludf.DUMMYFUNCTION("""COMPUTED_VALUE"""),"-35.7909")</f>
        <v>-35.7909</v>
      </c>
      <c r="K380" s="5" t="str">
        <f>IFERROR(__xludf.DUMMYFUNCTION("""COMPUTED_VALUE"""),"RUA PRESIDENTE GETÚLIO VARGAS")</f>
        <v>RUA PRESIDENTE GETÚLIO VARGAS</v>
      </c>
      <c r="L380" s="5" t="str">
        <f>IFERROR(__xludf.DUMMYFUNCTION("""COMPUTED_VALUE"""),"COLETORA")</f>
        <v>COLETORA</v>
      </c>
      <c r="M380" s="5" t="str">
        <f>IFERROR(__xludf.DUMMYFUNCTION("""COMPUTED_VALUE"""),"CIDADE UNIVERSITÁRIA")</f>
        <v>CIDADE UNIVERSITÁRIA</v>
      </c>
      <c r="N380" s="5" t="str">
        <f>IFERROR(__xludf.DUMMYFUNCTION("""COMPUTED_VALUE"""),"INTEGRAÇÃO")</f>
        <v>INTEGRAÇÃO</v>
      </c>
      <c r="O380" s="5" t="str">
        <f>IFERROR(__xludf.DUMMYFUNCTION("""COMPUTED_VALUE"""),"ESQUINA CONTRARIA A CASA 21")</f>
        <v>ESQUINA CONTRARIA A CASA 21</v>
      </c>
      <c r="P380" s="5" t="str">
        <f>IFERROR(__xludf.DUMMYFUNCTION("""COMPUTED_VALUE"""),"PRIORIDADE BAIXA")</f>
        <v>PRIORIDADE BAIXA</v>
      </c>
      <c r="Q380" s="5"/>
      <c r="R380" s="5" t="str">
        <f>IFERROR(__xludf.DUMMYFUNCTION("""COMPUTED_VALUE"""),"NENHUMA DAS OPÇÕES")</f>
        <v>NENHUMA DAS OPÇÕES</v>
      </c>
      <c r="S380" s="5"/>
      <c r="T380" s="5"/>
      <c r="U380" s="7">
        <f>IFERROR(__xludf.DUMMYFUNCTION("""COMPUTED_VALUE"""),45128.0)</f>
        <v>45128</v>
      </c>
      <c r="V380" s="9" t="str">
        <f>IFERROR(__xludf.DUMMYFUNCTION("""COMPUTED_VALUE"""),"https://drive.google.com/uc?id=1k4mmmyoV6EzCGYf8FzRr3g2tN6d1kFzx3")</f>
        <v>https://drive.google.com/uc?id=1k4mmmyoV6EzCGYf8FzRr3g2tN6d1kFzx3</v>
      </c>
      <c r="W380" s="5" t="str">
        <f>IFERROR(__xludf.DUMMYFUNCTION("""COMPUTED_VALUE"""),"NÃO")</f>
        <v>NÃO</v>
      </c>
      <c r="X380" s="5" t="str">
        <f>IFERROR(__xludf.DUMMYFUNCTION("""COMPUTED_VALUE"""),"NÃO SE APLICA")</f>
        <v>NÃO SE APLICA</v>
      </c>
    </row>
    <row r="381" hidden="1">
      <c r="A381" s="5">
        <f>IFERROR(__xludf.DUMMYFUNCTION("""COMPUTED_VALUE"""),7.0)</f>
        <v>7</v>
      </c>
      <c r="B381" s="5" t="str">
        <f>IFERROR(__xludf.DUMMYFUNCTION("""COMPUTED_VALUE"""),"CV224")</f>
        <v>CV224</v>
      </c>
      <c r="C381" s="5" t="str">
        <f>IFERROR(__xludf.DUMMYFUNCTION("""COMPUTED_VALUE"""),"NÃO POSSUI")</f>
        <v>NÃO POSSUI</v>
      </c>
      <c r="D381" s="5" t="str">
        <f>IFERROR(__xludf.DUMMYFUNCTION("""COMPUTED_VALUE"""),"FIXADA EM POSTE")</f>
        <v>FIXADA EM POSTE</v>
      </c>
      <c r="E381" s="5" t="str">
        <f>IFERROR(__xludf.DUMMYFUNCTION("""COMPUTED_VALUE"""),"SEM BAIA")</f>
        <v>SEM BAIA</v>
      </c>
      <c r="F381" s="5" t="str">
        <f>IFERROR(__xludf.DUMMYFUNCTION("""COMPUTED_VALUE"""),"NÃO")</f>
        <v>NÃO</v>
      </c>
      <c r="G381" s="5" t="str">
        <f>IFERROR(__xludf.DUMMYFUNCTION("""COMPUTED_VALUE"""),"NÃO")</f>
        <v>NÃO</v>
      </c>
      <c r="H381" s="5" t="str">
        <f>IFERROR(__xludf.DUMMYFUNCTION("""COMPUTED_VALUE"""),"PAVIMENTADA COM AVARIAS")</f>
        <v>PAVIMENTADA COM AVARIAS</v>
      </c>
      <c r="I381" s="6" t="str">
        <f>IFERROR(__xludf.DUMMYFUNCTION("""COMPUTED_VALUE"""),"-9.5308")</f>
        <v>-9.5308</v>
      </c>
      <c r="J381" s="6" t="str">
        <f>IFERROR(__xludf.DUMMYFUNCTION("""COMPUTED_VALUE"""),"-35.7920")</f>
        <v>-35.7920</v>
      </c>
      <c r="K381" s="5" t="str">
        <f>IFERROR(__xludf.DUMMYFUNCTION("""COMPUTED_VALUE"""),"RUA PRESIDENTE GETÚLIO VARGAS")</f>
        <v>RUA PRESIDENTE GETÚLIO VARGAS</v>
      </c>
      <c r="L381" s="5" t="str">
        <f>IFERROR(__xludf.DUMMYFUNCTION("""COMPUTED_VALUE"""),"COLETORA")</f>
        <v>COLETORA</v>
      </c>
      <c r="M381" s="5" t="str">
        <f>IFERROR(__xludf.DUMMYFUNCTION("""COMPUTED_VALUE"""),"CIDADE UNIVERSITÁRIA")</f>
        <v>CIDADE UNIVERSITÁRIA</v>
      </c>
      <c r="N381" s="5" t="str">
        <f>IFERROR(__xludf.DUMMYFUNCTION("""COMPUTED_VALUE"""),"INTEGRAÇÃO")</f>
        <v>INTEGRAÇÃO</v>
      </c>
      <c r="O381" s="5"/>
      <c r="P381" s="5" t="str">
        <f>IFERROR(__xludf.DUMMYFUNCTION("""COMPUTED_VALUE"""),"PRIORIDADE BAIXA")</f>
        <v>PRIORIDADE BAIXA</v>
      </c>
      <c r="Q381" s="5"/>
      <c r="R381" s="5" t="str">
        <f>IFERROR(__xludf.DUMMYFUNCTION("""COMPUTED_VALUE"""),"NENHUMA DAS OPÇÕES")</f>
        <v>NENHUMA DAS OPÇÕES</v>
      </c>
      <c r="S381" s="5"/>
      <c r="T381" s="5"/>
      <c r="U381" s="7">
        <f>IFERROR(__xludf.DUMMYFUNCTION("""COMPUTED_VALUE"""),45128.0)</f>
        <v>45128</v>
      </c>
      <c r="V381" s="9" t="str">
        <f>IFERROR(__xludf.DUMMYFUNCTION("""COMPUTED_VALUE"""),"https://drive.google.com/file/d/1pY4LBGOpc2pFLnLn8tYbAWoNyBob7d8n/view?usp=sharing")</f>
        <v>https://drive.google.com/file/d/1pY4LBGOpc2pFLnLn8tYbAWoNyBob7d8n/view?usp=sharing</v>
      </c>
      <c r="W381" s="5" t="str">
        <f>IFERROR(__xludf.DUMMYFUNCTION("""COMPUTED_VALUE"""),"NÃO")</f>
        <v>NÃO</v>
      </c>
      <c r="X381" s="5" t="str">
        <f>IFERROR(__xludf.DUMMYFUNCTION("""COMPUTED_VALUE"""),"NÃO SE APLICA")</f>
        <v>NÃO SE APLICA</v>
      </c>
    </row>
    <row r="382" hidden="1">
      <c r="A382" s="5">
        <f>IFERROR(__xludf.DUMMYFUNCTION("""COMPUTED_VALUE"""),7.0)</f>
        <v>7</v>
      </c>
      <c r="B382" s="5" t="str">
        <f>IFERROR(__xludf.DUMMYFUNCTION("""COMPUTED_VALUE"""),"CV225")</f>
        <v>CV225</v>
      </c>
      <c r="C382" s="5" t="str">
        <f>IFERROR(__xludf.DUMMYFUNCTION("""COMPUTED_VALUE"""),"NÃO POSSUI")</f>
        <v>NÃO POSSUI</v>
      </c>
      <c r="D382" s="5" t="str">
        <f>IFERROR(__xludf.DUMMYFUNCTION("""COMPUTED_VALUE"""),"FIXADA EM POSTE")</f>
        <v>FIXADA EM POSTE</v>
      </c>
      <c r="E382" s="5" t="str">
        <f>IFERROR(__xludf.DUMMYFUNCTION("""COMPUTED_VALUE"""),"SEM BAIA")</f>
        <v>SEM BAIA</v>
      </c>
      <c r="F382" s="5" t="str">
        <f>IFERROR(__xludf.DUMMYFUNCTION("""COMPUTED_VALUE"""),"NÃO")</f>
        <v>NÃO</v>
      </c>
      <c r="G382" s="5" t="str">
        <f>IFERROR(__xludf.DUMMYFUNCTION("""COMPUTED_VALUE"""),"NÃO")</f>
        <v>NÃO</v>
      </c>
      <c r="H382" s="5" t="str">
        <f>IFERROR(__xludf.DUMMYFUNCTION("""COMPUTED_VALUE"""),"PAVIMENTADA COM AVARIAS")</f>
        <v>PAVIMENTADA COM AVARIAS</v>
      </c>
      <c r="I382" s="6" t="str">
        <f>IFERROR(__xludf.DUMMYFUNCTION("""COMPUTED_VALUE"""),"-9.531081")</f>
        <v>-9.531081</v>
      </c>
      <c r="J382" s="6" t="str">
        <f>IFERROR(__xludf.DUMMYFUNCTION("""COMPUTED_VALUE"""),"-35.791817")</f>
        <v>-35.791817</v>
      </c>
      <c r="K382" s="5" t="str">
        <f>IFERROR(__xludf.DUMMYFUNCTION("""COMPUTED_VALUE"""),"RUA RADIALISTA NASCIMENTO SUASSUNA")</f>
        <v>RUA RADIALISTA NASCIMENTO SUASSUNA</v>
      </c>
      <c r="L382" s="5" t="str">
        <f>IFERROR(__xludf.DUMMYFUNCTION("""COMPUTED_VALUE"""),"LOCAL")</f>
        <v>LOCAL</v>
      </c>
      <c r="M382" s="5" t="str">
        <f>IFERROR(__xludf.DUMMYFUNCTION("""COMPUTED_VALUE"""),"CIDADE UNIVERSITÁRIA")</f>
        <v>CIDADE UNIVERSITÁRIA</v>
      </c>
      <c r="N382" s="5" t="str">
        <f>IFERROR(__xludf.DUMMYFUNCTION("""COMPUTED_VALUE"""),"INTEGRAÇÃO")</f>
        <v>INTEGRAÇÃO</v>
      </c>
      <c r="O382" s="5"/>
      <c r="P382" s="5" t="str">
        <f>IFERROR(__xludf.DUMMYFUNCTION("""COMPUTED_VALUE"""),"PRIORIDADE BAIXA")</f>
        <v>PRIORIDADE BAIXA</v>
      </c>
      <c r="Q382" s="5"/>
      <c r="R382" s="5" t="str">
        <f>IFERROR(__xludf.DUMMYFUNCTION("""COMPUTED_VALUE"""),"NENHUMA DAS OPÇÕES")</f>
        <v>NENHUMA DAS OPÇÕES</v>
      </c>
      <c r="S382" s="5"/>
      <c r="T382" s="5"/>
      <c r="U382" s="7">
        <f>IFERROR(__xludf.DUMMYFUNCTION("""COMPUTED_VALUE"""),45128.0)</f>
        <v>45128</v>
      </c>
      <c r="V382" s="9" t="str">
        <f>IFERROR(__xludf.DUMMYFUNCTION("""COMPUTED_VALUE"""),"https://drive.google.com/uc?id=1UW8NCR39ef7E3VdU0qLB555QZm8CvBL5/")</f>
        <v>https://drive.google.com/uc?id=1UW8NCR39ef7E3VdU0qLB555QZm8CvBL5/</v>
      </c>
      <c r="W382" s="5" t="str">
        <f>IFERROR(__xludf.DUMMYFUNCTION("""COMPUTED_VALUE"""),"NÃO")</f>
        <v>NÃO</v>
      </c>
      <c r="X382" s="5" t="str">
        <f>IFERROR(__xludf.DUMMYFUNCTION("""COMPUTED_VALUE"""),"NÃO SE APLICA")</f>
        <v>NÃO SE APLICA</v>
      </c>
    </row>
    <row r="383" hidden="1">
      <c r="A383" s="5">
        <f>IFERROR(__xludf.DUMMYFUNCTION("""COMPUTED_VALUE"""),7.0)</f>
        <v>7</v>
      </c>
      <c r="B383" s="5" t="str">
        <f>IFERROR(__xludf.DUMMYFUNCTION("""COMPUTED_VALUE"""),"CV226")</f>
        <v>CV226</v>
      </c>
      <c r="C383" s="5" t="str">
        <f>IFERROR(__xludf.DUMMYFUNCTION("""COMPUTED_VALUE"""),"NÃO POSSUI")</f>
        <v>NÃO POSSUI</v>
      </c>
      <c r="D383" s="5" t="str">
        <f>IFERROR(__xludf.DUMMYFUNCTION("""COMPUTED_VALUE"""),"FIXADA EM POSTE")</f>
        <v>FIXADA EM POSTE</v>
      </c>
      <c r="E383" s="5" t="str">
        <f>IFERROR(__xludf.DUMMYFUNCTION("""COMPUTED_VALUE"""),"SEM BAIA")</f>
        <v>SEM BAIA</v>
      </c>
      <c r="F383" s="5" t="str">
        <f>IFERROR(__xludf.DUMMYFUNCTION("""COMPUTED_VALUE"""),"NÃO")</f>
        <v>NÃO</v>
      </c>
      <c r="G383" s="5" t="str">
        <f>IFERROR(__xludf.DUMMYFUNCTION("""COMPUTED_VALUE"""),"NÃO")</f>
        <v>NÃO</v>
      </c>
      <c r="H383" s="5" t="str">
        <f>IFERROR(__xludf.DUMMYFUNCTION("""COMPUTED_VALUE"""),"PAVIMENTADA")</f>
        <v>PAVIMENTADA</v>
      </c>
      <c r="I383" s="6" t="str">
        <f>IFERROR(__xludf.DUMMYFUNCTION("""COMPUTED_VALUE"""),"-9.530087")</f>
        <v>-9.530087</v>
      </c>
      <c r="J383" s="6" t="str">
        <f>IFERROR(__xludf.DUMMYFUNCTION("""COMPUTED_VALUE"""),"-35.775513")</f>
        <v>-35.775513</v>
      </c>
      <c r="K383" s="5" t="str">
        <f>IFERROR(__xludf.DUMMYFUNCTION("""COMPUTED_VALUE"""),"ALAMEDAS DOS ANTÚRIOS")</f>
        <v>ALAMEDAS DOS ANTÚRIOS</v>
      </c>
      <c r="L383" s="5" t="str">
        <f>IFERROR(__xludf.DUMMYFUNCTION("""COMPUTED_VALUE"""),"COLETORA")</f>
        <v>COLETORA</v>
      </c>
      <c r="M383" s="5" t="str">
        <f>IFERROR(__xludf.DUMMYFUNCTION("""COMPUTED_VALUE"""),"CIDADE UNIVERSITÁRIA")</f>
        <v>CIDADE UNIVERSITÁRIA</v>
      </c>
      <c r="N383" s="5" t="str">
        <f>IFERROR(__xludf.DUMMYFUNCTION("""COMPUTED_VALUE"""),"INTEGRAÇÃO")</f>
        <v>INTEGRAÇÃO</v>
      </c>
      <c r="O383" s="5" t="str">
        <f>IFERROR(__xludf.DUMMYFUNCTION("""COMPUTED_VALUE"""),"EM  FRENTE AO GRAND JARDIM DAS CEREJEIRAS ")</f>
        <v>EM  FRENTE AO GRAND JARDIM DAS CEREJEIRAS </v>
      </c>
      <c r="P383" s="5" t="str">
        <f>IFERROR(__xludf.DUMMYFUNCTION("""COMPUTED_VALUE"""),"PRIORIDADE BAIXA")</f>
        <v>PRIORIDADE BAIXA</v>
      </c>
      <c r="Q383" s="5"/>
      <c r="R383" s="5" t="str">
        <f>IFERROR(__xludf.DUMMYFUNCTION("""COMPUTED_VALUE"""),"NENHUMA DAS OPÇÕES")</f>
        <v>NENHUMA DAS OPÇÕES</v>
      </c>
      <c r="S383" s="5"/>
      <c r="T383" s="5"/>
      <c r="U383" s="7">
        <f>IFERROR(__xludf.DUMMYFUNCTION("""COMPUTED_VALUE"""),45119.0)</f>
        <v>45119</v>
      </c>
      <c r="V383" s="9" t="str">
        <f>IFERROR(__xludf.DUMMYFUNCTION("""COMPUTED_VALUE"""),"https://drive.google.com/uc?id=1Z8KS0tiQwfoYHk2YM0UKtmzWeBiiu7TH")</f>
        <v>https://drive.google.com/uc?id=1Z8KS0tiQwfoYHk2YM0UKtmzWeBiiu7TH</v>
      </c>
      <c r="W383" s="5" t="str">
        <f>IFERROR(__xludf.DUMMYFUNCTION("""COMPUTED_VALUE"""),"NÃO")</f>
        <v>NÃO</v>
      </c>
      <c r="X383" s="5" t="str">
        <f>IFERROR(__xludf.DUMMYFUNCTION("""COMPUTED_VALUE"""),"NÃO SE APLICA")</f>
        <v>NÃO SE APLICA</v>
      </c>
    </row>
    <row r="384" hidden="1">
      <c r="A384" s="5">
        <f>IFERROR(__xludf.DUMMYFUNCTION("""COMPUTED_VALUE"""),7.0)</f>
        <v>7</v>
      </c>
      <c r="B384" s="5" t="str">
        <f>IFERROR(__xludf.DUMMYFUNCTION("""COMPUTED_VALUE"""),"CV228")</f>
        <v>CV228</v>
      </c>
      <c r="C384" s="5" t="str">
        <f>IFERROR(__xludf.DUMMYFUNCTION("""COMPUTED_VALUE"""),"NÃO POSSUI")</f>
        <v>NÃO POSSUI</v>
      </c>
      <c r="D384" s="5" t="str">
        <f>IFERROR(__xludf.DUMMYFUNCTION("""COMPUTED_VALUE"""),"FIXADA EM POSTE")</f>
        <v>FIXADA EM POSTE</v>
      </c>
      <c r="E384" s="5" t="str">
        <f>IFERROR(__xludf.DUMMYFUNCTION("""COMPUTED_VALUE"""),"SEM BAIA")</f>
        <v>SEM BAIA</v>
      </c>
      <c r="F384" s="5" t="str">
        <f>IFERROR(__xludf.DUMMYFUNCTION("""COMPUTED_VALUE"""),"NÃO")</f>
        <v>NÃO</v>
      </c>
      <c r="G384" s="5" t="str">
        <f>IFERROR(__xludf.DUMMYFUNCTION("""COMPUTED_VALUE"""),"NÃO")</f>
        <v>NÃO</v>
      </c>
      <c r="H384" s="5" t="str">
        <f>IFERROR(__xludf.DUMMYFUNCTION("""COMPUTED_VALUE"""),"PAVIMENTADA")</f>
        <v>PAVIMENTADA</v>
      </c>
      <c r="I384" s="6" t="str">
        <f>IFERROR(__xludf.DUMMYFUNCTION("""COMPUTED_VALUE"""),"-9.523093")</f>
        <v>-9.523093</v>
      </c>
      <c r="J384" s="6" t="str">
        <f>IFERROR(__xludf.DUMMYFUNCTION("""COMPUTED_VALUE"""),"-35.776620")</f>
        <v>-35.776620</v>
      </c>
      <c r="K384" s="5" t="str">
        <f>IFERROR(__xludf.DUMMYFUNCTION("""COMPUTED_VALUE"""),"ALAMEDA DAS AMENDOEIRAS")</f>
        <v>ALAMEDA DAS AMENDOEIRAS</v>
      </c>
      <c r="L384" s="5" t="str">
        <f>IFERROR(__xludf.DUMMYFUNCTION("""COMPUTED_VALUE"""),"LOCAL")</f>
        <v>LOCAL</v>
      </c>
      <c r="M384" s="5" t="str">
        <f>IFERROR(__xludf.DUMMYFUNCTION("""COMPUTED_VALUE"""),"CIDADE UNIVERSITÁRIA")</f>
        <v>CIDADE UNIVERSITÁRIA</v>
      </c>
      <c r="N384" s="5" t="str">
        <f>IFERROR(__xludf.DUMMYFUNCTION("""COMPUTED_VALUE"""),"INTEGRAÇÃO")</f>
        <v>INTEGRAÇÃO</v>
      </c>
      <c r="O384" s="5" t="str">
        <f>IFERROR(__xludf.DUMMYFUNCTION("""COMPUTED_VALUE"""),"RS. JARDIM DOS LIRIOS")</f>
        <v>RS. JARDIM DOS LIRIOS</v>
      </c>
      <c r="P384" s="5" t="str">
        <f>IFERROR(__xludf.DUMMYFUNCTION("""COMPUTED_VALUE"""),"PRIORIDADE BAIXA")</f>
        <v>PRIORIDADE BAIXA</v>
      </c>
      <c r="Q384" s="5"/>
      <c r="R384" s="5" t="str">
        <f>IFERROR(__xludf.DUMMYFUNCTION("""COMPUTED_VALUE"""),"NENHUMA DAS OPÇÕES")</f>
        <v>NENHUMA DAS OPÇÕES</v>
      </c>
      <c r="S384" s="5"/>
      <c r="T384" s="5"/>
      <c r="U384" s="7">
        <f>IFERROR(__xludf.DUMMYFUNCTION("""COMPUTED_VALUE"""),45194.0)</f>
        <v>45194</v>
      </c>
      <c r="V384" s="9" t="str">
        <f>IFERROR(__xludf.DUMMYFUNCTION("""COMPUTED_VALUE"""),"https://drive.google.com/uc?id=1MbzF4tIB2QEfFg8ipOQGRe2jASKn3r88")</f>
        <v>https://drive.google.com/uc?id=1MbzF4tIB2QEfFg8ipOQGRe2jASKn3r88</v>
      </c>
      <c r="W384" s="5" t="str">
        <f>IFERROR(__xludf.DUMMYFUNCTION("""COMPUTED_VALUE"""),"NÃO")</f>
        <v>NÃO</v>
      </c>
      <c r="X384" s="5" t="str">
        <f>IFERROR(__xludf.DUMMYFUNCTION("""COMPUTED_VALUE"""),"NÃO SE APLICA")</f>
        <v>NÃO SE APLICA</v>
      </c>
    </row>
    <row r="385" hidden="1">
      <c r="A385" s="5">
        <f>IFERROR(__xludf.DUMMYFUNCTION("""COMPUTED_VALUE"""),7.0)</f>
        <v>7</v>
      </c>
      <c r="B385" s="5" t="str">
        <f>IFERROR(__xludf.DUMMYFUNCTION("""COMPUTED_VALUE"""),"CV229")</f>
        <v>CV229</v>
      </c>
      <c r="C385" s="5" t="str">
        <f>IFERROR(__xludf.DUMMYFUNCTION("""COMPUTED_VALUE"""),"NÃO POSSUI")</f>
        <v>NÃO POSSUI</v>
      </c>
      <c r="D385" s="5" t="str">
        <f>IFERROR(__xludf.DUMMYFUNCTION("""COMPUTED_VALUE"""),"COM SUPORTE")</f>
        <v>COM SUPORTE</v>
      </c>
      <c r="E385" s="5" t="str">
        <f>IFERROR(__xludf.DUMMYFUNCTION("""COMPUTED_VALUE"""),"SEM BAIA")</f>
        <v>SEM BAIA</v>
      </c>
      <c r="F385" s="5" t="str">
        <f>IFERROR(__xludf.DUMMYFUNCTION("""COMPUTED_VALUE"""),"NÃO")</f>
        <v>NÃO</v>
      </c>
      <c r="G385" s="5" t="str">
        <f>IFERROR(__xludf.DUMMYFUNCTION("""COMPUTED_VALUE"""),"NÃO")</f>
        <v>NÃO</v>
      </c>
      <c r="H385" s="5" t="str">
        <f>IFERROR(__xludf.DUMMYFUNCTION("""COMPUTED_VALUE"""),"NÃO PAVIMENTADA")</f>
        <v>NÃO PAVIMENTADA</v>
      </c>
      <c r="I385" s="6" t="str">
        <f>IFERROR(__xludf.DUMMYFUNCTION("""COMPUTED_VALUE"""),"-9.530478")</f>
        <v>-9.530478</v>
      </c>
      <c r="J385" s="6" t="str">
        <f>IFERROR(__xludf.DUMMYFUNCTION("""COMPUTED_VALUE"""),"-35.767462")</f>
        <v>-35.767462</v>
      </c>
      <c r="K385" s="5" t="str">
        <f>IFERROR(__xludf.DUMMYFUNCTION("""COMPUTED_VALUE"""),"SEM NOME")</f>
        <v>SEM NOME</v>
      </c>
      <c r="L385" s="5" t="str">
        <f>IFERROR(__xludf.DUMMYFUNCTION("""COMPUTED_VALUE"""),"LOCAL")</f>
        <v>LOCAL</v>
      </c>
      <c r="M385" s="5" t="str">
        <f>IFERROR(__xludf.DUMMYFUNCTION("""COMPUTED_VALUE"""),"CIDADE UNIVERSITÁRIA")</f>
        <v>CIDADE UNIVERSITÁRIA</v>
      </c>
      <c r="N385" s="5" t="str">
        <f>IFERROR(__xludf.DUMMYFUNCTION("""COMPUTED_VALUE"""),"INTEGRAÇÃO")</f>
        <v>INTEGRAÇÃO</v>
      </c>
      <c r="O385" s="5" t="str">
        <f>IFERROR(__xludf.DUMMYFUNCTION("""COMPUTED_VALUE"""),"GRAND. JARDIM DAS AMARÍLIS")</f>
        <v>GRAND. JARDIM DAS AMARÍLIS</v>
      </c>
      <c r="P385" s="5" t="str">
        <f>IFERROR(__xludf.DUMMYFUNCTION("""COMPUTED_VALUE"""),"PRIORIDADE BAIXA")</f>
        <v>PRIORIDADE BAIXA</v>
      </c>
      <c r="Q385" s="5"/>
      <c r="R385" s="5" t="str">
        <f>IFERROR(__xludf.DUMMYFUNCTION("""COMPUTED_VALUE"""),"NENHUMA DAS OPÇÕES")</f>
        <v>NENHUMA DAS OPÇÕES</v>
      </c>
      <c r="S385" s="5"/>
      <c r="T385" s="5"/>
      <c r="U385" s="7">
        <f>IFERROR(__xludf.DUMMYFUNCTION("""COMPUTED_VALUE"""),45194.0)</f>
        <v>45194</v>
      </c>
      <c r="V385" s="9" t="str">
        <f>IFERROR(__xludf.DUMMYFUNCTION("""COMPUTED_VALUE"""),"https://drive.google.com/uc?id=1Jz5cltIvowm3YP7QbE8xp3V8flbsvI_o")</f>
        <v>https://drive.google.com/uc?id=1Jz5cltIvowm3YP7QbE8xp3V8flbsvI_o</v>
      </c>
      <c r="W385" s="5" t="str">
        <f>IFERROR(__xludf.DUMMYFUNCTION("""COMPUTED_VALUE"""),"NÃO")</f>
        <v>NÃO</v>
      </c>
      <c r="X385" s="5" t="str">
        <f>IFERROR(__xludf.DUMMYFUNCTION("""COMPUTED_VALUE"""),"NÃO SE APLICA")</f>
        <v>NÃO SE APLICA</v>
      </c>
    </row>
    <row r="386" hidden="1">
      <c r="A386" s="5">
        <f>IFERROR(__xludf.DUMMYFUNCTION("""COMPUTED_VALUE"""),7.0)</f>
        <v>7</v>
      </c>
      <c r="B386" s="5" t="str">
        <f>IFERROR(__xludf.DUMMYFUNCTION("""COMPUTED_VALUE"""),"CV230")</f>
        <v>CV230</v>
      </c>
      <c r="C386" s="5" t="str">
        <f>IFERROR(__xludf.DUMMYFUNCTION("""COMPUTED_VALUE"""),"NÃO POSSUI")</f>
        <v>NÃO POSSUI</v>
      </c>
      <c r="D386" s="5" t="str">
        <f>IFERROR(__xludf.DUMMYFUNCTION("""COMPUTED_VALUE"""),"COM SUPORTE")</f>
        <v>COM SUPORTE</v>
      </c>
      <c r="E386" s="5" t="str">
        <f>IFERROR(__xludf.DUMMYFUNCTION("""COMPUTED_VALUE"""),"SEM BAIA")</f>
        <v>SEM BAIA</v>
      </c>
      <c r="F386" s="5" t="str">
        <f>IFERROR(__xludf.DUMMYFUNCTION("""COMPUTED_VALUE"""),"NÃO")</f>
        <v>NÃO</v>
      </c>
      <c r="G386" s="5" t="str">
        <f>IFERROR(__xludf.DUMMYFUNCTION("""COMPUTED_VALUE"""),"NÃO")</f>
        <v>NÃO</v>
      </c>
      <c r="H386" s="5" t="str">
        <f>IFERROR(__xludf.DUMMYFUNCTION("""COMPUTED_VALUE"""),"PAVIMENTADA")</f>
        <v>PAVIMENTADA</v>
      </c>
      <c r="I386" s="6" t="str">
        <f>IFERROR(__xludf.DUMMYFUNCTION("""COMPUTED_VALUE"""),"-9.5253")</f>
        <v>-9.5253</v>
      </c>
      <c r="J386" s="6" t="str">
        <f>IFERROR(__xludf.DUMMYFUNCTION("""COMPUTED_VALUE"""),"-35.7787
")</f>
        <v>-35.7787
</v>
      </c>
      <c r="K386" s="5" t="str">
        <f>IFERROR(__xludf.DUMMYFUNCTION("""COMPUTED_VALUE"""),"RUA INTERNA, RESIDENCIAL MACEIÓ 1")</f>
        <v>RUA INTERNA, RESIDENCIAL MACEIÓ 1</v>
      </c>
      <c r="L386" s="5" t="str">
        <f>IFERROR(__xludf.DUMMYFUNCTION("""COMPUTED_VALUE"""),"LOCAL")</f>
        <v>LOCAL</v>
      </c>
      <c r="M386" s="5" t="str">
        <f>IFERROR(__xludf.DUMMYFUNCTION("""COMPUTED_VALUE"""),"CIDADE UNIVERSITÁRIA")</f>
        <v>CIDADE UNIVERSITÁRIA</v>
      </c>
      <c r="N386" s="5"/>
      <c r="O386" s="5"/>
      <c r="P386" s="5"/>
      <c r="Q386" s="5"/>
      <c r="R386" s="5"/>
      <c r="S386" s="5"/>
      <c r="T386" s="5"/>
      <c r="U386" s="5"/>
      <c r="V386" s="9" t="str">
        <f>IFERROR(__xludf.DUMMYFUNCTION("""COMPUTED_VALUE"""),"https://drive.google.com/uc?id=1aqEY0lNcsrWKDCQaZgCfH-BBhi4c_Dwv")</f>
        <v>https://drive.google.com/uc?id=1aqEY0lNcsrWKDCQaZgCfH-BBhi4c_Dwv</v>
      </c>
      <c r="W386" s="5" t="str">
        <f>IFERROR(__xludf.DUMMYFUNCTION("""COMPUTED_VALUE"""),"NÃO")</f>
        <v>NÃO</v>
      </c>
      <c r="X386" s="5" t="str">
        <f>IFERROR(__xludf.DUMMYFUNCTION("""COMPUTED_VALUE"""),"NÃO")</f>
        <v>NÃO</v>
      </c>
    </row>
    <row r="387" hidden="1">
      <c r="A387" s="5">
        <f>IFERROR(__xludf.DUMMYFUNCTION("""COMPUTED_VALUE"""),7.0)</f>
        <v>7</v>
      </c>
      <c r="B387" s="5" t="str">
        <f>IFERROR(__xludf.DUMMYFUNCTION("""COMPUTED_VALUE"""),"CV236")</f>
        <v>CV236</v>
      </c>
      <c r="C387" s="5" t="str">
        <f>IFERROR(__xludf.DUMMYFUNCTION("""COMPUTED_VALUE"""),"NÃO POSSUI")</f>
        <v>NÃO POSSUI</v>
      </c>
      <c r="D387" s="5" t="str">
        <f>IFERROR(__xludf.DUMMYFUNCTION("""COMPUTED_VALUE"""),"FIXADA EM POSTE")</f>
        <v>FIXADA EM POSTE</v>
      </c>
      <c r="E387" s="5" t="str">
        <f>IFERROR(__xludf.DUMMYFUNCTION("""COMPUTED_VALUE"""),"SEM BAIA")</f>
        <v>SEM BAIA</v>
      </c>
      <c r="F387" s="5" t="str">
        <f>IFERROR(__xludf.DUMMYFUNCTION("""COMPUTED_VALUE"""),"NÃO")</f>
        <v>NÃO</v>
      </c>
      <c r="G387" s="5" t="str">
        <f>IFERROR(__xludf.DUMMYFUNCTION("""COMPUTED_VALUE"""),"NÃO")</f>
        <v>NÃO</v>
      </c>
      <c r="H387" s="5" t="str">
        <f>IFERROR(__xludf.DUMMYFUNCTION("""COMPUTED_VALUE"""),"NÃO PAVIMENTADA")</f>
        <v>NÃO PAVIMENTADA</v>
      </c>
      <c r="I387" s="6" t="str">
        <f>IFERROR(__xludf.DUMMYFUNCTION("""COMPUTED_VALUE"""),"-9.532279")</f>
        <v>-9.532279</v>
      </c>
      <c r="J387" s="6" t="str">
        <f>IFERROR(__xludf.DUMMYFUNCTION("""COMPUTED_VALUE"""),"-35.770194")</f>
        <v>-35.770194</v>
      </c>
      <c r="K387" s="5" t="str">
        <f>IFERROR(__xludf.DUMMYFUNCTION("""COMPUTED_VALUE"""),"AL. DOS ANTÚRIOS ")</f>
        <v>AL. DOS ANTÚRIOS </v>
      </c>
      <c r="L387" s="5" t="str">
        <f>IFERROR(__xludf.DUMMYFUNCTION("""COMPUTED_VALUE"""),"ARTERIAL ")</f>
        <v>ARTERIAL </v>
      </c>
      <c r="M387" s="5" t="str">
        <f>IFERROR(__xludf.DUMMYFUNCTION("""COMPUTED_VALUE"""),"CIDADE UNIVERSITÁRIA")</f>
        <v>CIDADE UNIVERSITÁRIA</v>
      </c>
      <c r="N387" s="5" t="str">
        <f>IFERROR(__xludf.DUMMYFUNCTION("""COMPUTED_VALUE"""),"INTEGRAÇÃO")</f>
        <v>INTEGRAÇÃO</v>
      </c>
      <c r="O387" s="5" t="str">
        <f>IFERROR(__xludf.DUMMYFUNCTION("""COMPUTED_VALUE"""),"RSIDENCIAL GRAND JARDIM DAS VIOLETAS")</f>
        <v>RSIDENCIAL GRAND JARDIM DAS VIOLETAS</v>
      </c>
      <c r="P387" s="5"/>
      <c r="Q387" s="5"/>
      <c r="R387" s="5"/>
      <c r="S387" s="5"/>
      <c r="T387" s="5"/>
      <c r="U387" s="5"/>
      <c r="V387" s="9" t="str">
        <f>IFERROR(__xludf.DUMMYFUNCTION("""COMPUTED_VALUE"""),"https://drive.google.com/uc?id=1l777RsVWEXjo6reQ9e9eKzCOLGGdDukX")</f>
        <v>https://drive.google.com/uc?id=1l777RsVWEXjo6reQ9e9eKzCOLGGdDukX</v>
      </c>
      <c r="W387" s="5" t="str">
        <f>IFERROR(__xludf.DUMMYFUNCTION("""COMPUTED_VALUE"""),"NÃO")</f>
        <v>NÃO</v>
      </c>
      <c r="X387" s="5" t="str">
        <f>IFERROR(__xludf.DUMMYFUNCTION("""COMPUTED_VALUE"""),"NÃO")</f>
        <v>NÃO</v>
      </c>
    </row>
    <row r="388" hidden="1">
      <c r="A388" s="5">
        <f>IFERROR(__xludf.DUMMYFUNCTION("""COMPUTED_VALUE"""),7.0)</f>
        <v>7</v>
      </c>
      <c r="B388" s="5" t="str">
        <f>IFERROR(__xludf.DUMMYFUNCTION("""COMPUTED_VALUE"""),"CV238")</f>
        <v>CV238</v>
      </c>
      <c r="C388" s="5" t="str">
        <f>IFERROR(__xludf.DUMMYFUNCTION("""COMPUTED_VALUE"""),"NÃO POSSUI")</f>
        <v>NÃO POSSUI</v>
      </c>
      <c r="D388" s="5" t="str">
        <f>IFERROR(__xludf.DUMMYFUNCTION("""COMPUTED_VALUE"""),"FIXADA EM POSTE")</f>
        <v>FIXADA EM POSTE</v>
      </c>
      <c r="E388" s="5" t="str">
        <f>IFERROR(__xludf.DUMMYFUNCTION("""COMPUTED_VALUE"""),"SEM BAIA")</f>
        <v>SEM BAIA</v>
      </c>
      <c r="F388" s="5" t="str">
        <f>IFERROR(__xludf.DUMMYFUNCTION("""COMPUTED_VALUE"""),"NÃO")</f>
        <v>NÃO</v>
      </c>
      <c r="G388" s="5" t="str">
        <f>IFERROR(__xludf.DUMMYFUNCTION("""COMPUTED_VALUE"""),"NÃO")</f>
        <v>NÃO</v>
      </c>
      <c r="H388" s="5" t="str">
        <f>IFERROR(__xludf.DUMMYFUNCTION("""COMPUTED_VALUE"""),"NÃO PAVIMENTADA")</f>
        <v>NÃO PAVIMENTADA</v>
      </c>
      <c r="I388" s="6" t="str">
        <f>IFERROR(__xludf.DUMMYFUNCTION("""COMPUTED_VALUE"""),"-9.531633")</f>
        <v>-9.531633</v>
      </c>
      <c r="J388" s="6" t="str">
        <f>IFERROR(__xludf.DUMMYFUNCTION("""COMPUTED_VALUE"""),"-35.772489")</f>
        <v>-35.772489</v>
      </c>
      <c r="K388" s="5" t="str">
        <f>IFERROR(__xludf.DUMMYFUNCTION("""COMPUTED_VALUE"""),"ALAMEDA DOS ANTÚRIOS, S/N")</f>
        <v>ALAMEDA DOS ANTÚRIOS, S/N</v>
      </c>
      <c r="L388" s="5" t="str">
        <f>IFERROR(__xludf.DUMMYFUNCTION("""COMPUTED_VALUE"""),"COLETORA")</f>
        <v>COLETORA</v>
      </c>
      <c r="M388" s="5" t="str">
        <f>IFERROR(__xludf.DUMMYFUNCTION("""COMPUTED_VALUE"""),"CIDADE UNIVERSITÁRIA")</f>
        <v>CIDADE UNIVERSITÁRIA</v>
      </c>
      <c r="N388" s="5" t="str">
        <f>IFERROR(__xludf.DUMMYFUNCTION("""COMPUTED_VALUE"""),"INTEGRAÇÃO")</f>
        <v>INTEGRAÇÃO</v>
      </c>
      <c r="O388" s="5" t="str">
        <f>IFERROR(__xludf.DUMMYFUNCTION("""COMPUTED_VALUE"""),"GRAND. JARDIM DOS ANTÚRIOS")</f>
        <v>GRAND. JARDIM DOS ANTÚRIOS</v>
      </c>
      <c r="P388" s="5" t="str">
        <f>IFERROR(__xludf.DUMMYFUNCTION("""COMPUTED_VALUE"""),"PRIORIDADE BAIXA")</f>
        <v>PRIORIDADE BAIXA</v>
      </c>
      <c r="Q388" s="5"/>
      <c r="R388" s="5" t="str">
        <f>IFERROR(__xludf.DUMMYFUNCTION("""COMPUTED_VALUE"""),"NENHUMA DAS OPÇÕES")</f>
        <v>NENHUMA DAS OPÇÕES</v>
      </c>
      <c r="S388" s="5"/>
      <c r="T388" s="5"/>
      <c r="U388" s="17">
        <f>IFERROR(__xludf.DUMMYFUNCTION("""COMPUTED_VALUE"""),45195.0)</f>
        <v>45195</v>
      </c>
      <c r="V388" s="9" t="str">
        <f>IFERROR(__xludf.DUMMYFUNCTION("""COMPUTED_VALUE"""),"https://drive.google.com/file/d/1B8kyD2w6mHyvUX1SlO0CWJ65CjoOIEmj/view?usp=sharing")</f>
        <v>https://drive.google.com/file/d/1B8kyD2w6mHyvUX1SlO0CWJ65CjoOIEmj/view?usp=sharing</v>
      </c>
      <c r="W388" s="5" t="str">
        <f>IFERROR(__xludf.DUMMYFUNCTION("""COMPUTED_VALUE"""),"NÃO")</f>
        <v>NÃO</v>
      </c>
      <c r="X388" s="5" t="str">
        <f>IFERROR(__xludf.DUMMYFUNCTION("""COMPUTED_VALUE"""),"NÃO")</f>
        <v>NÃO</v>
      </c>
    </row>
    <row r="389" hidden="1">
      <c r="A389" s="5">
        <f>IFERROR(__xludf.DUMMYFUNCTION("""COMPUTED_VALUE"""),7.0)</f>
        <v>7</v>
      </c>
      <c r="B389" s="5" t="str">
        <f>IFERROR(__xludf.DUMMYFUNCTION("""COMPUTED_VALUE"""),"CV240")</f>
        <v>CV240</v>
      </c>
      <c r="C389" s="5" t="str">
        <f>IFERROR(__xludf.DUMMYFUNCTION("""COMPUTED_VALUE"""),"NÃO POSSUI")</f>
        <v>NÃO POSSUI</v>
      </c>
      <c r="D389" s="5" t="str">
        <f>IFERROR(__xludf.DUMMYFUNCTION("""COMPUTED_VALUE"""),"COM SUPORTE")</f>
        <v>COM SUPORTE</v>
      </c>
      <c r="E389" s="5" t="str">
        <f>IFERROR(__xludf.DUMMYFUNCTION("""COMPUTED_VALUE"""),"SEM BAIA")</f>
        <v>SEM BAIA</v>
      </c>
      <c r="F389" s="5" t="str">
        <f>IFERROR(__xludf.DUMMYFUNCTION("""COMPUTED_VALUE"""),"NÃO")</f>
        <v>NÃO</v>
      </c>
      <c r="G389" s="5" t="str">
        <f>IFERROR(__xludf.DUMMYFUNCTION("""COMPUTED_VALUE"""),"NÃO")</f>
        <v>NÃO</v>
      </c>
      <c r="H389" s="5" t="str">
        <f>IFERROR(__xludf.DUMMYFUNCTION("""COMPUTED_VALUE"""),"PAVIMENTADA")</f>
        <v>PAVIMENTADA</v>
      </c>
      <c r="I389" s="6" t="str">
        <f>IFERROR(__xludf.DUMMYFUNCTION("""COMPUTED_VALUE"""),"-9.536419")</f>
        <v>-9.536419</v>
      </c>
      <c r="J389" s="6" t="str">
        <f>IFERROR(__xludf.DUMMYFUNCTION("""COMPUTED_VALUE"""),"-35.766339")</f>
        <v>-35.766339</v>
      </c>
      <c r="K389" s="5" t="str">
        <f>IFERROR(__xludf.DUMMYFUNCTION("""COMPUTED_VALUE"""),"AV. MARÍLIA MENDONÇA")</f>
        <v>AV. MARÍLIA MENDONÇA</v>
      </c>
      <c r="L389" s="5" t="str">
        <f>IFERROR(__xludf.DUMMYFUNCTION("""COMPUTED_VALUE"""),"ARTERIAL ")</f>
        <v>ARTERIAL </v>
      </c>
      <c r="M389" s="5" t="str">
        <f>IFERROR(__xludf.DUMMYFUNCTION("""COMPUTED_VALUE"""),"CIDADE UNIVERSITÁRIA")</f>
        <v>CIDADE UNIVERSITÁRIA</v>
      </c>
      <c r="N389" s="5" t="str">
        <f>IFERROR(__xludf.DUMMYFUNCTION("""COMPUTED_VALUE"""),"INTEGRAÇÃO")</f>
        <v>INTEGRAÇÃO</v>
      </c>
      <c r="O389" s="5" t="str">
        <f>IFERROR(__xludf.DUMMYFUNCTION("""COMPUTED_VALUE"""),"CANTEIRO DE OBRA, ENGENHARQ")</f>
        <v>CANTEIRO DE OBRA, ENGENHARQ</v>
      </c>
      <c r="P389" s="5"/>
      <c r="Q389" s="5"/>
      <c r="R389" s="5"/>
      <c r="S389" s="5"/>
      <c r="T389" s="5"/>
      <c r="U389" s="5"/>
      <c r="V389" s="9" t="str">
        <f>IFERROR(__xludf.DUMMYFUNCTION("""COMPUTED_VALUE"""),"https://drive.google.com/uc?id=1D4RFDACob-2yylsYBEa0tZlAUz4SpvG_")</f>
        <v>https://drive.google.com/uc?id=1D4RFDACob-2yylsYBEa0tZlAUz4SpvG_</v>
      </c>
      <c r="W389" s="5" t="str">
        <f>IFERROR(__xludf.DUMMYFUNCTION("""COMPUTED_VALUE"""),"NÃO")</f>
        <v>NÃO</v>
      </c>
      <c r="X389" s="5" t="str">
        <f>IFERROR(__xludf.DUMMYFUNCTION("""COMPUTED_VALUE"""),"NÃO")</f>
        <v>NÃO</v>
      </c>
    </row>
    <row r="390">
      <c r="A390" s="5">
        <f>IFERROR(__xludf.DUMMYFUNCTION("""COMPUTED_VALUE"""),7.0)</f>
        <v>7</v>
      </c>
      <c r="B390" s="5" t="str">
        <f>IFERROR(__xludf.DUMMYFUNCTION("""COMPUTED_VALUE"""),"CV241")</f>
        <v>CV241</v>
      </c>
      <c r="C390" s="5" t="str">
        <f>IFERROR(__xludf.DUMMYFUNCTION("""COMPUTED_VALUE"""),"ABRIGO EUCALIPTO PEQUENO PORTE")</f>
        <v>ABRIGO EUCALIPTO PEQUENO PORTE</v>
      </c>
      <c r="D390" s="5" t="str">
        <f>IFERROR(__xludf.DUMMYFUNCTION("""COMPUTED_VALUE"""),"COM SUPORTE")</f>
        <v>COM SUPORTE</v>
      </c>
      <c r="E390" s="5" t="str">
        <f>IFERROR(__xludf.DUMMYFUNCTION("""COMPUTED_VALUE"""),"SEM BAIA")</f>
        <v>SEM BAIA</v>
      </c>
      <c r="F390" s="5" t="str">
        <f>IFERROR(__xludf.DUMMYFUNCTION("""COMPUTED_VALUE"""),"NÃO")</f>
        <v>NÃO</v>
      </c>
      <c r="G390" s="5" t="str">
        <f>IFERROR(__xludf.DUMMYFUNCTION("""COMPUTED_VALUE"""),"NÃO")</f>
        <v>NÃO</v>
      </c>
      <c r="H390" s="5" t="str">
        <f>IFERROR(__xludf.DUMMYFUNCTION("""COMPUTED_VALUE"""),"PAVIMENTADA")</f>
        <v>PAVIMENTADA</v>
      </c>
      <c r="I390" s="6" t="str">
        <f>IFERROR(__xludf.DUMMYFUNCTION("""COMPUTED_VALUE"""),"-9.536219")</f>
        <v>-9.536219</v>
      </c>
      <c r="J390" s="6" t="str">
        <f>IFERROR(__xludf.DUMMYFUNCTION("""COMPUTED_VALUE"""),"-35.766176")</f>
        <v>-35.766176</v>
      </c>
      <c r="K390" s="5" t="str">
        <f>IFERROR(__xludf.DUMMYFUNCTION("""COMPUTED_VALUE"""),"AV. MARÍLIA MENDONÇA")</f>
        <v>AV. MARÍLIA MENDONÇA</v>
      </c>
      <c r="L390" s="5" t="str">
        <f>IFERROR(__xludf.DUMMYFUNCTION("""COMPUTED_VALUE"""),"ARTERIAL ")</f>
        <v>ARTERIAL </v>
      </c>
      <c r="M390" s="5" t="str">
        <f>IFERROR(__xludf.DUMMYFUNCTION("""COMPUTED_VALUE"""),"CIDADE UNIVERSITÁRIA")</f>
        <v>CIDADE UNIVERSITÁRIA</v>
      </c>
      <c r="N390" s="5" t="str">
        <f>IFERROR(__xludf.DUMMYFUNCTION("""COMPUTED_VALUE"""),"INTEGRAÇÃO")</f>
        <v>INTEGRAÇÃO</v>
      </c>
      <c r="O390" s="5" t="str">
        <f>IFERROR(__xludf.DUMMYFUNCTION("""COMPUTED_VALUE"""),"CANTEIRO DE OBRA, ENGENHARQ")</f>
        <v>CANTEIRO DE OBRA, ENGENHARQ</v>
      </c>
      <c r="P390" s="5"/>
      <c r="Q390" s="5"/>
      <c r="R390" s="5"/>
      <c r="S390" s="5"/>
      <c r="T390" s="5"/>
      <c r="U390" s="5"/>
      <c r="V390" s="9" t="str">
        <f>IFERROR(__xludf.DUMMYFUNCTION("""COMPUTED_VALUE"""),"https://drive.google.com/uc?id=1dxWFo2LJShDQLNb8eMvb0FVV_ddnECqW")</f>
        <v>https://drive.google.com/uc?id=1dxWFo2LJShDQLNb8eMvb0FVV_ddnECqW</v>
      </c>
      <c r="W390" s="5" t="str">
        <f>IFERROR(__xludf.DUMMYFUNCTION("""COMPUTED_VALUE"""),"NÃO")</f>
        <v>NÃO</v>
      </c>
      <c r="X390" s="5" t="str">
        <f>IFERROR(__xludf.DUMMYFUNCTION("""COMPUTED_VALUE"""),"NÃO")</f>
        <v>NÃO</v>
      </c>
    </row>
    <row r="391">
      <c r="A391" s="5">
        <f>IFERROR(__xludf.DUMMYFUNCTION("""COMPUTED_VALUE"""),7.0)</f>
        <v>7</v>
      </c>
      <c r="B391" s="5" t="str">
        <f>IFERROR(__xludf.DUMMYFUNCTION("""COMPUTED_VALUE"""),"CV242")</f>
        <v>CV242</v>
      </c>
      <c r="C391" s="5" t="str">
        <f>IFERROR(__xludf.DUMMYFUNCTION("""COMPUTED_VALUE"""),"ABRIGO METÁLICO GRANDE PORTE")</f>
        <v>ABRIGO METÁLICO GRANDE PORTE</v>
      </c>
      <c r="D391" s="5" t="str">
        <f>IFERROR(__xludf.DUMMYFUNCTION("""COMPUTED_VALUE"""),"COM SUPORTE")</f>
        <v>COM SUPORTE</v>
      </c>
      <c r="E391" s="5" t="str">
        <f>IFERROR(__xludf.DUMMYFUNCTION("""COMPUTED_VALUE"""),"SEM BAIA")</f>
        <v>SEM BAIA</v>
      </c>
      <c r="F391" s="5" t="str">
        <f>IFERROR(__xludf.DUMMYFUNCTION("""COMPUTED_VALUE"""),"SIM")</f>
        <v>SIM</v>
      </c>
      <c r="G391" s="5" t="str">
        <f>IFERROR(__xludf.DUMMYFUNCTION("""COMPUTED_VALUE"""),"NÃO")</f>
        <v>NÃO</v>
      </c>
      <c r="H391" s="5" t="str">
        <f>IFERROR(__xludf.DUMMYFUNCTION("""COMPUTED_VALUE"""),"PAVIMENTADA")</f>
        <v>PAVIMENTADA</v>
      </c>
      <c r="I391" s="6" t="str">
        <f>IFERROR(__xludf.DUMMYFUNCTION("""COMPUTED_VALUE"""),"-9.560358")</f>
        <v>-9.560358</v>
      </c>
      <c r="J391" s="6" t="str">
        <f>IFERROR(__xludf.DUMMYFUNCTION("""COMPUTED_VALUE"""),"-35.746426")</f>
        <v>-35.746426</v>
      </c>
      <c r="K391" s="5" t="str">
        <f>IFERROR(__xludf.DUMMYFUNCTION("""COMPUTED_VALUE"""),"AV. MENINO MARCELO, S/N")</f>
        <v>AV. MENINO MARCELO, S/N</v>
      </c>
      <c r="L391" s="5" t="str">
        <f>IFERROR(__xludf.DUMMYFUNCTION("""COMPUTED_VALUE"""),"ARTERIAL ")</f>
        <v>ARTERIAL </v>
      </c>
      <c r="M391" s="5" t="str">
        <f>IFERROR(__xludf.DUMMYFUNCTION("""COMPUTED_VALUE"""),"CIDADE UNIVERSITÁRIA")</f>
        <v>CIDADE UNIVERSITÁRIA</v>
      </c>
      <c r="N391" s="5" t="str">
        <f>IFERROR(__xludf.DUMMYFUNCTION("""COMPUTED_VALUE"""),"BAIRRO - CENTRO")</f>
        <v>BAIRRO - CENTRO</v>
      </c>
      <c r="O391" s="5" t="str">
        <f>IFERROR(__xludf.DUMMYFUNCTION("""COMPUTED_VALUE"""),"EM FRENTE AO SHOPPING ")</f>
        <v>EM FRENTE AO SHOPPING </v>
      </c>
      <c r="P391" s="5"/>
      <c r="Q391" s="5"/>
      <c r="R391" s="5"/>
      <c r="S391" s="5"/>
      <c r="T391" s="5"/>
      <c r="U391" s="5"/>
      <c r="V391" s="9" t="str">
        <f>IFERROR(__xludf.DUMMYFUNCTION("""COMPUTED_VALUE"""),"https://drive.google.com/uc?id=1HnTcB3kg3CxCryl6raDTt-qEi_Vn7BIG")</f>
        <v>https://drive.google.com/uc?id=1HnTcB3kg3CxCryl6raDTt-qEi_Vn7BIG</v>
      </c>
      <c r="W391" s="5" t="str">
        <f>IFERROR(__xludf.DUMMYFUNCTION("""COMPUTED_VALUE"""),"NÃO")</f>
        <v>NÃO</v>
      </c>
      <c r="X391" s="5" t="str">
        <f>IFERROR(__xludf.DUMMYFUNCTION("""COMPUTED_VALUE"""),"NÃO")</f>
        <v>NÃO</v>
      </c>
    </row>
    <row r="392">
      <c r="A392" s="5">
        <f>IFERROR(__xludf.DUMMYFUNCTION("""COMPUTED_VALUE"""),7.0)</f>
        <v>7</v>
      </c>
      <c r="B392" s="5" t="str">
        <f>IFERROR(__xludf.DUMMYFUNCTION("""COMPUTED_VALUE"""),"CV243")</f>
        <v>CV243</v>
      </c>
      <c r="C392" s="5" t="str">
        <f>IFERROR(__xludf.DUMMYFUNCTION("""COMPUTED_VALUE"""),"ABRIGO METÁLICO PEQUENO PORTE")</f>
        <v>ABRIGO METÁLICO PEQUENO PORTE</v>
      </c>
      <c r="D392" s="5" t="str">
        <f>IFERROR(__xludf.DUMMYFUNCTION("""COMPUTED_VALUE"""),"COM SUPORTE")</f>
        <v>COM SUPORTE</v>
      </c>
      <c r="E392" s="5" t="str">
        <f>IFERROR(__xludf.DUMMYFUNCTION("""COMPUTED_VALUE"""),"BAIA CONSTRUÍDA")</f>
        <v>BAIA CONSTRUÍDA</v>
      </c>
      <c r="F392" s="5" t="str">
        <f>IFERROR(__xludf.DUMMYFUNCTION("""COMPUTED_VALUE"""),"SIM")</f>
        <v>SIM</v>
      </c>
      <c r="G392" s="5" t="str">
        <f>IFERROR(__xludf.DUMMYFUNCTION("""COMPUTED_VALUE"""),"NÃO")</f>
        <v>NÃO</v>
      </c>
      <c r="H392" s="5" t="str">
        <f>IFERROR(__xludf.DUMMYFUNCTION("""COMPUTED_VALUE"""),"PAVIMENTADA")</f>
        <v>PAVIMENTADA</v>
      </c>
      <c r="I392" s="6" t="str">
        <f>IFERROR(__xludf.DUMMYFUNCTION("""COMPUTED_VALUE"""),"-9.559762")</f>
        <v>-9.559762</v>
      </c>
      <c r="J392" s="6" t="str">
        <f>IFERROR(__xludf.DUMMYFUNCTION("""COMPUTED_VALUE"""),"-35.746923")</f>
        <v>-35.746923</v>
      </c>
      <c r="K392" s="5" t="str">
        <f>IFERROR(__xludf.DUMMYFUNCTION("""COMPUTED_VALUE"""),"AV. MENINO MARCELO, S/N")</f>
        <v>AV. MENINO MARCELO, S/N</v>
      </c>
      <c r="L392" s="5" t="str">
        <f>IFERROR(__xludf.DUMMYFUNCTION("""COMPUTED_VALUE"""),"ARTERIAL ")</f>
        <v>ARTERIAL </v>
      </c>
      <c r="M392" s="5" t="str">
        <f>IFERROR(__xludf.DUMMYFUNCTION("""COMPUTED_VALUE"""),"CIDADE UNIVERSITÁRIA")</f>
        <v>CIDADE UNIVERSITÁRIA</v>
      </c>
      <c r="N392" s="5" t="str">
        <f>IFERROR(__xludf.DUMMYFUNCTION("""COMPUTED_VALUE"""),"BAIRRO - CENTRO")</f>
        <v>BAIRRO - CENTRO</v>
      </c>
      <c r="O392" s="5" t="str">
        <f>IFERROR(__xludf.DUMMYFUNCTION("""COMPUTED_VALUE"""),"EM FRENTE AO SHOPPING ")</f>
        <v>EM FRENTE AO SHOPPING </v>
      </c>
      <c r="P392" s="5"/>
      <c r="Q392" s="5"/>
      <c r="R392" s="5"/>
      <c r="S392" s="5"/>
      <c r="T392" s="5"/>
      <c r="U392" s="5"/>
      <c r="V392" s="9" t="str">
        <f>IFERROR(__xludf.DUMMYFUNCTION("""COMPUTED_VALUE"""),"https://drive.google.com/uc?id=1jXA69eobc_4FGHuYoqz3rXbSKzOUHaCs")</f>
        <v>https://drive.google.com/uc?id=1jXA69eobc_4FGHuYoqz3rXbSKzOUHaCs</v>
      </c>
      <c r="W392" s="5" t="str">
        <f>IFERROR(__xludf.DUMMYFUNCTION("""COMPUTED_VALUE"""),"NÃO")</f>
        <v>NÃO</v>
      </c>
      <c r="X392" s="5" t="str">
        <f>IFERROR(__xludf.DUMMYFUNCTION("""COMPUTED_VALUE"""),"NÃO")</f>
        <v>NÃO</v>
      </c>
    </row>
    <row r="393">
      <c r="A393" s="5">
        <f>IFERROR(__xludf.DUMMYFUNCTION("""COMPUTED_VALUE"""),7.0)</f>
        <v>7</v>
      </c>
      <c r="B393" s="5" t="str">
        <f>IFERROR(__xludf.DUMMYFUNCTION("""COMPUTED_VALUE"""),"CV244")</f>
        <v>CV244</v>
      </c>
      <c r="C393" s="5" t="str">
        <f>IFERROR(__xludf.DUMMYFUNCTION("""COMPUTED_VALUE"""),"ABRIGO METÁLICO PEQUENO PORTE")</f>
        <v>ABRIGO METÁLICO PEQUENO PORTE</v>
      </c>
      <c r="D393" s="5" t="str">
        <f>IFERROR(__xludf.DUMMYFUNCTION("""COMPUTED_VALUE"""),"COM SUPORTE")</f>
        <v>COM SUPORTE</v>
      </c>
      <c r="E393" s="5" t="str">
        <f>IFERROR(__xludf.DUMMYFUNCTION("""COMPUTED_VALUE"""),"SEM BAIA")</f>
        <v>SEM BAIA</v>
      </c>
      <c r="F393" s="5" t="str">
        <f>IFERROR(__xludf.DUMMYFUNCTION("""COMPUTED_VALUE"""),"NÃO")</f>
        <v>NÃO</v>
      </c>
      <c r="G393" s="5" t="str">
        <f>IFERROR(__xludf.DUMMYFUNCTION("""COMPUTED_VALUE"""),"NÃO")</f>
        <v>NÃO</v>
      </c>
      <c r="H393" s="5" t="str">
        <f>IFERROR(__xludf.DUMMYFUNCTION("""COMPUTED_VALUE"""),"PAVIMENTADA")</f>
        <v>PAVIMENTADA</v>
      </c>
      <c r="I393" s="6" t="str">
        <f>IFERROR(__xludf.DUMMYFUNCTION("""COMPUTED_VALUE"""),"-9.556255")</f>
        <v>-9.556255</v>
      </c>
      <c r="J393" s="6" t="str">
        <f>IFERROR(__xludf.DUMMYFUNCTION("""COMPUTED_VALUE"""),"-35.748821")</f>
        <v>-35.748821</v>
      </c>
      <c r="K393" s="5" t="str">
        <f>IFERROR(__xludf.DUMMYFUNCTION("""COMPUTED_VALUE"""),"AV. MENINO MARCELO, S/N")</f>
        <v>AV. MENINO MARCELO, S/N</v>
      </c>
      <c r="L393" s="5" t="str">
        <f>IFERROR(__xludf.DUMMYFUNCTION("""COMPUTED_VALUE"""),"ARTERIAL ")</f>
        <v>ARTERIAL </v>
      </c>
      <c r="M393" s="5" t="str">
        <f>IFERROR(__xludf.DUMMYFUNCTION("""COMPUTED_VALUE"""),"CIDADE UNIVERSITÁRIA")</f>
        <v>CIDADE UNIVERSITÁRIA</v>
      </c>
      <c r="N393" s="5" t="str">
        <f>IFERROR(__xludf.DUMMYFUNCTION("""COMPUTED_VALUE"""),"CENTRO - BAIRRO")</f>
        <v>CENTRO - BAIRRO</v>
      </c>
      <c r="O393" s="5" t="str">
        <f>IFERROR(__xludf.DUMMYFUNCTION("""COMPUTED_VALUE"""),"EM FRENTE AO CENTRINOR")</f>
        <v>EM FRENTE AO CENTRINOR</v>
      </c>
      <c r="P393" s="5"/>
      <c r="Q393" s="5"/>
      <c r="R393" s="5"/>
      <c r="S393" s="5"/>
      <c r="T393" s="5"/>
      <c r="U393" s="5"/>
      <c r="V393" s="9" t="str">
        <f>IFERROR(__xludf.DUMMYFUNCTION("""COMPUTED_VALUE"""),"https://drive.google.com/uc?id=1PNttM05alLGfilRtneOXrg6o7mwPbSxh")</f>
        <v>https://drive.google.com/uc?id=1PNttM05alLGfilRtneOXrg6o7mwPbSxh</v>
      </c>
      <c r="W393" s="5" t="str">
        <f>IFERROR(__xludf.DUMMYFUNCTION("""COMPUTED_VALUE"""),"NÃO")</f>
        <v>NÃO</v>
      </c>
      <c r="X393" s="5" t="str">
        <f>IFERROR(__xludf.DUMMYFUNCTION("""COMPUTED_VALUE"""),"NÃO")</f>
        <v>NÃO</v>
      </c>
    </row>
    <row r="394">
      <c r="A394" s="5">
        <f>IFERROR(__xludf.DUMMYFUNCTION("""COMPUTED_VALUE"""),7.0)</f>
        <v>7</v>
      </c>
      <c r="B394" s="5" t="str">
        <f>IFERROR(__xludf.DUMMYFUNCTION("""COMPUTED_VALUE"""),"CV245")</f>
        <v>CV245</v>
      </c>
      <c r="C394" s="5" t="str">
        <f>IFERROR(__xludf.DUMMYFUNCTION("""COMPUTED_VALUE"""),"ABRIGO METÁLICO PEQUENO PORTE")</f>
        <v>ABRIGO METÁLICO PEQUENO PORTE</v>
      </c>
      <c r="D394" s="5" t="str">
        <f>IFERROR(__xludf.DUMMYFUNCTION("""COMPUTED_VALUE"""),"COM SUPORTE")</f>
        <v>COM SUPORTE</v>
      </c>
      <c r="E394" s="5" t="str">
        <f>IFERROR(__xludf.DUMMYFUNCTION("""COMPUTED_VALUE"""),"SEM BAIA")</f>
        <v>SEM BAIA</v>
      </c>
      <c r="F394" s="5" t="str">
        <f>IFERROR(__xludf.DUMMYFUNCTION("""COMPUTED_VALUE"""),"NÃO")</f>
        <v>NÃO</v>
      </c>
      <c r="G394" s="5" t="str">
        <f>IFERROR(__xludf.DUMMYFUNCTION("""COMPUTED_VALUE"""),"NÃO")</f>
        <v>NÃO</v>
      </c>
      <c r="H394" s="5" t="str">
        <f>IFERROR(__xludf.DUMMYFUNCTION("""COMPUTED_VALUE"""),"NÃO PAVIMENTADA")</f>
        <v>NÃO PAVIMENTADA</v>
      </c>
      <c r="I394" s="6" t="str">
        <f>IFERROR(__xludf.DUMMYFUNCTION("""COMPUTED_VALUE"""),"-9.555101")</f>
        <v>-9.555101</v>
      </c>
      <c r="J394" s="6" t="str">
        <f>IFERROR(__xludf.DUMMYFUNCTION("""COMPUTED_VALUE"""),"-35.755566")</f>
        <v>-35.755566</v>
      </c>
      <c r="K394" s="5" t="str">
        <f>IFERROR(__xludf.DUMMYFUNCTION("""COMPUTED_VALUE"""),"AV. MENINO MARCELO, S/N")</f>
        <v>AV. MENINO MARCELO, S/N</v>
      </c>
      <c r="L394" s="5" t="str">
        <f>IFERROR(__xludf.DUMMYFUNCTION("""COMPUTED_VALUE"""),"ARTERIAL ")</f>
        <v>ARTERIAL </v>
      </c>
      <c r="M394" s="5" t="str">
        <f>IFERROR(__xludf.DUMMYFUNCTION("""COMPUTED_VALUE"""),"CIDADE UNIVERSITÁRIA")</f>
        <v>CIDADE UNIVERSITÁRIA</v>
      </c>
      <c r="N394" s="5" t="str">
        <f>IFERROR(__xludf.DUMMYFUNCTION("""COMPUTED_VALUE"""),"CENTRO - BAIRRO")</f>
        <v>CENTRO - BAIRRO</v>
      </c>
      <c r="O394" s="5" t="str">
        <f>IFERROR(__xludf.DUMMYFUNCTION("""COMPUTED_VALUE"""),"EM FRENTE AO VIPAL")</f>
        <v>EM FRENTE AO VIPAL</v>
      </c>
      <c r="P394" s="5"/>
      <c r="Q394" s="5"/>
      <c r="R394" s="5"/>
      <c r="S394" s="5"/>
      <c r="T394" s="5"/>
      <c r="U394" s="5"/>
      <c r="V394" s="9" t="str">
        <f>IFERROR(__xludf.DUMMYFUNCTION("""COMPUTED_VALUE"""),"https://drive.google.com/uc?id=1tN54yyzJKKZt8Y-LdXps2un0GhzEiKui")</f>
        <v>https://drive.google.com/uc?id=1tN54yyzJKKZt8Y-LdXps2un0GhzEiKui</v>
      </c>
      <c r="W394" s="5" t="str">
        <f>IFERROR(__xludf.DUMMYFUNCTION("""COMPUTED_VALUE"""),"NÃO")</f>
        <v>NÃO</v>
      </c>
      <c r="X394" s="5" t="str">
        <f>IFERROR(__xludf.DUMMYFUNCTION("""COMPUTED_VALUE"""),"NÃO")</f>
        <v>NÃO</v>
      </c>
    </row>
    <row r="395" ht="18.0" hidden="1" customHeight="1">
      <c r="A395" s="5">
        <f>IFERROR(__xludf.DUMMYFUNCTION("""COMPUTED_VALUE"""),7.0)</f>
        <v>7</v>
      </c>
      <c r="B395" s="5" t="str">
        <f>IFERROR(__xludf.DUMMYFUNCTION("""COMPUTED_VALUE"""),"CV246")</f>
        <v>CV246</v>
      </c>
      <c r="C395" s="5" t="str">
        <f>IFERROR(__xludf.DUMMYFUNCTION("""COMPUTED_VALUE"""),"NÃO POSSUI")</f>
        <v>NÃO POSSUI</v>
      </c>
      <c r="D395" s="5" t="str">
        <f>IFERROR(__xludf.DUMMYFUNCTION("""COMPUTED_VALUE"""),"FIXADA EM POSTE")</f>
        <v>FIXADA EM POSTE</v>
      </c>
      <c r="E395" s="5" t="str">
        <f>IFERROR(__xludf.DUMMYFUNCTION("""COMPUTED_VALUE"""),"SEM BAIA")</f>
        <v>SEM BAIA</v>
      </c>
      <c r="F395" s="5" t="str">
        <f>IFERROR(__xludf.DUMMYFUNCTION("""COMPUTED_VALUE"""),"NÃO")</f>
        <v>NÃO</v>
      </c>
      <c r="G395" s="5" t="str">
        <f>IFERROR(__xludf.DUMMYFUNCTION("""COMPUTED_VALUE"""),"NÃO")</f>
        <v>NÃO</v>
      </c>
      <c r="H395" s="5" t="str">
        <f>IFERROR(__xludf.DUMMYFUNCTION("""COMPUTED_VALUE"""),"PAVIMENTADA COM AVARIAS")</f>
        <v>PAVIMENTADA COM AVARIAS</v>
      </c>
      <c r="I395" s="6" t="str">
        <f>IFERROR(__xludf.DUMMYFUNCTION("""COMPUTED_VALUE"""),"-9.541190")</f>
        <v>-9.541190</v>
      </c>
      <c r="J395" s="6" t="str">
        <f>IFERROR(__xludf.DUMMYFUNCTION("""COMPUTED_VALUE"""),"-35.764166")</f>
        <v>-35.764166</v>
      </c>
      <c r="K395" s="5" t="str">
        <f>IFERROR(__xludf.DUMMYFUNCTION("""COMPUTED_VALUE"""),"AV. ALICE CAROLINA")</f>
        <v>AV. ALICE CAROLINA</v>
      </c>
      <c r="L395" s="5" t="str">
        <f>IFERROR(__xludf.DUMMYFUNCTION("""COMPUTED_VALUE"""),"COLETORA")</f>
        <v>COLETORA</v>
      </c>
      <c r="M395" s="5" t="str">
        <f>IFERROR(__xludf.DUMMYFUNCTION("""COMPUTED_VALUE"""),"CIDADE UNIVERSITÁRIA")</f>
        <v>CIDADE UNIVERSITÁRIA</v>
      </c>
      <c r="N395" s="5" t="str">
        <f>IFERROR(__xludf.DUMMYFUNCTION("""COMPUTED_VALUE"""),"CENTRO - BAIRRO")</f>
        <v>CENTRO - BAIRRO</v>
      </c>
      <c r="O395" s="5" t="str">
        <f>IFERROR(__xludf.DUMMYFUNCTION("""COMPUTED_VALUE"""),"MERC. ZÉ DA VENDA")</f>
        <v>MERC. ZÉ DA VENDA</v>
      </c>
      <c r="P395" s="5"/>
      <c r="Q395" s="5"/>
      <c r="R395" s="5" t="str">
        <f>IFERROR(__xludf.DUMMYFUNCTION("""COMPUTED_VALUE"""),"NENHUMA DAS OPÇÕES")</f>
        <v>NENHUMA DAS OPÇÕES</v>
      </c>
      <c r="S395" s="5"/>
      <c r="T395" s="5"/>
      <c r="U395" s="5"/>
      <c r="V395" s="9" t="str">
        <f>IFERROR(__xludf.DUMMYFUNCTION("""COMPUTED_VALUE"""),"https://drive.google.com/uc?id=15ywB3QglI5tEEUyumKJLczEFmpeAzzEE")</f>
        <v>https://drive.google.com/uc?id=15ywB3QglI5tEEUyumKJLczEFmpeAzzEE</v>
      </c>
      <c r="W395" s="5" t="str">
        <f>IFERROR(__xludf.DUMMYFUNCTION("""COMPUTED_VALUE"""),"NÃO")</f>
        <v>NÃO</v>
      </c>
      <c r="X395" s="5" t="str">
        <f>IFERROR(__xludf.DUMMYFUNCTION("""COMPUTED_VALUE"""),"NÃO")</f>
        <v>NÃO</v>
      </c>
    </row>
    <row r="396" hidden="1">
      <c r="A396" s="5"/>
      <c r="B396" s="5"/>
      <c r="C396" s="5"/>
      <c r="D396" s="5"/>
      <c r="E396" s="5"/>
      <c r="F396" s="5"/>
      <c r="G396" s="5"/>
      <c r="H396" s="5"/>
      <c r="I396" s="5"/>
      <c r="J396" s="5"/>
      <c r="K396" s="5"/>
      <c r="L396" s="5"/>
      <c r="M396" s="5"/>
      <c r="N396" s="5"/>
      <c r="O396" s="5"/>
      <c r="P396" s="5"/>
      <c r="Q396" s="5"/>
      <c r="R396" s="5"/>
      <c r="S396" s="5"/>
      <c r="T396" s="5"/>
      <c r="U396" s="5"/>
      <c r="V396" s="5"/>
      <c r="W396" s="5"/>
      <c r="X396" s="5"/>
    </row>
    <row r="397" hidden="1">
      <c r="A397" s="5"/>
      <c r="B397" s="5"/>
      <c r="C397" s="5"/>
      <c r="D397" s="5"/>
      <c r="E397" s="5"/>
      <c r="F397" s="5"/>
      <c r="G397" s="5"/>
      <c r="H397" s="5"/>
      <c r="I397" s="5"/>
      <c r="J397" s="5"/>
      <c r="K397" s="5"/>
      <c r="L397" s="5"/>
      <c r="M397" s="5"/>
      <c r="N397" s="5"/>
      <c r="O397" s="5"/>
      <c r="P397" s="5"/>
      <c r="Q397" s="5"/>
      <c r="R397" s="5"/>
      <c r="S397" s="5"/>
      <c r="T397" s="5"/>
      <c r="U397" s="5"/>
      <c r="V397" s="5"/>
      <c r="W397" s="5"/>
      <c r="X397" s="5"/>
    </row>
    <row r="398" hidden="1">
      <c r="A398" s="5"/>
      <c r="B398" s="5"/>
      <c r="C398" s="5"/>
      <c r="D398" s="5"/>
      <c r="E398" s="5"/>
      <c r="F398" s="5"/>
      <c r="G398" s="5"/>
      <c r="H398" s="5"/>
      <c r="I398" s="5"/>
      <c r="J398" s="5"/>
      <c r="K398" s="5"/>
      <c r="L398" s="5"/>
      <c r="M398" s="5"/>
      <c r="N398" s="5"/>
      <c r="O398" s="5"/>
      <c r="P398" s="5"/>
      <c r="Q398" s="5"/>
      <c r="R398" s="5"/>
      <c r="S398" s="5"/>
      <c r="T398" s="5"/>
      <c r="U398" s="5"/>
      <c r="V398" s="5"/>
      <c r="W398" s="5"/>
      <c r="X398" s="5"/>
    </row>
    <row r="399" hidden="1">
      <c r="A399" s="5">
        <f>IFERROR(__xludf.DUMMYFUNCTION("IMPORTRANGE(""https://docs.google.com/spreadsheets/d/1-Yu0wk38BvJp_4SsDjwItRQX9X18pxzX2mfs6mvd6ac/edit#gid=0"", ""SANTOS DUMONT!A3:X50"")"),7.0)</f>
        <v>7</v>
      </c>
      <c r="B399" s="5" t="str">
        <f>IFERROR(__xludf.DUMMYFUNCTION("""COMPUTED_VALUE"""),"SD001")</f>
        <v>SD001</v>
      </c>
      <c r="C399" s="5" t="str">
        <f>IFERROR(__xludf.DUMMYFUNCTION("""COMPUTED_VALUE"""),"NÃO POSSUI")</f>
        <v>NÃO POSSUI</v>
      </c>
      <c r="D399" s="5" t="str">
        <f>IFERROR(__xludf.DUMMYFUNCTION("""COMPUTED_VALUE"""),"FIXADA EM POSTE")</f>
        <v>FIXADA EM POSTE</v>
      </c>
      <c r="E399" s="5" t="str">
        <f>IFERROR(__xludf.DUMMYFUNCTION("""COMPUTED_VALUE"""),"SEM BAIA")</f>
        <v>SEM BAIA</v>
      </c>
      <c r="F399" s="5" t="str">
        <f>IFERROR(__xludf.DUMMYFUNCTION("""COMPUTED_VALUE"""),"NÃO")</f>
        <v>NÃO</v>
      </c>
      <c r="G399" s="5" t="str">
        <f>IFERROR(__xludf.DUMMYFUNCTION("""COMPUTED_VALUE"""),"NÃO")</f>
        <v>NÃO</v>
      </c>
      <c r="H399" s="5" t="str">
        <f>IFERROR(__xludf.DUMMYFUNCTION("""COMPUTED_VALUE"""),"NÃO PAVIMENTADA")</f>
        <v>NÃO PAVIMENTADA</v>
      </c>
      <c r="I399" s="6" t="str">
        <f>IFERROR(__xludf.DUMMYFUNCTION("""COMPUTED_VALUE"""),"-9.541390")</f>
        <v>-9.541390</v>
      </c>
      <c r="J399" s="6" t="str">
        <f>IFERROR(__xludf.DUMMYFUNCTION("""COMPUTED_VALUE"""),"-35.796217")</f>
        <v>-35.796217</v>
      </c>
      <c r="K399" s="5" t="str">
        <f>IFERROR(__xludf.DUMMYFUNCTION("""COMPUTED_VALUE"""),"AV. ENG. CORINTHO CAMPELO, S/N")</f>
        <v>AV. ENG. CORINTHO CAMPELO, S/N</v>
      </c>
      <c r="L399" s="5" t="str">
        <f>IFERROR(__xludf.DUMMYFUNCTION("""COMPUTED_VALUE"""),"LOCAL")</f>
        <v>LOCAL</v>
      </c>
      <c r="M399" s="5" t="str">
        <f>IFERROR(__xludf.DUMMYFUNCTION("""COMPUTED_VALUE"""),"SANTOS DUMONT")</f>
        <v>SANTOS DUMONT</v>
      </c>
      <c r="N399" s="5" t="str">
        <f>IFERROR(__xludf.DUMMYFUNCTION("""COMPUTED_VALUE"""),"BAIRRO - CENTRO")</f>
        <v>BAIRRO - CENTRO</v>
      </c>
      <c r="O399" s="5" t="str">
        <f>IFERROR(__xludf.DUMMYFUNCTION("""COMPUTED_VALUE"""),"FINAL DA RUA – TERMINAL")</f>
        <v>FINAL DA RUA – TERMINAL</v>
      </c>
      <c r="P399" s="5" t="str">
        <f>IFERROR(__xludf.DUMMYFUNCTION("""COMPUTED_VALUE"""),"PRIORIDADE BAIXA")</f>
        <v>PRIORIDADE BAIXA</v>
      </c>
      <c r="Q399" s="5" t="str">
        <f>IFERROR(__xludf.DUMMYFUNCTION("""COMPUTED_VALUE"""),"READEGUAÇÃO DA CALÇADA COM ACESSIBILIDADE E BAIA. ")</f>
        <v>READEGUAÇÃO DA CALÇADA COM ACESSIBILIDADE E BAIA. </v>
      </c>
      <c r="R399" s="5" t="str">
        <f>IFERROR(__xludf.DUMMYFUNCTION("""COMPUTED_VALUE"""),"IMPLANTAR ABRIGO")</f>
        <v>IMPLANTAR ABRIGO</v>
      </c>
      <c r="S399" s="5"/>
      <c r="T399" s="5"/>
      <c r="U399" s="5"/>
      <c r="V399" s="9" t="str">
        <f>IFERROR(__xludf.DUMMYFUNCTION("""COMPUTED_VALUE"""),"https://drive.google.com/uc?id=1_x1vZDNwBRPOD10lEIeYHODliT5u6tO_")</f>
        <v>https://drive.google.com/uc?id=1_x1vZDNwBRPOD10lEIeYHODliT5u6tO_</v>
      </c>
      <c r="W399" s="5" t="str">
        <f>IFERROR(__xludf.DUMMYFUNCTION("""COMPUTED_VALUE"""),"NÃO")</f>
        <v>NÃO</v>
      </c>
      <c r="X399" s="5" t="str">
        <f>IFERROR(__xludf.DUMMYFUNCTION("""COMPUTED_VALUE"""),"NÃO")</f>
        <v>NÃO</v>
      </c>
    </row>
    <row r="400" hidden="1">
      <c r="A400" s="5">
        <f>IFERROR(__xludf.DUMMYFUNCTION("""COMPUTED_VALUE"""),7.0)</f>
        <v>7</v>
      </c>
      <c r="B400" s="5" t="str">
        <f>IFERROR(__xludf.DUMMYFUNCTION("""COMPUTED_VALUE"""),"SD002")</f>
        <v>SD002</v>
      </c>
      <c r="C400" s="5" t="str">
        <f>IFERROR(__xludf.DUMMYFUNCTION("""COMPUTED_VALUE"""),"NÃO POSSUI")</f>
        <v>NÃO POSSUI</v>
      </c>
      <c r="D400" s="5" t="str">
        <f>IFERROR(__xludf.DUMMYFUNCTION("""COMPUTED_VALUE"""),"COM SUPORTE")</f>
        <v>COM SUPORTE</v>
      </c>
      <c r="E400" s="5" t="str">
        <f>IFERROR(__xludf.DUMMYFUNCTION("""COMPUTED_VALUE"""),"SEM BAIA")</f>
        <v>SEM BAIA</v>
      </c>
      <c r="F400" s="5" t="str">
        <f>IFERROR(__xludf.DUMMYFUNCTION("""COMPUTED_VALUE"""),"NÃO")</f>
        <v>NÃO</v>
      </c>
      <c r="G400" s="5" t="str">
        <f>IFERROR(__xludf.DUMMYFUNCTION("""COMPUTED_VALUE"""),"NÃO")</f>
        <v>NÃO</v>
      </c>
      <c r="H400" s="5" t="str">
        <f>IFERROR(__xludf.DUMMYFUNCTION("""COMPUTED_VALUE"""),"PAVIMENTADA")</f>
        <v>PAVIMENTADA</v>
      </c>
      <c r="I400" s="6" t="str">
        <f>IFERROR(__xludf.DUMMYFUNCTION("""COMPUTED_VALUE"""),"-9.542493")</f>
        <v>-9.542493</v>
      </c>
      <c r="J400" s="6" t="str">
        <f>IFERROR(__xludf.DUMMYFUNCTION("""COMPUTED_VALUE"""),"-35.795411")</f>
        <v>-35.795411</v>
      </c>
      <c r="K400" s="5" t="str">
        <f>IFERROR(__xludf.DUMMYFUNCTION("""COMPUTED_VALUE"""),"AV. ENG. CORINTHO CAMPELO, S/N")</f>
        <v>AV. ENG. CORINTHO CAMPELO, S/N</v>
      </c>
      <c r="L400" s="5" t="str">
        <f>IFERROR(__xludf.DUMMYFUNCTION("""COMPUTED_VALUE"""),"LOCAL")</f>
        <v>LOCAL</v>
      </c>
      <c r="M400" s="5" t="str">
        <f>IFERROR(__xludf.DUMMYFUNCTION("""COMPUTED_VALUE"""),"SANTOS DUMONT")</f>
        <v>SANTOS DUMONT</v>
      </c>
      <c r="N400" s="5" t="str">
        <f>IFERROR(__xludf.DUMMYFUNCTION("""COMPUTED_VALUE"""),"BAIRRO - CENTRO")</f>
        <v>BAIRRO - CENTRO</v>
      </c>
      <c r="O400" s="5" t="str">
        <f>IFERROR(__xludf.DUMMYFUNCTION("""COMPUTED_VALUE"""),"EM FRENTE A CASA 2A")</f>
        <v>EM FRENTE A CASA 2A</v>
      </c>
      <c r="P400" s="5" t="str">
        <f>IFERROR(__xludf.DUMMYFUNCTION("""COMPUTED_VALUE"""),"PRIORIDADE BAIXA")</f>
        <v>PRIORIDADE BAIXA</v>
      </c>
      <c r="Q400" s="5" t="str">
        <f>IFERROR(__xludf.DUMMYFUNCTION("""COMPUTED_VALUE"""),"READEGUAÇÃO DA CALÇADA COM ACESSIBILIDADE E BAIA.")</f>
        <v>READEGUAÇÃO DA CALÇADA COM ACESSIBILIDADE E BAIA.</v>
      </c>
      <c r="R400" s="5" t="str">
        <f>IFERROR(__xludf.DUMMYFUNCTION("""COMPUTED_VALUE"""),"NENHUMA DAS OPÇÕES")</f>
        <v>NENHUMA DAS OPÇÕES</v>
      </c>
      <c r="S400" s="5"/>
      <c r="T400" s="5"/>
      <c r="U400" s="5"/>
      <c r="V400" s="9" t="str">
        <f>IFERROR(__xludf.DUMMYFUNCTION("""COMPUTED_VALUE"""),"https://drive.google.com/uc?id=1Vsyc2zUfAkWp8QogJWeASob-qAs1s7aM")</f>
        <v>https://drive.google.com/uc?id=1Vsyc2zUfAkWp8QogJWeASob-qAs1s7aM</v>
      </c>
      <c r="W400" s="5" t="str">
        <f>IFERROR(__xludf.DUMMYFUNCTION("""COMPUTED_VALUE"""),"NÃO")</f>
        <v>NÃO</v>
      </c>
      <c r="X400" s="5" t="str">
        <f>IFERROR(__xludf.DUMMYFUNCTION("""COMPUTED_VALUE"""),"NÃO")</f>
        <v>NÃO</v>
      </c>
    </row>
    <row r="401">
      <c r="A401" s="5">
        <f>IFERROR(__xludf.DUMMYFUNCTION("""COMPUTED_VALUE"""),7.0)</f>
        <v>7</v>
      </c>
      <c r="B401" s="5" t="str">
        <f>IFERROR(__xludf.DUMMYFUNCTION("""COMPUTED_VALUE"""),"SD003")</f>
        <v>SD003</v>
      </c>
      <c r="C401" s="5" t="str">
        <f>IFERROR(__xludf.DUMMYFUNCTION("""COMPUTED_VALUE"""),"ABRIGO CONCRETO")</f>
        <v>ABRIGO CONCRETO</v>
      </c>
      <c r="D401" s="5" t="str">
        <f>IFERROR(__xludf.DUMMYFUNCTION("""COMPUTED_VALUE"""),"COM SUPORTE")</f>
        <v>COM SUPORTE</v>
      </c>
      <c r="E401" s="5" t="str">
        <f>IFERROR(__xludf.DUMMYFUNCTION("""COMPUTED_VALUE"""),"SEM BAIA")</f>
        <v>SEM BAIA</v>
      </c>
      <c r="F401" s="5" t="str">
        <f>IFERROR(__xludf.DUMMYFUNCTION("""COMPUTED_VALUE"""),"NÃO")</f>
        <v>NÃO</v>
      </c>
      <c r="G401" s="5" t="str">
        <f>IFERROR(__xludf.DUMMYFUNCTION("""COMPUTED_VALUE"""),"NÃO")</f>
        <v>NÃO</v>
      </c>
      <c r="H401" s="5" t="str">
        <f>IFERROR(__xludf.DUMMYFUNCTION("""COMPUTED_VALUE"""),"PAVIMENTADA")</f>
        <v>PAVIMENTADA</v>
      </c>
      <c r="I401" s="6" t="str">
        <f>IFERROR(__xludf.DUMMYFUNCTION("""COMPUTED_VALUE"""),"-9.544007")</f>
        <v>-9.544007</v>
      </c>
      <c r="J401" s="6" t="str">
        <f>IFERROR(__xludf.DUMMYFUNCTION("""COMPUTED_VALUE"""),"-35.794142")</f>
        <v>-35.794142</v>
      </c>
      <c r="K401" s="5" t="str">
        <f>IFERROR(__xludf.DUMMYFUNCTION("""COMPUTED_VALUE"""),"AV. ENG. CORINTHO CAMPELO, 2550")</f>
        <v>AV. ENG. CORINTHO CAMPELO, 2550</v>
      </c>
      <c r="L401" s="5" t="str">
        <f>IFERROR(__xludf.DUMMYFUNCTION("""COMPUTED_VALUE"""),"LOCAL")</f>
        <v>LOCAL</v>
      </c>
      <c r="M401" s="5" t="str">
        <f>IFERROR(__xludf.DUMMYFUNCTION("""COMPUTED_VALUE"""),"SANTOS DUMONT")</f>
        <v>SANTOS DUMONT</v>
      </c>
      <c r="N401" s="5" t="str">
        <f>IFERROR(__xludf.DUMMYFUNCTION("""COMPUTED_VALUE"""),"BAIRRO - CENTRO")</f>
        <v>BAIRRO - CENTRO</v>
      </c>
      <c r="O401" s="5" t="str">
        <f>IFERROR(__xludf.DUMMYFUNCTION("""COMPUTED_VALUE"""),"PRÓXIMO ASSEMBLÉIA DE DEUS")</f>
        <v>PRÓXIMO ASSEMBLÉIA DE DEUS</v>
      </c>
      <c r="P401" s="5" t="str">
        <f>IFERROR(__xludf.DUMMYFUNCTION("""COMPUTED_VALUE"""),"PRIORIDADE BAIXA")</f>
        <v>PRIORIDADE BAIXA</v>
      </c>
      <c r="Q401" s="5" t="str">
        <f>IFERROR(__xludf.DUMMYFUNCTION("""COMPUTED_VALUE"""),"IMPLANTAR ABRIGO, ADEQUAÇÃO DO CANTEIRO E CALÇADA (RAMPA DE ACESSIBILIDADE)")</f>
        <v>IMPLANTAR ABRIGO, ADEQUAÇÃO DO CANTEIRO E CALÇADA (RAMPA DE ACESSIBILIDADE)</v>
      </c>
      <c r="R401" s="5" t="str">
        <f>IFERROR(__xludf.DUMMYFUNCTION("""COMPUTED_VALUE"""),"SUBSTITUIR ABRIGO")</f>
        <v>SUBSTITUIR ABRIGO</v>
      </c>
      <c r="S401" s="5"/>
      <c r="T401" s="5"/>
      <c r="U401" s="5"/>
      <c r="V401" s="9" t="str">
        <f>IFERROR(__xludf.DUMMYFUNCTION("""COMPUTED_VALUE"""),"https://drive.google.com/uc?id=1LTJU5rMtakjU31PAKSmIhzfjOb7kVR9w")</f>
        <v>https://drive.google.com/uc?id=1LTJU5rMtakjU31PAKSmIhzfjOb7kVR9w</v>
      </c>
      <c r="W401" s="5" t="str">
        <f>IFERROR(__xludf.DUMMYFUNCTION("""COMPUTED_VALUE"""),"NÃO")</f>
        <v>NÃO</v>
      </c>
      <c r="X401" s="5" t="str">
        <f>IFERROR(__xludf.DUMMYFUNCTION("""COMPUTED_VALUE"""),"NÃO")</f>
        <v>NÃO</v>
      </c>
    </row>
    <row r="402" hidden="1">
      <c r="A402" s="5">
        <f>IFERROR(__xludf.DUMMYFUNCTION("""COMPUTED_VALUE"""),7.0)</f>
        <v>7</v>
      </c>
      <c r="B402" s="5" t="str">
        <f>IFERROR(__xludf.DUMMYFUNCTION("""COMPUTED_VALUE"""),"SD004")</f>
        <v>SD004</v>
      </c>
      <c r="C402" s="5" t="str">
        <f>IFERROR(__xludf.DUMMYFUNCTION("""COMPUTED_VALUE"""),"NÃO POSSUI")</f>
        <v>NÃO POSSUI</v>
      </c>
      <c r="D402" s="5" t="str">
        <f>IFERROR(__xludf.DUMMYFUNCTION("""COMPUTED_VALUE"""),"FIXADA EM POSTE")</f>
        <v>FIXADA EM POSTE</v>
      </c>
      <c r="E402" s="5" t="str">
        <f>IFERROR(__xludf.DUMMYFUNCTION("""COMPUTED_VALUE"""),"SEM BAIA")</f>
        <v>SEM BAIA</v>
      </c>
      <c r="F402" s="5" t="str">
        <f>IFERROR(__xludf.DUMMYFUNCTION("""COMPUTED_VALUE"""),"NÃO")</f>
        <v>NÃO</v>
      </c>
      <c r="G402" s="5" t="str">
        <f>IFERROR(__xludf.DUMMYFUNCTION("""COMPUTED_VALUE"""),"NÃO")</f>
        <v>NÃO</v>
      </c>
      <c r="H402" s="5" t="str">
        <f>IFERROR(__xludf.DUMMYFUNCTION("""COMPUTED_VALUE"""),"PAVIMENTADA")</f>
        <v>PAVIMENTADA</v>
      </c>
      <c r="I402" s="6" t="str">
        <f>IFERROR(__xludf.DUMMYFUNCTION("""COMPUTED_VALUE"""),"-9.544359")</f>
        <v>-9.544359</v>
      </c>
      <c r="J402" s="6" t="str">
        <f>IFERROR(__xludf.DUMMYFUNCTION("""COMPUTED_VALUE"""),"-35.793732")</f>
        <v>-35.793732</v>
      </c>
      <c r="K402" s="5" t="str">
        <f>IFERROR(__xludf.DUMMYFUNCTION("""COMPUTED_VALUE"""),"AV. ENG. CORINTHO CAMPELO, 76")</f>
        <v>AV. ENG. CORINTHO CAMPELO, 76</v>
      </c>
      <c r="L402" s="5" t="str">
        <f>IFERROR(__xludf.DUMMYFUNCTION("""COMPUTED_VALUE"""),"LOCAL")</f>
        <v>LOCAL</v>
      </c>
      <c r="M402" s="5" t="str">
        <f>IFERROR(__xludf.DUMMYFUNCTION("""COMPUTED_VALUE"""),"SANTOS DUMONT")</f>
        <v>SANTOS DUMONT</v>
      </c>
      <c r="N402" s="5" t="str">
        <f>IFERROR(__xludf.DUMMYFUNCTION("""COMPUTED_VALUE"""),"CENTRO - BAIRRO")</f>
        <v>CENTRO - BAIRRO</v>
      </c>
      <c r="O402" s="5" t="str">
        <f>IFERROR(__xludf.DUMMYFUNCTION("""COMPUTED_VALUE"""),"EM FRENTE A CASA 76")</f>
        <v>EM FRENTE A CASA 76</v>
      </c>
      <c r="P402" s="5" t="str">
        <f>IFERROR(__xludf.DUMMYFUNCTION("""COMPUTED_VALUE"""),"PRIORIDADE BAIXA")</f>
        <v>PRIORIDADE BAIXA</v>
      </c>
      <c r="Q402" s="5" t="str">
        <f>IFERROR(__xludf.DUMMYFUNCTION("""COMPUTED_VALUE"""),"READEGUAÇÃO DA CALÇADA COM ACESSIBILIDADE E BAIA.")</f>
        <v>READEGUAÇÃO DA CALÇADA COM ACESSIBILIDADE E BAIA.</v>
      </c>
      <c r="R402" s="5" t="str">
        <f>IFERROR(__xludf.DUMMYFUNCTION("""COMPUTED_VALUE"""),"NENHUMA DAS OPÇÕES")</f>
        <v>NENHUMA DAS OPÇÕES</v>
      </c>
      <c r="S402" s="5"/>
      <c r="T402" s="5"/>
      <c r="U402" s="5"/>
      <c r="V402" s="9" t="str">
        <f>IFERROR(__xludf.DUMMYFUNCTION("""COMPUTED_VALUE"""),"https://drive.google.com/uc?id=1uEoLjgndN1DesJfwQCPnZSk6UY4Iacpc")</f>
        <v>https://drive.google.com/uc?id=1uEoLjgndN1DesJfwQCPnZSk6UY4Iacpc</v>
      </c>
      <c r="W402" s="5" t="str">
        <f>IFERROR(__xludf.DUMMYFUNCTION("""COMPUTED_VALUE"""),"NÃO")</f>
        <v>NÃO</v>
      </c>
      <c r="X402" s="5" t="str">
        <f>IFERROR(__xludf.DUMMYFUNCTION("""COMPUTED_VALUE"""),"NÃO")</f>
        <v>NÃO</v>
      </c>
    </row>
    <row r="403" hidden="1">
      <c r="A403" s="5">
        <f>IFERROR(__xludf.DUMMYFUNCTION("""COMPUTED_VALUE"""),7.0)</f>
        <v>7</v>
      </c>
      <c r="B403" s="5" t="str">
        <f>IFERROR(__xludf.DUMMYFUNCTION("""COMPUTED_VALUE"""),"SD005")</f>
        <v>SD005</v>
      </c>
      <c r="C403" s="5" t="str">
        <f>IFERROR(__xludf.DUMMYFUNCTION("""COMPUTED_VALUE"""),"NÃO POSSUI")</f>
        <v>NÃO POSSUI</v>
      </c>
      <c r="D403" s="5" t="str">
        <f>IFERROR(__xludf.DUMMYFUNCTION("""COMPUTED_VALUE"""),"FIXADA EM POSTE")</f>
        <v>FIXADA EM POSTE</v>
      </c>
      <c r="E403" s="5" t="str">
        <f>IFERROR(__xludf.DUMMYFUNCTION("""COMPUTED_VALUE"""),"SEM BAIA")</f>
        <v>SEM BAIA</v>
      </c>
      <c r="F403" s="5" t="str">
        <f>IFERROR(__xludf.DUMMYFUNCTION("""COMPUTED_VALUE"""),"NÃO")</f>
        <v>NÃO</v>
      </c>
      <c r="G403" s="5" t="str">
        <f>IFERROR(__xludf.DUMMYFUNCTION("""COMPUTED_VALUE"""),"NÃO")</f>
        <v>NÃO</v>
      </c>
      <c r="H403" s="5" t="str">
        <f>IFERROR(__xludf.DUMMYFUNCTION("""COMPUTED_VALUE"""),"PAVIMENTADA")</f>
        <v>PAVIMENTADA</v>
      </c>
      <c r="I403" s="6" t="str">
        <f>IFERROR(__xludf.DUMMYFUNCTION("""COMPUTED_VALUE"""),"-9.546993")</f>
        <v>-9.546993</v>
      </c>
      <c r="J403" s="6" t="str">
        <f>IFERROR(__xludf.DUMMYFUNCTION("""COMPUTED_VALUE"""),"-35.791498")</f>
        <v>-35.791498</v>
      </c>
      <c r="K403" s="5" t="str">
        <f>IFERROR(__xludf.DUMMYFUNCTION("""COMPUTED_VALUE"""),"AV. ENG. CORINTHO CAMPELO, 29")</f>
        <v>AV. ENG. CORINTHO CAMPELO, 29</v>
      </c>
      <c r="L403" s="5" t="str">
        <f>IFERROR(__xludf.DUMMYFUNCTION("""COMPUTED_VALUE"""),"LOCAL")</f>
        <v>LOCAL</v>
      </c>
      <c r="M403" s="5" t="str">
        <f>IFERROR(__xludf.DUMMYFUNCTION("""COMPUTED_VALUE"""),"SANTOS DUMONT")</f>
        <v>SANTOS DUMONT</v>
      </c>
      <c r="N403" s="5" t="str">
        <f>IFERROR(__xludf.DUMMYFUNCTION("""COMPUTED_VALUE"""),"CENTRO - BAIRRO")</f>
        <v>CENTRO - BAIRRO</v>
      </c>
      <c r="O403" s="5" t="str">
        <f>IFERROR(__xludf.DUMMYFUNCTION("""COMPUTED_VALUE"""),"FRENTE AO GINÁSIO MAHATMA")</f>
        <v>FRENTE AO GINÁSIO MAHATMA</v>
      </c>
      <c r="P403" s="5" t="str">
        <f>IFERROR(__xludf.DUMMYFUNCTION("""COMPUTED_VALUE"""),"PRIORIDADE BAIXA")</f>
        <v>PRIORIDADE BAIXA</v>
      </c>
      <c r="Q403" s="5" t="str">
        <f>IFERROR(__xludf.DUMMYFUNCTION("""COMPUTED_VALUE"""),"READEGUAÇÃO DA CALÇADA COM ACESSIBILIDADE E BAIA.")</f>
        <v>READEGUAÇÃO DA CALÇADA COM ACESSIBILIDADE E BAIA.</v>
      </c>
      <c r="R403" s="5" t="str">
        <f>IFERROR(__xludf.DUMMYFUNCTION("""COMPUTED_VALUE"""),"NENHUMA DAS OPÇÕES")</f>
        <v>NENHUMA DAS OPÇÕES</v>
      </c>
      <c r="S403" s="5"/>
      <c r="T403" s="5"/>
      <c r="U403" s="5"/>
      <c r="V403" s="9" t="str">
        <f>IFERROR(__xludf.DUMMYFUNCTION("""COMPUTED_VALUE"""),"https://drive.google.com/uc?id=1q0QMV6w0jO8uTc1hjmKr5rjfvvEGjZIh")</f>
        <v>https://drive.google.com/uc?id=1q0QMV6w0jO8uTc1hjmKr5rjfvvEGjZIh</v>
      </c>
      <c r="W403" s="5" t="str">
        <f>IFERROR(__xludf.DUMMYFUNCTION("""COMPUTED_VALUE"""),"NÃO")</f>
        <v>NÃO</v>
      </c>
      <c r="X403" s="5" t="str">
        <f>IFERROR(__xludf.DUMMYFUNCTION("""COMPUTED_VALUE"""),"NÃO")</f>
        <v>NÃO</v>
      </c>
    </row>
    <row r="404" hidden="1">
      <c r="A404" s="5">
        <f>IFERROR(__xludf.DUMMYFUNCTION("""COMPUTED_VALUE"""),7.0)</f>
        <v>7</v>
      </c>
      <c r="B404" s="5" t="str">
        <f>IFERROR(__xludf.DUMMYFUNCTION("""COMPUTED_VALUE"""),"SD006")</f>
        <v>SD006</v>
      </c>
      <c r="C404" s="5" t="str">
        <f>IFERROR(__xludf.DUMMYFUNCTION("""COMPUTED_VALUE"""),"NÃO POSSUI")</f>
        <v>NÃO POSSUI</v>
      </c>
      <c r="D404" s="5" t="str">
        <f>IFERROR(__xludf.DUMMYFUNCTION("""COMPUTED_VALUE"""),"FIXADA EM POSTE")</f>
        <v>FIXADA EM POSTE</v>
      </c>
      <c r="E404" s="5" t="str">
        <f>IFERROR(__xludf.DUMMYFUNCTION("""COMPUTED_VALUE"""),"SEM BAIA")</f>
        <v>SEM BAIA</v>
      </c>
      <c r="F404" s="5" t="str">
        <f>IFERROR(__xludf.DUMMYFUNCTION("""COMPUTED_VALUE"""),"NÃO")</f>
        <v>NÃO</v>
      </c>
      <c r="G404" s="5" t="str">
        <f>IFERROR(__xludf.DUMMYFUNCTION("""COMPUTED_VALUE"""),"NÃO")</f>
        <v>NÃO</v>
      </c>
      <c r="H404" s="5" t="str">
        <f>IFERROR(__xludf.DUMMYFUNCTION("""COMPUTED_VALUE"""),"PAVIMENTADA")</f>
        <v>PAVIMENTADA</v>
      </c>
      <c r="I404" s="6" t="str">
        <f>IFERROR(__xludf.DUMMYFUNCTION("""COMPUTED_VALUE"""),"-9.547268")</f>
        <v>-9.547268</v>
      </c>
      <c r="J404" s="6" t="str">
        <f>IFERROR(__xludf.DUMMYFUNCTION("""COMPUTED_VALUE"""),"-35.791313")</f>
        <v>-35.791313</v>
      </c>
      <c r="K404" s="5" t="str">
        <f>IFERROR(__xludf.DUMMYFUNCTION("""COMPUTED_VALUE"""),"AV. ENG. CORINTHO CAMPELO, 29")</f>
        <v>AV. ENG. CORINTHO CAMPELO, 29</v>
      </c>
      <c r="L404" s="5" t="str">
        <f>IFERROR(__xludf.DUMMYFUNCTION("""COMPUTED_VALUE"""),"LOCAL")</f>
        <v>LOCAL</v>
      </c>
      <c r="M404" s="5" t="str">
        <f>IFERROR(__xludf.DUMMYFUNCTION("""COMPUTED_VALUE"""),"SANTOS DUMONT")</f>
        <v>SANTOS DUMONT</v>
      </c>
      <c r="N404" s="5" t="str">
        <f>IFERROR(__xludf.DUMMYFUNCTION("""COMPUTED_VALUE"""),"BAIRRO - CENTRO")</f>
        <v>BAIRRO - CENTRO</v>
      </c>
      <c r="O404" s="5" t="str">
        <f>IFERROR(__xludf.DUMMYFUNCTION("""COMPUTED_VALUE"""),"CON. SÃO SEVERINO 1")</f>
        <v>CON. SÃO SEVERINO 1</v>
      </c>
      <c r="P404" s="5" t="str">
        <f>IFERROR(__xludf.DUMMYFUNCTION("""COMPUTED_VALUE"""),"PRIORIDADE BAIXA")</f>
        <v>PRIORIDADE BAIXA</v>
      </c>
      <c r="Q404" s="5" t="str">
        <f>IFERROR(__xludf.DUMMYFUNCTION("""COMPUTED_VALUE"""),"READEGUAÇÃO DA CALÇADA COM ACESSIBILIDADE E BAIA.")</f>
        <v>READEGUAÇÃO DA CALÇADA COM ACESSIBILIDADE E BAIA.</v>
      </c>
      <c r="R404" s="5" t="str">
        <f>IFERROR(__xludf.DUMMYFUNCTION("""COMPUTED_VALUE"""),"IMPLANTAR ABRIGO")</f>
        <v>IMPLANTAR ABRIGO</v>
      </c>
      <c r="S404" s="5"/>
      <c r="T404" s="5"/>
      <c r="U404" s="5"/>
      <c r="V404" s="9" t="str">
        <f>IFERROR(__xludf.DUMMYFUNCTION("""COMPUTED_VALUE"""),"https://drive.google.com/uc?id=1VoAqFOmbT9RfT2RhuJGmrnO9isZ2m6ei")</f>
        <v>https://drive.google.com/uc?id=1VoAqFOmbT9RfT2RhuJGmrnO9isZ2m6ei</v>
      </c>
      <c r="W404" s="5" t="str">
        <f>IFERROR(__xludf.DUMMYFUNCTION("""COMPUTED_VALUE"""),"NÃO")</f>
        <v>NÃO</v>
      </c>
      <c r="X404" s="5" t="str">
        <f>IFERROR(__xludf.DUMMYFUNCTION("""COMPUTED_VALUE"""),"NÃO")</f>
        <v>NÃO</v>
      </c>
    </row>
    <row r="405" hidden="1">
      <c r="A405" s="5">
        <f>IFERROR(__xludf.DUMMYFUNCTION("""COMPUTED_VALUE"""),7.0)</f>
        <v>7</v>
      </c>
      <c r="B405" s="5" t="str">
        <f>IFERROR(__xludf.DUMMYFUNCTION("""COMPUTED_VALUE"""),"SD007")</f>
        <v>SD007</v>
      </c>
      <c r="C405" s="5" t="str">
        <f>IFERROR(__xludf.DUMMYFUNCTION("""COMPUTED_VALUE"""),"NÃO POSSUI")</f>
        <v>NÃO POSSUI</v>
      </c>
      <c r="D405" s="5" t="str">
        <f>IFERROR(__xludf.DUMMYFUNCTION("""COMPUTED_VALUE"""),"FIXADA EM POSTE")</f>
        <v>FIXADA EM POSTE</v>
      </c>
      <c r="E405" s="5" t="str">
        <f>IFERROR(__xludf.DUMMYFUNCTION("""COMPUTED_VALUE"""),"SEM BAIA")</f>
        <v>SEM BAIA</v>
      </c>
      <c r="F405" s="5" t="str">
        <f>IFERROR(__xludf.DUMMYFUNCTION("""COMPUTED_VALUE"""),"NÃO")</f>
        <v>NÃO</v>
      </c>
      <c r="G405" s="5" t="str">
        <f>IFERROR(__xludf.DUMMYFUNCTION("""COMPUTED_VALUE"""),"NÃO")</f>
        <v>NÃO</v>
      </c>
      <c r="H405" s="5" t="str">
        <f>IFERROR(__xludf.DUMMYFUNCTION("""COMPUTED_VALUE"""),"PAVIMENTADA")</f>
        <v>PAVIMENTADA</v>
      </c>
      <c r="I405" s="6" t="str">
        <f>IFERROR(__xludf.DUMMYFUNCTION("""COMPUTED_VALUE"""),"-9.549611")</f>
        <v>-9.549611</v>
      </c>
      <c r="J405" s="6" t="str">
        <f>IFERROR(__xludf.DUMMYFUNCTION("""COMPUTED_VALUE"""),"-35.789308")</f>
        <v>-35.789308</v>
      </c>
      <c r="K405" s="5" t="str">
        <f>IFERROR(__xludf.DUMMYFUNCTION("""COMPUTED_VALUE"""),"AV. ENG. CORINTHO CAMPELO, 1125")</f>
        <v>AV. ENG. CORINTHO CAMPELO, 1125</v>
      </c>
      <c r="L405" s="5" t="str">
        <f>IFERROR(__xludf.DUMMYFUNCTION("""COMPUTED_VALUE"""),"LOCAL")</f>
        <v>LOCAL</v>
      </c>
      <c r="M405" s="5" t="str">
        <f>IFERROR(__xludf.DUMMYFUNCTION("""COMPUTED_VALUE"""),"SANTOS DUMONT")</f>
        <v>SANTOS DUMONT</v>
      </c>
      <c r="N405" s="5" t="str">
        <f>IFERROR(__xludf.DUMMYFUNCTION("""COMPUTED_VALUE"""),"CENTRO - BAIRRO")</f>
        <v>CENTRO - BAIRRO</v>
      </c>
      <c r="O405" s="5" t="str">
        <f>IFERROR(__xludf.DUMMYFUNCTION("""COMPUTED_VALUE"""),"PRÓXIMO A ESCOLA MUNICIPAL")</f>
        <v>PRÓXIMO A ESCOLA MUNICIPAL</v>
      </c>
      <c r="P405" s="5" t="str">
        <f>IFERROR(__xludf.DUMMYFUNCTION("""COMPUTED_VALUE"""),"PRIORIDADE BAIXA")</f>
        <v>PRIORIDADE BAIXA</v>
      </c>
      <c r="Q405" s="5" t="str">
        <f>IFERROR(__xludf.DUMMYFUNCTION("""COMPUTED_VALUE"""),"READEGUAÇÃO DA CALÇADA COM ACESSIBILIDADE E BAIA.")</f>
        <v>READEGUAÇÃO DA CALÇADA COM ACESSIBILIDADE E BAIA.</v>
      </c>
      <c r="R405" s="5" t="str">
        <f>IFERROR(__xludf.DUMMYFUNCTION("""COMPUTED_VALUE"""),"NENHUMA DAS OPÇÕES")</f>
        <v>NENHUMA DAS OPÇÕES</v>
      </c>
      <c r="S405" s="5"/>
      <c r="T405" s="5"/>
      <c r="U405" s="5"/>
      <c r="V405" s="9" t="str">
        <f>IFERROR(__xludf.DUMMYFUNCTION("""COMPUTED_VALUE"""),"https://drive.google.com/uc?id=1qIU_bIoaEbggGuKjkyCPDGZqxcA08jOF")</f>
        <v>https://drive.google.com/uc?id=1qIU_bIoaEbggGuKjkyCPDGZqxcA08jOF</v>
      </c>
      <c r="W405" s="5" t="str">
        <f>IFERROR(__xludf.DUMMYFUNCTION("""COMPUTED_VALUE"""),"NÃO")</f>
        <v>NÃO</v>
      </c>
      <c r="X405" s="5" t="str">
        <f>IFERROR(__xludf.DUMMYFUNCTION("""COMPUTED_VALUE"""),"NÃO")</f>
        <v>NÃO</v>
      </c>
    </row>
    <row r="406" hidden="1">
      <c r="A406" s="5">
        <f>IFERROR(__xludf.DUMMYFUNCTION("""COMPUTED_VALUE"""),7.0)</f>
        <v>7</v>
      </c>
      <c r="B406" s="5" t="str">
        <f>IFERROR(__xludf.DUMMYFUNCTION("""COMPUTED_VALUE"""),"SD008")</f>
        <v>SD008</v>
      </c>
      <c r="C406" s="5" t="str">
        <f>IFERROR(__xludf.DUMMYFUNCTION("""COMPUTED_VALUE"""),"NÃO POSSUI")</f>
        <v>NÃO POSSUI</v>
      </c>
      <c r="D406" s="5" t="str">
        <f>IFERROR(__xludf.DUMMYFUNCTION("""COMPUTED_VALUE"""),"COM SUPORTE")</f>
        <v>COM SUPORTE</v>
      </c>
      <c r="E406" s="5" t="str">
        <f>IFERROR(__xludf.DUMMYFUNCTION("""COMPUTED_VALUE"""),"SEM BAIA")</f>
        <v>SEM BAIA</v>
      </c>
      <c r="F406" s="5" t="str">
        <f>IFERROR(__xludf.DUMMYFUNCTION("""COMPUTED_VALUE"""),"NÃO")</f>
        <v>NÃO</v>
      </c>
      <c r="G406" s="5" t="str">
        <f>IFERROR(__xludf.DUMMYFUNCTION("""COMPUTED_VALUE"""),"NÃO")</f>
        <v>NÃO</v>
      </c>
      <c r="H406" s="5" t="str">
        <f>IFERROR(__xludf.DUMMYFUNCTION("""COMPUTED_VALUE"""),"PAVIMENTADA")</f>
        <v>PAVIMENTADA</v>
      </c>
      <c r="I406" s="6" t="str">
        <f>IFERROR(__xludf.DUMMYFUNCTION("""COMPUTED_VALUE"""),"-9.549847")</f>
        <v>-9.549847</v>
      </c>
      <c r="J406" s="6" t="str">
        <f>IFERROR(__xludf.DUMMYFUNCTION("""COMPUTED_VALUE"""),"-35.789214")</f>
        <v>-35.789214</v>
      </c>
      <c r="K406" s="5" t="str">
        <f>IFERROR(__xludf.DUMMYFUNCTION("""COMPUTED_VALUE"""),"AV. ENG. CORINTHO CAMPELO, S/N")</f>
        <v>AV. ENG. CORINTHO CAMPELO, S/N</v>
      </c>
      <c r="L406" s="5" t="str">
        <f>IFERROR(__xludf.DUMMYFUNCTION("""COMPUTED_VALUE"""),"LOCAL")</f>
        <v>LOCAL</v>
      </c>
      <c r="M406" s="5" t="str">
        <f>IFERROR(__xludf.DUMMYFUNCTION("""COMPUTED_VALUE"""),"SANTOS DUMONT")</f>
        <v>SANTOS DUMONT</v>
      </c>
      <c r="N406" s="5" t="str">
        <f>IFERROR(__xludf.DUMMYFUNCTION("""COMPUTED_VALUE"""),"BAIRRO - CENTRO")</f>
        <v>BAIRRO - CENTRO</v>
      </c>
      <c r="O406" s="5" t="str">
        <f>IFERROR(__xludf.DUMMYFUNCTION("""COMPUTED_VALUE"""),"EM FRENTE A ESCOLA MUNICIPAL")</f>
        <v>EM FRENTE A ESCOLA MUNICIPAL</v>
      </c>
      <c r="P406" s="5" t="str">
        <f>IFERROR(__xludf.DUMMYFUNCTION("""COMPUTED_VALUE"""),"PRIORIDADE MÉDIA")</f>
        <v>PRIORIDADE MÉDIA</v>
      </c>
      <c r="Q406" s="5" t="str">
        <f>IFERROR(__xludf.DUMMYFUNCTION("""COMPUTED_VALUE"""),"READEGUAÇÃO DA CALÇADA COM ACESSIBILIDADE E BAIA.")</f>
        <v>READEGUAÇÃO DA CALÇADA COM ACESSIBILIDADE E BAIA.</v>
      </c>
      <c r="R406" s="5" t="str">
        <f>IFERROR(__xludf.DUMMYFUNCTION("""COMPUTED_VALUE"""),"IMPLANTAR ABRIGO")</f>
        <v>IMPLANTAR ABRIGO</v>
      </c>
      <c r="S406" s="5"/>
      <c r="T406" s="5"/>
      <c r="U406" s="5"/>
      <c r="V406" s="9" t="str">
        <f>IFERROR(__xludf.DUMMYFUNCTION("""COMPUTED_VALUE"""),"https://drive.google.com/uc?id=1IKTG2jeEq2yL50-rhYbDpbNwVlvSH-oq")</f>
        <v>https://drive.google.com/uc?id=1IKTG2jeEq2yL50-rhYbDpbNwVlvSH-oq</v>
      </c>
      <c r="W406" s="5" t="str">
        <f>IFERROR(__xludf.DUMMYFUNCTION("""COMPUTED_VALUE"""),"NÃO")</f>
        <v>NÃO</v>
      </c>
      <c r="X406" s="5" t="str">
        <f>IFERROR(__xludf.DUMMYFUNCTION("""COMPUTED_VALUE"""),"NÃO")</f>
        <v>NÃO</v>
      </c>
    </row>
    <row r="407" hidden="1">
      <c r="A407" s="5">
        <f>IFERROR(__xludf.DUMMYFUNCTION("""COMPUTED_VALUE"""),7.0)</f>
        <v>7</v>
      </c>
      <c r="B407" s="5" t="str">
        <f>IFERROR(__xludf.DUMMYFUNCTION("""COMPUTED_VALUE"""),"SD009")</f>
        <v>SD009</v>
      </c>
      <c r="C407" s="5" t="str">
        <f>IFERROR(__xludf.DUMMYFUNCTION("""COMPUTED_VALUE"""),"NÃO POSSUI")</f>
        <v>NÃO POSSUI</v>
      </c>
      <c r="D407" s="5" t="str">
        <f>IFERROR(__xludf.DUMMYFUNCTION("""COMPUTED_VALUE"""),"FIXADA EM POSTE")</f>
        <v>FIXADA EM POSTE</v>
      </c>
      <c r="E407" s="5" t="str">
        <f>IFERROR(__xludf.DUMMYFUNCTION("""COMPUTED_VALUE"""),"SEM BAIA")</f>
        <v>SEM BAIA</v>
      </c>
      <c r="F407" s="5" t="str">
        <f>IFERROR(__xludf.DUMMYFUNCTION("""COMPUTED_VALUE"""),"NÃO")</f>
        <v>NÃO</v>
      </c>
      <c r="G407" s="5" t="str">
        <f>IFERROR(__xludf.DUMMYFUNCTION("""COMPUTED_VALUE"""),"NÃO")</f>
        <v>NÃO</v>
      </c>
      <c r="H407" s="5" t="str">
        <f>IFERROR(__xludf.DUMMYFUNCTION("""COMPUTED_VALUE"""),"PAVIMENTADA")</f>
        <v>PAVIMENTADA</v>
      </c>
      <c r="I407" s="6" t="str">
        <f>IFERROR(__xludf.DUMMYFUNCTION("""COMPUTED_VALUE"""),"-9.552295")</f>
        <v>-9.552295</v>
      </c>
      <c r="J407" s="6" t="str">
        <f>IFERROR(__xludf.DUMMYFUNCTION("""COMPUTED_VALUE"""),"-35.787062")</f>
        <v>-35.787062</v>
      </c>
      <c r="K407" s="5" t="str">
        <f>IFERROR(__xludf.DUMMYFUNCTION("""COMPUTED_VALUE"""),"AV. ENG. CORINTHO CAMPELO, S/N")</f>
        <v>AV. ENG. CORINTHO CAMPELO, S/N</v>
      </c>
      <c r="L407" s="5" t="str">
        <f>IFERROR(__xludf.DUMMYFUNCTION("""COMPUTED_VALUE"""),"LOCAL")</f>
        <v>LOCAL</v>
      </c>
      <c r="M407" s="5" t="str">
        <f>IFERROR(__xludf.DUMMYFUNCTION("""COMPUTED_VALUE"""),"SANTOS DUMONT")</f>
        <v>SANTOS DUMONT</v>
      </c>
      <c r="N407" s="5" t="str">
        <f>IFERROR(__xludf.DUMMYFUNCTION("""COMPUTED_VALUE"""),"BAIRRO - CENTRO")</f>
        <v>BAIRRO - CENTRO</v>
      </c>
      <c r="O407" s="5" t="str">
        <f>IFERROR(__xludf.DUMMYFUNCTION("""COMPUTED_VALUE"""),"EM FRENTE A PRACINHA")</f>
        <v>EM FRENTE A PRACINHA</v>
      </c>
      <c r="P407" s="5" t="str">
        <f>IFERROR(__xludf.DUMMYFUNCTION("""COMPUTED_VALUE"""),"PRIORIDADE BAIXA")</f>
        <v>PRIORIDADE BAIXA</v>
      </c>
      <c r="Q407" s="5" t="str">
        <f>IFERROR(__xludf.DUMMYFUNCTION("""COMPUTED_VALUE"""),"READEGUAÇÃO DA CALÇADA COM ACESSIBILIDADE E BAIA.")</f>
        <v>READEGUAÇÃO DA CALÇADA COM ACESSIBILIDADE E BAIA.</v>
      </c>
      <c r="R407" s="5" t="str">
        <f>IFERROR(__xludf.DUMMYFUNCTION("""COMPUTED_VALUE"""),"IMPLANTAR ABRIGO")</f>
        <v>IMPLANTAR ABRIGO</v>
      </c>
      <c r="S407" s="5"/>
      <c r="T407" s="5"/>
      <c r="U407" s="5"/>
      <c r="V407" s="9" t="str">
        <f>IFERROR(__xludf.DUMMYFUNCTION("""COMPUTED_VALUE"""),"https://drive.google.com/uc?id=1LERj0hVn-46KntyPsTOmecEwmt4l-jaV")</f>
        <v>https://drive.google.com/uc?id=1LERj0hVn-46KntyPsTOmecEwmt4l-jaV</v>
      </c>
      <c r="W407" s="5" t="str">
        <f>IFERROR(__xludf.DUMMYFUNCTION("""COMPUTED_VALUE"""),"NÃO")</f>
        <v>NÃO</v>
      </c>
      <c r="X407" s="5" t="str">
        <f>IFERROR(__xludf.DUMMYFUNCTION("""COMPUTED_VALUE"""),"NÃO")</f>
        <v>NÃO</v>
      </c>
    </row>
    <row r="408">
      <c r="A408" s="5">
        <f>IFERROR(__xludf.DUMMYFUNCTION("""COMPUTED_VALUE"""),7.0)</f>
        <v>7</v>
      </c>
      <c r="B408" s="5" t="str">
        <f>IFERROR(__xludf.DUMMYFUNCTION("""COMPUTED_VALUE"""),"SD010")</f>
        <v>SD010</v>
      </c>
      <c r="C408" s="5" t="str">
        <f>IFERROR(__xludf.DUMMYFUNCTION("""COMPUTED_VALUE"""),"ABRIGO CONCRETO")</f>
        <v>ABRIGO CONCRETO</v>
      </c>
      <c r="D408" s="5" t="str">
        <f>IFERROR(__xludf.DUMMYFUNCTION("""COMPUTED_VALUE"""),"COM SUPORTE")</f>
        <v>COM SUPORTE</v>
      </c>
      <c r="E408" s="5" t="str">
        <f>IFERROR(__xludf.DUMMYFUNCTION("""COMPUTED_VALUE"""),"SEM BAIA")</f>
        <v>SEM BAIA</v>
      </c>
      <c r="F408" s="5" t="str">
        <f>IFERROR(__xludf.DUMMYFUNCTION("""COMPUTED_VALUE"""),"NÃO")</f>
        <v>NÃO</v>
      </c>
      <c r="G408" s="5" t="str">
        <f>IFERROR(__xludf.DUMMYFUNCTION("""COMPUTED_VALUE"""),"NÃO")</f>
        <v>NÃO</v>
      </c>
      <c r="H408" s="5" t="str">
        <f>IFERROR(__xludf.DUMMYFUNCTION("""COMPUTED_VALUE"""),"PAVIMENTADA")</f>
        <v>PAVIMENTADA</v>
      </c>
      <c r="I408" s="6" t="str">
        <f>IFERROR(__xludf.DUMMYFUNCTION("""COMPUTED_VALUE"""),"-9.552785")</f>
        <v>-9.552785</v>
      </c>
      <c r="J408" s="6" t="str">
        <f>IFERROR(__xludf.DUMMYFUNCTION("""COMPUTED_VALUE"""),"-35.786783")</f>
        <v>-35.786783</v>
      </c>
      <c r="K408" s="5" t="str">
        <f>IFERROR(__xludf.DUMMYFUNCTION("""COMPUTED_VALUE"""),"AV. ENG. CORINTHO CAMPELO, 28A")</f>
        <v>AV. ENG. CORINTHO CAMPELO, 28A</v>
      </c>
      <c r="L408" s="5" t="str">
        <f>IFERROR(__xludf.DUMMYFUNCTION("""COMPUTED_VALUE"""),"LOCAL")</f>
        <v>LOCAL</v>
      </c>
      <c r="M408" s="5" t="str">
        <f>IFERROR(__xludf.DUMMYFUNCTION("""COMPUTED_VALUE"""),"SANTOS DUMONT")</f>
        <v>SANTOS DUMONT</v>
      </c>
      <c r="N408" s="5" t="str">
        <f>IFERROR(__xludf.DUMMYFUNCTION("""COMPUTED_VALUE"""),"BAIRRO - CENTRO")</f>
        <v>BAIRRO - CENTRO</v>
      </c>
      <c r="O408" s="5" t="str">
        <f>IFERROR(__xludf.DUMMYFUNCTION("""COMPUTED_VALUE"""),"PRÓXIMO A PRACINHA")</f>
        <v>PRÓXIMO A PRACINHA</v>
      </c>
      <c r="P408" s="5" t="str">
        <f>IFERROR(__xludf.DUMMYFUNCTION("""COMPUTED_VALUE"""),"PRIORIDADE BAIXA")</f>
        <v>PRIORIDADE BAIXA</v>
      </c>
      <c r="Q408" s="5" t="str">
        <f>IFERROR(__xludf.DUMMYFUNCTION("""COMPUTED_VALUE"""),"READEGUAÇÃO DA CALÇADA COM ACESSIBILIDADE E BAIA.")</f>
        <v>READEGUAÇÃO DA CALÇADA COM ACESSIBILIDADE E BAIA.</v>
      </c>
      <c r="R408" s="5" t="str">
        <f>IFERROR(__xludf.DUMMYFUNCTION("""COMPUTED_VALUE"""),"SUBSTITUIR ABRIGO")</f>
        <v>SUBSTITUIR ABRIGO</v>
      </c>
      <c r="S408" s="5"/>
      <c r="T408" s="5"/>
      <c r="U408" s="5"/>
      <c r="V408" s="9" t="str">
        <f>IFERROR(__xludf.DUMMYFUNCTION("""COMPUTED_VALUE"""),"https://drive.google.com/uc?id=1uOvlIVoltSw7Viql3ZZlURi7b-G_Ipqw")</f>
        <v>https://drive.google.com/uc?id=1uOvlIVoltSw7Viql3ZZlURi7b-G_Ipqw</v>
      </c>
      <c r="W408" s="5" t="str">
        <f>IFERROR(__xludf.DUMMYFUNCTION("""COMPUTED_VALUE"""),"NÃO")</f>
        <v>NÃO</v>
      </c>
      <c r="X408" s="5" t="str">
        <f>IFERROR(__xludf.DUMMYFUNCTION("""COMPUTED_VALUE"""),"NÃO")</f>
        <v>NÃO</v>
      </c>
    </row>
    <row r="409" hidden="1">
      <c r="A409" s="5">
        <f>IFERROR(__xludf.DUMMYFUNCTION("""COMPUTED_VALUE"""),7.0)</f>
        <v>7</v>
      </c>
      <c r="B409" s="5" t="str">
        <f>IFERROR(__xludf.DUMMYFUNCTION("""COMPUTED_VALUE"""),"SD011")</f>
        <v>SD011</v>
      </c>
      <c r="C409" s="5" t="str">
        <f>IFERROR(__xludf.DUMMYFUNCTION("""COMPUTED_VALUE"""),"NÃO POSSUI")</f>
        <v>NÃO POSSUI</v>
      </c>
      <c r="D409" s="5" t="str">
        <f>IFERROR(__xludf.DUMMYFUNCTION("""COMPUTED_VALUE"""),"FIXADA EM POSTE")</f>
        <v>FIXADA EM POSTE</v>
      </c>
      <c r="E409" s="5" t="str">
        <f>IFERROR(__xludf.DUMMYFUNCTION("""COMPUTED_VALUE"""),"SEM BAIA")</f>
        <v>SEM BAIA</v>
      </c>
      <c r="F409" s="5" t="str">
        <f>IFERROR(__xludf.DUMMYFUNCTION("""COMPUTED_VALUE"""),"NÃO")</f>
        <v>NÃO</v>
      </c>
      <c r="G409" s="5" t="str">
        <f>IFERROR(__xludf.DUMMYFUNCTION("""COMPUTED_VALUE"""),"NÃO")</f>
        <v>NÃO</v>
      </c>
      <c r="H409" s="5" t="str">
        <f>IFERROR(__xludf.DUMMYFUNCTION("""COMPUTED_VALUE"""),"NÃO PAVIMENTADA")</f>
        <v>NÃO PAVIMENTADA</v>
      </c>
      <c r="I409" s="6" t="str">
        <f>IFERROR(__xludf.DUMMYFUNCTION("""COMPUTED_VALUE"""),"-9.553646")</f>
        <v>-9.553646</v>
      </c>
      <c r="J409" s="6" t="str">
        <f>IFERROR(__xludf.DUMMYFUNCTION("""COMPUTED_VALUE"""),"-35.786016")</f>
        <v>-35.786016</v>
      </c>
      <c r="K409" s="5" t="str">
        <f>IFERROR(__xludf.DUMMYFUNCTION("""COMPUTED_VALUE"""),"AV. ENG. CORINTHO CAMPELO, S/N")</f>
        <v>AV. ENG. CORINTHO CAMPELO, S/N</v>
      </c>
      <c r="L409" s="5" t="str">
        <f>IFERROR(__xludf.DUMMYFUNCTION("""COMPUTED_VALUE"""),"LOCAL")</f>
        <v>LOCAL</v>
      </c>
      <c r="M409" s="5" t="str">
        <f>IFERROR(__xludf.DUMMYFUNCTION("""COMPUTED_VALUE"""),"SANTOS DUMONT")</f>
        <v>SANTOS DUMONT</v>
      </c>
      <c r="N409" s="5" t="str">
        <f>IFERROR(__xludf.DUMMYFUNCTION("""COMPUTED_VALUE"""),"CENTRO - BAIRRO")</f>
        <v>CENTRO - BAIRRO</v>
      </c>
      <c r="O409" s="5" t="str">
        <f>IFERROR(__xludf.DUMMYFUNCTION("""COMPUTED_VALUE"""),"EM FRENTE A CASA 13c")</f>
        <v>EM FRENTE A CASA 13c</v>
      </c>
      <c r="P409" s="5" t="str">
        <f>IFERROR(__xludf.DUMMYFUNCTION("""COMPUTED_VALUE"""),"PRIORIDADE BAIXA")</f>
        <v>PRIORIDADE BAIXA</v>
      </c>
      <c r="Q409" s="5" t="str">
        <f>IFERROR(__xludf.DUMMYFUNCTION("""COMPUTED_VALUE"""),"READEGUAÇÃO DA CALÇADA COM ACESSIBILIDADE E BAIA.")</f>
        <v>READEGUAÇÃO DA CALÇADA COM ACESSIBILIDADE E BAIA.</v>
      </c>
      <c r="R409" s="5" t="str">
        <f>IFERROR(__xludf.DUMMYFUNCTION("""COMPUTED_VALUE"""),"NENHUMA DAS OPÇÕES")</f>
        <v>NENHUMA DAS OPÇÕES</v>
      </c>
      <c r="S409" s="5"/>
      <c r="T409" s="5"/>
      <c r="U409" s="5"/>
      <c r="V409" s="9" t="str">
        <f>IFERROR(__xludf.DUMMYFUNCTION("""COMPUTED_VALUE"""),"https://drive.google.com/uc?id=1TYeKXCUITBxmVPYT4EYckJ4bL1aWUwNo")</f>
        <v>https://drive.google.com/uc?id=1TYeKXCUITBxmVPYT4EYckJ4bL1aWUwNo</v>
      </c>
      <c r="W409" s="5" t="str">
        <f>IFERROR(__xludf.DUMMYFUNCTION("""COMPUTED_VALUE"""),"NÃO")</f>
        <v>NÃO</v>
      </c>
      <c r="X409" s="5" t="str">
        <f>IFERROR(__xludf.DUMMYFUNCTION("""COMPUTED_VALUE"""),"NÃO")</f>
        <v>NÃO</v>
      </c>
    </row>
    <row r="410" hidden="1">
      <c r="A410" s="5">
        <f>IFERROR(__xludf.DUMMYFUNCTION("""COMPUTED_VALUE"""),7.0)</f>
        <v>7</v>
      </c>
      <c r="B410" s="5" t="str">
        <f>IFERROR(__xludf.DUMMYFUNCTION("""COMPUTED_VALUE"""),"SD012")</f>
        <v>SD012</v>
      </c>
      <c r="C410" s="5" t="str">
        <f>IFERROR(__xludf.DUMMYFUNCTION("""COMPUTED_VALUE"""),"NÃO POSSUI")</f>
        <v>NÃO POSSUI</v>
      </c>
      <c r="D410" s="5" t="str">
        <f>IFERROR(__xludf.DUMMYFUNCTION("""COMPUTED_VALUE"""),"FIXADA EM POSTE")</f>
        <v>FIXADA EM POSTE</v>
      </c>
      <c r="E410" s="5" t="str">
        <f>IFERROR(__xludf.DUMMYFUNCTION("""COMPUTED_VALUE"""),"SEM BAIA")</f>
        <v>SEM BAIA</v>
      </c>
      <c r="F410" s="5" t="str">
        <f>IFERROR(__xludf.DUMMYFUNCTION("""COMPUTED_VALUE"""),"NÃO")</f>
        <v>NÃO</v>
      </c>
      <c r="G410" s="5" t="str">
        <f>IFERROR(__xludf.DUMMYFUNCTION("""COMPUTED_VALUE"""),"NÃO")</f>
        <v>NÃO</v>
      </c>
      <c r="H410" s="5" t="str">
        <f>IFERROR(__xludf.DUMMYFUNCTION("""COMPUTED_VALUE"""),"PAVIMENTADA")</f>
        <v>PAVIMENTADA</v>
      </c>
      <c r="I410" s="6" t="str">
        <f>IFERROR(__xludf.DUMMYFUNCTION("""COMPUTED_VALUE"""),"-9.554927")</f>
        <v>-9.554927</v>
      </c>
      <c r="J410" s="6" t="str">
        <f>IFERROR(__xludf.DUMMYFUNCTION("""COMPUTED_VALUE"""),"-35.785335")</f>
        <v>-35.785335</v>
      </c>
      <c r="K410" s="5" t="str">
        <f>IFERROR(__xludf.DUMMYFUNCTION("""COMPUTED_VALUE"""),"AV. ENG. CORINTHO CAMPELO, 796")</f>
        <v>AV. ENG. CORINTHO CAMPELO, 796</v>
      </c>
      <c r="L410" s="5" t="str">
        <f>IFERROR(__xludf.DUMMYFUNCTION("""COMPUTED_VALUE"""),"LOCAL")</f>
        <v>LOCAL</v>
      </c>
      <c r="M410" s="5" t="str">
        <f>IFERROR(__xludf.DUMMYFUNCTION("""COMPUTED_VALUE"""),"SANTOS DUMONT")</f>
        <v>SANTOS DUMONT</v>
      </c>
      <c r="N410" s="5" t="str">
        <f>IFERROR(__xludf.DUMMYFUNCTION("""COMPUTED_VALUE"""),"BAIRRO - CENTRO")</f>
        <v>BAIRRO - CENTRO</v>
      </c>
      <c r="O410" s="5" t="str">
        <f>IFERROR(__xludf.DUMMYFUNCTION("""COMPUTED_VALUE"""),"EM FRENTE AO TERRENO BALDIO")</f>
        <v>EM FRENTE AO TERRENO BALDIO</v>
      </c>
      <c r="P410" s="5" t="str">
        <f>IFERROR(__xludf.DUMMYFUNCTION("""COMPUTED_VALUE"""),"PRIORIDADE BAIXA")</f>
        <v>PRIORIDADE BAIXA</v>
      </c>
      <c r="Q410" s="5" t="str">
        <f>IFERROR(__xludf.DUMMYFUNCTION("""COMPUTED_VALUE"""),"READEGUAÇÃO DA CALÇADA COM ACESSIBILIDADE E BAIA.")</f>
        <v>READEGUAÇÃO DA CALÇADA COM ACESSIBILIDADE E BAIA.</v>
      </c>
      <c r="R410" s="5" t="str">
        <f>IFERROR(__xludf.DUMMYFUNCTION("""COMPUTED_VALUE"""),"NENHUMA DAS OPÇÕES")</f>
        <v>NENHUMA DAS OPÇÕES</v>
      </c>
      <c r="S410" s="5"/>
      <c r="T410" s="5"/>
      <c r="U410" s="5"/>
      <c r="V410" s="9" t="str">
        <f>IFERROR(__xludf.DUMMYFUNCTION("""COMPUTED_VALUE"""),"https://drive.google.com/uc?id=1CQohhieF6a_zRV9QNijIvU3b3KszkIDd")</f>
        <v>https://drive.google.com/uc?id=1CQohhieF6a_zRV9QNijIvU3b3KszkIDd</v>
      </c>
      <c r="W410" s="5" t="str">
        <f>IFERROR(__xludf.DUMMYFUNCTION("""COMPUTED_VALUE"""),"NÃO")</f>
        <v>NÃO</v>
      </c>
      <c r="X410" s="5" t="str">
        <f>IFERROR(__xludf.DUMMYFUNCTION("""COMPUTED_VALUE"""),"NÃO")</f>
        <v>NÃO</v>
      </c>
    </row>
    <row r="411" hidden="1">
      <c r="A411" s="5">
        <f>IFERROR(__xludf.DUMMYFUNCTION("""COMPUTED_VALUE"""),7.0)</f>
        <v>7</v>
      </c>
      <c r="B411" s="5" t="str">
        <f>IFERROR(__xludf.DUMMYFUNCTION("""COMPUTED_VALUE"""),"SD013")</f>
        <v>SD013</v>
      </c>
      <c r="C411" s="5" t="str">
        <f>IFERROR(__xludf.DUMMYFUNCTION("""COMPUTED_VALUE"""),"NÃO POSSUI")</f>
        <v>NÃO POSSUI</v>
      </c>
      <c r="D411" s="5" t="str">
        <f>IFERROR(__xludf.DUMMYFUNCTION("""COMPUTED_VALUE"""),"FIXADA EM POSTE")</f>
        <v>FIXADA EM POSTE</v>
      </c>
      <c r="E411" s="5" t="str">
        <f>IFERROR(__xludf.DUMMYFUNCTION("""COMPUTED_VALUE"""),"SEM BAIA")</f>
        <v>SEM BAIA</v>
      </c>
      <c r="F411" s="5" t="str">
        <f>IFERROR(__xludf.DUMMYFUNCTION("""COMPUTED_VALUE"""),"NÃO")</f>
        <v>NÃO</v>
      </c>
      <c r="G411" s="5" t="str">
        <f>IFERROR(__xludf.DUMMYFUNCTION("""COMPUTED_VALUE"""),"NÃO")</f>
        <v>NÃO</v>
      </c>
      <c r="H411" s="5" t="str">
        <f>IFERROR(__xludf.DUMMYFUNCTION("""COMPUTED_VALUE"""),"PAVIMENTADA")</f>
        <v>PAVIMENTADA</v>
      </c>
      <c r="I411" s="6" t="str">
        <f>IFERROR(__xludf.DUMMYFUNCTION("""COMPUTED_VALUE"""),"-9.555444")</f>
        <v>-9.555444</v>
      </c>
      <c r="J411" s="6" t="str">
        <f>IFERROR(__xludf.DUMMYFUNCTION("""COMPUTED_VALUE"""),"-35.785004")</f>
        <v>-35.785004</v>
      </c>
      <c r="K411" s="5" t="str">
        <f>IFERROR(__xludf.DUMMYFUNCTION("""COMPUTED_VALUE"""),"AV. ENG. CORINTHO CAMPELO, 796")</f>
        <v>AV. ENG. CORINTHO CAMPELO, 796</v>
      </c>
      <c r="L411" s="5" t="str">
        <f>IFERROR(__xludf.DUMMYFUNCTION("""COMPUTED_VALUE"""),"LOCAL")</f>
        <v>LOCAL</v>
      </c>
      <c r="M411" s="5" t="str">
        <f>IFERROR(__xludf.DUMMYFUNCTION("""COMPUTED_VALUE"""),"SANTOS DUMONT")</f>
        <v>SANTOS DUMONT</v>
      </c>
      <c r="N411" s="5" t="str">
        <f>IFERROR(__xludf.DUMMYFUNCTION("""COMPUTED_VALUE"""),"BAIRRO - CENTRO")</f>
        <v>BAIRRO - CENTRO</v>
      </c>
      <c r="O411" s="5" t="str">
        <f>IFERROR(__xludf.DUMMYFUNCTION("""COMPUTED_VALUE"""),"PRÓXIMO A CASA 796")</f>
        <v>PRÓXIMO A CASA 796</v>
      </c>
      <c r="P411" s="5" t="str">
        <f>IFERROR(__xludf.DUMMYFUNCTION("""COMPUTED_VALUE"""),"PRIORIDADE BAIXA")</f>
        <v>PRIORIDADE BAIXA</v>
      </c>
      <c r="Q411" s="5" t="str">
        <f>IFERROR(__xludf.DUMMYFUNCTION("""COMPUTED_VALUE"""),"READEGUAÇÃO DA CALÇADA COM ACESSIBILIDADE E BAIA.")</f>
        <v>READEGUAÇÃO DA CALÇADA COM ACESSIBILIDADE E BAIA.</v>
      </c>
      <c r="R411" s="5" t="str">
        <f>IFERROR(__xludf.DUMMYFUNCTION("""COMPUTED_VALUE"""),"NENHUMA DAS OPÇÕES")</f>
        <v>NENHUMA DAS OPÇÕES</v>
      </c>
      <c r="S411" s="5"/>
      <c r="T411" s="5"/>
      <c r="U411" s="5"/>
      <c r="V411" s="9" t="str">
        <f>IFERROR(__xludf.DUMMYFUNCTION("""COMPUTED_VALUE"""),"https://drive.google.com/uc?id=1t6Odp_NDNzu59SgDLV8PcyOaienlaqpe")</f>
        <v>https://drive.google.com/uc?id=1t6Odp_NDNzu59SgDLV8PcyOaienlaqpe</v>
      </c>
      <c r="W411" s="5" t="str">
        <f>IFERROR(__xludf.DUMMYFUNCTION("""COMPUTED_VALUE"""),"NÃO")</f>
        <v>NÃO</v>
      </c>
      <c r="X411" s="5" t="str">
        <f>IFERROR(__xludf.DUMMYFUNCTION("""COMPUTED_VALUE"""),"NÃO")</f>
        <v>NÃO</v>
      </c>
    </row>
    <row r="412" hidden="1">
      <c r="A412" s="5">
        <f>IFERROR(__xludf.DUMMYFUNCTION("""COMPUTED_VALUE"""),7.0)</f>
        <v>7</v>
      </c>
      <c r="B412" s="5" t="str">
        <f>IFERROR(__xludf.DUMMYFUNCTION("""COMPUTED_VALUE"""),"SD014")</f>
        <v>SD014</v>
      </c>
      <c r="C412" s="5" t="str">
        <f>IFERROR(__xludf.DUMMYFUNCTION("""COMPUTED_VALUE"""),"NÃO POSSUI")</f>
        <v>NÃO POSSUI</v>
      </c>
      <c r="D412" s="5" t="str">
        <f>IFERROR(__xludf.DUMMYFUNCTION("""COMPUTED_VALUE"""),"FIXADA EM POSTE")</f>
        <v>FIXADA EM POSTE</v>
      </c>
      <c r="E412" s="5" t="str">
        <f>IFERROR(__xludf.DUMMYFUNCTION("""COMPUTED_VALUE"""),"SEM BAIA")</f>
        <v>SEM BAIA</v>
      </c>
      <c r="F412" s="5" t="str">
        <f>IFERROR(__xludf.DUMMYFUNCTION("""COMPUTED_VALUE"""),"NÃO")</f>
        <v>NÃO</v>
      </c>
      <c r="G412" s="5" t="str">
        <f>IFERROR(__xludf.DUMMYFUNCTION("""COMPUTED_VALUE"""),"NÃO")</f>
        <v>NÃO</v>
      </c>
      <c r="H412" s="5" t="str">
        <f>IFERROR(__xludf.DUMMYFUNCTION("""COMPUTED_VALUE"""),"PAVIMENTADA")</f>
        <v>PAVIMENTADA</v>
      </c>
      <c r="I412" s="6" t="str">
        <f>IFERROR(__xludf.DUMMYFUNCTION("""COMPUTED_VALUE"""),"-9.556095")</f>
        <v>-9.556095</v>
      </c>
      <c r="J412" s="6" t="str">
        <f>IFERROR(__xludf.DUMMYFUNCTION("""COMPUTED_VALUE"""),"-35.785087")</f>
        <v>-35.785087</v>
      </c>
      <c r="K412" s="5" t="str">
        <f>IFERROR(__xludf.DUMMYFUNCTION("""COMPUTED_VALUE"""),"AV. CARNA. JOSÉ TEÓFANES, S/N")</f>
        <v>AV. CARNA. JOSÉ TEÓFANES, S/N</v>
      </c>
      <c r="L412" s="5" t="str">
        <f>IFERROR(__xludf.DUMMYFUNCTION("""COMPUTED_VALUE"""),"LOCAL")</f>
        <v>LOCAL</v>
      </c>
      <c r="M412" s="5" t="str">
        <f>IFERROR(__xludf.DUMMYFUNCTION("""COMPUTED_VALUE"""),"SANTOS DUMONT")</f>
        <v>SANTOS DUMONT</v>
      </c>
      <c r="N412" s="5" t="str">
        <f>IFERROR(__xludf.DUMMYFUNCTION("""COMPUTED_VALUE"""),"CENTRO - BAIRRO")</f>
        <v>CENTRO - BAIRRO</v>
      </c>
      <c r="O412" s="5" t="str">
        <f>IFERROR(__xludf.DUMMYFUNCTION("""COMPUTED_VALUE"""),"EM FRENTE A CASA 22")</f>
        <v>EM FRENTE A CASA 22</v>
      </c>
      <c r="P412" s="5" t="str">
        <f>IFERROR(__xludf.DUMMYFUNCTION("""COMPUTED_VALUE"""),"PRIORIDADE BAIXA")</f>
        <v>PRIORIDADE BAIXA</v>
      </c>
      <c r="Q412" s="5" t="str">
        <f>IFERROR(__xludf.DUMMYFUNCTION("""COMPUTED_VALUE"""),"READEGUAÇÃO DA CALÇADA COM ACESSIBILIDADE E BAIA.")</f>
        <v>READEGUAÇÃO DA CALÇADA COM ACESSIBILIDADE E BAIA.</v>
      </c>
      <c r="R412" s="5" t="str">
        <f>IFERROR(__xludf.DUMMYFUNCTION("""COMPUTED_VALUE"""),"NENHUMA DAS OPÇÕES")</f>
        <v>NENHUMA DAS OPÇÕES</v>
      </c>
      <c r="S412" s="5"/>
      <c r="T412" s="5"/>
      <c r="U412" s="5"/>
      <c r="V412" s="9" t="str">
        <f>IFERROR(__xludf.DUMMYFUNCTION("""COMPUTED_VALUE"""),"https://drive.google.com/uc?id=1ES4GXJc2Q1TN4wWAgVP2Xftk3gjVWpMZ")</f>
        <v>https://drive.google.com/uc?id=1ES4GXJc2Q1TN4wWAgVP2Xftk3gjVWpMZ</v>
      </c>
      <c r="W412" s="5" t="str">
        <f>IFERROR(__xludf.DUMMYFUNCTION("""COMPUTED_VALUE"""),"NÃO")</f>
        <v>NÃO</v>
      </c>
      <c r="X412" s="5" t="str">
        <f>IFERROR(__xludf.DUMMYFUNCTION("""COMPUTED_VALUE"""),"NÃO")</f>
        <v>NÃO</v>
      </c>
    </row>
    <row r="413" hidden="1">
      <c r="A413" s="5">
        <f>IFERROR(__xludf.DUMMYFUNCTION("""COMPUTED_VALUE"""),7.0)</f>
        <v>7</v>
      </c>
      <c r="B413" s="5" t="str">
        <f>IFERROR(__xludf.DUMMYFUNCTION("""COMPUTED_VALUE"""),"SD015")</f>
        <v>SD015</v>
      </c>
      <c r="C413" s="5" t="str">
        <f>IFERROR(__xludf.DUMMYFUNCTION("""COMPUTED_VALUE"""),"NÃO POSSUI")</f>
        <v>NÃO POSSUI</v>
      </c>
      <c r="D413" s="5" t="str">
        <f>IFERROR(__xludf.DUMMYFUNCTION("""COMPUTED_VALUE"""),"COM SUPORTE")</f>
        <v>COM SUPORTE</v>
      </c>
      <c r="E413" s="5" t="str">
        <f>IFERROR(__xludf.DUMMYFUNCTION("""COMPUTED_VALUE"""),"SEM BAIA")</f>
        <v>SEM BAIA</v>
      </c>
      <c r="F413" s="5" t="str">
        <f>IFERROR(__xludf.DUMMYFUNCTION("""COMPUTED_VALUE"""),"NÃO")</f>
        <v>NÃO</v>
      </c>
      <c r="G413" s="5" t="str">
        <f>IFERROR(__xludf.DUMMYFUNCTION("""COMPUTED_VALUE"""),"NÃO")</f>
        <v>NÃO</v>
      </c>
      <c r="H413" s="5" t="str">
        <f>IFERROR(__xludf.DUMMYFUNCTION("""COMPUTED_VALUE"""),"PAVIMENTADA")</f>
        <v>PAVIMENTADA</v>
      </c>
      <c r="I413" s="6" t="str">
        <f>IFERROR(__xludf.DUMMYFUNCTION("""COMPUTED_VALUE"""),"-9.556166")</f>
        <v>-9.556166</v>
      </c>
      <c r="J413" s="6" t="str">
        <f>IFERROR(__xludf.DUMMYFUNCTION("""COMPUTED_VALUE"""),"-35.785404")</f>
        <v>-35.785404</v>
      </c>
      <c r="K413" s="5" t="str">
        <f>IFERROR(__xludf.DUMMYFUNCTION("""COMPUTED_VALUE"""),"AV. CARNA. JOSÉ TEÓFANES, 10")</f>
        <v>AV. CARNA. JOSÉ TEÓFANES, 10</v>
      </c>
      <c r="L413" s="5" t="str">
        <f>IFERROR(__xludf.DUMMYFUNCTION("""COMPUTED_VALUE"""),"LOCAL")</f>
        <v>LOCAL</v>
      </c>
      <c r="M413" s="5" t="str">
        <f>IFERROR(__xludf.DUMMYFUNCTION("""COMPUTED_VALUE"""),"SANTOS DUMONT")</f>
        <v>SANTOS DUMONT</v>
      </c>
      <c r="N413" s="5" t="str">
        <f>IFERROR(__xludf.DUMMYFUNCTION("""COMPUTED_VALUE"""),"BAIRRO - CENTRO")</f>
        <v>BAIRRO - CENTRO</v>
      </c>
      <c r="O413" s="5" t="str">
        <f>IFERROR(__xludf.DUMMYFUNCTION("""COMPUTED_VALUE"""),"EM FRENTE A CASA 10")</f>
        <v>EM FRENTE A CASA 10</v>
      </c>
      <c r="P413" s="5" t="str">
        <f>IFERROR(__xludf.DUMMYFUNCTION("""COMPUTED_VALUE"""),"PRIORIDADE BAIXA")</f>
        <v>PRIORIDADE BAIXA</v>
      </c>
      <c r="Q413" s="5" t="str">
        <f>IFERROR(__xludf.DUMMYFUNCTION("""COMPUTED_VALUE"""),"READEGUAÇÃO DA CALÇADA COM ACESSIBILIDADE E BAIA.")</f>
        <v>READEGUAÇÃO DA CALÇADA COM ACESSIBILIDADE E BAIA.</v>
      </c>
      <c r="R413" s="5" t="str">
        <f>IFERROR(__xludf.DUMMYFUNCTION("""COMPUTED_VALUE"""),"NENHUMA DAS OPÇÕES")</f>
        <v>NENHUMA DAS OPÇÕES</v>
      </c>
      <c r="S413" s="5"/>
      <c r="T413" s="5"/>
      <c r="U413" s="5"/>
      <c r="V413" s="9" t="str">
        <f>IFERROR(__xludf.DUMMYFUNCTION("""COMPUTED_VALUE"""),"https://drive.google.com/uc?id=1Pgd8pGC0_3uqhgiVYIUIXS8mdMFHEB6G")</f>
        <v>https://drive.google.com/uc?id=1Pgd8pGC0_3uqhgiVYIUIXS8mdMFHEB6G</v>
      </c>
      <c r="W413" s="5" t="str">
        <f>IFERROR(__xludf.DUMMYFUNCTION("""COMPUTED_VALUE"""),"NÃO")</f>
        <v>NÃO</v>
      </c>
      <c r="X413" s="5" t="str">
        <f>IFERROR(__xludf.DUMMYFUNCTION("""COMPUTED_VALUE"""),"NÃO")</f>
        <v>NÃO</v>
      </c>
    </row>
    <row r="414" hidden="1">
      <c r="A414" s="5">
        <f>IFERROR(__xludf.DUMMYFUNCTION("""COMPUTED_VALUE"""),7.0)</f>
        <v>7</v>
      </c>
      <c r="B414" s="5" t="str">
        <f>IFERROR(__xludf.DUMMYFUNCTION("""COMPUTED_VALUE"""),"SD016")</f>
        <v>SD016</v>
      </c>
      <c r="C414" s="5" t="str">
        <f>IFERROR(__xludf.DUMMYFUNCTION("""COMPUTED_VALUE"""),"NÃO POSSUI")</f>
        <v>NÃO POSSUI</v>
      </c>
      <c r="D414" s="5" t="str">
        <f>IFERROR(__xludf.DUMMYFUNCTION("""COMPUTED_VALUE"""),"FIXADA EM POSTE")</f>
        <v>FIXADA EM POSTE</v>
      </c>
      <c r="E414" s="5" t="str">
        <f>IFERROR(__xludf.DUMMYFUNCTION("""COMPUTED_VALUE"""),"SEM BAIA")</f>
        <v>SEM BAIA</v>
      </c>
      <c r="F414" s="5" t="str">
        <f>IFERROR(__xludf.DUMMYFUNCTION("""COMPUTED_VALUE"""),"NÃO")</f>
        <v>NÃO</v>
      </c>
      <c r="G414" s="5" t="str">
        <f>IFERROR(__xludf.DUMMYFUNCTION("""COMPUTED_VALUE"""),"NÃO")</f>
        <v>NÃO</v>
      </c>
      <c r="H414" s="5" t="str">
        <f>IFERROR(__xludf.DUMMYFUNCTION("""COMPUTED_VALUE"""),"PAVIMENTADA")</f>
        <v>PAVIMENTADA</v>
      </c>
      <c r="I414" s="6" t="str">
        <f>IFERROR(__xludf.DUMMYFUNCTION("""COMPUTED_VALUE"""),"-9.557056")</f>
        <v>-9.557056</v>
      </c>
      <c r="J414" s="6" t="str">
        <f>IFERROR(__xludf.DUMMYFUNCTION("""COMPUTED_VALUE"""),"-35.786914")</f>
        <v>-35.786914</v>
      </c>
      <c r="K414" s="5" t="str">
        <f>IFERROR(__xludf.DUMMYFUNCTION("""COMPUTED_VALUE"""),"AV. CARNA. JOSÉ TEÓFANES, 9A")</f>
        <v>AV. CARNA. JOSÉ TEÓFANES, 9A</v>
      </c>
      <c r="L414" s="5" t="str">
        <f>IFERROR(__xludf.DUMMYFUNCTION("""COMPUTED_VALUE"""),"LOCAL")</f>
        <v>LOCAL</v>
      </c>
      <c r="M414" s="5" t="str">
        <f>IFERROR(__xludf.DUMMYFUNCTION("""COMPUTED_VALUE"""),"SANTOS DUMONT")</f>
        <v>SANTOS DUMONT</v>
      </c>
      <c r="N414" s="5" t="str">
        <f>IFERROR(__xludf.DUMMYFUNCTION("""COMPUTED_VALUE"""),"CENTRO - BAIRRO")</f>
        <v>CENTRO - BAIRRO</v>
      </c>
      <c r="O414" s="5" t="str">
        <f>IFERROR(__xludf.DUMMYFUNCTION("""COMPUTED_VALUE"""),"EM FRENTE A CASA 9A")</f>
        <v>EM FRENTE A CASA 9A</v>
      </c>
      <c r="P414" s="5" t="str">
        <f>IFERROR(__xludf.DUMMYFUNCTION("""COMPUTED_VALUE"""),"PRIORIDADE BAIXA")</f>
        <v>PRIORIDADE BAIXA</v>
      </c>
      <c r="Q414" s="5" t="str">
        <f>IFERROR(__xludf.DUMMYFUNCTION("""COMPUTED_VALUE"""),"READEGUAÇÃO DA CALÇADA COM ACESSIBILIDADE E BAIA.")</f>
        <v>READEGUAÇÃO DA CALÇADA COM ACESSIBILIDADE E BAIA.</v>
      </c>
      <c r="R414" s="5" t="str">
        <f>IFERROR(__xludf.DUMMYFUNCTION("""COMPUTED_VALUE"""),"NENHUMA DAS OPÇÕES")</f>
        <v>NENHUMA DAS OPÇÕES</v>
      </c>
      <c r="S414" s="5"/>
      <c r="T414" s="5"/>
      <c r="U414" s="5"/>
      <c r="V414" s="9" t="str">
        <f>IFERROR(__xludf.DUMMYFUNCTION("""COMPUTED_VALUE"""),"https://drive.google.com/uc?id=10k7RpIuUh-VjP4cL3asijFU9vbY7mXcB")</f>
        <v>https://drive.google.com/uc?id=10k7RpIuUh-VjP4cL3asijFU9vbY7mXcB</v>
      </c>
      <c r="W414" s="5" t="str">
        <f>IFERROR(__xludf.DUMMYFUNCTION("""COMPUTED_VALUE"""),"NÃO")</f>
        <v>NÃO</v>
      </c>
      <c r="X414" s="5" t="str">
        <f>IFERROR(__xludf.DUMMYFUNCTION("""COMPUTED_VALUE"""),"NÃO")</f>
        <v>NÃO</v>
      </c>
    </row>
    <row r="415" hidden="1">
      <c r="A415" s="5">
        <f>IFERROR(__xludf.DUMMYFUNCTION("""COMPUTED_VALUE"""),7.0)</f>
        <v>7</v>
      </c>
      <c r="B415" s="5" t="str">
        <f>IFERROR(__xludf.DUMMYFUNCTION("""COMPUTED_VALUE"""),"SD017")</f>
        <v>SD017</v>
      </c>
      <c r="C415" s="5" t="str">
        <f>IFERROR(__xludf.DUMMYFUNCTION("""COMPUTED_VALUE"""),"NÃO POSSUI")</f>
        <v>NÃO POSSUI</v>
      </c>
      <c r="D415" s="5" t="str">
        <f>IFERROR(__xludf.DUMMYFUNCTION("""COMPUTED_VALUE"""),"COM SUPORTE")</f>
        <v>COM SUPORTE</v>
      </c>
      <c r="E415" s="5" t="str">
        <f>IFERROR(__xludf.DUMMYFUNCTION("""COMPUTED_VALUE"""),"SEM BAIA")</f>
        <v>SEM BAIA</v>
      </c>
      <c r="F415" s="5" t="str">
        <f>IFERROR(__xludf.DUMMYFUNCTION("""COMPUTED_VALUE"""),"NÃO")</f>
        <v>NÃO</v>
      </c>
      <c r="G415" s="5" t="str">
        <f>IFERROR(__xludf.DUMMYFUNCTION("""COMPUTED_VALUE"""),"NÃO")</f>
        <v>NÃO</v>
      </c>
      <c r="H415" s="5" t="str">
        <f>IFERROR(__xludf.DUMMYFUNCTION("""COMPUTED_VALUE"""),"PAVIMENTADA")</f>
        <v>PAVIMENTADA</v>
      </c>
      <c r="I415" s="6" t="str">
        <f>IFERROR(__xludf.DUMMYFUNCTION("""COMPUTED_VALUE"""),"-9.557501")</f>
        <v>-9.557501</v>
      </c>
      <c r="J415" s="6" t="str">
        <f>IFERROR(__xludf.DUMMYFUNCTION("""COMPUTED_VALUE"""),"-35.787793")</f>
        <v>-35.787793</v>
      </c>
      <c r="K415" s="5" t="str">
        <f>IFERROR(__xludf.DUMMYFUNCTION("""COMPUTED_VALUE"""),"AV. CARNA. JOSÉ TEÓFANES, 50")</f>
        <v>AV. CARNA. JOSÉ TEÓFANES, 50</v>
      </c>
      <c r="L415" s="5" t="str">
        <f>IFERROR(__xludf.DUMMYFUNCTION("""COMPUTED_VALUE"""),"LOCAL")</f>
        <v>LOCAL</v>
      </c>
      <c r="M415" s="5" t="str">
        <f>IFERROR(__xludf.DUMMYFUNCTION("""COMPUTED_VALUE"""),"SANTOS DUMONT")</f>
        <v>SANTOS DUMONT</v>
      </c>
      <c r="N415" s="5" t="str">
        <f>IFERROR(__xludf.DUMMYFUNCTION("""COMPUTED_VALUE"""),"BAIRRO - CENTRO")</f>
        <v>BAIRRO - CENTRO</v>
      </c>
      <c r="O415" s="5" t="str">
        <f>IFERROR(__xludf.DUMMYFUNCTION("""COMPUTED_VALUE"""),"EM FRENTE A CASA 50
")</f>
        <v>EM FRENTE A CASA 50
</v>
      </c>
      <c r="P415" s="5" t="str">
        <f>IFERROR(__xludf.DUMMYFUNCTION("""COMPUTED_VALUE"""),"PRIORIDADE BAIXA")</f>
        <v>PRIORIDADE BAIXA</v>
      </c>
      <c r="Q415" s="5" t="str">
        <f>IFERROR(__xludf.DUMMYFUNCTION("""COMPUTED_VALUE"""),"READEGUAÇÃO DA CALÇADA COM ACESSIBILIDADE E BAIA.")</f>
        <v>READEGUAÇÃO DA CALÇADA COM ACESSIBILIDADE E BAIA.</v>
      </c>
      <c r="R415" s="5" t="str">
        <f>IFERROR(__xludf.DUMMYFUNCTION("""COMPUTED_VALUE"""),"NENHUMA DAS OPÇÕES")</f>
        <v>NENHUMA DAS OPÇÕES</v>
      </c>
      <c r="S415" s="5"/>
      <c r="T415" s="5"/>
      <c r="U415" s="5"/>
      <c r="V415" s="9" t="str">
        <f>IFERROR(__xludf.DUMMYFUNCTION("""COMPUTED_VALUE"""),"https://drive.google.com/uc?id=1iAHzrsgICoXa6_qLYze9xLJVjrayaW-v")</f>
        <v>https://drive.google.com/uc?id=1iAHzrsgICoXa6_qLYze9xLJVjrayaW-v</v>
      </c>
      <c r="W415" s="5" t="str">
        <f>IFERROR(__xludf.DUMMYFUNCTION("""COMPUTED_VALUE"""),"NÃO")</f>
        <v>NÃO</v>
      </c>
      <c r="X415" s="5" t="str">
        <f>IFERROR(__xludf.DUMMYFUNCTION("""COMPUTED_VALUE"""),"NÃO")</f>
        <v>NÃO</v>
      </c>
    </row>
    <row r="416" hidden="1">
      <c r="A416" s="5">
        <f>IFERROR(__xludf.DUMMYFUNCTION("""COMPUTED_VALUE"""),7.0)</f>
        <v>7</v>
      </c>
      <c r="B416" s="5" t="str">
        <f>IFERROR(__xludf.DUMMYFUNCTION("""COMPUTED_VALUE"""),"SD018")</f>
        <v>SD018</v>
      </c>
      <c r="C416" s="5" t="str">
        <f>IFERROR(__xludf.DUMMYFUNCTION("""COMPUTED_VALUE"""),"NÃO POSSUI")</f>
        <v>NÃO POSSUI</v>
      </c>
      <c r="D416" s="5" t="str">
        <f>IFERROR(__xludf.DUMMYFUNCTION("""COMPUTED_VALUE"""),"FIXADA EM POSTE")</f>
        <v>FIXADA EM POSTE</v>
      </c>
      <c r="E416" s="5" t="str">
        <f>IFERROR(__xludf.DUMMYFUNCTION("""COMPUTED_VALUE"""),"SEM BAIA")</f>
        <v>SEM BAIA</v>
      </c>
      <c r="F416" s="5" t="str">
        <f>IFERROR(__xludf.DUMMYFUNCTION("""COMPUTED_VALUE"""),"NÃO")</f>
        <v>NÃO</v>
      </c>
      <c r="G416" s="5" t="str">
        <f>IFERROR(__xludf.DUMMYFUNCTION("""COMPUTED_VALUE"""),"NÃO")</f>
        <v>NÃO</v>
      </c>
      <c r="H416" s="5" t="str">
        <f>IFERROR(__xludf.DUMMYFUNCTION("""COMPUTED_VALUE"""),"PAVIMENTADA")</f>
        <v>PAVIMENTADA</v>
      </c>
      <c r="I416" s="6" t="str">
        <f>IFERROR(__xludf.DUMMYFUNCTION("""COMPUTED_VALUE"""),"-9.558309")</f>
        <v>-9.558309</v>
      </c>
      <c r="J416" s="6" t="str">
        <f>IFERROR(__xludf.DUMMYFUNCTION("""COMPUTED_VALUE"""),"-35.789894")</f>
        <v>-35.789894</v>
      </c>
      <c r="K416" s="5" t="str">
        <f>IFERROR(__xludf.DUMMYFUNCTION("""COMPUTED_VALUE"""),"AV. TANCREDO NEVES, S/N")</f>
        <v>AV. TANCREDO NEVES, S/N</v>
      </c>
      <c r="L416" s="5" t="str">
        <f>IFERROR(__xludf.DUMMYFUNCTION("""COMPUTED_VALUE"""),"COLETORA")</f>
        <v>COLETORA</v>
      </c>
      <c r="M416" s="5" t="str">
        <f>IFERROR(__xludf.DUMMYFUNCTION("""COMPUTED_VALUE"""),"SANTOS DUMONT")</f>
        <v>SANTOS DUMONT</v>
      </c>
      <c r="N416" s="5" t="str">
        <f>IFERROR(__xludf.DUMMYFUNCTION("""COMPUTED_VALUE"""),"CENTRO - BAIRRO")</f>
        <v>CENTRO - BAIRRO</v>
      </c>
      <c r="O416" s="5" t="str">
        <f>IFERROR(__xludf.DUMMYFUNCTION("""COMPUTED_VALUE"""),"PRÓXIMO A CASA 29B")</f>
        <v>PRÓXIMO A CASA 29B</v>
      </c>
      <c r="P416" s="5" t="str">
        <f>IFERROR(__xludf.DUMMYFUNCTION("""COMPUTED_VALUE"""),"PRIORIDADE BAIXA")</f>
        <v>PRIORIDADE BAIXA</v>
      </c>
      <c r="Q416" s="5" t="str">
        <f>IFERROR(__xludf.DUMMYFUNCTION("""COMPUTED_VALUE"""),"READEGUAÇÃO DA CALÇADA COM ACESSIBILIDADE E BAIA. E LIMPEZA DA VEGETAÇÃO SELVAGEM")</f>
        <v>READEGUAÇÃO DA CALÇADA COM ACESSIBILIDADE E BAIA. E LIMPEZA DA VEGETAÇÃO SELVAGEM</v>
      </c>
      <c r="R416" s="5" t="str">
        <f>IFERROR(__xludf.DUMMYFUNCTION("""COMPUTED_VALUE"""),"NENHUMA DAS OPÇÕES")</f>
        <v>NENHUMA DAS OPÇÕES</v>
      </c>
      <c r="S416" s="5"/>
      <c r="T416" s="5"/>
      <c r="U416" s="5"/>
      <c r="V416" s="9" t="str">
        <f>IFERROR(__xludf.DUMMYFUNCTION("""COMPUTED_VALUE"""),"https://drive.google.com/uc?id=100vt1ySQiNJwRKjfyVrnZw2Zrx8I_BUR")</f>
        <v>https://drive.google.com/uc?id=100vt1ySQiNJwRKjfyVrnZw2Zrx8I_BUR</v>
      </c>
      <c r="W416" s="5" t="str">
        <f>IFERROR(__xludf.DUMMYFUNCTION("""COMPUTED_VALUE"""),"NÃO")</f>
        <v>NÃO</v>
      </c>
      <c r="X416" s="5" t="str">
        <f>IFERROR(__xludf.DUMMYFUNCTION("""COMPUTED_VALUE"""),"NÃO")</f>
        <v>NÃO</v>
      </c>
    </row>
    <row r="417" hidden="1">
      <c r="A417" s="5">
        <f>IFERROR(__xludf.DUMMYFUNCTION("""COMPUTED_VALUE"""),7.0)</f>
        <v>7</v>
      </c>
      <c r="B417" s="5" t="str">
        <f>IFERROR(__xludf.DUMMYFUNCTION("""COMPUTED_VALUE"""),"SD019")</f>
        <v>SD019</v>
      </c>
      <c r="C417" s="5" t="str">
        <f>IFERROR(__xludf.DUMMYFUNCTION("""COMPUTED_VALUE"""),"NÃO POSSUI")</f>
        <v>NÃO POSSUI</v>
      </c>
      <c r="D417" s="5" t="str">
        <f>IFERROR(__xludf.DUMMYFUNCTION("""COMPUTED_VALUE"""),"COM SUPORTE")</f>
        <v>COM SUPORTE</v>
      </c>
      <c r="E417" s="5" t="str">
        <f>IFERROR(__xludf.DUMMYFUNCTION("""COMPUTED_VALUE"""),"SEM BAIA")</f>
        <v>SEM BAIA</v>
      </c>
      <c r="F417" s="5" t="str">
        <f>IFERROR(__xludf.DUMMYFUNCTION("""COMPUTED_VALUE"""),"NÃO")</f>
        <v>NÃO</v>
      </c>
      <c r="G417" s="5" t="str">
        <f>IFERROR(__xludf.DUMMYFUNCTION("""COMPUTED_VALUE"""),"NÃO")</f>
        <v>NÃO</v>
      </c>
      <c r="H417" s="5" t="str">
        <f>IFERROR(__xludf.DUMMYFUNCTION("""COMPUTED_VALUE"""),"PAVIMENTADA")</f>
        <v>PAVIMENTADA</v>
      </c>
      <c r="I417" s="6" t="str">
        <f>IFERROR(__xludf.DUMMYFUNCTION("""COMPUTED_VALUE"""),"-9.557019")</f>
        <v>-9.557019</v>
      </c>
      <c r="J417" s="6" t="str">
        <f>IFERROR(__xludf.DUMMYFUNCTION("""COMPUTED_VALUE"""),"-35.790145")</f>
        <v>-35.790145</v>
      </c>
      <c r="K417" s="5" t="str">
        <f>IFERROR(__xludf.DUMMYFUNCTION("""COMPUTED_VALUE"""),"AV. TANCREDO NEVES,  1349")</f>
        <v>AV. TANCREDO NEVES,  1349</v>
      </c>
      <c r="L417" s="5" t="str">
        <f>IFERROR(__xludf.DUMMYFUNCTION("""COMPUTED_VALUE"""),"COLETORA")</f>
        <v>COLETORA</v>
      </c>
      <c r="M417" s="5" t="str">
        <f>IFERROR(__xludf.DUMMYFUNCTION("""COMPUTED_VALUE"""),"SANTOS DUMONT")</f>
        <v>SANTOS DUMONT</v>
      </c>
      <c r="N417" s="5" t="str">
        <f>IFERROR(__xludf.DUMMYFUNCTION("""COMPUTED_VALUE"""),"BAIRRO - CENTRO")</f>
        <v>BAIRRO - CENTRO</v>
      </c>
      <c r="O417" s="5"/>
      <c r="P417" s="5" t="str">
        <f>IFERROR(__xludf.DUMMYFUNCTION("""COMPUTED_VALUE"""),"PRIORIDADE BAIXA")</f>
        <v>PRIORIDADE BAIXA</v>
      </c>
      <c r="Q417" s="5" t="str">
        <f>IFERROR(__xludf.DUMMYFUNCTION("""COMPUTED_VALUE"""),"READEGUAÇÃO DA CALÇADA COM ACESSIBILIDADE E BAIA.")</f>
        <v>READEGUAÇÃO DA CALÇADA COM ACESSIBILIDADE E BAIA.</v>
      </c>
      <c r="R417" s="5" t="str">
        <f>IFERROR(__xludf.DUMMYFUNCTION("""COMPUTED_VALUE"""),"NENHUMA DAS OPÇÕES")</f>
        <v>NENHUMA DAS OPÇÕES</v>
      </c>
      <c r="S417" s="5"/>
      <c r="T417" s="5"/>
      <c r="U417" s="5"/>
      <c r="V417" s="9" t="str">
        <f>IFERROR(__xludf.DUMMYFUNCTION("""COMPUTED_VALUE"""),"https://drive.google.com/uc?id=1-N5BKiPw4-n_wn2MLUA5ld3N2_jKi3E8")</f>
        <v>https://drive.google.com/uc?id=1-N5BKiPw4-n_wn2MLUA5ld3N2_jKi3E8</v>
      </c>
      <c r="W417" s="5" t="str">
        <f>IFERROR(__xludf.DUMMYFUNCTION("""COMPUTED_VALUE"""),"NÃO")</f>
        <v>NÃO</v>
      </c>
      <c r="X417" s="5" t="str">
        <f>IFERROR(__xludf.DUMMYFUNCTION("""COMPUTED_VALUE"""),"NÃO")</f>
        <v>NÃO</v>
      </c>
    </row>
    <row r="418" hidden="1">
      <c r="A418" s="5">
        <f>IFERROR(__xludf.DUMMYFUNCTION("""COMPUTED_VALUE"""),7.0)</f>
        <v>7</v>
      </c>
      <c r="B418" s="5" t="str">
        <f>IFERROR(__xludf.DUMMYFUNCTION("""COMPUTED_VALUE"""),"SD020")</f>
        <v>SD020</v>
      </c>
      <c r="C418" s="5" t="str">
        <f>IFERROR(__xludf.DUMMYFUNCTION("""COMPUTED_VALUE"""),"NÃO POSSUI")</f>
        <v>NÃO POSSUI</v>
      </c>
      <c r="D418" s="5" t="str">
        <f>IFERROR(__xludf.DUMMYFUNCTION("""COMPUTED_VALUE"""),"FIXADA EM POSTE")</f>
        <v>FIXADA EM POSTE</v>
      </c>
      <c r="E418" s="5" t="str">
        <f>IFERROR(__xludf.DUMMYFUNCTION("""COMPUTED_VALUE"""),"SEM BAIA")</f>
        <v>SEM BAIA</v>
      </c>
      <c r="F418" s="5" t="str">
        <f>IFERROR(__xludf.DUMMYFUNCTION("""COMPUTED_VALUE"""),"NÃO")</f>
        <v>NÃO</v>
      </c>
      <c r="G418" s="5" t="str">
        <f>IFERROR(__xludf.DUMMYFUNCTION("""COMPUTED_VALUE"""),"NÃO")</f>
        <v>NÃO</v>
      </c>
      <c r="H418" s="5" t="str">
        <f>IFERROR(__xludf.DUMMYFUNCTION("""COMPUTED_VALUE"""),"PAVIMENTADA")</f>
        <v>PAVIMENTADA</v>
      </c>
      <c r="I418" s="6" t="str">
        <f>IFERROR(__xludf.DUMMYFUNCTION("""COMPUTED_VALUE"""),"-9.555154")</f>
        <v>-9.555154</v>
      </c>
      <c r="J418" s="6" t="str">
        <f>IFERROR(__xludf.DUMMYFUNCTION("""COMPUTED_VALUE"""),"-35.790701")</f>
        <v>-35.790701</v>
      </c>
      <c r="K418" s="5" t="str">
        <f>IFERROR(__xludf.DUMMYFUNCTION("""COMPUTED_VALUE"""),"AV. TANCREDO NEVES, 27")</f>
        <v>AV. TANCREDO NEVES, 27</v>
      </c>
      <c r="L418" s="5" t="str">
        <f>IFERROR(__xludf.DUMMYFUNCTION("""COMPUTED_VALUE"""),"COLETORA")</f>
        <v>COLETORA</v>
      </c>
      <c r="M418" s="5" t="str">
        <f>IFERROR(__xludf.DUMMYFUNCTION("""COMPUTED_VALUE"""),"SANTOS DUMONT")</f>
        <v>SANTOS DUMONT</v>
      </c>
      <c r="N418" s="5" t="str">
        <f>IFERROR(__xludf.DUMMYFUNCTION("""COMPUTED_VALUE"""),"CENTRO - BAIRRO")</f>
        <v>CENTRO - BAIRRO</v>
      </c>
      <c r="O418" s="5" t="str">
        <f>IFERROR(__xludf.DUMMYFUNCTION("""COMPUTED_VALUE"""),"DO OUTRO LADO DA CASA 03")</f>
        <v>DO OUTRO LADO DA CASA 03</v>
      </c>
      <c r="P418" s="5" t="str">
        <f>IFERROR(__xludf.DUMMYFUNCTION("""COMPUTED_VALUE"""),"PRIORIDADE BAIXA")</f>
        <v>PRIORIDADE BAIXA</v>
      </c>
      <c r="Q418" s="5" t="str">
        <f>IFERROR(__xludf.DUMMYFUNCTION("""COMPUTED_VALUE"""),"READEGUAÇÃO DA CALÇADA COM ACESSIBILIDADE E BAIA.")</f>
        <v>READEGUAÇÃO DA CALÇADA COM ACESSIBILIDADE E BAIA.</v>
      </c>
      <c r="R418" s="5" t="str">
        <f>IFERROR(__xludf.DUMMYFUNCTION("""COMPUTED_VALUE"""),"NENHUMA DAS OPÇÕES")</f>
        <v>NENHUMA DAS OPÇÕES</v>
      </c>
      <c r="S418" s="5"/>
      <c r="T418" s="5"/>
      <c r="U418" s="5"/>
      <c r="V418" s="9" t="str">
        <f>IFERROR(__xludf.DUMMYFUNCTION("""COMPUTED_VALUE"""),"https://drive.google.com/uc?id=1tURJVQugrpNXyWJSPYRkqc4EXHTLuXSK")</f>
        <v>https://drive.google.com/uc?id=1tURJVQugrpNXyWJSPYRkqc4EXHTLuXSK</v>
      </c>
      <c r="W418" s="5" t="str">
        <f>IFERROR(__xludf.DUMMYFUNCTION("""COMPUTED_VALUE"""),"NÃO")</f>
        <v>NÃO</v>
      </c>
      <c r="X418" s="5" t="str">
        <f>IFERROR(__xludf.DUMMYFUNCTION("""COMPUTED_VALUE"""),"NÃO")</f>
        <v>NÃO</v>
      </c>
    </row>
    <row r="419" hidden="1">
      <c r="A419" s="5">
        <f>IFERROR(__xludf.DUMMYFUNCTION("""COMPUTED_VALUE"""),7.0)</f>
        <v>7</v>
      </c>
      <c r="B419" s="5" t="str">
        <f>IFERROR(__xludf.DUMMYFUNCTION("""COMPUTED_VALUE"""),"SD021")</f>
        <v>SD021</v>
      </c>
      <c r="C419" s="5" t="str">
        <f>IFERROR(__xludf.DUMMYFUNCTION("""COMPUTED_VALUE"""),"NÃO POSSUI")</f>
        <v>NÃO POSSUI</v>
      </c>
      <c r="D419" s="5" t="str">
        <f>IFERROR(__xludf.DUMMYFUNCTION("""COMPUTED_VALUE"""),"COM SUPORTE")</f>
        <v>COM SUPORTE</v>
      </c>
      <c r="E419" s="5" t="str">
        <f>IFERROR(__xludf.DUMMYFUNCTION("""COMPUTED_VALUE"""),"SEM BAIA")</f>
        <v>SEM BAIA</v>
      </c>
      <c r="F419" s="5" t="str">
        <f>IFERROR(__xludf.DUMMYFUNCTION("""COMPUTED_VALUE"""),"NÃO")</f>
        <v>NÃO</v>
      </c>
      <c r="G419" s="5" t="str">
        <f>IFERROR(__xludf.DUMMYFUNCTION("""COMPUTED_VALUE"""),"NÃO")</f>
        <v>NÃO</v>
      </c>
      <c r="H419" s="5" t="str">
        <f>IFERROR(__xludf.DUMMYFUNCTION("""COMPUTED_VALUE"""),"PAVIMENTADA")</f>
        <v>PAVIMENTADA</v>
      </c>
      <c r="I419" s="6" t="str">
        <f>IFERROR(__xludf.DUMMYFUNCTION("""COMPUTED_VALUE"""),"-9.554700")</f>
        <v>-9.554700</v>
      </c>
      <c r="J419" s="6" t="str">
        <f>IFERROR(__xludf.DUMMYFUNCTION("""COMPUTED_VALUE"""),"-35.790707")</f>
        <v>-35.790707</v>
      </c>
      <c r="K419" s="5" t="str">
        <f>IFERROR(__xludf.DUMMYFUNCTION("""COMPUTED_VALUE"""),"AV. TANCREDO NEVES, SN")</f>
        <v>AV. TANCREDO NEVES, SN</v>
      </c>
      <c r="L419" s="5" t="str">
        <f>IFERROR(__xludf.DUMMYFUNCTION("""COMPUTED_VALUE"""),"COLETORA")</f>
        <v>COLETORA</v>
      </c>
      <c r="M419" s="5" t="str">
        <f>IFERROR(__xludf.DUMMYFUNCTION("""COMPUTED_VALUE"""),"SANTOS DUMONT")</f>
        <v>SANTOS DUMONT</v>
      </c>
      <c r="N419" s="5" t="str">
        <f>IFERROR(__xludf.DUMMYFUNCTION("""COMPUTED_VALUE"""),"BAIRRO - CENTRO")</f>
        <v>BAIRRO - CENTRO</v>
      </c>
      <c r="O419" s="5" t="str">
        <f>IFERROR(__xludf.DUMMYFUNCTION("""COMPUTED_VALUE"""),"PRÓXIMO A CASA 67")</f>
        <v>PRÓXIMO A CASA 67</v>
      </c>
      <c r="P419" s="5" t="str">
        <f>IFERROR(__xludf.DUMMYFUNCTION("""COMPUTED_VALUE"""),"PRIORIDADE BAIXA")</f>
        <v>PRIORIDADE BAIXA</v>
      </c>
      <c r="Q419" s="5" t="str">
        <f>IFERROR(__xludf.DUMMYFUNCTION("""COMPUTED_VALUE"""),"READEGUAÇÃO DA CALÇADA COM ACESSIBILIDADE E BAIA.")</f>
        <v>READEGUAÇÃO DA CALÇADA COM ACESSIBILIDADE E BAIA.</v>
      </c>
      <c r="R419" s="5" t="str">
        <f>IFERROR(__xludf.DUMMYFUNCTION("""COMPUTED_VALUE"""),"NENHUMA DAS OPÇÕES")</f>
        <v>NENHUMA DAS OPÇÕES</v>
      </c>
      <c r="S419" s="5"/>
      <c r="T419" s="5"/>
      <c r="U419" s="5"/>
      <c r="V419" s="9" t="str">
        <f>IFERROR(__xludf.DUMMYFUNCTION("""COMPUTED_VALUE"""),"https://drive.google.com/uc?id=1n59tXOIt9TjhoEsHS8Gla0VVCM76UO3i")</f>
        <v>https://drive.google.com/uc?id=1n59tXOIt9TjhoEsHS8Gla0VVCM76UO3i</v>
      </c>
      <c r="W419" s="5" t="str">
        <f>IFERROR(__xludf.DUMMYFUNCTION("""COMPUTED_VALUE"""),"NÃO")</f>
        <v>NÃO</v>
      </c>
      <c r="X419" s="5" t="str">
        <f>IFERROR(__xludf.DUMMYFUNCTION("""COMPUTED_VALUE"""),"NÃO")</f>
        <v>NÃO</v>
      </c>
    </row>
    <row r="420" hidden="1">
      <c r="A420" s="5">
        <f>IFERROR(__xludf.DUMMYFUNCTION("""COMPUTED_VALUE"""),7.0)</f>
        <v>7</v>
      </c>
      <c r="B420" s="5" t="str">
        <f>IFERROR(__xludf.DUMMYFUNCTION("""COMPUTED_VALUE"""),"SD022")</f>
        <v>SD022</v>
      </c>
      <c r="C420" s="5" t="str">
        <f>IFERROR(__xludf.DUMMYFUNCTION("""COMPUTED_VALUE"""),"NÃO POSSUI")</f>
        <v>NÃO POSSUI</v>
      </c>
      <c r="D420" s="5" t="str">
        <f>IFERROR(__xludf.DUMMYFUNCTION("""COMPUTED_VALUE"""),"FIXADA EM POSTE")</f>
        <v>FIXADA EM POSTE</v>
      </c>
      <c r="E420" s="5" t="str">
        <f>IFERROR(__xludf.DUMMYFUNCTION("""COMPUTED_VALUE"""),"SEM BAIA")</f>
        <v>SEM BAIA</v>
      </c>
      <c r="F420" s="5" t="str">
        <f>IFERROR(__xludf.DUMMYFUNCTION("""COMPUTED_VALUE"""),"NÃO")</f>
        <v>NÃO</v>
      </c>
      <c r="G420" s="5" t="str">
        <f>IFERROR(__xludf.DUMMYFUNCTION("""COMPUTED_VALUE"""),"NÃO")</f>
        <v>NÃO</v>
      </c>
      <c r="H420" s="5" t="str">
        <f>IFERROR(__xludf.DUMMYFUNCTION("""COMPUTED_VALUE"""),"PAVIMENTADA")</f>
        <v>PAVIMENTADA</v>
      </c>
      <c r="I420" s="6" t="str">
        <f>IFERROR(__xludf.DUMMYFUNCTION("""COMPUTED_VALUE"""),"-9.553715")</f>
        <v>-9.553715</v>
      </c>
      <c r="J420" s="6" t="str">
        <f>IFERROR(__xludf.DUMMYFUNCTION("""COMPUTED_VALUE""")," -35.791001")</f>
        <v> -35.791001</v>
      </c>
      <c r="K420" s="5" t="str">
        <f>IFERROR(__xludf.DUMMYFUNCTION("""COMPUTED_VALUE"""),"AV. TANCREDO NEVES, 52B")</f>
        <v>AV. TANCREDO NEVES, 52B</v>
      </c>
      <c r="L420" s="5" t="str">
        <f>IFERROR(__xludf.DUMMYFUNCTION("""COMPUTED_VALUE"""),"COLETORA")</f>
        <v>COLETORA</v>
      </c>
      <c r="M420" s="5" t="str">
        <f>IFERROR(__xludf.DUMMYFUNCTION("""COMPUTED_VALUE"""),"SANTOS DUMONT")</f>
        <v>SANTOS DUMONT</v>
      </c>
      <c r="N420" s="5" t="str">
        <f>IFERROR(__xludf.DUMMYFUNCTION("""COMPUTED_VALUE"""),"BAIRRO - CENTRO")</f>
        <v>BAIRRO - CENTRO</v>
      </c>
      <c r="O420" s="5" t="str">
        <f>IFERROR(__xludf.DUMMYFUNCTION("""COMPUTED_VALUE"""),"EM FRENTE A CASA 52B")</f>
        <v>EM FRENTE A CASA 52B</v>
      </c>
      <c r="P420" s="5" t="str">
        <f>IFERROR(__xludf.DUMMYFUNCTION("""COMPUTED_VALUE"""),"PRIORIDADE BAIXA")</f>
        <v>PRIORIDADE BAIXA</v>
      </c>
      <c r="Q420" s="5" t="str">
        <f>IFERROR(__xludf.DUMMYFUNCTION("""COMPUTED_VALUE"""),"READEGUAÇÃO DA CALÇADA COM ACESSIBILIDADE E BAIA.")</f>
        <v>READEGUAÇÃO DA CALÇADA COM ACESSIBILIDADE E BAIA.</v>
      </c>
      <c r="R420" s="5" t="str">
        <f>IFERROR(__xludf.DUMMYFUNCTION("""COMPUTED_VALUE"""),"NENHUMA DAS OPÇÕES")</f>
        <v>NENHUMA DAS OPÇÕES</v>
      </c>
      <c r="S420" s="5"/>
      <c r="T420" s="5"/>
      <c r="U420" s="5"/>
      <c r="V420" s="9" t="str">
        <f>IFERROR(__xludf.DUMMYFUNCTION("""COMPUTED_VALUE"""),"https://drive.google.com/uc?id=17FXtYNPWbj8wUwZSVmWSXUg-1V__oXWy")</f>
        <v>https://drive.google.com/uc?id=17FXtYNPWbj8wUwZSVmWSXUg-1V__oXWy</v>
      </c>
      <c r="W420" s="5" t="str">
        <f>IFERROR(__xludf.DUMMYFUNCTION("""COMPUTED_VALUE"""),"NÃO")</f>
        <v>NÃO</v>
      </c>
      <c r="X420" s="5" t="str">
        <f>IFERROR(__xludf.DUMMYFUNCTION("""COMPUTED_VALUE"""),"NÃO")</f>
        <v>NÃO</v>
      </c>
    </row>
    <row r="421" hidden="1">
      <c r="A421" s="5">
        <f>IFERROR(__xludf.DUMMYFUNCTION("""COMPUTED_VALUE"""),7.0)</f>
        <v>7</v>
      </c>
      <c r="B421" s="5" t="str">
        <f>IFERROR(__xludf.DUMMYFUNCTION("""COMPUTED_VALUE"""),"SD023")</f>
        <v>SD023</v>
      </c>
      <c r="C421" s="5" t="str">
        <f>IFERROR(__xludf.DUMMYFUNCTION("""COMPUTED_VALUE"""),"NÃO POSSUI")</f>
        <v>NÃO POSSUI</v>
      </c>
      <c r="D421" s="5" t="str">
        <f>IFERROR(__xludf.DUMMYFUNCTION("""COMPUTED_VALUE"""),"FIXADA EM POSTE")</f>
        <v>FIXADA EM POSTE</v>
      </c>
      <c r="E421" s="5" t="str">
        <f>IFERROR(__xludf.DUMMYFUNCTION("""COMPUTED_VALUE"""),"SEM BAIA")</f>
        <v>SEM BAIA</v>
      </c>
      <c r="F421" s="5" t="str">
        <f>IFERROR(__xludf.DUMMYFUNCTION("""COMPUTED_VALUE"""),"NÃO")</f>
        <v>NÃO</v>
      </c>
      <c r="G421" s="5" t="str">
        <f>IFERROR(__xludf.DUMMYFUNCTION("""COMPUTED_VALUE"""),"NÃO")</f>
        <v>NÃO</v>
      </c>
      <c r="H421" s="5" t="str">
        <f>IFERROR(__xludf.DUMMYFUNCTION("""COMPUTED_VALUE"""),"PAVIMENTADA")</f>
        <v>PAVIMENTADA</v>
      </c>
      <c r="I421" s="6" t="str">
        <f>IFERROR(__xludf.DUMMYFUNCTION("""COMPUTED_VALUE"""),"-9.551986")</f>
        <v>-9.551986</v>
      </c>
      <c r="J421" s="6" t="str">
        <f>IFERROR(__xludf.DUMMYFUNCTION("""COMPUTED_VALUE"""),"-35.790158")</f>
        <v>-35.790158</v>
      </c>
      <c r="K421" s="5" t="str">
        <f>IFERROR(__xludf.DUMMYFUNCTION("""COMPUTED_VALUE"""),"AV. TANCREDO NEVES, 12")</f>
        <v>AV. TANCREDO NEVES, 12</v>
      </c>
      <c r="L421" s="5" t="str">
        <f>IFERROR(__xludf.DUMMYFUNCTION("""COMPUTED_VALUE"""),"COLETORA")</f>
        <v>COLETORA</v>
      </c>
      <c r="M421" s="5" t="str">
        <f>IFERROR(__xludf.DUMMYFUNCTION("""COMPUTED_VALUE"""),"SANTOS DUMONT")</f>
        <v>SANTOS DUMONT</v>
      </c>
      <c r="N421" s="5" t="str">
        <f>IFERROR(__xludf.DUMMYFUNCTION("""COMPUTED_VALUE"""),"CENTRO - BAIRRO")</f>
        <v>CENTRO - BAIRRO</v>
      </c>
      <c r="O421" s="5" t="str">
        <f>IFERROR(__xludf.DUMMYFUNCTION("""COMPUTED_VALUE"""),"EM FRENTE A R. NOVA")</f>
        <v>EM FRENTE A R. NOVA</v>
      </c>
      <c r="P421" s="5" t="str">
        <f>IFERROR(__xludf.DUMMYFUNCTION("""COMPUTED_VALUE"""),"PRIORIDADE BAIXA")</f>
        <v>PRIORIDADE BAIXA</v>
      </c>
      <c r="Q421" s="5" t="str">
        <f>IFERROR(__xludf.DUMMYFUNCTION("""COMPUTED_VALUE"""),"READEGUAÇÃO DA CALÇADA COM ACESSIBILIDADE E BAIA.")</f>
        <v>READEGUAÇÃO DA CALÇADA COM ACESSIBILIDADE E BAIA.</v>
      </c>
      <c r="R421" s="5" t="str">
        <f>IFERROR(__xludf.DUMMYFUNCTION("""COMPUTED_VALUE"""),"NENHUMA DAS OPÇÕES")</f>
        <v>NENHUMA DAS OPÇÕES</v>
      </c>
      <c r="S421" s="5"/>
      <c r="T421" s="5"/>
      <c r="U421" s="5"/>
      <c r="V421" s="9" t="str">
        <f>IFERROR(__xludf.DUMMYFUNCTION("""COMPUTED_VALUE"""),"https://drive.google.com/uc?id=1NbyxgRCqLrZI0pUJqoolDNy-gb5pPXfU")</f>
        <v>https://drive.google.com/uc?id=1NbyxgRCqLrZI0pUJqoolDNy-gb5pPXfU</v>
      </c>
      <c r="W421" s="5" t="str">
        <f>IFERROR(__xludf.DUMMYFUNCTION("""COMPUTED_VALUE"""),"NÃO")</f>
        <v>NÃO</v>
      </c>
      <c r="X421" s="5" t="str">
        <f>IFERROR(__xludf.DUMMYFUNCTION("""COMPUTED_VALUE"""),"NÃO")</f>
        <v>NÃO</v>
      </c>
    </row>
    <row r="422" ht="18.0" hidden="1" customHeight="1">
      <c r="A422" s="5">
        <f>IFERROR(__xludf.DUMMYFUNCTION("""COMPUTED_VALUE"""),7.0)</f>
        <v>7</v>
      </c>
      <c r="B422" s="5" t="str">
        <f>IFERROR(__xludf.DUMMYFUNCTION("""COMPUTED_VALUE"""),"SD024")</f>
        <v>SD024</v>
      </c>
      <c r="C422" s="5" t="str">
        <f>IFERROR(__xludf.DUMMYFUNCTION("""COMPUTED_VALUE"""),"NÃO POSSUI")</f>
        <v>NÃO POSSUI</v>
      </c>
      <c r="D422" s="5" t="str">
        <f>IFERROR(__xludf.DUMMYFUNCTION("""COMPUTED_VALUE"""),"FIXADA EM POSTE")</f>
        <v>FIXADA EM POSTE</v>
      </c>
      <c r="E422" s="5" t="str">
        <f>IFERROR(__xludf.DUMMYFUNCTION("""COMPUTED_VALUE"""),"SEM BAIA")</f>
        <v>SEM BAIA</v>
      </c>
      <c r="F422" s="5" t="str">
        <f>IFERROR(__xludf.DUMMYFUNCTION("""COMPUTED_VALUE"""),"NÃO")</f>
        <v>NÃO</v>
      </c>
      <c r="G422" s="5" t="str">
        <f>IFERROR(__xludf.DUMMYFUNCTION("""COMPUTED_VALUE"""),"NÃO")</f>
        <v>NÃO</v>
      </c>
      <c r="H422" s="5" t="str">
        <f>IFERROR(__xludf.DUMMYFUNCTION("""COMPUTED_VALUE"""),"PAVIMENTADA")</f>
        <v>PAVIMENTADA</v>
      </c>
      <c r="I422" s="6" t="str">
        <f>IFERROR(__xludf.DUMMYFUNCTION("""COMPUTED_VALUE"""),"-9.551705")</f>
        <v>-9.551705</v>
      </c>
      <c r="J422" s="6" t="str">
        <f>IFERROR(__xludf.DUMMYFUNCTION("""COMPUTED_VALUE"""),"-35.789778")</f>
        <v>-35.789778</v>
      </c>
      <c r="K422" s="5" t="str">
        <f>IFERROR(__xludf.DUMMYFUNCTION("""COMPUTED_VALUE"""),"AV. TANCREDO NEVES, 662")</f>
        <v>AV. TANCREDO NEVES, 662</v>
      </c>
      <c r="L422" s="5" t="str">
        <f>IFERROR(__xludf.DUMMYFUNCTION("""COMPUTED_VALUE"""),"COLETORA")</f>
        <v>COLETORA</v>
      </c>
      <c r="M422" s="5" t="str">
        <f>IFERROR(__xludf.DUMMYFUNCTION("""COMPUTED_VALUE"""),"SANTOS DUMONT")</f>
        <v>SANTOS DUMONT</v>
      </c>
      <c r="N422" s="5" t="str">
        <f>IFERROR(__xludf.DUMMYFUNCTION("""COMPUTED_VALUE"""),"BAIRRO - CENTRO")</f>
        <v>BAIRRO - CENTRO</v>
      </c>
      <c r="O422" s="5" t="str">
        <f>IFERROR(__xludf.DUMMYFUNCTION("""COMPUTED_VALUE"""),"EM FRENTE A CEASINHA DA ANDREZA")</f>
        <v>EM FRENTE A CEASINHA DA ANDREZA</v>
      </c>
      <c r="P422" s="5" t="str">
        <f>IFERROR(__xludf.DUMMYFUNCTION("""COMPUTED_VALUE"""),"PRIORIDADE BAIXA")</f>
        <v>PRIORIDADE BAIXA</v>
      </c>
      <c r="Q422" s="5" t="str">
        <f>IFERROR(__xludf.DUMMYFUNCTION("""COMPUTED_VALUE"""),"READEGUAÇÃO DA CALÇADA COM ACESSIBILIDADE E BAIA.")</f>
        <v>READEGUAÇÃO DA CALÇADA COM ACESSIBILIDADE E BAIA.</v>
      </c>
      <c r="R422" s="5" t="str">
        <f>IFERROR(__xludf.DUMMYFUNCTION("""COMPUTED_VALUE"""),"NENHUMA DAS OPÇÕES")</f>
        <v>NENHUMA DAS OPÇÕES</v>
      </c>
      <c r="S422" s="5"/>
      <c r="T422" s="5"/>
      <c r="U422" s="5"/>
      <c r="V422" s="9" t="str">
        <f>IFERROR(__xludf.DUMMYFUNCTION("""COMPUTED_VALUE"""),"https://drive.google.com/uc?id=1_lGOb-CZeHBwzNxtnxVHpRnlZL0ktw3u")</f>
        <v>https://drive.google.com/uc?id=1_lGOb-CZeHBwzNxtnxVHpRnlZL0ktw3u</v>
      </c>
      <c r="W422" s="5" t="str">
        <f>IFERROR(__xludf.DUMMYFUNCTION("""COMPUTED_VALUE"""),"NÃO")</f>
        <v>NÃO</v>
      </c>
      <c r="X422" s="5" t="str">
        <f>IFERROR(__xludf.DUMMYFUNCTION("""COMPUTED_VALUE"""),"NÃO")</f>
        <v>NÃO</v>
      </c>
    </row>
    <row r="423" hidden="1">
      <c r="A423" s="5">
        <f>IFERROR(__xludf.DUMMYFUNCTION("""COMPUTED_VALUE"""),7.0)</f>
        <v>7</v>
      </c>
      <c r="B423" s="5" t="str">
        <f>IFERROR(__xludf.DUMMYFUNCTION("""COMPUTED_VALUE"""),"SD025")</f>
        <v>SD025</v>
      </c>
      <c r="C423" s="5" t="str">
        <f>IFERROR(__xludf.DUMMYFUNCTION("""COMPUTED_VALUE"""),"NÃO POSSUI")</f>
        <v>NÃO POSSUI</v>
      </c>
      <c r="D423" s="5" t="str">
        <f>IFERROR(__xludf.DUMMYFUNCTION("""COMPUTED_VALUE"""),"FIXADA EM POSTE")</f>
        <v>FIXADA EM POSTE</v>
      </c>
      <c r="E423" s="5" t="str">
        <f>IFERROR(__xludf.DUMMYFUNCTION("""COMPUTED_VALUE"""),"SEM BAIA")</f>
        <v>SEM BAIA</v>
      </c>
      <c r="F423" s="5" t="str">
        <f>IFERROR(__xludf.DUMMYFUNCTION("""COMPUTED_VALUE"""),"NÃO")</f>
        <v>NÃO</v>
      </c>
      <c r="G423" s="5" t="str">
        <f>IFERROR(__xludf.DUMMYFUNCTION("""COMPUTED_VALUE"""),"NÃO")</f>
        <v>NÃO</v>
      </c>
      <c r="H423" s="5" t="str">
        <f>IFERROR(__xludf.DUMMYFUNCTION("""COMPUTED_VALUE"""),"PAVIMENTADA COM AVARIAS")</f>
        <v>PAVIMENTADA COM AVARIAS</v>
      </c>
      <c r="I423" s="6" t="str">
        <f>IFERROR(__xludf.DUMMYFUNCTION("""COMPUTED_VALUE"""),"-9.552425")</f>
        <v>-9.552425</v>
      </c>
      <c r="J423" s="6" t="str">
        <f>IFERROR(__xludf.DUMMYFUNCTION("""COMPUTED_VALUE"""),"-35.788936")</f>
        <v>-35.788936</v>
      </c>
      <c r="K423" s="5" t="str">
        <f>IFERROR(__xludf.DUMMYFUNCTION("""COMPUTED_VALUE"""),"AV EDUARDO T. LOPES SILVA, 61")</f>
        <v>AV EDUARDO T. LOPES SILVA, 61</v>
      </c>
      <c r="L423" s="5" t="str">
        <f>IFERROR(__xludf.DUMMYFUNCTION("""COMPUTED_VALUE"""),"LOCAL")</f>
        <v>LOCAL</v>
      </c>
      <c r="M423" s="5" t="str">
        <f>IFERROR(__xludf.DUMMYFUNCTION("""COMPUTED_VALUE"""),"SANTOS DUMONT")</f>
        <v>SANTOS DUMONT</v>
      </c>
      <c r="N423" s="5" t="str">
        <f>IFERROR(__xludf.DUMMYFUNCTION("""COMPUTED_VALUE"""),"CENTRO - BAIRRO")</f>
        <v>CENTRO - BAIRRO</v>
      </c>
      <c r="O423" s="5" t="str">
        <f>IFERROR(__xludf.DUMMYFUNCTION("""COMPUTED_VALUE"""),"EM FRENTE A CASA 61A")</f>
        <v>EM FRENTE A CASA 61A</v>
      </c>
      <c r="P423" s="5" t="str">
        <f>IFERROR(__xludf.DUMMYFUNCTION("""COMPUTED_VALUE"""),"PRIORIDADE BAIXA")</f>
        <v>PRIORIDADE BAIXA</v>
      </c>
      <c r="Q423" s="5" t="str">
        <f>IFERROR(__xludf.DUMMYFUNCTION("""COMPUTED_VALUE"""),"READEGUAÇÃO DA CALÇADA COM ACESSIBILIDADE E BAIA.")</f>
        <v>READEGUAÇÃO DA CALÇADA COM ACESSIBILIDADE E BAIA.</v>
      </c>
      <c r="R423" s="5" t="str">
        <f>IFERROR(__xludf.DUMMYFUNCTION("""COMPUTED_VALUE"""),"NENHUMA DAS OPÇÕES")</f>
        <v>NENHUMA DAS OPÇÕES</v>
      </c>
      <c r="S423" s="5"/>
      <c r="T423" s="5"/>
      <c r="U423" s="5"/>
      <c r="V423" s="9" t="str">
        <f>IFERROR(__xludf.DUMMYFUNCTION("""COMPUTED_VALUE"""),"https://drive.google.com/uc?id=18cTBNy1i8D_LfxHWzzOnaRszpTS8Ei31")</f>
        <v>https://drive.google.com/uc?id=18cTBNy1i8D_LfxHWzzOnaRszpTS8Ei31</v>
      </c>
      <c r="W423" s="5" t="str">
        <f>IFERROR(__xludf.DUMMYFUNCTION("""COMPUTED_VALUE"""),"NÃO")</f>
        <v>NÃO</v>
      </c>
      <c r="X423" s="5" t="str">
        <f>IFERROR(__xludf.DUMMYFUNCTION("""COMPUTED_VALUE"""),"NÃO")</f>
        <v>NÃO</v>
      </c>
    </row>
    <row r="424" hidden="1">
      <c r="A424" s="5">
        <f>IFERROR(__xludf.DUMMYFUNCTION("""COMPUTED_VALUE"""),7.0)</f>
        <v>7</v>
      </c>
      <c r="B424" s="5" t="str">
        <f>IFERROR(__xludf.DUMMYFUNCTION("""COMPUTED_VALUE"""),"SD026")</f>
        <v>SD026</v>
      </c>
      <c r="C424" s="5" t="str">
        <f>IFERROR(__xludf.DUMMYFUNCTION("""COMPUTED_VALUE"""),"NÃO POSSUI")</f>
        <v>NÃO POSSUI</v>
      </c>
      <c r="D424" s="5" t="str">
        <f>IFERROR(__xludf.DUMMYFUNCTION("""COMPUTED_VALUE"""),"FIXADA EM POSTE")</f>
        <v>FIXADA EM POSTE</v>
      </c>
      <c r="E424" s="5" t="str">
        <f>IFERROR(__xludf.DUMMYFUNCTION("""COMPUTED_VALUE"""),"SEM BAIA")</f>
        <v>SEM BAIA</v>
      </c>
      <c r="F424" s="5" t="str">
        <f>IFERROR(__xludf.DUMMYFUNCTION("""COMPUTED_VALUE"""),"NÃO")</f>
        <v>NÃO</v>
      </c>
      <c r="G424" s="5" t="str">
        <f>IFERROR(__xludf.DUMMYFUNCTION("""COMPUTED_VALUE"""),"NÃO")</f>
        <v>NÃO</v>
      </c>
      <c r="H424" s="5" t="str">
        <f>IFERROR(__xludf.DUMMYFUNCTION("""COMPUTED_VALUE"""),"PAVIMENTADA COM AVARIAS")</f>
        <v>PAVIMENTADA COM AVARIAS</v>
      </c>
      <c r="I424" s="6" t="str">
        <f>IFERROR(__xludf.DUMMYFUNCTION("""COMPUTED_VALUE"""),"-9.553543")</f>
        <v>-9.553543</v>
      </c>
      <c r="J424" s="6" t="str">
        <f>IFERROR(__xludf.DUMMYFUNCTION("""COMPUTED_VALUE"""),"-35.788396")</f>
        <v>-35.788396</v>
      </c>
      <c r="K424" s="5" t="str">
        <f>IFERROR(__xludf.DUMMYFUNCTION("""COMPUTED_VALUE"""),"AV EDUARDO T. LOPES SILVA, 24")</f>
        <v>AV EDUARDO T. LOPES SILVA, 24</v>
      </c>
      <c r="L424" s="5" t="str">
        <f>IFERROR(__xludf.DUMMYFUNCTION("""COMPUTED_VALUE"""),"LOCAL")</f>
        <v>LOCAL</v>
      </c>
      <c r="M424" s="5" t="str">
        <f>IFERROR(__xludf.DUMMYFUNCTION("""COMPUTED_VALUE"""),"SANTOS DUMONT")</f>
        <v>SANTOS DUMONT</v>
      </c>
      <c r="N424" s="5" t="str">
        <f>IFERROR(__xludf.DUMMYFUNCTION("""COMPUTED_VALUE"""),"BAIRRO - CENTRO")</f>
        <v>BAIRRO - CENTRO</v>
      </c>
      <c r="O424" s="5" t="str">
        <f>IFERROR(__xludf.DUMMYFUNCTION("""COMPUTED_VALUE"""),"EM FRENTE A IGREJA BATISTA M.")</f>
        <v>EM FRENTE A IGREJA BATISTA M.</v>
      </c>
      <c r="P424" s="5" t="str">
        <f>IFERROR(__xludf.DUMMYFUNCTION("""COMPUTED_VALUE"""),"PRIORIDADE BAIXA")</f>
        <v>PRIORIDADE BAIXA</v>
      </c>
      <c r="Q424" s="5" t="str">
        <f>IFERROR(__xludf.DUMMYFUNCTION("""COMPUTED_VALUE"""),"READEGUAÇÃO DA CALÇADA COM ACESSIBILIDADE E BAIA.")</f>
        <v>READEGUAÇÃO DA CALÇADA COM ACESSIBILIDADE E BAIA.</v>
      </c>
      <c r="R424" s="5" t="str">
        <f>IFERROR(__xludf.DUMMYFUNCTION("""COMPUTED_VALUE"""),"NENHUMA DAS OPÇÕES")</f>
        <v>NENHUMA DAS OPÇÕES</v>
      </c>
      <c r="S424" s="5"/>
      <c r="T424" s="5"/>
      <c r="U424" s="5"/>
      <c r="V424" s="9" t="str">
        <f>IFERROR(__xludf.DUMMYFUNCTION("""COMPUTED_VALUE"""),"https://drive.google.com/uc?id=1NPcEk7YIl0lXudo35rxegJixchcBc0rG")</f>
        <v>https://drive.google.com/uc?id=1NPcEk7YIl0lXudo35rxegJixchcBc0rG</v>
      </c>
      <c r="W424" s="5" t="str">
        <f>IFERROR(__xludf.DUMMYFUNCTION("""COMPUTED_VALUE"""),"NÃO")</f>
        <v>NÃO</v>
      </c>
      <c r="X424" s="5" t="str">
        <f>IFERROR(__xludf.DUMMYFUNCTION("""COMPUTED_VALUE"""),"NÃO")</f>
        <v>NÃO</v>
      </c>
    </row>
    <row r="425" hidden="1">
      <c r="A425" s="5">
        <f>IFERROR(__xludf.DUMMYFUNCTION("""COMPUTED_VALUE"""),7.0)</f>
        <v>7</v>
      </c>
      <c r="B425" s="5" t="str">
        <f>IFERROR(__xludf.DUMMYFUNCTION("""COMPUTED_VALUE"""),"SD027")</f>
        <v>SD027</v>
      </c>
      <c r="C425" s="5" t="str">
        <f>IFERROR(__xludf.DUMMYFUNCTION("""COMPUTED_VALUE"""),"NÃO POSSUI")</f>
        <v>NÃO POSSUI</v>
      </c>
      <c r="D425" s="5" t="str">
        <f>IFERROR(__xludf.DUMMYFUNCTION("""COMPUTED_VALUE"""),"COM SUPORTE")</f>
        <v>COM SUPORTE</v>
      </c>
      <c r="E425" s="5" t="str">
        <f>IFERROR(__xludf.DUMMYFUNCTION("""COMPUTED_VALUE"""),"SEM BAIA")</f>
        <v>SEM BAIA</v>
      </c>
      <c r="F425" s="5" t="str">
        <f>IFERROR(__xludf.DUMMYFUNCTION("""COMPUTED_VALUE"""),"NÃO")</f>
        <v>NÃO</v>
      </c>
      <c r="G425" s="5" t="str">
        <f>IFERROR(__xludf.DUMMYFUNCTION("""COMPUTED_VALUE"""),"NÃO")</f>
        <v>NÃO</v>
      </c>
      <c r="H425" s="5" t="str">
        <f>IFERROR(__xludf.DUMMYFUNCTION("""COMPUTED_VALUE"""),"PAVIMENTADA")</f>
        <v>PAVIMENTADA</v>
      </c>
      <c r="I425" s="6" t="str">
        <f>IFERROR(__xludf.DUMMYFUNCTION("""COMPUTED_VALUE"""),"-9.554707")</f>
        <v>-9.554707</v>
      </c>
      <c r="J425" s="6" t="str">
        <f>IFERROR(__xludf.DUMMYFUNCTION("""COMPUTED_VALUE"""),"-35.787664")</f>
        <v>-35.787664</v>
      </c>
      <c r="K425" s="5" t="str">
        <f>IFERROR(__xludf.DUMMYFUNCTION("""COMPUTED_VALUE"""),"AV EDUARDO T. LOPES SILVA, 34")</f>
        <v>AV EDUARDO T. LOPES SILVA, 34</v>
      </c>
      <c r="L425" s="5" t="str">
        <f>IFERROR(__xludf.DUMMYFUNCTION("""COMPUTED_VALUE"""),"LOCAL")</f>
        <v>LOCAL</v>
      </c>
      <c r="M425" s="5" t="str">
        <f>IFERROR(__xludf.DUMMYFUNCTION("""COMPUTED_VALUE"""),"SANTOS DUMONT")</f>
        <v>SANTOS DUMONT</v>
      </c>
      <c r="N425" s="5" t="str">
        <f>IFERROR(__xludf.DUMMYFUNCTION("""COMPUTED_VALUE"""),"BAIRRO - CENTRO")</f>
        <v>BAIRRO - CENTRO</v>
      </c>
      <c r="O425" s="5" t="str">
        <f>IFERROR(__xludf.DUMMYFUNCTION("""COMPUTED_VALUE"""),"EM FRENTE A ALVES VARIEDADES")</f>
        <v>EM FRENTE A ALVES VARIEDADES</v>
      </c>
      <c r="P425" s="5" t="str">
        <f>IFERROR(__xludf.DUMMYFUNCTION("""COMPUTED_VALUE"""),"PRIORIDADE BAIXA")</f>
        <v>PRIORIDADE BAIXA</v>
      </c>
      <c r="Q425" s="5" t="str">
        <f>IFERROR(__xludf.DUMMYFUNCTION("""COMPUTED_VALUE"""),"READEGUAÇÃO DA CALÇADA COM ACESSIBILIDADE E BAIA.")</f>
        <v>READEGUAÇÃO DA CALÇADA COM ACESSIBILIDADE E BAIA.</v>
      </c>
      <c r="R425" s="5" t="str">
        <f>IFERROR(__xludf.DUMMYFUNCTION("""COMPUTED_VALUE"""),"NENHUMA DAS OPÇÕES")</f>
        <v>NENHUMA DAS OPÇÕES</v>
      </c>
      <c r="S425" s="5"/>
      <c r="T425" s="5"/>
      <c r="U425" s="5"/>
      <c r="V425" s="9" t="str">
        <f>IFERROR(__xludf.DUMMYFUNCTION("""COMPUTED_VALUE"""),"https://drive.google.com/uc?id=1Pt3AOgl8yi2V734ydQB6SaWP3OlAaW1H")</f>
        <v>https://drive.google.com/uc?id=1Pt3AOgl8yi2V734ydQB6SaWP3OlAaW1H</v>
      </c>
      <c r="W425" s="5" t="str">
        <f>IFERROR(__xludf.DUMMYFUNCTION("""COMPUTED_VALUE"""),"NÃO")</f>
        <v>NÃO</v>
      </c>
      <c r="X425" s="5" t="str">
        <f>IFERROR(__xludf.DUMMYFUNCTION("""COMPUTED_VALUE"""),"NÃO")</f>
        <v>NÃO</v>
      </c>
    </row>
    <row r="426" hidden="1">
      <c r="A426" s="5">
        <f>IFERROR(__xludf.DUMMYFUNCTION("""COMPUTED_VALUE"""),7.0)</f>
        <v>7</v>
      </c>
      <c r="B426" s="5" t="str">
        <f>IFERROR(__xludf.DUMMYFUNCTION("""COMPUTED_VALUE"""),"SD028")</f>
        <v>SD028</v>
      </c>
      <c r="C426" s="5" t="str">
        <f>IFERROR(__xludf.DUMMYFUNCTION("""COMPUTED_VALUE"""),"NÃO POSSUI")</f>
        <v>NÃO POSSUI</v>
      </c>
      <c r="D426" s="5" t="str">
        <f>IFERROR(__xludf.DUMMYFUNCTION("""COMPUTED_VALUE"""),"COM SUPORTE")</f>
        <v>COM SUPORTE</v>
      </c>
      <c r="E426" s="5" t="str">
        <f>IFERROR(__xludf.DUMMYFUNCTION("""COMPUTED_VALUE"""),"SEM BAIA")</f>
        <v>SEM BAIA</v>
      </c>
      <c r="F426" s="5" t="str">
        <f>IFERROR(__xludf.DUMMYFUNCTION("""COMPUTED_VALUE"""),"NÃO")</f>
        <v>NÃO</v>
      </c>
      <c r="G426" s="5" t="str">
        <f>IFERROR(__xludf.DUMMYFUNCTION("""COMPUTED_VALUE"""),"NÃO")</f>
        <v>NÃO</v>
      </c>
      <c r="H426" s="5" t="str">
        <f>IFERROR(__xludf.DUMMYFUNCTION("""COMPUTED_VALUE"""),"PAVIMENTADA")</f>
        <v>PAVIMENTADA</v>
      </c>
      <c r="I426" s="6" t="str">
        <f>IFERROR(__xludf.DUMMYFUNCTION("""COMPUTED_VALUE"""),"-9.557222")</f>
        <v>-9.557222</v>
      </c>
      <c r="J426" s="6" t="str">
        <f>IFERROR(__xludf.DUMMYFUNCTION("""COMPUTED_VALUE"""),"-35.786338")</f>
        <v>-35.786338</v>
      </c>
      <c r="K426" s="5" t="str">
        <f>IFERROR(__xludf.DUMMYFUNCTION("""COMPUTED_VALUE"""),"AV EDUARDO T. LOPES SILVA")</f>
        <v>AV EDUARDO T. LOPES SILVA</v>
      </c>
      <c r="L426" s="5" t="str">
        <f>IFERROR(__xludf.DUMMYFUNCTION("""COMPUTED_VALUE"""),"LOCAL")</f>
        <v>LOCAL</v>
      </c>
      <c r="M426" s="5" t="str">
        <f>IFERROR(__xludf.DUMMYFUNCTION("""COMPUTED_VALUE"""),"SANTOS DUMONT")</f>
        <v>SANTOS DUMONT</v>
      </c>
      <c r="N426" s="5" t="str">
        <f>IFERROR(__xludf.DUMMYFUNCTION("""COMPUTED_VALUE"""),"BAIRRO - CENTRO")</f>
        <v>BAIRRO - CENTRO</v>
      </c>
      <c r="O426" s="5" t="str">
        <f>IFERROR(__xludf.DUMMYFUNCTION("""COMPUTED_VALUE"""),"EM FRENTE A FARMÁCIA DO TRABALHADOR")</f>
        <v>EM FRENTE A FARMÁCIA DO TRABALHADOR</v>
      </c>
      <c r="P426" s="5" t="str">
        <f>IFERROR(__xludf.DUMMYFUNCTION("""COMPUTED_VALUE"""),"PRIORIDADE BAIXA")</f>
        <v>PRIORIDADE BAIXA</v>
      </c>
      <c r="Q426" s="5" t="str">
        <f>IFERROR(__xludf.DUMMYFUNCTION("""COMPUTED_VALUE"""),"READEGUAÇÃO DA CALÇADA COM ACESSIBILIDADE E BAIA.")</f>
        <v>READEGUAÇÃO DA CALÇADA COM ACESSIBILIDADE E BAIA.</v>
      </c>
      <c r="R426" s="5" t="str">
        <f>IFERROR(__xludf.DUMMYFUNCTION("""COMPUTED_VALUE"""),"NENHUMA DAS OPÇÕES")</f>
        <v>NENHUMA DAS OPÇÕES</v>
      </c>
      <c r="S426" s="5"/>
      <c r="T426" s="5"/>
      <c r="U426" s="5"/>
      <c r="V426" s="9" t="str">
        <f>IFERROR(__xludf.DUMMYFUNCTION("""COMPUTED_VALUE"""),"https://drive.google.com/uc?id=1vLlXJPm7KOzkhFwlgQao-PRdMx1MVsH1")</f>
        <v>https://drive.google.com/uc?id=1vLlXJPm7KOzkhFwlgQao-PRdMx1MVsH1</v>
      </c>
      <c r="W426" s="5" t="str">
        <f>IFERROR(__xludf.DUMMYFUNCTION("""COMPUTED_VALUE"""),"NÃO")</f>
        <v>NÃO</v>
      </c>
      <c r="X426" s="5" t="str">
        <f>IFERROR(__xludf.DUMMYFUNCTION("""COMPUTED_VALUE"""),"NÃO")</f>
        <v>NÃO</v>
      </c>
    </row>
    <row r="427" hidden="1">
      <c r="A427" s="5">
        <f>IFERROR(__xludf.DUMMYFUNCTION("""COMPUTED_VALUE"""),7.0)</f>
        <v>7</v>
      </c>
      <c r="B427" s="5" t="str">
        <f>IFERROR(__xludf.DUMMYFUNCTION("""COMPUTED_VALUE"""),"SD029")</f>
        <v>SD029</v>
      </c>
      <c r="C427" s="5" t="str">
        <f>IFERROR(__xludf.DUMMYFUNCTION("""COMPUTED_VALUE"""),"NÃO POSSUI")</f>
        <v>NÃO POSSUI</v>
      </c>
      <c r="D427" s="5" t="str">
        <f>IFERROR(__xludf.DUMMYFUNCTION("""COMPUTED_VALUE"""),"COM SUPORTE")</f>
        <v>COM SUPORTE</v>
      </c>
      <c r="E427" s="5" t="str">
        <f>IFERROR(__xludf.DUMMYFUNCTION("""COMPUTED_VALUE"""),"SEM BAIA")</f>
        <v>SEM BAIA</v>
      </c>
      <c r="F427" s="5" t="str">
        <f>IFERROR(__xludf.DUMMYFUNCTION("""COMPUTED_VALUE"""),"NÃO")</f>
        <v>NÃO</v>
      </c>
      <c r="G427" s="5" t="str">
        <f>IFERROR(__xludf.DUMMYFUNCTION("""COMPUTED_VALUE"""),"NÃO")</f>
        <v>NÃO</v>
      </c>
      <c r="H427" s="5" t="str">
        <f>IFERROR(__xludf.DUMMYFUNCTION("""COMPUTED_VALUE"""),"PAVIMENTADA")</f>
        <v>PAVIMENTADA</v>
      </c>
      <c r="I427" s="6" t="str">
        <f>IFERROR(__xludf.DUMMYFUNCTION("""COMPUTED_VALUE"""),"-9.558025")</f>
        <v>-9.558025</v>
      </c>
      <c r="J427" s="6" t="str">
        <f>IFERROR(__xludf.DUMMYFUNCTION("""COMPUTED_VALUE"""),"-35.785786")</f>
        <v>-35.785786</v>
      </c>
      <c r="K427" s="5" t="str">
        <f>IFERROR(__xludf.DUMMYFUNCTION("""COMPUTED_VALUE"""),"AV. EDUARDO T. LOPES SILVA")</f>
        <v>AV. EDUARDO T. LOPES SILVA</v>
      </c>
      <c r="L427" s="5" t="str">
        <f>IFERROR(__xludf.DUMMYFUNCTION("""COMPUTED_VALUE"""),"LOCAL")</f>
        <v>LOCAL</v>
      </c>
      <c r="M427" s="5" t="str">
        <f>IFERROR(__xludf.DUMMYFUNCTION("""COMPUTED_VALUE"""),"SANTOS DUMONT")</f>
        <v>SANTOS DUMONT</v>
      </c>
      <c r="N427" s="5" t="str">
        <f>IFERROR(__xludf.DUMMYFUNCTION("""COMPUTED_VALUE"""),"CENTRO - BAIRRO")</f>
        <v>CENTRO - BAIRRO</v>
      </c>
      <c r="O427" s="5" t="str">
        <f>IFERROR(__xludf.DUMMYFUNCTION("""COMPUTED_VALUE"""),"EM FRENTE A CASA 11")</f>
        <v>EM FRENTE A CASA 11</v>
      </c>
      <c r="P427" s="5" t="str">
        <f>IFERROR(__xludf.DUMMYFUNCTION("""COMPUTED_VALUE"""),"PRIORIDADE BAIXA")</f>
        <v>PRIORIDADE BAIXA</v>
      </c>
      <c r="Q427" s="5" t="str">
        <f>IFERROR(__xludf.DUMMYFUNCTION("""COMPUTED_VALUE"""),"READEGUAÇÃO DA CALÇADA COM ACESSIBILIDADE E BAIA.")</f>
        <v>READEGUAÇÃO DA CALÇADA COM ACESSIBILIDADE E BAIA.</v>
      </c>
      <c r="R427" s="5" t="str">
        <f>IFERROR(__xludf.DUMMYFUNCTION("""COMPUTED_VALUE"""),"IMPLANTAR ABRIGO")</f>
        <v>IMPLANTAR ABRIGO</v>
      </c>
      <c r="S427" s="5"/>
      <c r="T427" s="5"/>
      <c r="U427" s="5"/>
      <c r="V427" s="9" t="str">
        <f>IFERROR(__xludf.DUMMYFUNCTION("""COMPUTED_VALUE"""),"https://drive.google.com/uc?id=1BEsdJJGbzffqTK-GUO7pbPRvjr8AEkJy")</f>
        <v>https://drive.google.com/uc?id=1BEsdJJGbzffqTK-GUO7pbPRvjr8AEkJy</v>
      </c>
      <c r="W427" s="5" t="str">
        <f>IFERROR(__xludf.DUMMYFUNCTION("""COMPUTED_VALUE"""),"NÃO")</f>
        <v>NÃO</v>
      </c>
      <c r="X427" s="5" t="str">
        <f>IFERROR(__xludf.DUMMYFUNCTION("""COMPUTED_VALUE"""),"NÃO")</f>
        <v>NÃO</v>
      </c>
    </row>
    <row r="428" hidden="1">
      <c r="A428" s="5">
        <f>IFERROR(__xludf.DUMMYFUNCTION("""COMPUTED_VALUE"""),7.0)</f>
        <v>7</v>
      </c>
      <c r="B428" s="5" t="str">
        <f>IFERROR(__xludf.DUMMYFUNCTION("""COMPUTED_VALUE"""),"SD030")</f>
        <v>SD030</v>
      </c>
      <c r="C428" s="5" t="str">
        <f>IFERROR(__xludf.DUMMYFUNCTION("""COMPUTED_VALUE"""),"NÃO POSSUI")</f>
        <v>NÃO POSSUI</v>
      </c>
      <c r="D428" s="5" t="str">
        <f>IFERROR(__xludf.DUMMYFUNCTION("""COMPUTED_VALUE"""),"COM SUPORTE")</f>
        <v>COM SUPORTE</v>
      </c>
      <c r="E428" s="5" t="str">
        <f>IFERROR(__xludf.DUMMYFUNCTION("""COMPUTED_VALUE"""),"SEM BAIA")</f>
        <v>SEM BAIA</v>
      </c>
      <c r="F428" s="5" t="str">
        <f>IFERROR(__xludf.DUMMYFUNCTION("""COMPUTED_VALUE"""),"NÃO")</f>
        <v>NÃO</v>
      </c>
      <c r="G428" s="5" t="str">
        <f>IFERROR(__xludf.DUMMYFUNCTION("""COMPUTED_VALUE"""),"NÃO")</f>
        <v>NÃO</v>
      </c>
      <c r="H428" s="5" t="str">
        <f>IFERROR(__xludf.DUMMYFUNCTION("""COMPUTED_VALUE"""),"PAVIMENTADA")</f>
        <v>PAVIMENTADA</v>
      </c>
      <c r="I428" s="6" t="str">
        <f>IFERROR(__xludf.DUMMYFUNCTION("""COMPUTED_VALUE"""),"-9.559087")</f>
        <v>-9.559087</v>
      </c>
      <c r="J428" s="6" t="str">
        <f>IFERROR(__xludf.DUMMYFUNCTION("""COMPUTED_VALUE"""),"-35.785221")</f>
        <v>-35.785221</v>
      </c>
      <c r="K428" s="5" t="str">
        <f>IFERROR(__xludf.DUMMYFUNCTION("""COMPUTED_VALUE"""),"AV. EDUARDO T. LOPES SILVA. 241")</f>
        <v>AV. EDUARDO T. LOPES SILVA. 241</v>
      </c>
      <c r="L428" s="5" t="str">
        <f>IFERROR(__xludf.DUMMYFUNCTION("""COMPUTED_VALUE"""),"LOCAL")</f>
        <v>LOCAL</v>
      </c>
      <c r="M428" s="5" t="str">
        <f>IFERROR(__xludf.DUMMYFUNCTION("""COMPUTED_VALUE"""),"SANTOS DUMONT")</f>
        <v>SANTOS DUMONT</v>
      </c>
      <c r="N428" s="5" t="str">
        <f>IFERROR(__xludf.DUMMYFUNCTION("""COMPUTED_VALUE"""),"BAIRRO - CENTRO")</f>
        <v>BAIRRO - CENTRO</v>
      </c>
      <c r="O428" s="5" t="str">
        <f>IFERROR(__xludf.DUMMYFUNCTION("""COMPUTED_VALUE"""),"EM FRENTE A CASA 241")</f>
        <v>EM FRENTE A CASA 241</v>
      </c>
      <c r="P428" s="5" t="str">
        <f>IFERROR(__xludf.DUMMYFUNCTION("""COMPUTED_VALUE"""),"PRIORIDADE BAIXA")</f>
        <v>PRIORIDADE BAIXA</v>
      </c>
      <c r="Q428" s="5" t="str">
        <f>IFERROR(__xludf.DUMMYFUNCTION("""COMPUTED_VALUE"""),"READEGUAÇÃO DA CALÇADA COM ACESSIBILIDADE E BAIA.")</f>
        <v>READEGUAÇÃO DA CALÇADA COM ACESSIBILIDADE E BAIA.</v>
      </c>
      <c r="R428" s="5" t="str">
        <f>IFERROR(__xludf.DUMMYFUNCTION("""COMPUTED_VALUE"""),"NENHUMA DAS OPÇÕES")</f>
        <v>NENHUMA DAS OPÇÕES</v>
      </c>
      <c r="S428" s="5"/>
      <c r="T428" s="5"/>
      <c r="U428" s="5"/>
      <c r="V428" s="9" t="str">
        <f>IFERROR(__xludf.DUMMYFUNCTION("""COMPUTED_VALUE"""),"https://drive.google.com/uc?id=1QKrSDQeO27aX8A6B-rbnDZ2hltJ8Kuip")</f>
        <v>https://drive.google.com/uc?id=1QKrSDQeO27aX8A6B-rbnDZ2hltJ8Kuip</v>
      </c>
      <c r="W428" s="5" t="str">
        <f>IFERROR(__xludf.DUMMYFUNCTION("""COMPUTED_VALUE"""),"NÃO")</f>
        <v>NÃO</v>
      </c>
      <c r="X428" s="5" t="str">
        <f>IFERROR(__xludf.DUMMYFUNCTION("""COMPUTED_VALUE"""),"NÃO")</f>
        <v>NÃO</v>
      </c>
    </row>
    <row r="429" ht="17.25" hidden="1" customHeight="1">
      <c r="A429" s="5">
        <f>IFERROR(__xludf.DUMMYFUNCTION("""COMPUTED_VALUE"""),7.0)</f>
        <v>7</v>
      </c>
      <c r="B429" s="5" t="str">
        <f>IFERROR(__xludf.DUMMYFUNCTION("""COMPUTED_VALUE"""),"SD031")</f>
        <v>SD031</v>
      </c>
      <c r="C429" s="5" t="str">
        <f>IFERROR(__xludf.DUMMYFUNCTION("""COMPUTED_VALUE"""),"NÃO POSSUI")</f>
        <v>NÃO POSSUI</v>
      </c>
      <c r="D429" s="5" t="str">
        <f>IFERROR(__xludf.DUMMYFUNCTION("""COMPUTED_VALUE"""),"COM SUPORTE")</f>
        <v>COM SUPORTE</v>
      </c>
      <c r="E429" s="5" t="str">
        <f>IFERROR(__xludf.DUMMYFUNCTION("""COMPUTED_VALUE"""),"SEM BAIA")</f>
        <v>SEM BAIA</v>
      </c>
      <c r="F429" s="5" t="str">
        <f>IFERROR(__xludf.DUMMYFUNCTION("""COMPUTED_VALUE"""),"NÃO")</f>
        <v>NÃO</v>
      </c>
      <c r="G429" s="5" t="str">
        <f>IFERROR(__xludf.DUMMYFUNCTION("""COMPUTED_VALUE"""),"NÃO")</f>
        <v>NÃO</v>
      </c>
      <c r="H429" s="5" t="str">
        <f>IFERROR(__xludf.DUMMYFUNCTION("""COMPUTED_VALUE"""),"PAVIMENTADA COM AVARIAS")</f>
        <v>PAVIMENTADA COM AVARIAS</v>
      </c>
      <c r="I429" s="6" t="str">
        <f>IFERROR(__xludf.DUMMYFUNCTION("""COMPUTED_VALUE"""),"-9.559996")</f>
        <v>-9.559996</v>
      </c>
      <c r="J429" s="6" t="str">
        <f>IFERROR(__xludf.DUMMYFUNCTION("""COMPUTED_VALUE"""),"-35.784636")</f>
        <v>-35.784636</v>
      </c>
      <c r="K429" s="5" t="str">
        <f>IFERROR(__xludf.DUMMYFUNCTION("""COMPUTED_VALUE"""),"AV. EDUARDO T. LOPES SILVA. 100")</f>
        <v>AV. EDUARDO T. LOPES SILVA. 100</v>
      </c>
      <c r="L429" s="5" t="str">
        <f>IFERROR(__xludf.DUMMYFUNCTION("""COMPUTED_VALUE"""),"LOCAL")</f>
        <v>LOCAL</v>
      </c>
      <c r="M429" s="5" t="str">
        <f>IFERROR(__xludf.DUMMYFUNCTION("""COMPUTED_VALUE"""),"SANTOS DUMONT")</f>
        <v>SANTOS DUMONT</v>
      </c>
      <c r="N429" s="5" t="str">
        <f>IFERROR(__xludf.DUMMYFUNCTION("""COMPUTED_VALUE"""),"CENTRO - BAIRRO")</f>
        <v>CENTRO - BAIRRO</v>
      </c>
      <c r="O429" s="5" t="str">
        <f>IFERROR(__xludf.DUMMYFUNCTION("""COMPUTED_VALUE"""),"ANTES DA CASA 100
")</f>
        <v>ANTES DA CASA 100
</v>
      </c>
      <c r="P429" s="5" t="str">
        <f>IFERROR(__xludf.DUMMYFUNCTION("""COMPUTED_VALUE"""),"PRIORIDADE BAIXA")</f>
        <v>PRIORIDADE BAIXA</v>
      </c>
      <c r="Q429" s="5" t="str">
        <f>IFERROR(__xludf.DUMMYFUNCTION("""COMPUTED_VALUE"""),"READEGUAÇÃO DA CALÇADA COM ACESSIBILIDADE E BAIA.")</f>
        <v>READEGUAÇÃO DA CALÇADA COM ACESSIBILIDADE E BAIA.</v>
      </c>
      <c r="R429" s="5" t="str">
        <f>IFERROR(__xludf.DUMMYFUNCTION("""COMPUTED_VALUE"""),"NENHUMA DAS OPÇÕES")</f>
        <v>NENHUMA DAS OPÇÕES</v>
      </c>
      <c r="S429" s="5"/>
      <c r="T429" s="5"/>
      <c r="U429" s="5"/>
      <c r="V429" s="9" t="str">
        <f>IFERROR(__xludf.DUMMYFUNCTION("""COMPUTED_VALUE"""),"https://drive.google.com/uc?id=1BqGixb5ay1TlhsMRS8qL9HtICoxIUV8x")</f>
        <v>https://drive.google.com/uc?id=1BqGixb5ay1TlhsMRS8qL9HtICoxIUV8x</v>
      </c>
      <c r="W429" s="5" t="str">
        <f>IFERROR(__xludf.DUMMYFUNCTION("""COMPUTED_VALUE"""),"NÃO")</f>
        <v>NÃO</v>
      </c>
      <c r="X429" s="5" t="str">
        <f>IFERROR(__xludf.DUMMYFUNCTION("""COMPUTED_VALUE"""),"NÃO")</f>
        <v>NÃO</v>
      </c>
    </row>
    <row r="430">
      <c r="A430" s="5">
        <f>IFERROR(__xludf.DUMMYFUNCTION("""COMPUTED_VALUE"""),7.0)</f>
        <v>7</v>
      </c>
      <c r="B430" s="5" t="str">
        <f>IFERROR(__xludf.DUMMYFUNCTION("""COMPUTED_VALUE"""),"SD032")</f>
        <v>SD032</v>
      </c>
      <c r="C430" s="5" t="str">
        <f>IFERROR(__xludf.DUMMYFUNCTION("""COMPUTED_VALUE"""),"ABRIGO CONCRETO")</f>
        <v>ABRIGO CONCRETO</v>
      </c>
      <c r="D430" s="5" t="str">
        <f>IFERROR(__xludf.DUMMYFUNCTION("""COMPUTED_VALUE"""),"SEM PLACA")</f>
        <v>SEM PLACA</v>
      </c>
      <c r="E430" s="5" t="str">
        <f>IFERROR(__xludf.DUMMYFUNCTION("""COMPUTED_VALUE"""),"SEM BAIA")</f>
        <v>SEM BAIA</v>
      </c>
      <c r="F430" s="5" t="str">
        <f>IFERROR(__xludf.DUMMYFUNCTION("""COMPUTED_VALUE"""),"NÃO")</f>
        <v>NÃO</v>
      </c>
      <c r="G430" s="5" t="str">
        <f>IFERROR(__xludf.DUMMYFUNCTION("""COMPUTED_VALUE"""),"NÃO")</f>
        <v>NÃO</v>
      </c>
      <c r="H430" s="5" t="str">
        <f>IFERROR(__xludf.DUMMYFUNCTION("""COMPUTED_VALUE"""),"PAVIMENTADA")</f>
        <v>PAVIMENTADA</v>
      </c>
      <c r="I430" s="6" t="str">
        <f>IFERROR(__xludf.DUMMYFUNCTION("""COMPUTED_VALUE"""),"-9.561199")</f>
        <v>-9.561199</v>
      </c>
      <c r="J430" s="6" t="str">
        <f>IFERROR(__xludf.DUMMYFUNCTION("""COMPUTED_VALUE"""),"-35.782940")</f>
        <v>-35.782940</v>
      </c>
      <c r="K430" s="5" t="str">
        <f>IFERROR(__xludf.DUMMYFUNCTION("""COMPUTED_VALUE"""),"TV.  INAILDA FELIX, 81")</f>
        <v>TV.  INAILDA FELIX, 81</v>
      </c>
      <c r="L430" s="5" t="str">
        <f>IFERROR(__xludf.DUMMYFUNCTION("""COMPUTED_VALUE"""),"LOCAL")</f>
        <v>LOCAL</v>
      </c>
      <c r="M430" s="5" t="str">
        <f>IFERROR(__xludf.DUMMYFUNCTION("""COMPUTED_VALUE"""),"SANTOS DUMONT")</f>
        <v>SANTOS DUMONT</v>
      </c>
      <c r="N430" s="5" t="str">
        <f>IFERROR(__xludf.DUMMYFUNCTION("""COMPUTED_VALUE"""),"BAIRRO - CENTRO")</f>
        <v>BAIRRO - CENTRO</v>
      </c>
      <c r="O430" s="5" t="str">
        <f>IFERROR(__xludf.DUMMYFUNCTION("""COMPUTED_VALUE"""),"APÓS A CASA 28")</f>
        <v>APÓS A CASA 28</v>
      </c>
      <c r="P430" s="5" t="str">
        <f>IFERROR(__xludf.DUMMYFUNCTION("""COMPUTED_VALUE"""),"PRIORIDADE BAIXA")</f>
        <v>PRIORIDADE BAIXA</v>
      </c>
      <c r="Q430" s="5" t="str">
        <f>IFERROR(__xludf.DUMMYFUNCTION("""COMPUTED_VALUE"""),"READEGUAÇÃO DA CALÇADA COM ACESSIBILIDADE E BAIA.")</f>
        <v>READEGUAÇÃO DA CALÇADA COM ACESSIBILIDADE E BAIA.</v>
      </c>
      <c r="R430" s="5" t="str">
        <f>IFERROR(__xludf.DUMMYFUNCTION("""COMPUTED_VALUE"""),"SUBSTITUIR ABRIGO")</f>
        <v>SUBSTITUIR ABRIGO</v>
      </c>
      <c r="S430" s="5"/>
      <c r="T430" s="5"/>
      <c r="U430" s="5"/>
      <c r="V430" s="9" t="str">
        <f>IFERROR(__xludf.DUMMYFUNCTION("""COMPUTED_VALUE"""),"https://drive.google.com/uc?id=1MF4gtg1SMr-mu0IRmBfDFVekokbXSngM")</f>
        <v>https://drive.google.com/uc?id=1MF4gtg1SMr-mu0IRmBfDFVekokbXSngM</v>
      </c>
      <c r="W430" s="5" t="str">
        <f>IFERROR(__xludf.DUMMYFUNCTION("""COMPUTED_VALUE"""),"NÃO")</f>
        <v>NÃO</v>
      </c>
      <c r="X430" s="5" t="str">
        <f>IFERROR(__xludf.DUMMYFUNCTION("""COMPUTED_VALUE"""),"NÃO")</f>
        <v>NÃO</v>
      </c>
    </row>
    <row r="431" hidden="1">
      <c r="A431" s="5">
        <f>IFERROR(__xludf.DUMMYFUNCTION("""COMPUTED_VALUE"""),7.0)</f>
        <v>7</v>
      </c>
      <c r="B431" s="5" t="str">
        <f>IFERROR(__xludf.DUMMYFUNCTION("""COMPUTED_VALUE"""),"SD033")</f>
        <v>SD033</v>
      </c>
      <c r="C431" s="5" t="str">
        <f>IFERROR(__xludf.DUMMYFUNCTION("""COMPUTED_VALUE"""),"NÃO POSSUI")</f>
        <v>NÃO POSSUI</v>
      </c>
      <c r="D431" s="5" t="str">
        <f>IFERROR(__xludf.DUMMYFUNCTION("""COMPUTED_VALUE"""),"COM SUPORTE")</f>
        <v>COM SUPORTE</v>
      </c>
      <c r="E431" s="5" t="str">
        <f>IFERROR(__xludf.DUMMYFUNCTION("""COMPUTED_VALUE"""),"SEM BAIA")</f>
        <v>SEM BAIA</v>
      </c>
      <c r="F431" s="5" t="str">
        <f>IFERROR(__xludf.DUMMYFUNCTION("""COMPUTED_VALUE"""),"NÃO")</f>
        <v>NÃO</v>
      </c>
      <c r="G431" s="5" t="str">
        <f>IFERROR(__xludf.DUMMYFUNCTION("""COMPUTED_VALUE"""),"NÃO")</f>
        <v>NÃO</v>
      </c>
      <c r="H431" s="5" t="str">
        <f>IFERROR(__xludf.DUMMYFUNCTION("""COMPUTED_VALUE"""),"PAVIMENTADA")</f>
        <v>PAVIMENTADA</v>
      </c>
      <c r="I431" s="6" t="str">
        <f>IFERROR(__xludf.DUMMYFUNCTION("""COMPUTED_VALUE"""),"-9.561143")</f>
        <v>-9.561143</v>
      </c>
      <c r="J431" s="6" t="str">
        <f>IFERROR(__xludf.DUMMYFUNCTION("""COMPUTED_VALUE"""),"-35.782852")</f>
        <v>-35.782852</v>
      </c>
      <c r="K431" s="5" t="str">
        <f>IFERROR(__xludf.DUMMYFUNCTION("""COMPUTED_VALUE"""),"TV.  INAILDA FELIX, 81")</f>
        <v>TV.  INAILDA FELIX, 81</v>
      </c>
      <c r="L431" s="5" t="str">
        <f>IFERROR(__xludf.DUMMYFUNCTION("""COMPUTED_VALUE"""),"LOCAL")</f>
        <v>LOCAL</v>
      </c>
      <c r="M431" s="5" t="str">
        <f>IFERROR(__xludf.DUMMYFUNCTION("""COMPUTED_VALUE"""),"SANTOS DUMONT")</f>
        <v>SANTOS DUMONT</v>
      </c>
      <c r="N431" s="5" t="str">
        <f>IFERROR(__xludf.DUMMYFUNCTION("""COMPUTED_VALUE"""),"CENTRO - BAIRRO")</f>
        <v>CENTRO - BAIRRO</v>
      </c>
      <c r="O431" s="5" t="str">
        <f>IFERROR(__xludf.DUMMYFUNCTION("""COMPUTED_VALUE"""),"EM FRENTE A LOJA DE ESQUADRIAS")</f>
        <v>EM FRENTE A LOJA DE ESQUADRIAS</v>
      </c>
      <c r="P431" s="5" t="str">
        <f>IFERROR(__xludf.DUMMYFUNCTION("""COMPUTED_VALUE"""),"PRIORIDADE BAIXA")</f>
        <v>PRIORIDADE BAIXA</v>
      </c>
      <c r="Q431" s="5" t="str">
        <f>IFERROR(__xludf.DUMMYFUNCTION("""COMPUTED_VALUE"""),"READEGUAÇÃO DA CALÇADA COM ACESSIBILIDADE E BAIA.")</f>
        <v>READEGUAÇÃO DA CALÇADA COM ACESSIBILIDADE E BAIA.</v>
      </c>
      <c r="R431" s="5" t="str">
        <f>IFERROR(__xludf.DUMMYFUNCTION("""COMPUTED_VALUE"""),"NENHUMA DAS OPÇÕES")</f>
        <v>NENHUMA DAS OPÇÕES</v>
      </c>
      <c r="S431" s="5"/>
      <c r="T431" s="5"/>
      <c r="U431" s="5"/>
      <c r="V431" s="9" t="str">
        <f>IFERROR(__xludf.DUMMYFUNCTION("""COMPUTED_VALUE"""),"https://drive.google.com/uc?id=1fDR0mmNBCLfjFdWsGM5uV67KFtcnAapg")</f>
        <v>https://drive.google.com/uc?id=1fDR0mmNBCLfjFdWsGM5uV67KFtcnAapg</v>
      </c>
      <c r="W431" s="5" t="str">
        <f>IFERROR(__xludf.DUMMYFUNCTION("""COMPUTED_VALUE"""),"NÃO")</f>
        <v>NÃO</v>
      </c>
      <c r="X431" s="5" t="str">
        <f>IFERROR(__xludf.DUMMYFUNCTION("""COMPUTED_VALUE"""),"NÃO")</f>
        <v>NÃO</v>
      </c>
    </row>
    <row r="432" hidden="1">
      <c r="A432" s="5">
        <f>IFERROR(__xludf.DUMMYFUNCTION("""COMPUTED_VALUE"""),7.0)</f>
        <v>7</v>
      </c>
      <c r="B432" s="5" t="str">
        <f>IFERROR(__xludf.DUMMYFUNCTION("""COMPUTED_VALUE"""),"SD034")</f>
        <v>SD034</v>
      </c>
      <c r="C432" s="5" t="str">
        <f>IFERROR(__xludf.DUMMYFUNCTION("""COMPUTED_VALUE"""),"NÃO POSSUI")</f>
        <v>NÃO POSSUI</v>
      </c>
      <c r="D432" s="5" t="str">
        <f>IFERROR(__xludf.DUMMYFUNCTION("""COMPUTED_VALUE"""),"COM SUPORTE")</f>
        <v>COM SUPORTE</v>
      </c>
      <c r="E432" s="5" t="str">
        <f>IFERROR(__xludf.DUMMYFUNCTION("""COMPUTED_VALUE"""),"SEM BAIA")</f>
        <v>SEM BAIA</v>
      </c>
      <c r="F432" s="5" t="str">
        <f>IFERROR(__xludf.DUMMYFUNCTION("""COMPUTED_VALUE"""),"NÃO")</f>
        <v>NÃO</v>
      </c>
      <c r="G432" s="5" t="str">
        <f>IFERROR(__xludf.DUMMYFUNCTION("""COMPUTED_VALUE"""),"NÃO")</f>
        <v>NÃO</v>
      </c>
      <c r="H432" s="5" t="str">
        <f>IFERROR(__xludf.DUMMYFUNCTION("""COMPUTED_VALUE"""),"PAVIMENTADA COM AVARIAS")</f>
        <v>PAVIMENTADA COM AVARIAS</v>
      </c>
      <c r="I432" s="6" t="str">
        <f>IFERROR(__xludf.DUMMYFUNCTION("""COMPUTED_VALUE"""),"-9.562937")</f>
        <v>-9.562937</v>
      </c>
      <c r="J432" s="6" t="str">
        <f>IFERROR(__xludf.DUMMYFUNCTION("""COMPUTED_VALUE"""),"-35.782368")</f>
        <v>-35.782368</v>
      </c>
      <c r="K432" s="5" t="str">
        <f>IFERROR(__xludf.DUMMYFUNCTION("""COMPUTED_VALUE"""),"TV. ELIZEU GOMES DE SENA")</f>
        <v>TV. ELIZEU GOMES DE SENA</v>
      </c>
      <c r="L432" s="5" t="str">
        <f>IFERROR(__xludf.DUMMYFUNCTION("""COMPUTED_VALUE"""),"LOCAL")</f>
        <v>LOCAL</v>
      </c>
      <c r="M432" s="5" t="str">
        <f>IFERROR(__xludf.DUMMYFUNCTION("""COMPUTED_VALUE"""),"SANTOS DUMONT")</f>
        <v>SANTOS DUMONT</v>
      </c>
      <c r="N432" s="5" t="str">
        <f>IFERROR(__xludf.DUMMYFUNCTION("""COMPUTED_VALUE"""),"BAIRRO - CENTRO")</f>
        <v>BAIRRO - CENTRO</v>
      </c>
      <c r="O432" s="5" t="str">
        <f>IFERROR(__xludf.DUMMYFUNCTION("""COMPUTED_VALUE"""),"EM FRENTE AO RES. MARAJÓ")</f>
        <v>EM FRENTE AO RES. MARAJÓ</v>
      </c>
      <c r="P432" s="5" t="str">
        <f>IFERROR(__xludf.DUMMYFUNCTION("""COMPUTED_VALUE"""),"PRIORIDADE BAIXA")</f>
        <v>PRIORIDADE BAIXA</v>
      </c>
      <c r="Q432" s="5" t="str">
        <f>IFERROR(__xludf.DUMMYFUNCTION("""COMPUTED_VALUE"""),"READEGUAÇÃO DA CALÇADA COM ACESSIBILIDADE E BAIA.")</f>
        <v>READEGUAÇÃO DA CALÇADA COM ACESSIBILIDADE E BAIA.</v>
      </c>
      <c r="R432" s="5" t="str">
        <f>IFERROR(__xludf.DUMMYFUNCTION("""COMPUTED_VALUE"""),"NENHUMA DAS OPÇÕES")</f>
        <v>NENHUMA DAS OPÇÕES</v>
      </c>
      <c r="S432" s="5"/>
      <c r="T432" s="5"/>
      <c r="U432" s="5"/>
      <c r="V432" s="9" t="str">
        <f>IFERROR(__xludf.DUMMYFUNCTION("""COMPUTED_VALUE"""),"https://drive.google.com/uc?id=1QbKWsve2bpila9IF2YH7SlSMDe1wool2")</f>
        <v>https://drive.google.com/uc?id=1QbKWsve2bpila9IF2YH7SlSMDe1wool2</v>
      </c>
      <c r="W432" s="5" t="str">
        <f>IFERROR(__xludf.DUMMYFUNCTION("""COMPUTED_VALUE"""),"NÃO")</f>
        <v>NÃO</v>
      </c>
      <c r="X432" s="5" t="str">
        <f>IFERROR(__xludf.DUMMYFUNCTION("""COMPUTED_VALUE"""),"NÃO")</f>
        <v>NÃO</v>
      </c>
    </row>
    <row r="433" hidden="1">
      <c r="A433" s="5">
        <f>IFERROR(__xludf.DUMMYFUNCTION("""COMPUTED_VALUE"""),7.0)</f>
        <v>7</v>
      </c>
      <c r="B433" s="5" t="str">
        <f>IFERROR(__xludf.DUMMYFUNCTION("""COMPUTED_VALUE"""),"SD035")</f>
        <v>SD035</v>
      </c>
      <c r="C433" s="5" t="str">
        <f>IFERROR(__xludf.DUMMYFUNCTION("""COMPUTED_VALUE"""),"NÃO POSSUI")</f>
        <v>NÃO POSSUI</v>
      </c>
      <c r="D433" s="5" t="str">
        <f>IFERROR(__xludf.DUMMYFUNCTION("""COMPUTED_VALUE"""),"FIXADA EM POSTE")</f>
        <v>FIXADA EM POSTE</v>
      </c>
      <c r="E433" s="5" t="str">
        <f>IFERROR(__xludf.DUMMYFUNCTION("""COMPUTED_VALUE"""),"SEM BAIA")</f>
        <v>SEM BAIA</v>
      </c>
      <c r="F433" s="5" t="str">
        <f>IFERROR(__xludf.DUMMYFUNCTION("""COMPUTED_VALUE"""),"NÃO")</f>
        <v>NÃO</v>
      </c>
      <c r="G433" s="5" t="str">
        <f>IFERROR(__xludf.DUMMYFUNCTION("""COMPUTED_VALUE"""),"NÃO")</f>
        <v>NÃO</v>
      </c>
      <c r="H433" s="5" t="str">
        <f>IFERROR(__xludf.DUMMYFUNCTION("""COMPUTED_VALUE"""),"PAVIMENTADA")</f>
        <v>PAVIMENTADA</v>
      </c>
      <c r="I433" s="6" t="str">
        <f>IFERROR(__xludf.DUMMYFUNCTION("""COMPUTED_VALUE"""),"-9.563492")</f>
        <v>-9.563492</v>
      </c>
      <c r="J433" s="6" t="str">
        <f>IFERROR(__xludf.DUMMYFUNCTION("""COMPUTED_VALUE"""),"-35.782472")</f>
        <v>-35.782472</v>
      </c>
      <c r="K433" s="5" t="str">
        <f>IFERROR(__xludf.DUMMYFUNCTION("""COMPUTED_VALUE"""),"TV. ELIZEU GOMES DE SENA")</f>
        <v>TV. ELIZEU GOMES DE SENA</v>
      </c>
      <c r="L433" s="5" t="str">
        <f>IFERROR(__xludf.DUMMYFUNCTION("""COMPUTED_VALUE"""),"LOCAL")</f>
        <v>LOCAL</v>
      </c>
      <c r="M433" s="5" t="str">
        <f>IFERROR(__xludf.DUMMYFUNCTION("""COMPUTED_VALUE"""),"SANTOS DUMONT")</f>
        <v>SANTOS DUMONT</v>
      </c>
      <c r="N433" s="5" t="str">
        <f>IFERROR(__xludf.DUMMYFUNCTION("""COMPUTED_VALUE"""),"CENTRO - BAIRRO")</f>
        <v>CENTRO - BAIRRO</v>
      </c>
      <c r="O433" s="5" t="str">
        <f>IFERROR(__xludf.DUMMYFUNCTION("""COMPUTED_VALUE"""),"EM FRENTE A CASA 190")</f>
        <v>EM FRENTE A CASA 190</v>
      </c>
      <c r="P433" s="5" t="str">
        <f>IFERROR(__xludf.DUMMYFUNCTION("""COMPUTED_VALUE"""),"PRIORIDADE BAIXA")</f>
        <v>PRIORIDADE BAIXA</v>
      </c>
      <c r="Q433" s="5" t="str">
        <f>IFERROR(__xludf.DUMMYFUNCTION("""COMPUTED_VALUE"""),"READEGUAÇÃO DA CALÇADA COM ACESSIBILIDADE E BAIA.")</f>
        <v>READEGUAÇÃO DA CALÇADA COM ACESSIBILIDADE E BAIA.</v>
      </c>
      <c r="R433" s="5" t="str">
        <f>IFERROR(__xludf.DUMMYFUNCTION("""COMPUTED_VALUE"""),"IMPLANTAR ABRIGO")</f>
        <v>IMPLANTAR ABRIGO</v>
      </c>
      <c r="S433" s="5"/>
      <c r="T433" s="5"/>
      <c r="U433" s="5"/>
      <c r="V433" s="9" t="str">
        <f>IFERROR(__xludf.DUMMYFUNCTION("""COMPUTED_VALUE"""),"https://drive.google.com/uc?id=1GIxzCpPZbjnhAZqFq2630XdYgmzQxgRG")</f>
        <v>https://drive.google.com/uc?id=1GIxzCpPZbjnhAZqFq2630XdYgmzQxgRG</v>
      </c>
      <c r="W433" s="5" t="str">
        <f>IFERROR(__xludf.DUMMYFUNCTION("""COMPUTED_VALUE"""),"NÃO")</f>
        <v>NÃO</v>
      </c>
      <c r="X433" s="5" t="str">
        <f>IFERROR(__xludf.DUMMYFUNCTION("""COMPUTED_VALUE"""),"NÃO")</f>
        <v>NÃO</v>
      </c>
    </row>
    <row r="434">
      <c r="A434" s="5">
        <f>IFERROR(__xludf.DUMMYFUNCTION("""COMPUTED_VALUE"""),7.0)</f>
        <v>7</v>
      </c>
      <c r="B434" s="5" t="str">
        <f>IFERROR(__xludf.DUMMYFUNCTION("""COMPUTED_VALUE"""),"SD036")</f>
        <v>SD036</v>
      </c>
      <c r="C434" s="5" t="str">
        <f>IFERROR(__xludf.DUMMYFUNCTION("""COMPUTED_VALUE"""),"ABRIGO METÁLICO PEQUENO PORTE")</f>
        <v>ABRIGO METÁLICO PEQUENO PORTE</v>
      </c>
      <c r="D434" s="5" t="str">
        <f>IFERROR(__xludf.DUMMYFUNCTION("""COMPUTED_VALUE"""),"SEM PLACA")</f>
        <v>SEM PLACA</v>
      </c>
      <c r="E434" s="5" t="str">
        <f>IFERROR(__xludf.DUMMYFUNCTION("""COMPUTED_VALUE"""),"SEM BAIA")</f>
        <v>SEM BAIA</v>
      </c>
      <c r="F434" s="5" t="str">
        <f>IFERROR(__xludf.DUMMYFUNCTION("""COMPUTED_VALUE"""),"NÃO")</f>
        <v>NÃO</v>
      </c>
      <c r="G434" s="5" t="str">
        <f>IFERROR(__xludf.DUMMYFUNCTION("""COMPUTED_VALUE"""),"SIM")</f>
        <v>SIM</v>
      </c>
      <c r="H434" s="5" t="str">
        <f>IFERROR(__xludf.DUMMYFUNCTION("""COMPUTED_VALUE"""),"PAVIMENTADA")</f>
        <v>PAVIMENTADA</v>
      </c>
      <c r="I434" s="6" t="str">
        <f>IFERROR(__xludf.DUMMYFUNCTION("""COMPUTED_VALUE"""),"-9.565518")</f>
        <v>-9.565518</v>
      </c>
      <c r="J434" s="6" t="str">
        <f>IFERROR(__xludf.DUMMYFUNCTION("""COMPUTED_VALUE"""),"-35.781195")</f>
        <v>-35.781195</v>
      </c>
      <c r="K434" s="5" t="str">
        <f>IFERROR(__xludf.DUMMYFUNCTION("""COMPUTED_VALUE"""),"RUA EDGAR GÓES MONTEIRO")</f>
        <v>RUA EDGAR GÓES MONTEIRO</v>
      </c>
      <c r="L434" s="5" t="str">
        <f>IFERROR(__xludf.DUMMYFUNCTION("""COMPUTED_VALUE"""),"LOCAL")</f>
        <v>LOCAL</v>
      </c>
      <c r="M434" s="5" t="str">
        <f>IFERROR(__xludf.DUMMYFUNCTION("""COMPUTED_VALUE"""),"SANTOS DUMONT")</f>
        <v>SANTOS DUMONT</v>
      </c>
      <c r="N434" s="5" t="str">
        <f>IFERROR(__xludf.DUMMYFUNCTION("""COMPUTED_VALUE"""),"CENTRO - BAIRRO")</f>
        <v>CENTRO - BAIRRO</v>
      </c>
      <c r="O434" s="5" t="str">
        <f>IFERROR(__xludf.DUMMYFUNCTION("""COMPUTED_VALUE"""),"EM FRENTE AO RESTAURANTE E POUSADA DA LUCIA ")</f>
        <v>EM FRENTE AO RESTAURANTE E POUSADA DA LUCIA </v>
      </c>
      <c r="P434" s="5" t="str">
        <f>IFERROR(__xludf.DUMMYFUNCTION("""COMPUTED_VALUE"""),"PRIORIDADE BAIXA")</f>
        <v>PRIORIDADE BAIXA</v>
      </c>
      <c r="Q434" s="5" t="str">
        <f>IFERROR(__xludf.DUMMYFUNCTION("""COMPUTED_VALUE"""),"READEGUAÇÃO DA CALÇADA COM ACESSIBILIDADE E BAIA.")</f>
        <v>READEGUAÇÃO DA CALÇADA COM ACESSIBILIDADE E BAIA.</v>
      </c>
      <c r="R434" s="5" t="str">
        <f>IFERROR(__xludf.DUMMYFUNCTION("""COMPUTED_VALUE"""),"NENHUMA DAS OPÇÕES")</f>
        <v>NENHUMA DAS OPÇÕES</v>
      </c>
      <c r="S434" s="5"/>
      <c r="T434" s="5"/>
      <c r="U434" s="5"/>
      <c r="V434" s="9" t="str">
        <f>IFERROR(__xludf.DUMMYFUNCTION("""COMPUTED_VALUE"""),"https://drive.google.com/uc?id=1iE5WE8LqlW8XMmKGSUQzf_yzM2pNhz8T")</f>
        <v>https://drive.google.com/uc?id=1iE5WE8LqlW8XMmKGSUQzf_yzM2pNhz8T</v>
      </c>
      <c r="W434" s="5" t="str">
        <f>IFERROR(__xludf.DUMMYFUNCTION("""COMPUTED_VALUE"""),"NÃO")</f>
        <v>NÃO</v>
      </c>
      <c r="X434" s="5" t="str">
        <f>IFERROR(__xludf.DUMMYFUNCTION("""COMPUTED_VALUE"""),"NÃO")</f>
        <v>NÃO</v>
      </c>
    </row>
    <row r="435">
      <c r="A435" s="5">
        <f>IFERROR(__xludf.DUMMYFUNCTION("""COMPUTED_VALUE"""),7.0)</f>
        <v>7</v>
      </c>
      <c r="B435" s="5" t="str">
        <f>IFERROR(__xludf.DUMMYFUNCTION("""COMPUTED_VALUE"""),"SD037")</f>
        <v>SD037</v>
      </c>
      <c r="C435" s="5" t="str">
        <f>IFERROR(__xludf.DUMMYFUNCTION("""COMPUTED_VALUE"""),"ABRIGO METÁLICO PEQUENO PORTE")</f>
        <v>ABRIGO METÁLICO PEQUENO PORTE</v>
      </c>
      <c r="D435" s="5" t="str">
        <f>IFERROR(__xludf.DUMMYFUNCTION("""COMPUTED_VALUE"""),"SEM PLACA")</f>
        <v>SEM PLACA</v>
      </c>
      <c r="E435" s="5" t="str">
        <f>IFERROR(__xludf.DUMMYFUNCTION("""COMPUTED_VALUE"""),"SEM BAIA")</f>
        <v>SEM BAIA</v>
      </c>
      <c r="F435" s="5" t="str">
        <f>IFERROR(__xludf.DUMMYFUNCTION("""COMPUTED_VALUE"""),"NÃO")</f>
        <v>NÃO</v>
      </c>
      <c r="G435" s="5" t="str">
        <f>IFERROR(__xludf.DUMMYFUNCTION("""COMPUTED_VALUE"""),"SIM")</f>
        <v>SIM</v>
      </c>
      <c r="H435" s="5" t="str">
        <f>IFERROR(__xludf.DUMMYFUNCTION("""COMPUTED_VALUE"""),"PAVIMENTADA")</f>
        <v>PAVIMENTADA</v>
      </c>
      <c r="I435" s="6" t="str">
        <f>IFERROR(__xludf.DUMMYFUNCTION("""COMPUTED_VALUE"""),"-9.565714")</f>
        <v>-9.565714</v>
      </c>
      <c r="J435" s="6" t="str">
        <f>IFERROR(__xludf.DUMMYFUNCTION("""COMPUTED_VALUE"""),"-35.779218")</f>
        <v>-35.779218</v>
      </c>
      <c r="K435" s="5" t="str">
        <f>IFERROR(__xludf.DUMMYFUNCTION("""COMPUTED_VALUE"""),"RUA EDGAR GÓES MONTEIRO")</f>
        <v>RUA EDGAR GÓES MONTEIRO</v>
      </c>
      <c r="L435" s="5" t="str">
        <f>IFERROR(__xludf.DUMMYFUNCTION("""COMPUTED_VALUE"""),"LOCAL")</f>
        <v>LOCAL</v>
      </c>
      <c r="M435" s="5" t="str">
        <f>IFERROR(__xludf.DUMMYFUNCTION("""COMPUTED_VALUE"""),"SANTOS DUMONT")</f>
        <v>SANTOS DUMONT</v>
      </c>
      <c r="N435" s="5" t="str">
        <f>IFERROR(__xludf.DUMMYFUNCTION("""COMPUTED_VALUE"""),"CENTRO - BAIRRO")</f>
        <v>CENTRO - BAIRRO</v>
      </c>
      <c r="O435" s="5" t="str">
        <f>IFERROR(__xludf.DUMMYFUNCTION("""COMPUTED_VALUE"""),"EM FRENTE A PARAGOMINAS")</f>
        <v>EM FRENTE A PARAGOMINAS</v>
      </c>
      <c r="P435" s="5" t="str">
        <f>IFERROR(__xludf.DUMMYFUNCTION("""COMPUTED_VALUE"""),"PRIORIDADE BAIXA")</f>
        <v>PRIORIDADE BAIXA</v>
      </c>
      <c r="Q435" s="5" t="str">
        <f>IFERROR(__xludf.DUMMYFUNCTION("""COMPUTED_VALUE"""),"READEGUAÇÃO DA CALÇADA COM ACESSIBILIDADE E BAIA.")</f>
        <v>READEGUAÇÃO DA CALÇADA COM ACESSIBILIDADE E BAIA.</v>
      </c>
      <c r="R435" s="5" t="str">
        <f>IFERROR(__xludf.DUMMYFUNCTION("""COMPUTED_VALUE"""),"NENHUMA DAS OPÇÕES")</f>
        <v>NENHUMA DAS OPÇÕES</v>
      </c>
      <c r="S435" s="5"/>
      <c r="T435" s="5"/>
      <c r="U435" s="5"/>
      <c r="V435" s="9" t="str">
        <f>IFERROR(__xludf.DUMMYFUNCTION("""COMPUTED_VALUE"""),"https://drive.google.com/uc?id=1qHzY-VQI9wKd6Bjr9DbI2td304gghW8g")</f>
        <v>https://drive.google.com/uc?id=1qHzY-VQI9wKd6Bjr9DbI2td304gghW8g</v>
      </c>
      <c r="W435" s="5" t="str">
        <f>IFERROR(__xludf.DUMMYFUNCTION("""COMPUTED_VALUE"""),"NÃO")</f>
        <v>NÃO</v>
      </c>
      <c r="X435" s="5" t="str">
        <f>IFERROR(__xludf.DUMMYFUNCTION("""COMPUTED_VALUE"""),"NÃO")</f>
        <v>NÃO</v>
      </c>
    </row>
    <row r="436">
      <c r="A436" s="5">
        <f>IFERROR(__xludf.DUMMYFUNCTION("""COMPUTED_VALUE"""),7.0)</f>
        <v>7</v>
      </c>
      <c r="B436" s="5" t="str">
        <f>IFERROR(__xludf.DUMMYFUNCTION("""COMPUTED_VALUE"""),"SD038")</f>
        <v>SD038</v>
      </c>
      <c r="C436" s="5" t="str">
        <f>IFERROR(__xludf.DUMMYFUNCTION("""COMPUTED_VALUE"""),"ABRIGO CONCRETO")</f>
        <v>ABRIGO CONCRETO</v>
      </c>
      <c r="D436" s="5" t="str">
        <f>IFERROR(__xludf.DUMMYFUNCTION("""COMPUTED_VALUE"""),"SEM PLACA")</f>
        <v>SEM PLACA</v>
      </c>
      <c r="E436" s="5" t="str">
        <f>IFERROR(__xludf.DUMMYFUNCTION("""COMPUTED_VALUE"""),"SEM BAIA")</f>
        <v>SEM BAIA</v>
      </c>
      <c r="F436" s="5" t="str">
        <f>IFERROR(__xludf.DUMMYFUNCTION("""COMPUTED_VALUE"""),"NÃO")</f>
        <v>NÃO</v>
      </c>
      <c r="G436" s="5" t="str">
        <f>IFERROR(__xludf.DUMMYFUNCTION("""COMPUTED_VALUE"""),"NÃO")</f>
        <v>NÃO</v>
      </c>
      <c r="H436" s="5" t="str">
        <f>IFERROR(__xludf.DUMMYFUNCTION("""COMPUTED_VALUE"""),"PAVIMENTADA")</f>
        <v>PAVIMENTADA</v>
      </c>
      <c r="I436" s="6" t="str">
        <f>IFERROR(__xludf.DUMMYFUNCTION("""COMPUTED_VALUE"""),"-9.561813")</f>
        <v>-9.561813</v>
      </c>
      <c r="J436" s="6" t="str">
        <f>IFERROR(__xludf.DUMMYFUNCTION("""COMPUTED_VALUE"""),"-35.779688")</f>
        <v>-35.779688</v>
      </c>
      <c r="K436" s="5" t="str">
        <f>IFERROR(__xludf.DUMMYFUNCTION("""COMPUTED_VALUE"""),"AV. LOURIVAL MOTA")</f>
        <v>AV. LOURIVAL MOTA</v>
      </c>
      <c r="L436" s="5" t="str">
        <f>IFERROR(__xludf.DUMMYFUNCTION("""COMPUTED_VALUE"""),"ARTERIAL ")</f>
        <v>ARTERIAL </v>
      </c>
      <c r="M436" s="5" t="str">
        <f>IFERROR(__xludf.DUMMYFUNCTION("""COMPUTED_VALUE"""),"SANTOS DUMONT")</f>
        <v>SANTOS DUMONT</v>
      </c>
      <c r="N436" s="5" t="str">
        <f>IFERROR(__xludf.DUMMYFUNCTION("""COMPUTED_VALUE"""),"BAIRRO - CENTRO")</f>
        <v>BAIRRO - CENTRO</v>
      </c>
      <c r="O436" s="5" t="str">
        <f>IFERROR(__xludf.DUMMYFUNCTION("""COMPUTED_VALUE"""),"EM FRENTE AO CORREIOS, HU")</f>
        <v>EM FRENTE AO CORREIOS, HU</v>
      </c>
      <c r="P436" s="5" t="str">
        <f>IFERROR(__xludf.DUMMYFUNCTION("""COMPUTED_VALUE"""),"PRIORIDADE BAIXA")</f>
        <v>PRIORIDADE BAIXA</v>
      </c>
      <c r="Q436" s="5" t="str">
        <f>IFERROR(__xludf.DUMMYFUNCTION("""COMPUTED_VALUE"""),"READEGUAÇÃO DA CALÇADA COM ACESSIBILIDADE E BAIA.")</f>
        <v>READEGUAÇÃO DA CALÇADA COM ACESSIBILIDADE E BAIA.</v>
      </c>
      <c r="R436" s="5" t="str">
        <f>IFERROR(__xludf.DUMMYFUNCTION("""COMPUTED_VALUE"""),"SUBSTITUIR ABRIGO")</f>
        <v>SUBSTITUIR ABRIGO</v>
      </c>
      <c r="S436" s="5"/>
      <c r="T436" s="5"/>
      <c r="U436" s="5"/>
      <c r="V436" s="9" t="str">
        <f>IFERROR(__xludf.DUMMYFUNCTION("""COMPUTED_VALUE"""),"https://drive.google.com/uc?id=1mGCstKRblp8SBVdbjMQhftB4PKgVc3F-")</f>
        <v>https://drive.google.com/uc?id=1mGCstKRblp8SBVdbjMQhftB4PKgVc3F-</v>
      </c>
      <c r="W436" s="5" t="str">
        <f>IFERROR(__xludf.DUMMYFUNCTION("""COMPUTED_VALUE"""),"NÃO")</f>
        <v>NÃO</v>
      </c>
      <c r="X436" s="5" t="str">
        <f>IFERROR(__xludf.DUMMYFUNCTION("""COMPUTED_VALUE"""),"SIM")</f>
        <v>SIM</v>
      </c>
    </row>
    <row r="437">
      <c r="A437" s="5">
        <f>IFERROR(__xludf.DUMMYFUNCTION("""COMPUTED_VALUE"""),7.0)</f>
        <v>7</v>
      </c>
      <c r="B437" s="5" t="str">
        <f>IFERROR(__xludf.DUMMYFUNCTION("""COMPUTED_VALUE"""),"SD039")</f>
        <v>SD039</v>
      </c>
      <c r="C437" s="5" t="str">
        <f>IFERROR(__xludf.DUMMYFUNCTION("""COMPUTED_VALUE"""),"ABRIGO METÁLICO PEQUENO PORTE")</f>
        <v>ABRIGO METÁLICO PEQUENO PORTE</v>
      </c>
      <c r="D437" s="5" t="str">
        <f>IFERROR(__xludf.DUMMYFUNCTION("""COMPUTED_VALUE"""),"SEM PLACA")</f>
        <v>SEM PLACA</v>
      </c>
      <c r="E437" s="5" t="str">
        <f>IFERROR(__xludf.DUMMYFUNCTION("""COMPUTED_VALUE"""),"SEM BAIA")</f>
        <v>SEM BAIA</v>
      </c>
      <c r="F437" s="5" t="str">
        <f>IFERROR(__xludf.DUMMYFUNCTION("""COMPUTED_VALUE"""),"NÃO")</f>
        <v>NÃO</v>
      </c>
      <c r="G437" s="5" t="str">
        <f>IFERROR(__xludf.DUMMYFUNCTION("""COMPUTED_VALUE"""),"SIM")</f>
        <v>SIM</v>
      </c>
      <c r="H437" s="5" t="str">
        <f>IFERROR(__xludf.DUMMYFUNCTION("""COMPUTED_VALUE"""),"PAVIMENTADA")</f>
        <v>PAVIMENTADA</v>
      </c>
      <c r="I437" s="6" t="str">
        <f>IFERROR(__xludf.DUMMYFUNCTION("""COMPUTED_VALUE"""),"-9.560637")</f>
        <v>-9.560637</v>
      </c>
      <c r="J437" s="6" t="str">
        <f>IFERROR(__xludf.DUMMYFUNCTION("""COMPUTED_VALUE"""),"-35.780203")</f>
        <v>-35.780203</v>
      </c>
      <c r="K437" s="5" t="str">
        <f>IFERROR(__xludf.DUMMYFUNCTION("""COMPUTED_VALUE"""),"AV. LOURIVAL MOTA")</f>
        <v>AV. LOURIVAL MOTA</v>
      </c>
      <c r="L437" s="5" t="str">
        <f>IFERROR(__xludf.DUMMYFUNCTION("""COMPUTED_VALUE"""),"ARTERIAL ")</f>
        <v>ARTERIAL </v>
      </c>
      <c r="M437" s="5" t="str">
        <f>IFERROR(__xludf.DUMMYFUNCTION("""COMPUTED_VALUE"""),"SANTOS DUMONT")</f>
        <v>SANTOS DUMONT</v>
      </c>
      <c r="N437" s="5" t="str">
        <f>IFERROR(__xludf.DUMMYFUNCTION("""COMPUTED_VALUE"""),"BAIRRO - CENTRO")</f>
        <v>BAIRRO - CENTRO</v>
      </c>
      <c r="O437" s="5" t="str">
        <f>IFERROR(__xludf.DUMMYFUNCTION("""COMPUTED_VALUE"""),"EM FRENTE A CONCRETEC HU")</f>
        <v>EM FRENTE A CONCRETEC HU</v>
      </c>
      <c r="P437" s="5" t="str">
        <f>IFERROR(__xludf.DUMMYFUNCTION("""COMPUTED_VALUE"""),"PRIORIDADE BAIXA")</f>
        <v>PRIORIDADE BAIXA</v>
      </c>
      <c r="Q437" s="5" t="str">
        <f>IFERROR(__xludf.DUMMYFUNCTION("""COMPUTED_VALUE"""),"READEGUAÇÃO DA CALÇADA COM ACESSIBILIDADE E BAIA.")</f>
        <v>READEGUAÇÃO DA CALÇADA COM ACESSIBILIDADE E BAIA.</v>
      </c>
      <c r="R437" s="5" t="str">
        <f>IFERROR(__xludf.DUMMYFUNCTION("""COMPUTED_VALUE"""),"NENHUMA DAS OPÇÕES")</f>
        <v>NENHUMA DAS OPÇÕES</v>
      </c>
      <c r="S437" s="5"/>
      <c r="T437" s="5"/>
      <c r="U437" s="5"/>
      <c r="V437" s="9" t="str">
        <f>IFERROR(__xludf.DUMMYFUNCTION("""COMPUTED_VALUE"""),"https://drive.google.com/uc?id=1u43iDPkmh7TCB_fl1E7KZU7DTEH9SXdh")</f>
        <v>https://drive.google.com/uc?id=1u43iDPkmh7TCB_fl1E7KZU7DTEH9SXdh</v>
      </c>
      <c r="W437" s="5" t="str">
        <f>IFERROR(__xludf.DUMMYFUNCTION("""COMPUTED_VALUE"""),"NÃO")</f>
        <v>NÃO</v>
      </c>
      <c r="X437" s="5" t="str">
        <f>IFERROR(__xludf.DUMMYFUNCTION("""COMPUTED_VALUE"""),"NÃO")</f>
        <v>NÃO</v>
      </c>
    </row>
    <row r="438">
      <c r="A438" s="5">
        <f>IFERROR(__xludf.DUMMYFUNCTION("""COMPUTED_VALUE"""),7.0)</f>
        <v>7</v>
      </c>
      <c r="B438" s="5" t="str">
        <f>IFERROR(__xludf.DUMMYFUNCTION("""COMPUTED_VALUE"""),"SD040")</f>
        <v>SD040</v>
      </c>
      <c r="C438" s="5" t="str">
        <f>IFERROR(__xludf.DUMMYFUNCTION("""COMPUTED_VALUE"""),"ABRIGO METÁLICO MÉDIO PORTE")</f>
        <v>ABRIGO METÁLICO MÉDIO PORTE</v>
      </c>
      <c r="D438" s="5" t="str">
        <f>IFERROR(__xludf.DUMMYFUNCTION("""COMPUTED_VALUE"""),"SEM PLACA")</f>
        <v>SEM PLACA</v>
      </c>
      <c r="E438" s="5" t="str">
        <f>IFERROR(__xludf.DUMMYFUNCTION("""COMPUTED_VALUE"""),"SEM BAIA")</f>
        <v>SEM BAIA</v>
      </c>
      <c r="F438" s="5" t="str">
        <f>IFERROR(__xludf.DUMMYFUNCTION("""COMPUTED_VALUE"""),"NÃO")</f>
        <v>NÃO</v>
      </c>
      <c r="G438" s="5" t="str">
        <f>IFERROR(__xludf.DUMMYFUNCTION("""COMPUTED_VALUE"""),"NÃO")</f>
        <v>NÃO</v>
      </c>
      <c r="H438" s="5" t="str">
        <f>IFERROR(__xludf.DUMMYFUNCTION("""COMPUTED_VALUE"""),"PAVIMENTADA COM AVARIAS")</f>
        <v>PAVIMENTADA COM AVARIAS</v>
      </c>
      <c r="I438" s="6" t="str">
        <f>IFERROR(__xludf.DUMMYFUNCTION("""COMPUTED_VALUE"""),"-9.557243")</f>
        <v>-9.557243</v>
      </c>
      <c r="J438" s="6" t="str">
        <f>IFERROR(__xludf.DUMMYFUNCTION("""COMPUTED_VALUE"""),"-35.781922")</f>
        <v>-35.781922</v>
      </c>
      <c r="K438" s="5" t="str">
        <f>IFERROR(__xludf.DUMMYFUNCTION("""COMPUTED_VALUE"""),"AV. LOURIVAL MOTA")</f>
        <v>AV. LOURIVAL MOTA</v>
      </c>
      <c r="L438" s="5" t="str">
        <f>IFERROR(__xludf.DUMMYFUNCTION("""COMPUTED_VALUE"""),"ARTERIAL ")</f>
        <v>ARTERIAL </v>
      </c>
      <c r="M438" s="5" t="str">
        <f>IFERROR(__xludf.DUMMYFUNCTION("""COMPUTED_VALUE"""),"SANTOS DUMONT")</f>
        <v>SANTOS DUMONT</v>
      </c>
      <c r="N438" s="5" t="str">
        <f>IFERROR(__xludf.DUMMYFUNCTION("""COMPUTED_VALUE"""),"BAIRRO - CENTRO")</f>
        <v>BAIRRO - CENTRO</v>
      </c>
      <c r="O438" s="5" t="str">
        <f>IFERROR(__xludf.DUMMYFUNCTION("""COMPUTED_VALUE"""),"EM FRENTE A ENTRADA DA UFAL")</f>
        <v>EM FRENTE A ENTRADA DA UFAL</v>
      </c>
      <c r="P438" s="5" t="str">
        <f>IFERROR(__xludf.DUMMYFUNCTION("""COMPUTED_VALUE"""),"PRIORIDADE MÉDIA")</f>
        <v>PRIORIDADE MÉDIA</v>
      </c>
      <c r="Q438" s="5" t="str">
        <f>IFERROR(__xludf.DUMMYFUNCTION("""COMPUTED_VALUE"""),"READEGUAÇÃO DA CALÇADA COM ACESSIBILIDADE E BAIA.")</f>
        <v>READEGUAÇÃO DA CALÇADA COM ACESSIBILIDADE E BAIA.</v>
      </c>
      <c r="R438" s="5" t="str">
        <f>IFERROR(__xludf.DUMMYFUNCTION("""COMPUTED_VALUE"""),"NENHUMA DAS OPÇÕES")</f>
        <v>NENHUMA DAS OPÇÕES</v>
      </c>
      <c r="S438" s="5"/>
      <c r="T438" s="5"/>
      <c r="U438" s="5"/>
      <c r="V438" s="9" t="str">
        <f>IFERROR(__xludf.DUMMYFUNCTION("""COMPUTED_VALUE"""),"https://drive.google.com/uc?id=19rH2r9iWPeULYD5wYG22weQuIUN5iUMc")</f>
        <v>https://drive.google.com/uc?id=19rH2r9iWPeULYD5wYG22weQuIUN5iUMc</v>
      </c>
      <c r="W438" s="5" t="str">
        <f>IFERROR(__xludf.DUMMYFUNCTION("""COMPUTED_VALUE"""),"NÃO")</f>
        <v>NÃO</v>
      </c>
      <c r="X438" s="5" t="str">
        <f>IFERROR(__xludf.DUMMYFUNCTION("""COMPUTED_VALUE"""),"SIM")</f>
        <v>SIM</v>
      </c>
    </row>
    <row r="439" hidden="1">
      <c r="A439" s="5">
        <f>IFERROR(__xludf.DUMMYFUNCTION("""COMPUTED_VALUE"""),7.0)</f>
        <v>7</v>
      </c>
      <c r="B439" s="5" t="str">
        <f>IFERROR(__xludf.DUMMYFUNCTION("""COMPUTED_VALUE"""),"SD041")</f>
        <v>SD041</v>
      </c>
      <c r="C439" s="5" t="str">
        <f>IFERROR(__xludf.DUMMYFUNCTION("""COMPUTED_VALUE"""),"NÃO POSSUI")</f>
        <v>NÃO POSSUI</v>
      </c>
      <c r="D439" s="5" t="str">
        <f>IFERROR(__xludf.DUMMYFUNCTION("""COMPUTED_VALUE"""),"COM SUPORTE")</f>
        <v>COM SUPORTE</v>
      </c>
      <c r="E439" s="5" t="str">
        <f>IFERROR(__xludf.DUMMYFUNCTION("""COMPUTED_VALUE"""),"SEM BAIA")</f>
        <v>SEM BAIA</v>
      </c>
      <c r="F439" s="5" t="str">
        <f>IFERROR(__xludf.DUMMYFUNCTION("""COMPUTED_VALUE"""),"NÃO")</f>
        <v>NÃO</v>
      </c>
      <c r="G439" s="5" t="str">
        <f>IFERROR(__xludf.DUMMYFUNCTION("""COMPUTED_VALUE"""),"NÃO")</f>
        <v>NÃO</v>
      </c>
      <c r="H439" s="5" t="str">
        <f>IFERROR(__xludf.DUMMYFUNCTION("""COMPUTED_VALUE"""),"NÃO PAVIMENTADA")</f>
        <v>NÃO PAVIMENTADA</v>
      </c>
      <c r="I439" s="6" t="str">
        <f>IFERROR(__xludf.DUMMYFUNCTION("""COMPUTED_VALUE"""),"-9.553238")</f>
        <v>-9.553238</v>
      </c>
      <c r="J439" s="6" t="str">
        <f>IFERROR(__xludf.DUMMYFUNCTION("""COMPUTED_VALUE"""),"-35.784121")</f>
        <v>-35.784121</v>
      </c>
      <c r="K439" s="5" t="str">
        <f>IFERROR(__xludf.DUMMYFUNCTION("""COMPUTED_VALUE"""),"AV. LOURIVAL MOTA")</f>
        <v>AV. LOURIVAL MOTA</v>
      </c>
      <c r="L439" s="5" t="str">
        <f>IFERROR(__xludf.DUMMYFUNCTION("""COMPUTED_VALUE"""),"ARTERIAL ")</f>
        <v>ARTERIAL </v>
      </c>
      <c r="M439" s="5" t="str">
        <f>IFERROR(__xludf.DUMMYFUNCTION("""COMPUTED_VALUE"""),"SANTOS DUMONT")</f>
        <v>SANTOS DUMONT</v>
      </c>
      <c r="N439" s="5" t="str">
        <f>IFERROR(__xludf.DUMMYFUNCTION("""COMPUTED_VALUE"""),"BAIRRO - CENTRO")</f>
        <v>BAIRRO - CENTRO</v>
      </c>
      <c r="O439" s="5" t="str">
        <f>IFERROR(__xludf.DUMMYFUNCTION("""COMPUTED_VALUE"""),"EM FRENTE A EMPRESA FERRAGEM")</f>
        <v>EM FRENTE A EMPRESA FERRAGEM</v>
      </c>
      <c r="P439" s="5" t="str">
        <f>IFERROR(__xludf.DUMMYFUNCTION("""COMPUTED_VALUE"""),"PRIORIDADE BAIXA")</f>
        <v>PRIORIDADE BAIXA</v>
      </c>
      <c r="Q439" s="5" t="str">
        <f>IFERROR(__xludf.DUMMYFUNCTION("""COMPUTED_VALUE"""),"READEGUAÇÃO DA CALÇADA COM ACESSIBILIDADE E BAIA.")</f>
        <v>READEGUAÇÃO DA CALÇADA COM ACESSIBILIDADE E BAIA.</v>
      </c>
      <c r="R439" s="5" t="str">
        <f>IFERROR(__xludf.DUMMYFUNCTION("""COMPUTED_VALUE"""),"NENHUMA DAS OPÇÕES")</f>
        <v>NENHUMA DAS OPÇÕES</v>
      </c>
      <c r="S439" s="5"/>
      <c r="T439" s="5"/>
      <c r="U439" s="5"/>
      <c r="V439" s="9" t="str">
        <f>IFERROR(__xludf.DUMMYFUNCTION("""COMPUTED_VALUE"""),"https://drive.google.com/uc?id=1MZacQI8NdgDutZbo-AL6noo0sjqYt1OL")</f>
        <v>https://drive.google.com/uc?id=1MZacQI8NdgDutZbo-AL6noo0sjqYt1OL</v>
      </c>
      <c r="W439" s="5" t="str">
        <f>IFERROR(__xludf.DUMMYFUNCTION("""COMPUTED_VALUE"""),"NÃO")</f>
        <v>NÃO</v>
      </c>
      <c r="X439" s="5" t="str">
        <f>IFERROR(__xludf.DUMMYFUNCTION("""COMPUTED_VALUE"""),"NÃO")</f>
        <v>NÃO</v>
      </c>
    </row>
    <row r="440">
      <c r="A440" s="5">
        <f>IFERROR(__xludf.DUMMYFUNCTION("""COMPUTED_VALUE"""),7.0)</f>
        <v>7</v>
      </c>
      <c r="B440" s="5" t="str">
        <f>IFERROR(__xludf.DUMMYFUNCTION("""COMPUTED_VALUE"""),"SD042")</f>
        <v>SD042</v>
      </c>
      <c r="C440" s="5" t="str">
        <f>IFERROR(__xludf.DUMMYFUNCTION("""COMPUTED_VALUE"""),"ABRIGO CONCRETO")</f>
        <v>ABRIGO CONCRETO</v>
      </c>
      <c r="D440" s="5" t="str">
        <f>IFERROR(__xludf.DUMMYFUNCTION("""COMPUTED_VALUE"""),"COM SUPORTE")</f>
        <v>COM SUPORTE</v>
      </c>
      <c r="E440" s="5" t="str">
        <f>IFERROR(__xludf.DUMMYFUNCTION("""COMPUTED_VALUE"""),"SEM BAIA")</f>
        <v>SEM BAIA</v>
      </c>
      <c r="F440" s="5" t="str">
        <f>IFERROR(__xludf.DUMMYFUNCTION("""COMPUTED_VALUE"""),"NÃO")</f>
        <v>NÃO</v>
      </c>
      <c r="G440" s="5" t="str">
        <f>IFERROR(__xludf.DUMMYFUNCTION("""COMPUTED_VALUE"""),"NÃO")</f>
        <v>NÃO</v>
      </c>
      <c r="H440" s="5" t="str">
        <f>IFERROR(__xludf.DUMMYFUNCTION("""COMPUTED_VALUE"""),"PAVIMENTADA")</f>
        <v>PAVIMENTADA</v>
      </c>
      <c r="I440" s="6" t="str">
        <f>IFERROR(__xludf.DUMMYFUNCTION("""COMPUTED_VALUE"""),"-9.549237")</f>
        <v>-9.549237</v>
      </c>
      <c r="J440" s="6" t="str">
        <f>IFERROR(__xludf.DUMMYFUNCTION("""COMPUTED_VALUE"""),"-35.786441")</f>
        <v>-35.786441</v>
      </c>
      <c r="K440" s="5" t="str">
        <f>IFERROR(__xludf.DUMMYFUNCTION("""COMPUTED_VALUE"""),"AV. LOURIVAL MOTA")</f>
        <v>AV. LOURIVAL MOTA</v>
      </c>
      <c r="L440" s="5" t="str">
        <f>IFERROR(__xludf.DUMMYFUNCTION("""COMPUTED_VALUE"""),"ARTERIAL ")</f>
        <v>ARTERIAL </v>
      </c>
      <c r="M440" s="5" t="str">
        <f>IFERROR(__xludf.DUMMYFUNCTION("""COMPUTED_VALUE"""),"SANTOS DUMONT")</f>
        <v>SANTOS DUMONT</v>
      </c>
      <c r="N440" s="5" t="str">
        <f>IFERROR(__xludf.DUMMYFUNCTION("""COMPUTED_VALUE"""),"BAIRRO - CENTRO")</f>
        <v>BAIRRO - CENTRO</v>
      </c>
      <c r="O440" s="5" t="str">
        <f>IFERROR(__xludf.DUMMYFUNCTION("""COMPUTED_VALUE"""),"EM FRENTE AO RESIDENCIAL VILA MADALENA")</f>
        <v>EM FRENTE AO RESIDENCIAL VILA MADALENA</v>
      </c>
      <c r="P440" s="5" t="str">
        <f>IFERROR(__xludf.DUMMYFUNCTION("""COMPUTED_VALUE"""),"PRIORIDADE MÉDIA")</f>
        <v>PRIORIDADE MÉDIA</v>
      </c>
      <c r="Q440" s="5" t="str">
        <f>IFERROR(__xludf.DUMMYFUNCTION("""COMPUTED_VALUE"""),"READEGUAÇÃO DA CALÇADA COM ACESSIBILIDADE E BAIA.")</f>
        <v>READEGUAÇÃO DA CALÇADA COM ACESSIBILIDADE E BAIA.</v>
      </c>
      <c r="R440" s="5" t="str">
        <f>IFERROR(__xludf.DUMMYFUNCTION("""COMPUTED_VALUE"""),"SUBSTITUIR ABRIGO")</f>
        <v>SUBSTITUIR ABRIGO</v>
      </c>
      <c r="S440" s="5"/>
      <c r="T440" s="5"/>
      <c r="U440" s="5"/>
      <c r="V440" s="9" t="str">
        <f>IFERROR(__xludf.DUMMYFUNCTION("""COMPUTED_VALUE"""),"https://drive.google.com/uc?id=1QJe9nRc2jaCzoZyMfwIBedlghD0zdvFX")</f>
        <v>https://drive.google.com/uc?id=1QJe9nRc2jaCzoZyMfwIBedlghD0zdvFX</v>
      </c>
      <c r="W440" s="5" t="str">
        <f>IFERROR(__xludf.DUMMYFUNCTION("""COMPUTED_VALUE"""),"NÃO")</f>
        <v>NÃO</v>
      </c>
      <c r="X440" s="5" t="str">
        <f>IFERROR(__xludf.DUMMYFUNCTION("""COMPUTED_VALUE"""),"NÃO")</f>
        <v>NÃO</v>
      </c>
    </row>
    <row r="441">
      <c r="A441" s="5">
        <f>IFERROR(__xludf.DUMMYFUNCTION("""COMPUTED_VALUE"""),7.0)</f>
        <v>7</v>
      </c>
      <c r="B441" s="5" t="str">
        <f>IFERROR(__xludf.DUMMYFUNCTION("""COMPUTED_VALUE"""),"SD043")</f>
        <v>SD043</v>
      </c>
      <c r="C441" s="5" t="str">
        <f>IFERROR(__xludf.DUMMYFUNCTION("""COMPUTED_VALUE"""),"ABRIGO CONCRETO")</f>
        <v>ABRIGO CONCRETO</v>
      </c>
      <c r="D441" s="5" t="str">
        <f>IFERROR(__xludf.DUMMYFUNCTION("""COMPUTED_VALUE"""),"COM SUPORTE")</f>
        <v>COM SUPORTE</v>
      </c>
      <c r="E441" s="5" t="str">
        <f>IFERROR(__xludf.DUMMYFUNCTION("""COMPUTED_VALUE"""),"SEM BAIA")</f>
        <v>SEM BAIA</v>
      </c>
      <c r="F441" s="5" t="str">
        <f>IFERROR(__xludf.DUMMYFUNCTION("""COMPUTED_VALUE"""),"NÃO")</f>
        <v>NÃO</v>
      </c>
      <c r="G441" s="5" t="str">
        <f>IFERROR(__xludf.DUMMYFUNCTION("""COMPUTED_VALUE"""),"NÃO")</f>
        <v>NÃO</v>
      </c>
      <c r="H441" s="5" t="str">
        <f>IFERROR(__xludf.DUMMYFUNCTION("""COMPUTED_VALUE"""),"PAVIMENTADA")</f>
        <v>PAVIMENTADA</v>
      </c>
      <c r="I441" s="6" t="str">
        <f>IFERROR(__xludf.DUMMYFUNCTION("""COMPUTED_VALUE"""),"-9.546368")</f>
        <v>-9.546368</v>
      </c>
      <c r="J441" s="6" t="str">
        <f>IFERROR(__xludf.DUMMYFUNCTION("""COMPUTED_VALUE"""),"-35.788007")</f>
        <v>-35.788007</v>
      </c>
      <c r="K441" s="5" t="str">
        <f>IFERROR(__xludf.DUMMYFUNCTION("""COMPUTED_VALUE"""),"AV. LOURIVAL MOTA")</f>
        <v>AV. LOURIVAL MOTA</v>
      </c>
      <c r="L441" s="5" t="str">
        <f>IFERROR(__xludf.DUMMYFUNCTION("""COMPUTED_VALUE"""),"ARTERIAL ")</f>
        <v>ARTERIAL </v>
      </c>
      <c r="M441" s="5" t="str">
        <f>IFERROR(__xludf.DUMMYFUNCTION("""COMPUTED_VALUE"""),"SANTOS DUMONT")</f>
        <v>SANTOS DUMONT</v>
      </c>
      <c r="N441" s="5" t="str">
        <f>IFERROR(__xludf.DUMMYFUNCTION("""COMPUTED_VALUE"""),"BAIRRO - CENTRO")</f>
        <v>BAIRRO - CENTRO</v>
      </c>
      <c r="O441" s="5" t="str">
        <f>IFERROR(__xludf.DUMMYFUNCTION("""COMPUTED_VALUE"""),"SITIO DOF -  EM FRENTE AO INOCOOP")</f>
        <v>SITIO DOF -  EM FRENTE AO INOCOOP</v>
      </c>
      <c r="P441" s="5" t="str">
        <f>IFERROR(__xludf.DUMMYFUNCTION("""COMPUTED_VALUE"""),"PRIORIDADE MÉDIA")</f>
        <v>PRIORIDADE MÉDIA</v>
      </c>
      <c r="Q441" s="5" t="str">
        <f>IFERROR(__xludf.DUMMYFUNCTION("""COMPUTED_VALUE"""),"READEGUAÇÃO DA CALÇADA COM ACESSIBILIDADE E BAIA.")</f>
        <v>READEGUAÇÃO DA CALÇADA COM ACESSIBILIDADE E BAIA.</v>
      </c>
      <c r="R441" s="5" t="str">
        <f>IFERROR(__xludf.DUMMYFUNCTION("""COMPUTED_VALUE"""),"SUBSTITUIR ABRIGO")</f>
        <v>SUBSTITUIR ABRIGO</v>
      </c>
      <c r="S441" s="5"/>
      <c r="T441" s="5"/>
      <c r="U441" s="5"/>
      <c r="V441" s="9" t="str">
        <f>IFERROR(__xludf.DUMMYFUNCTION("""COMPUTED_VALUE"""),"https://drive.google.com/uc?id=1RzRN1zaDaTWmsTO8OcTtnRdod96iqx_P")</f>
        <v>https://drive.google.com/uc?id=1RzRN1zaDaTWmsTO8OcTtnRdod96iqx_P</v>
      </c>
      <c r="W441" s="5" t="str">
        <f>IFERROR(__xludf.DUMMYFUNCTION("""COMPUTED_VALUE"""),"NÃO")</f>
        <v>NÃO</v>
      </c>
      <c r="X441" s="5" t="str">
        <f>IFERROR(__xludf.DUMMYFUNCTION("""COMPUTED_VALUE"""),"NÃO")</f>
        <v>NÃO</v>
      </c>
    </row>
    <row r="442">
      <c r="A442" s="5">
        <f>IFERROR(__xludf.DUMMYFUNCTION("""COMPUTED_VALUE"""),7.0)</f>
        <v>7</v>
      </c>
      <c r="B442" s="5" t="str">
        <f>IFERROR(__xludf.DUMMYFUNCTION("""COMPUTED_VALUE"""),"SD044")</f>
        <v>SD044</v>
      </c>
      <c r="C442" s="5" t="str">
        <f>IFERROR(__xludf.DUMMYFUNCTION("""COMPUTED_VALUE"""),"ABRIGO CONCRETO")</f>
        <v>ABRIGO CONCRETO</v>
      </c>
      <c r="D442" s="5" t="str">
        <f>IFERROR(__xludf.DUMMYFUNCTION("""COMPUTED_VALUE"""),"SEM PLACA")</f>
        <v>SEM PLACA</v>
      </c>
      <c r="E442" s="5" t="str">
        <f>IFERROR(__xludf.DUMMYFUNCTION("""COMPUTED_VALUE"""),"SEM BAIA")</f>
        <v>SEM BAIA</v>
      </c>
      <c r="F442" s="5" t="str">
        <f>IFERROR(__xludf.DUMMYFUNCTION("""COMPUTED_VALUE"""),"NÃO")</f>
        <v>NÃO</v>
      </c>
      <c r="G442" s="5" t="str">
        <f>IFERROR(__xludf.DUMMYFUNCTION("""COMPUTED_VALUE"""),"NÃO")</f>
        <v>NÃO</v>
      </c>
      <c r="H442" s="5" t="str">
        <f>IFERROR(__xludf.DUMMYFUNCTION("""COMPUTED_VALUE"""),"PAVIMENTADA COM AVARIAS")</f>
        <v>PAVIMENTADA COM AVARIAS</v>
      </c>
      <c r="I442" s="6" t="str">
        <f>IFERROR(__xludf.DUMMYFUNCTION("""COMPUTED_VALUE"""),"-9.543505")</f>
        <v>-9.543505</v>
      </c>
      <c r="J442" s="6" t="str">
        <f>IFERROR(__xludf.DUMMYFUNCTION("""COMPUTED_VALUE"""),"-35.789631")</f>
        <v>-35.789631</v>
      </c>
      <c r="K442" s="5" t="str">
        <f>IFERROR(__xludf.DUMMYFUNCTION("""COMPUTED_VALUE"""),"AV. LOURIVAL MOTA")</f>
        <v>AV. LOURIVAL MOTA</v>
      </c>
      <c r="L442" s="5" t="str">
        <f>IFERROR(__xludf.DUMMYFUNCTION("""COMPUTED_VALUE"""),"ARTERIAL ")</f>
        <v>ARTERIAL </v>
      </c>
      <c r="M442" s="5" t="str">
        <f>IFERROR(__xludf.DUMMYFUNCTION("""COMPUTED_VALUE"""),"SANTOS DUMONT")</f>
        <v>SANTOS DUMONT</v>
      </c>
      <c r="N442" s="5" t="str">
        <f>IFERROR(__xludf.DUMMYFUNCTION("""COMPUTED_VALUE"""),"BAIRRO - CENTRO")</f>
        <v>BAIRRO - CENTRO</v>
      </c>
      <c r="O442" s="5" t="str">
        <f>IFERROR(__xludf.DUMMYFUNCTION("""COMPUTED_VALUE"""),"EM FRENTE AO RESIDENCIAL JARDIM PLANALTO")</f>
        <v>EM FRENTE AO RESIDENCIAL JARDIM PLANALTO</v>
      </c>
      <c r="P442" s="5" t="str">
        <f>IFERROR(__xludf.DUMMYFUNCTION("""COMPUTED_VALUE"""),"PRIORIDADE MÉDIA")</f>
        <v>PRIORIDADE MÉDIA</v>
      </c>
      <c r="Q442" s="5" t="str">
        <f>IFERROR(__xludf.DUMMYFUNCTION("""COMPUTED_VALUE"""),"READEGUAÇÃO DA CALÇADA COM ACESSIBILIDADE E BAIA.")</f>
        <v>READEGUAÇÃO DA CALÇADA COM ACESSIBILIDADE E BAIA.</v>
      </c>
      <c r="R442" s="5" t="str">
        <f>IFERROR(__xludf.DUMMYFUNCTION("""COMPUTED_VALUE"""),"SUBSTITUIR ABRIGO")</f>
        <v>SUBSTITUIR ABRIGO</v>
      </c>
      <c r="S442" s="5"/>
      <c r="T442" s="5"/>
      <c r="U442" s="5"/>
      <c r="V442" s="9" t="str">
        <f>IFERROR(__xludf.DUMMYFUNCTION("""COMPUTED_VALUE"""),"https://drive.google.com/uc?id=1rea56TWaX3qt2TSFjFAsNkbs3fKtbBEA")</f>
        <v>https://drive.google.com/uc?id=1rea56TWaX3qt2TSFjFAsNkbs3fKtbBEA</v>
      </c>
      <c r="W442" s="5" t="str">
        <f>IFERROR(__xludf.DUMMYFUNCTION("""COMPUTED_VALUE"""),"NÃO")</f>
        <v>NÃO</v>
      </c>
      <c r="X442" s="5" t="str">
        <f>IFERROR(__xludf.DUMMYFUNCTION("""COMPUTED_VALUE"""),"NÃO")</f>
        <v>NÃO</v>
      </c>
    </row>
    <row r="443">
      <c r="A443" s="5">
        <f>IFERROR(__xludf.DUMMYFUNCTION("""COMPUTED_VALUE"""),7.0)</f>
        <v>7</v>
      </c>
      <c r="B443" s="5" t="str">
        <f>IFERROR(__xludf.DUMMYFUNCTION("""COMPUTED_VALUE"""),"SD045")</f>
        <v>SD045</v>
      </c>
      <c r="C443" s="5" t="str">
        <f>IFERROR(__xludf.DUMMYFUNCTION("""COMPUTED_VALUE"""),"ABRIGO METÁLICO PEQUENO PORTE")</f>
        <v>ABRIGO METÁLICO PEQUENO PORTE</v>
      </c>
      <c r="D443" s="5" t="str">
        <f>IFERROR(__xludf.DUMMYFUNCTION("""COMPUTED_VALUE"""),"COM SUPORTE")</f>
        <v>COM SUPORTE</v>
      </c>
      <c r="E443" s="5" t="str">
        <f>IFERROR(__xludf.DUMMYFUNCTION("""COMPUTED_VALUE"""),"SEM BAIA")</f>
        <v>SEM BAIA</v>
      </c>
      <c r="F443" s="5" t="str">
        <f>IFERROR(__xludf.DUMMYFUNCTION("""COMPUTED_VALUE"""),"NÃO")</f>
        <v>NÃO</v>
      </c>
      <c r="G443" s="5" t="str">
        <f>IFERROR(__xludf.DUMMYFUNCTION("""COMPUTED_VALUE"""),"NÃO")</f>
        <v>NÃO</v>
      </c>
      <c r="H443" s="5" t="str">
        <f>IFERROR(__xludf.DUMMYFUNCTION("""COMPUTED_VALUE"""),"PAVIMENTADA COM AVARIAS")</f>
        <v>PAVIMENTADA COM AVARIAS</v>
      </c>
      <c r="I443" s="6" t="str">
        <f>IFERROR(__xludf.DUMMYFUNCTION("""COMPUTED_VALUE"""),"-9.538304")</f>
        <v>-9.538304</v>
      </c>
      <c r="J443" s="6" t="str">
        <f>IFERROR(__xludf.DUMMYFUNCTION("""COMPUTED_VALUE"""),"-35.792728")</f>
        <v>-35.792728</v>
      </c>
      <c r="K443" s="5" t="str">
        <f>IFERROR(__xludf.DUMMYFUNCTION("""COMPUTED_VALUE"""),"AV. LOURIVAL MOTA")</f>
        <v>AV. LOURIVAL MOTA</v>
      </c>
      <c r="L443" s="5" t="str">
        <f>IFERROR(__xludf.DUMMYFUNCTION("""COMPUTED_VALUE"""),"ARTERIAL ")</f>
        <v>ARTERIAL </v>
      </c>
      <c r="M443" s="5" t="str">
        <f>IFERROR(__xludf.DUMMYFUNCTION("""COMPUTED_VALUE"""),"SANTOS DUMONT")</f>
        <v>SANTOS DUMONT</v>
      </c>
      <c r="N443" s="5" t="str">
        <f>IFERROR(__xludf.DUMMYFUNCTION("""COMPUTED_VALUE"""),"BAIRRO - CENTRO")</f>
        <v>BAIRRO - CENTRO</v>
      </c>
      <c r="O443" s="5" t="str">
        <f>IFERROR(__xludf.DUMMYFUNCTION("""COMPUTED_VALUE"""),"EM FRENTE A VEÍCULOS 3 IRMÃOS")</f>
        <v>EM FRENTE A VEÍCULOS 3 IRMÃOS</v>
      </c>
      <c r="P443" s="5" t="str">
        <f>IFERROR(__xludf.DUMMYFUNCTION("""COMPUTED_VALUE"""),"PRIORIDADE MÉDIA")</f>
        <v>PRIORIDADE MÉDIA</v>
      </c>
      <c r="Q443" s="5" t="str">
        <f>IFERROR(__xludf.DUMMYFUNCTION("""COMPUTED_VALUE"""),"READEGUAÇÃO DA CALÇADA COM ACESSIBILIDADE E BAIA.")</f>
        <v>READEGUAÇÃO DA CALÇADA COM ACESSIBILIDADE E BAIA.</v>
      </c>
      <c r="R443" s="5" t="str">
        <f>IFERROR(__xludf.DUMMYFUNCTION("""COMPUTED_VALUE"""),"SUBSTITUIR ABRIGO")</f>
        <v>SUBSTITUIR ABRIGO</v>
      </c>
      <c r="S443" s="5"/>
      <c r="T443" s="5"/>
      <c r="U443" s="5"/>
      <c r="V443" s="9" t="str">
        <f>IFERROR(__xludf.DUMMYFUNCTION("""COMPUTED_VALUE"""),"https://drive.google.com/uc?id=1ETU23pp-IvcGiEjGX0lk3e7syw_Boi--")</f>
        <v>https://drive.google.com/uc?id=1ETU23pp-IvcGiEjGX0lk3e7syw_Boi--</v>
      </c>
      <c r="W443" s="5" t="str">
        <f>IFERROR(__xludf.DUMMYFUNCTION("""COMPUTED_VALUE"""),"NÃO")</f>
        <v>NÃO</v>
      </c>
      <c r="X443" s="5" t="str">
        <f>IFERROR(__xludf.DUMMYFUNCTION("""COMPUTED_VALUE"""),"NÃO")</f>
        <v>NÃO</v>
      </c>
    </row>
    <row r="444">
      <c r="A444" s="5">
        <f>IFERROR(__xludf.DUMMYFUNCTION("""COMPUTED_VALUE"""),7.0)</f>
        <v>7</v>
      </c>
      <c r="B444" s="5" t="str">
        <f>IFERROR(__xludf.DUMMYFUNCTION("""COMPUTED_VALUE"""),"SD046")</f>
        <v>SD046</v>
      </c>
      <c r="C444" s="5" t="str">
        <f>IFERROR(__xludf.DUMMYFUNCTION("""COMPUTED_VALUE"""),"ABRIGO CONCRETO")</f>
        <v>ABRIGO CONCRETO</v>
      </c>
      <c r="D444" s="5" t="str">
        <f>IFERROR(__xludf.DUMMYFUNCTION("""COMPUTED_VALUE"""),"SEM PLACA")</f>
        <v>SEM PLACA</v>
      </c>
      <c r="E444" s="5" t="str">
        <f>IFERROR(__xludf.DUMMYFUNCTION("""COMPUTED_VALUE"""),"SEM BAIA")</f>
        <v>SEM BAIA</v>
      </c>
      <c r="F444" s="5" t="str">
        <f>IFERROR(__xludf.DUMMYFUNCTION("""COMPUTED_VALUE"""),"NÃO")</f>
        <v>NÃO</v>
      </c>
      <c r="G444" s="5" t="str">
        <f>IFERROR(__xludf.DUMMYFUNCTION("""COMPUTED_VALUE"""),"NÃO")</f>
        <v>NÃO</v>
      </c>
      <c r="H444" s="5" t="str">
        <f>IFERROR(__xludf.DUMMYFUNCTION("""COMPUTED_VALUE"""),"PAVIMENTADA")</f>
        <v>PAVIMENTADA</v>
      </c>
      <c r="I444" s="6" t="str">
        <f>IFERROR(__xludf.DUMMYFUNCTION("""COMPUTED_VALUE"""),"-9.534640")</f>
        <v>-9.534640</v>
      </c>
      <c r="J444" s="6" t="str">
        <f>IFERROR(__xludf.DUMMYFUNCTION("""COMPUTED_VALUE"""),"-35.795982")</f>
        <v>-35.795982</v>
      </c>
      <c r="K444" s="5" t="str">
        <f>IFERROR(__xludf.DUMMYFUNCTION("""COMPUTED_VALUE"""),"AV. JOSÉ MANHÃES")</f>
        <v>AV. JOSÉ MANHÃES</v>
      </c>
      <c r="L444" s="5" t="str">
        <f>IFERROR(__xludf.DUMMYFUNCTION("""COMPUTED_VALUE"""),"COLETORA")</f>
        <v>COLETORA</v>
      </c>
      <c r="M444" s="5" t="str">
        <f>IFERROR(__xludf.DUMMYFUNCTION("""COMPUTED_VALUE"""),"SANTOS DUMONT")</f>
        <v>SANTOS DUMONT</v>
      </c>
      <c r="N444" s="5" t="str">
        <f>IFERROR(__xludf.DUMMYFUNCTION("""COMPUTED_VALUE"""),"BAIRRO - CENTRO")</f>
        <v>BAIRRO - CENTRO</v>
      </c>
      <c r="O444" s="5" t="str">
        <f>IFERROR(__xludf.DUMMYFUNCTION("""COMPUTED_VALUE"""),"ANT. ESTRADA UTINGA – EM FRENTE A MADEBRAS")</f>
        <v>ANT. ESTRADA UTINGA – EM FRENTE A MADEBRAS</v>
      </c>
      <c r="P444" s="5" t="str">
        <f>IFERROR(__xludf.DUMMYFUNCTION("""COMPUTED_VALUE"""),"PRIORIDADE MÉDIA")</f>
        <v>PRIORIDADE MÉDIA</v>
      </c>
      <c r="Q444" s="5" t="str">
        <f>IFERROR(__xludf.DUMMYFUNCTION("""COMPUTED_VALUE"""),"READEGUAÇÃO DA CALÇADA COM ACESSIBILIDADE E BAIA.")</f>
        <v>READEGUAÇÃO DA CALÇADA COM ACESSIBILIDADE E BAIA.</v>
      </c>
      <c r="R444" s="5" t="str">
        <f>IFERROR(__xludf.DUMMYFUNCTION("""COMPUTED_VALUE"""),"SUBSTITUIR ABRIGO")</f>
        <v>SUBSTITUIR ABRIGO</v>
      </c>
      <c r="S444" s="5"/>
      <c r="T444" s="5"/>
      <c r="U444" s="5"/>
      <c r="V444" s="9" t="str">
        <f>IFERROR(__xludf.DUMMYFUNCTION("""COMPUTED_VALUE"""),"https://drive.google.com/uc?id=1SZv5bEYVZnW6Ucey-c7YWuipTC3W2Ifj")</f>
        <v>https://drive.google.com/uc?id=1SZv5bEYVZnW6Ucey-c7YWuipTC3W2Ifj</v>
      </c>
      <c r="W444" s="5" t="str">
        <f>IFERROR(__xludf.DUMMYFUNCTION("""COMPUTED_VALUE"""),"NÃO")</f>
        <v>NÃO</v>
      </c>
      <c r="X444" s="5" t="str">
        <f>IFERROR(__xludf.DUMMYFUNCTION("""COMPUTED_VALUE"""),"NÃO")</f>
        <v>NÃO</v>
      </c>
    </row>
    <row r="445" hidden="1">
      <c r="A445" s="5">
        <f>IFERROR(__xludf.DUMMYFUNCTION("""COMPUTED_VALUE"""),7.0)</f>
        <v>7</v>
      </c>
      <c r="B445" s="5" t="str">
        <f>IFERROR(__xludf.DUMMYFUNCTION("""COMPUTED_VALUE"""),"SD047")</f>
        <v>SD047</v>
      </c>
      <c r="C445" s="5" t="str">
        <f>IFERROR(__xludf.DUMMYFUNCTION("""COMPUTED_VALUE"""),"NÃO POSSUI")</f>
        <v>NÃO POSSUI</v>
      </c>
      <c r="D445" s="5" t="str">
        <f>IFERROR(__xludf.DUMMYFUNCTION("""COMPUTED_VALUE"""),"FIXADA EM POSTE")</f>
        <v>FIXADA EM POSTE</v>
      </c>
      <c r="E445" s="5" t="str">
        <f>IFERROR(__xludf.DUMMYFUNCTION("""COMPUTED_VALUE"""),"SEM BAIA")</f>
        <v>SEM BAIA</v>
      </c>
      <c r="F445" s="5" t="str">
        <f>IFERROR(__xludf.DUMMYFUNCTION("""COMPUTED_VALUE"""),"NÃO")</f>
        <v>NÃO</v>
      </c>
      <c r="G445" s="5" t="str">
        <f>IFERROR(__xludf.DUMMYFUNCTION("""COMPUTED_VALUE"""),"NÃO")</f>
        <v>NÃO</v>
      </c>
      <c r="H445" s="5" t="str">
        <f>IFERROR(__xludf.DUMMYFUNCTION("""COMPUTED_VALUE"""),"NÃO PAVIMENTADA")</f>
        <v>NÃO PAVIMENTADA</v>
      </c>
      <c r="I445" s="6" t="str">
        <f>IFERROR(__xludf.DUMMYFUNCTION("""COMPUTED_VALUE"""),"-9.557710")</f>
        <v>-9.557710</v>
      </c>
      <c r="J445" s="6" t="str">
        <f>IFERROR(__xludf.DUMMYFUNCTION("""COMPUTED_VALUE"""),"-35.783033")</f>
        <v>-35.783033</v>
      </c>
      <c r="K445" s="5" t="str">
        <f>IFERROR(__xludf.DUMMYFUNCTION("""COMPUTED_VALUE"""),"AV. JOSÉ MANHÃES")</f>
        <v>AV. JOSÉ MANHÃES</v>
      </c>
      <c r="L445" s="5" t="str">
        <f>IFERROR(__xludf.DUMMYFUNCTION("""COMPUTED_VALUE"""),"COLETORA")</f>
        <v>COLETORA</v>
      </c>
      <c r="M445" s="5" t="str">
        <f>IFERROR(__xludf.DUMMYFUNCTION("""COMPUTED_VALUE"""),"SANTOS DUMONT")</f>
        <v>SANTOS DUMONT</v>
      </c>
      <c r="N445" s="5" t="str">
        <f>IFERROR(__xludf.DUMMYFUNCTION("""COMPUTED_VALUE"""),"CENTRO - BAIRRO")</f>
        <v>CENTRO - BAIRRO</v>
      </c>
      <c r="O445" s="5" t="str">
        <f>IFERROR(__xludf.DUMMYFUNCTION("""COMPUTED_VALUE"""),"APÓS A CASA 192")</f>
        <v>APÓS A CASA 192</v>
      </c>
      <c r="P445" s="5" t="str">
        <f>IFERROR(__xludf.DUMMYFUNCTION("""COMPUTED_VALUE"""),"URGENTE")</f>
        <v>URGENTE</v>
      </c>
      <c r="Q445" s="5" t="str">
        <f>IFERROR(__xludf.DUMMYFUNCTION("""COMPUTED_VALUE"""),"RETIRAR")</f>
        <v>RETIRAR</v>
      </c>
      <c r="R445" s="5" t="str">
        <f>IFERROR(__xludf.DUMMYFUNCTION("""COMPUTED_VALUE"""),"NENHUMA DAS OPÇÕES")</f>
        <v>NENHUMA DAS OPÇÕES</v>
      </c>
      <c r="S445" s="5"/>
      <c r="T445" s="5" t="str">
        <f>IFERROR(__xludf.DUMMYFUNCTION("""COMPUTED_VALUE"""),"NÃO REALIZADO")</f>
        <v>NÃO REALIZADO</v>
      </c>
      <c r="U445" s="5"/>
      <c r="V445" s="9" t="str">
        <f>IFERROR(__xludf.DUMMYFUNCTION("""COMPUTED_VALUE"""),"https://drive.google.com/uc?id=1pgn1Z58t6RleL8soZl13MKJ_rxg1bAGC")</f>
        <v>https://drive.google.com/uc?id=1pgn1Z58t6RleL8soZl13MKJ_rxg1bAGC</v>
      </c>
      <c r="W445" s="5" t="str">
        <f>IFERROR(__xludf.DUMMYFUNCTION("""COMPUTED_VALUE"""),"NÃO")</f>
        <v>NÃO</v>
      </c>
      <c r="X445" s="5" t="str">
        <f>IFERROR(__xludf.DUMMYFUNCTION("""COMPUTED_VALUE"""),"NÃO")</f>
        <v>NÃO</v>
      </c>
    </row>
    <row r="446">
      <c r="A446" s="5">
        <f>IFERROR(__xludf.DUMMYFUNCTION("""COMPUTED_VALUE"""),7.0)</f>
        <v>7</v>
      </c>
      <c r="B446" s="5" t="str">
        <f>IFERROR(__xludf.DUMMYFUNCTION("""COMPUTED_VALUE"""),"SD048")</f>
        <v>SD048</v>
      </c>
      <c r="C446" s="5" t="str">
        <f>IFERROR(__xludf.DUMMYFUNCTION("""COMPUTED_VALUE"""),"ABRIGO CONCRETO")</f>
        <v>ABRIGO CONCRETO</v>
      </c>
      <c r="D446" s="5" t="str">
        <f>IFERROR(__xludf.DUMMYFUNCTION("""COMPUTED_VALUE"""),"SEM PLACA")</f>
        <v>SEM PLACA</v>
      </c>
      <c r="E446" s="5" t="str">
        <f>IFERROR(__xludf.DUMMYFUNCTION("""COMPUTED_VALUE"""),"SEM BAIA")</f>
        <v>SEM BAIA</v>
      </c>
      <c r="F446" s="5" t="str">
        <f>IFERROR(__xludf.DUMMYFUNCTION("""COMPUTED_VALUE"""),"NÃO")</f>
        <v>NÃO</v>
      </c>
      <c r="G446" s="5" t="str">
        <f>IFERROR(__xludf.DUMMYFUNCTION("""COMPUTED_VALUE"""),"NÃO")</f>
        <v>NÃO</v>
      </c>
      <c r="H446" s="5" t="str">
        <f>IFERROR(__xludf.DUMMYFUNCTION("""COMPUTED_VALUE"""),"NÃO PAVIMENTADA")</f>
        <v>NÃO PAVIMENTADA</v>
      </c>
      <c r="I446" s="6" t="str">
        <f>IFERROR(__xludf.DUMMYFUNCTION("""COMPUTED_VALUE"""),"-9.534566")</f>
        <v>-9.534566</v>
      </c>
      <c r="J446" s="6" t="str">
        <f>IFERROR(__xludf.DUMMYFUNCTION("""COMPUTED_VALUE"""),"-35.795759")</f>
        <v>-35.795759</v>
      </c>
      <c r="K446" s="5" t="str">
        <f>IFERROR(__xludf.DUMMYFUNCTION("""COMPUTED_VALUE"""),"AV. JOSÉ MANHÃES")</f>
        <v>AV. JOSÉ MANHÃES</v>
      </c>
      <c r="L446" s="5" t="str">
        <f>IFERROR(__xludf.DUMMYFUNCTION("""COMPUTED_VALUE"""),"COLETORA")</f>
        <v>COLETORA</v>
      </c>
      <c r="M446" s="5" t="str">
        <f>IFERROR(__xludf.DUMMYFUNCTION("""COMPUTED_VALUE"""),"SANTOS DUMONT")</f>
        <v>SANTOS DUMONT</v>
      </c>
      <c r="N446" s="5" t="str">
        <f>IFERROR(__xludf.DUMMYFUNCTION("""COMPUTED_VALUE"""),"CENTRO - BAIRRO")</f>
        <v>CENTRO - BAIRRO</v>
      </c>
      <c r="O446" s="5" t="str">
        <f>IFERROR(__xludf.DUMMYFUNCTION("""COMPUTED_VALUE"""),"PROX. SUPERMERCADO PREÇO BOM FORENE ")</f>
        <v>PROX. SUPERMERCADO PREÇO BOM FORENE </v>
      </c>
      <c r="P446" s="5" t="str">
        <f>IFERROR(__xludf.DUMMYFUNCTION("""COMPUTED_VALUE"""),"PRIORIDADE MÉDIA")</f>
        <v>PRIORIDADE MÉDIA</v>
      </c>
      <c r="Q446" s="5"/>
      <c r="R446" s="5" t="str">
        <f>IFERROR(__xludf.DUMMYFUNCTION("""COMPUTED_VALUE"""),"NENHUMA DAS OPÇÕES")</f>
        <v>NENHUMA DAS OPÇÕES</v>
      </c>
      <c r="S446" s="5"/>
      <c r="T446" s="5" t="str">
        <f>IFERROR(__xludf.DUMMYFUNCTION("""COMPUTED_VALUE"""),"NÃO REALIZADO")</f>
        <v>NÃO REALIZADO</v>
      </c>
      <c r="U446" s="5"/>
      <c r="V446" s="9" t="str">
        <f>IFERROR(__xludf.DUMMYFUNCTION("""COMPUTED_VALUE"""),"https://drive.google.com/uc?id=1RESqRvjXHdXXGiugiyDoDtwxQoWiWuW0")</f>
        <v>https://drive.google.com/uc?id=1RESqRvjXHdXXGiugiyDoDtwxQoWiWuW0</v>
      </c>
      <c r="W446" s="5" t="str">
        <f>IFERROR(__xludf.DUMMYFUNCTION("""COMPUTED_VALUE"""),"NÃO")</f>
        <v>NÃO</v>
      </c>
      <c r="X446" s="5" t="str">
        <f>IFERROR(__xludf.DUMMYFUNCTION("""COMPUTED_VALUE"""),"NÃO")</f>
        <v>NÃO</v>
      </c>
    </row>
    <row r="447" hidden="1">
      <c r="A447" s="5">
        <f>IFERROR(__xludf.DUMMYFUNCTION("IMPORTRANGE(""https://docs.google.com/spreadsheets/d/1-Yu0wk38BvJp_4SsDjwItRQX9X18pxzX2mfs6mvd6ac/edit#gid=1612198575"", ""CLIMA BOM!A3:X30"")"),7.0)</f>
        <v>7</v>
      </c>
      <c r="B447" s="5" t="str">
        <f>IFERROR(__xludf.DUMMYFUNCTION("""COMPUTED_VALUE"""),"CB001")</f>
        <v>CB001</v>
      </c>
      <c r="C447" s="5" t="str">
        <f>IFERROR(__xludf.DUMMYFUNCTION("""COMPUTED_VALUE"""),"NÃO POSSUI")</f>
        <v>NÃO POSSUI</v>
      </c>
      <c r="D447" s="5" t="str">
        <f>IFERROR(__xludf.DUMMYFUNCTION("""COMPUTED_VALUE"""),"SEM PLACA")</f>
        <v>SEM PLACA</v>
      </c>
      <c r="E447" s="5" t="str">
        <f>IFERROR(__xludf.DUMMYFUNCTION("""COMPUTED_VALUE"""),"SEM BAIA")</f>
        <v>SEM BAIA</v>
      </c>
      <c r="F447" s="5" t="str">
        <f>IFERROR(__xludf.DUMMYFUNCTION("""COMPUTED_VALUE"""),"NÃO")</f>
        <v>NÃO</v>
      </c>
      <c r="G447" s="5" t="str">
        <f>IFERROR(__xludf.DUMMYFUNCTION("""COMPUTED_VALUE"""),"NÃO")</f>
        <v>NÃO</v>
      </c>
      <c r="H447" s="5" t="str">
        <f>IFERROR(__xludf.DUMMYFUNCTION("""COMPUTED_VALUE"""),"PAVIMENTADA")</f>
        <v>PAVIMENTADA</v>
      </c>
      <c r="I447" s="6" t="str">
        <f>IFERROR(__xludf.DUMMYFUNCTION("""COMPUTED_VALUE"""),"-9.57889")</f>
        <v>-9.57889</v>
      </c>
      <c r="J447" s="6" t="str">
        <f>IFERROR(__xludf.DUMMYFUNCTION("""COMPUTED_VALUE"""),"-35.77584")</f>
        <v>-35.77584</v>
      </c>
      <c r="K447" s="5" t="str">
        <f>IFERROR(__xludf.DUMMYFUNCTION("""COMPUTED_VALUE"""),"RUA JOSÉ GONZAGA DE ALMEIDA, S/N")</f>
        <v>RUA JOSÉ GONZAGA DE ALMEIDA, S/N</v>
      </c>
      <c r="L447" s="5" t="str">
        <f>IFERROR(__xludf.DUMMYFUNCTION("""COMPUTED_VALUE"""),"COLETORA")</f>
        <v>COLETORA</v>
      </c>
      <c r="M447" s="5" t="str">
        <f>IFERROR(__xludf.DUMMYFUNCTION("""COMPUTED_VALUE"""),"CLIMA BOM")</f>
        <v>CLIMA BOM</v>
      </c>
      <c r="N447" s="5" t="str">
        <f>IFERROR(__xludf.DUMMYFUNCTION("""COMPUTED_VALUE"""),"CENTRO - BAIRRO")</f>
        <v>CENTRO - BAIRRO</v>
      </c>
      <c r="O447" s="5" t="str">
        <f>IFERROR(__xludf.DUMMYFUNCTION("""COMPUTED_VALUE"""),"EM FRENTE A ANDAIMES")</f>
        <v>EM FRENTE A ANDAIMES</v>
      </c>
      <c r="P447" s="5" t="str">
        <f>IFERROR(__xludf.DUMMYFUNCTION("""COMPUTED_VALUE"""),"URGENTE")</f>
        <v>URGENTE</v>
      </c>
      <c r="Q447" s="5" t="str">
        <f>IFERROR(__xludf.DUMMYFUNCTION("""COMPUTED_VALUE"""),"PINTURA DE BAÍA NO ASFALTO.")</f>
        <v>PINTURA DE BAÍA NO ASFALTO.</v>
      </c>
      <c r="R447" s="5" t="str">
        <f>IFERROR(__xludf.DUMMYFUNCTION("""COMPUTED_VALUE"""),"IMPLANTAR ABRIGO")</f>
        <v>IMPLANTAR ABRIGO</v>
      </c>
      <c r="S447" s="5"/>
      <c r="T447" s="5"/>
      <c r="U447" s="5"/>
      <c r="V447" s="9" t="str">
        <f>IFERROR(__xludf.DUMMYFUNCTION("""COMPUTED_VALUE"""),"https://drive.google.com/uc?id=11tjksT7HH9JdRHd4E49EmdNHL4VYj2Lp")</f>
        <v>https://drive.google.com/uc?id=11tjksT7HH9JdRHd4E49EmdNHL4VYj2Lp</v>
      </c>
      <c r="W447" s="5" t="str">
        <f>IFERROR(__xludf.DUMMYFUNCTION("""COMPUTED_VALUE"""),"NÃO")</f>
        <v>NÃO</v>
      </c>
      <c r="X447" s="5" t="str">
        <f>IFERROR(__xludf.DUMMYFUNCTION("""COMPUTED_VALUE"""),"NÃO SE APLICA")</f>
        <v>NÃO SE APLICA</v>
      </c>
    </row>
    <row r="448" hidden="1">
      <c r="A448" s="5">
        <f>IFERROR(__xludf.DUMMYFUNCTION("""COMPUTED_VALUE"""),7.0)</f>
        <v>7</v>
      </c>
      <c r="B448" s="5" t="str">
        <f>IFERROR(__xludf.DUMMYFUNCTION("""COMPUTED_VALUE"""),"CB002")</f>
        <v>CB002</v>
      </c>
      <c r="C448" s="5" t="str">
        <f>IFERROR(__xludf.DUMMYFUNCTION("""COMPUTED_VALUE"""),"NÃO POSSUI")</f>
        <v>NÃO POSSUI</v>
      </c>
      <c r="D448" s="5" t="str">
        <f>IFERROR(__xludf.DUMMYFUNCTION("""COMPUTED_VALUE"""),"FIXADA EM POSTE")</f>
        <v>FIXADA EM POSTE</v>
      </c>
      <c r="E448" s="5" t="str">
        <f>IFERROR(__xludf.DUMMYFUNCTION("""COMPUTED_VALUE"""),"SEM BAIA")</f>
        <v>SEM BAIA</v>
      </c>
      <c r="F448" s="5" t="str">
        <f>IFERROR(__xludf.DUMMYFUNCTION("""COMPUTED_VALUE"""),"NÃO")</f>
        <v>NÃO</v>
      </c>
      <c r="G448" s="5" t="str">
        <f>IFERROR(__xludf.DUMMYFUNCTION("""COMPUTED_VALUE"""),"NÃO")</f>
        <v>NÃO</v>
      </c>
      <c r="H448" s="5" t="str">
        <f>IFERROR(__xludf.DUMMYFUNCTION("""COMPUTED_VALUE"""),"PAVIMENTADA")</f>
        <v>PAVIMENTADA</v>
      </c>
      <c r="I448" s="6" t="str">
        <f>IFERROR(__xludf.DUMMYFUNCTION("""COMPUTED_VALUE"""),"-9.57809")</f>
        <v>-9.57809</v>
      </c>
      <c r="J448" s="6" t="str">
        <f>IFERROR(__xludf.DUMMYFUNCTION("""COMPUTED_VALUE"""),"-35.77854")</f>
        <v>-35.77854</v>
      </c>
      <c r="K448" s="5" t="str">
        <f>IFERROR(__xludf.DUMMYFUNCTION("""COMPUTED_VALUE"""),"RUA CARLOS GUIDO FERRÁRIO , 77")</f>
        <v>RUA CARLOS GUIDO FERRÁRIO , 77</v>
      </c>
      <c r="L448" s="5" t="str">
        <f>IFERROR(__xludf.DUMMYFUNCTION("""COMPUTED_VALUE"""),"LOCAL")</f>
        <v>LOCAL</v>
      </c>
      <c r="M448" s="5" t="str">
        <f>IFERROR(__xludf.DUMMYFUNCTION("""COMPUTED_VALUE"""),"CLIMA BOM")</f>
        <v>CLIMA BOM</v>
      </c>
      <c r="N448" s="5" t="str">
        <f>IFERROR(__xludf.DUMMYFUNCTION("""COMPUTED_VALUE"""),"CENTRO - BAIRRO")</f>
        <v>CENTRO - BAIRRO</v>
      </c>
      <c r="O448" s="5" t="str">
        <f>IFERROR(__xludf.DUMMYFUNCTION("""COMPUTED_VALUE"""),"EM FRENTE A CASA 77")</f>
        <v>EM FRENTE A CASA 77</v>
      </c>
      <c r="P448" s="5" t="str">
        <f>IFERROR(__xludf.DUMMYFUNCTION("""COMPUTED_VALUE"""),"PRIORIDADE BAIXA")</f>
        <v>PRIORIDADE BAIXA</v>
      </c>
      <c r="Q448" s="5" t="str">
        <f>IFERROR(__xludf.DUMMYFUNCTION("""COMPUTED_VALUE"""),"READEQUAÇÃO DA CALÇADA ALTA.")</f>
        <v>READEQUAÇÃO DA CALÇADA ALTA.</v>
      </c>
      <c r="R448" s="5" t="str">
        <f>IFERROR(__xludf.DUMMYFUNCTION("""COMPUTED_VALUE"""),"NENHUMA DAS OPÇÕES")</f>
        <v>NENHUMA DAS OPÇÕES</v>
      </c>
      <c r="S448" s="5"/>
      <c r="T448" s="5"/>
      <c r="U448" s="5"/>
      <c r="V448" s="9" t="str">
        <f>IFERROR(__xludf.DUMMYFUNCTION("""COMPUTED_VALUE"""),"https://drive.google.com/uc?id=1haoZHxIWTQGuMBoWql2E5lMb6RqVP7SV")</f>
        <v>https://drive.google.com/uc?id=1haoZHxIWTQGuMBoWql2E5lMb6RqVP7SV</v>
      </c>
      <c r="W448" s="5" t="str">
        <f>IFERROR(__xludf.DUMMYFUNCTION("""COMPUTED_VALUE"""),"NÃO")</f>
        <v>NÃO</v>
      </c>
      <c r="X448" s="5" t="str">
        <f>IFERROR(__xludf.DUMMYFUNCTION("""COMPUTED_VALUE"""),"NÃO SE APLICA")</f>
        <v>NÃO SE APLICA</v>
      </c>
    </row>
    <row r="449" hidden="1">
      <c r="A449" s="5">
        <f>IFERROR(__xludf.DUMMYFUNCTION("""COMPUTED_VALUE"""),7.0)</f>
        <v>7</v>
      </c>
      <c r="B449" s="5" t="str">
        <f>IFERROR(__xludf.DUMMYFUNCTION("""COMPUTED_VALUE"""),"CB003")</f>
        <v>CB003</v>
      </c>
      <c r="C449" s="5" t="str">
        <f>IFERROR(__xludf.DUMMYFUNCTION("""COMPUTED_VALUE"""),"NÃO POSSUI")</f>
        <v>NÃO POSSUI</v>
      </c>
      <c r="D449" s="5" t="str">
        <f>IFERROR(__xludf.DUMMYFUNCTION("""COMPUTED_VALUE"""),"COM SUPORTE")</f>
        <v>COM SUPORTE</v>
      </c>
      <c r="E449" s="5" t="str">
        <f>IFERROR(__xludf.DUMMYFUNCTION("""COMPUTED_VALUE"""),"SEM BAIA")</f>
        <v>SEM BAIA</v>
      </c>
      <c r="F449" s="5" t="str">
        <f>IFERROR(__xludf.DUMMYFUNCTION("""COMPUTED_VALUE"""),"NÃO")</f>
        <v>NÃO</v>
      </c>
      <c r="G449" s="5" t="str">
        <f>IFERROR(__xludf.DUMMYFUNCTION("""COMPUTED_VALUE"""),"NÃO")</f>
        <v>NÃO</v>
      </c>
      <c r="H449" s="5" t="str">
        <f>IFERROR(__xludf.DUMMYFUNCTION("""COMPUTED_VALUE"""),"PAVIMENTADA")</f>
        <v>PAVIMENTADA</v>
      </c>
      <c r="I449" s="6" t="str">
        <f>IFERROR(__xludf.DUMMYFUNCTION("""COMPUTED_VALUE"""),"-9.57796")</f>
        <v>-9.57796</v>
      </c>
      <c r="J449" s="6" t="str">
        <f>IFERROR(__xludf.DUMMYFUNCTION("""COMPUTED_VALUE"""),"-35.77835")</f>
        <v>-35.77835</v>
      </c>
      <c r="K449" s="5" t="str">
        <f>IFERROR(__xludf.DUMMYFUNCTION("""COMPUTED_VALUE"""),"RUA CARLOS GUIDO FERRÁRIO ")</f>
        <v>RUA CARLOS GUIDO FERRÁRIO </v>
      </c>
      <c r="L449" s="5" t="str">
        <f>IFERROR(__xludf.DUMMYFUNCTION("""COMPUTED_VALUE"""),"LOCAL")</f>
        <v>LOCAL</v>
      </c>
      <c r="M449" s="5" t="str">
        <f>IFERROR(__xludf.DUMMYFUNCTION("""COMPUTED_VALUE"""),"CLIMA BOM")</f>
        <v>CLIMA BOM</v>
      </c>
      <c r="N449" s="5" t="str">
        <f>IFERROR(__xludf.DUMMYFUNCTION("""COMPUTED_VALUE"""),"BAIRRO - CENTRO")</f>
        <v>BAIRRO - CENTRO</v>
      </c>
      <c r="O449" s="5" t="str">
        <f>IFERROR(__xludf.DUMMYFUNCTION("""COMPUTED_VALUE"""),"EM FRENTE A DISK MÓVEIS PLANEJADOS")</f>
        <v>EM FRENTE A DISK MÓVEIS PLANEJADOS</v>
      </c>
      <c r="P449" s="5" t="str">
        <f>IFERROR(__xludf.DUMMYFUNCTION("""COMPUTED_VALUE"""),"PRIORIDADE BAIXA")</f>
        <v>PRIORIDADE BAIXA</v>
      </c>
      <c r="Q449" s="5"/>
      <c r="R449" s="5" t="str">
        <f>IFERROR(__xludf.DUMMYFUNCTION("""COMPUTED_VALUE"""),"NENHUMA DAS OPÇÕES")</f>
        <v>NENHUMA DAS OPÇÕES</v>
      </c>
      <c r="S449" s="5"/>
      <c r="T449" s="5"/>
      <c r="U449" s="5"/>
      <c r="V449" s="9" t="str">
        <f>IFERROR(__xludf.DUMMYFUNCTION("""COMPUTED_VALUE"""),"https://drive.google.com/uc?id=1GlVv0Ojmx0AuEtcFNdfOTiY1cV4t7tRf")</f>
        <v>https://drive.google.com/uc?id=1GlVv0Ojmx0AuEtcFNdfOTiY1cV4t7tRf</v>
      </c>
      <c r="W449" s="5" t="str">
        <f>IFERROR(__xludf.DUMMYFUNCTION("""COMPUTED_VALUE"""),"NÃO")</f>
        <v>NÃO</v>
      </c>
      <c r="X449" s="5" t="str">
        <f>IFERROR(__xludf.DUMMYFUNCTION("""COMPUTED_VALUE"""),"NÃO SE APLICA")</f>
        <v>NÃO SE APLICA</v>
      </c>
    </row>
    <row r="450" hidden="1">
      <c r="A450" s="5">
        <f>IFERROR(__xludf.DUMMYFUNCTION("""COMPUTED_VALUE"""),7.0)</f>
        <v>7</v>
      </c>
      <c r="B450" s="5" t="str">
        <f>IFERROR(__xludf.DUMMYFUNCTION("""COMPUTED_VALUE"""),"CB004")</f>
        <v>CB004</v>
      </c>
      <c r="C450" s="5" t="str">
        <f>IFERROR(__xludf.DUMMYFUNCTION("""COMPUTED_VALUE"""),"NÃO POSSUI")</f>
        <v>NÃO POSSUI</v>
      </c>
      <c r="D450" s="5" t="str">
        <f>IFERROR(__xludf.DUMMYFUNCTION("""COMPUTED_VALUE"""),"SEM PLACA")</f>
        <v>SEM PLACA</v>
      </c>
      <c r="E450" s="5" t="str">
        <f>IFERROR(__xludf.DUMMYFUNCTION("""COMPUTED_VALUE"""),"SEM BAIA")</f>
        <v>SEM BAIA</v>
      </c>
      <c r="F450" s="5" t="str">
        <f>IFERROR(__xludf.DUMMYFUNCTION("""COMPUTED_VALUE"""),"NÃO")</f>
        <v>NÃO</v>
      </c>
      <c r="G450" s="5" t="str">
        <f>IFERROR(__xludf.DUMMYFUNCTION("""COMPUTED_VALUE"""),"NÃO")</f>
        <v>NÃO</v>
      </c>
      <c r="H450" s="5" t="str">
        <f>IFERROR(__xludf.DUMMYFUNCTION("""COMPUTED_VALUE"""),"PAVIMENTADA")</f>
        <v>PAVIMENTADA</v>
      </c>
      <c r="I450" s="6" t="str">
        <f>IFERROR(__xludf.DUMMYFUNCTION("""COMPUTED_VALUE"""),"-9.574008")</f>
        <v>-9.574008</v>
      </c>
      <c r="J450" s="6" t="str">
        <f>IFERROR(__xludf.DUMMYFUNCTION("""COMPUTED_VALUE"""),"-35.778129")</f>
        <v>-35.778129</v>
      </c>
      <c r="K450" s="5" t="str">
        <f>IFERROR(__xludf.DUMMYFUNCTION("""COMPUTED_VALUE"""),"R. DR. JOÃO CRISÓSTOMO DE FARIAS")</f>
        <v>R. DR. JOÃO CRISÓSTOMO DE FARIAS</v>
      </c>
      <c r="L450" s="5" t="str">
        <f>IFERROR(__xludf.DUMMYFUNCTION("""COMPUTED_VALUE"""),"LOCAL")</f>
        <v>LOCAL</v>
      </c>
      <c r="M450" s="5" t="str">
        <f>IFERROR(__xludf.DUMMYFUNCTION("""COMPUTED_VALUE"""),"CLIMA BOM")</f>
        <v>CLIMA BOM</v>
      </c>
      <c r="N450" s="5" t="str">
        <f>IFERROR(__xludf.DUMMYFUNCTION("""COMPUTED_VALUE"""),"CENTRO - BAIRRO")</f>
        <v>CENTRO - BAIRRO</v>
      </c>
      <c r="O450" s="5" t="str">
        <f>IFERROR(__xludf.DUMMYFUNCTION("""COMPUTED_VALUE"""),"M FRENTE À CASA TELES")</f>
        <v>M FRENTE À CASA TELES</v>
      </c>
      <c r="P450" s="5" t="str">
        <f>IFERROR(__xludf.DUMMYFUNCTION("""COMPUTED_VALUE"""),"URGENTE")</f>
        <v>URGENTE</v>
      </c>
      <c r="Q450" s="5" t="str">
        <f>IFERROR(__xludf.DUMMYFUNCTION("""COMPUTED_VALUE"""),"PINTURA DE BAÍA NO ASFALTO.")</f>
        <v>PINTURA DE BAÍA NO ASFALTO.</v>
      </c>
      <c r="R450" s="5" t="str">
        <f>IFERROR(__xludf.DUMMYFUNCTION("""COMPUTED_VALUE"""),"NENHUMA DAS OPÇÕES")</f>
        <v>NENHUMA DAS OPÇÕES</v>
      </c>
      <c r="S450" s="5"/>
      <c r="T450" s="5"/>
      <c r="U450" s="5"/>
      <c r="V450" s="9" t="str">
        <f>IFERROR(__xludf.DUMMYFUNCTION("""COMPUTED_VALUE"""),"https://drive.google.com/uc?id=1xvNZO_PhqBqjVC_BEV5noj2ddo06AuCA")</f>
        <v>https://drive.google.com/uc?id=1xvNZO_PhqBqjVC_BEV5noj2ddo06AuCA</v>
      </c>
      <c r="W450" s="5" t="str">
        <f>IFERROR(__xludf.DUMMYFUNCTION("""COMPUTED_VALUE"""),"NÃO")</f>
        <v>NÃO</v>
      </c>
      <c r="X450" s="5" t="str">
        <f>IFERROR(__xludf.DUMMYFUNCTION("""COMPUTED_VALUE"""),"NÃO SE APLICA")</f>
        <v>NÃO SE APLICA</v>
      </c>
    </row>
    <row r="451" hidden="1">
      <c r="A451" s="5">
        <f>IFERROR(__xludf.DUMMYFUNCTION("""COMPUTED_VALUE"""),7.0)</f>
        <v>7</v>
      </c>
      <c r="B451" s="5" t="str">
        <f>IFERROR(__xludf.DUMMYFUNCTION("""COMPUTED_VALUE"""),"CB005")</f>
        <v>CB005</v>
      </c>
      <c r="C451" s="5" t="str">
        <f>IFERROR(__xludf.DUMMYFUNCTION("""COMPUTED_VALUE"""),"NÃO POSSUI")</f>
        <v>NÃO POSSUI</v>
      </c>
      <c r="D451" s="5" t="str">
        <f>IFERROR(__xludf.DUMMYFUNCTION("""COMPUTED_VALUE"""),"FIXADA EM POSTE")</f>
        <v>FIXADA EM POSTE</v>
      </c>
      <c r="E451" s="5" t="str">
        <f>IFERROR(__xludf.DUMMYFUNCTION("""COMPUTED_VALUE"""),"SEM BAIA")</f>
        <v>SEM BAIA</v>
      </c>
      <c r="F451" s="5" t="str">
        <f>IFERROR(__xludf.DUMMYFUNCTION("""COMPUTED_VALUE"""),"NÃO")</f>
        <v>NÃO</v>
      </c>
      <c r="G451" s="5" t="str">
        <f>IFERROR(__xludf.DUMMYFUNCTION("""COMPUTED_VALUE"""),"NÃO")</f>
        <v>NÃO</v>
      </c>
      <c r="H451" s="5" t="str">
        <f>IFERROR(__xludf.DUMMYFUNCTION("""COMPUTED_VALUE"""),"PAVIMENTADA")</f>
        <v>PAVIMENTADA</v>
      </c>
      <c r="I451" s="6" t="str">
        <f>IFERROR(__xludf.DUMMYFUNCTION("""COMPUTED_VALUE"""),"-9.573721")</f>
        <v>-9.573721</v>
      </c>
      <c r="J451" s="6" t="str">
        <f>IFERROR(__xludf.DUMMYFUNCTION("""COMPUTED_VALUE"""),"-35.778016")</f>
        <v>-35.778016</v>
      </c>
      <c r="K451" s="5" t="str">
        <f>IFERROR(__xludf.DUMMYFUNCTION("""COMPUTED_VALUE"""),"AV. LUÍZ GONZAGA BARROSO ")</f>
        <v>AV. LUÍZ GONZAGA BARROSO </v>
      </c>
      <c r="L451" s="5" t="str">
        <f>IFERROR(__xludf.DUMMYFUNCTION("""COMPUTED_VALUE"""),"LOCAL")</f>
        <v>LOCAL</v>
      </c>
      <c r="M451" s="5" t="str">
        <f>IFERROR(__xludf.DUMMYFUNCTION("""COMPUTED_VALUE"""),"CLIMA BOM")</f>
        <v>CLIMA BOM</v>
      </c>
      <c r="N451" s="5" t="str">
        <f>IFERROR(__xludf.DUMMYFUNCTION("""COMPUTED_VALUE"""),"CENTRO - BAIRRO")</f>
        <v>CENTRO - BAIRRO</v>
      </c>
      <c r="O451" s="5" t="str">
        <f>IFERROR(__xludf.DUMMYFUNCTION("""COMPUTED_VALUE"""),"EM FRENTE A CASA 25A")</f>
        <v>EM FRENTE A CASA 25A</v>
      </c>
      <c r="P451" s="5" t="str">
        <f>IFERROR(__xludf.DUMMYFUNCTION("""COMPUTED_VALUE"""),"PRIORIDADE BAIXA")</f>
        <v>PRIORIDADE BAIXA</v>
      </c>
      <c r="Q451" s="5" t="str">
        <f>IFERROR(__xludf.DUMMYFUNCTION("""COMPUTED_VALUE"""),"PINTURA DE BAÍA NO ASFALTO.")</f>
        <v>PINTURA DE BAÍA NO ASFALTO.</v>
      </c>
      <c r="R451" s="5" t="str">
        <f>IFERROR(__xludf.DUMMYFUNCTION("""COMPUTED_VALUE"""),"NENHUMA DAS OPÇÕES")</f>
        <v>NENHUMA DAS OPÇÕES</v>
      </c>
      <c r="S451" s="5"/>
      <c r="T451" s="5"/>
      <c r="U451" s="5"/>
      <c r="V451" s="9" t="str">
        <f>IFERROR(__xludf.DUMMYFUNCTION("""COMPUTED_VALUE"""),"https://drive.google.com/uc?id=1-sSEfLXHOUuX6AYVkSx-W9OIDcW7Neso")</f>
        <v>https://drive.google.com/uc?id=1-sSEfLXHOUuX6AYVkSx-W9OIDcW7Neso</v>
      </c>
      <c r="W451" s="5" t="str">
        <f>IFERROR(__xludf.DUMMYFUNCTION("""COMPUTED_VALUE"""),"NÃO")</f>
        <v>NÃO</v>
      </c>
      <c r="X451" s="5" t="str">
        <f>IFERROR(__xludf.DUMMYFUNCTION("""COMPUTED_VALUE"""),"NÃO SE APLICA")</f>
        <v>NÃO SE APLICA</v>
      </c>
    </row>
    <row r="452" hidden="1">
      <c r="A452" s="5">
        <f>IFERROR(__xludf.DUMMYFUNCTION("""COMPUTED_VALUE"""),7.0)</f>
        <v>7</v>
      </c>
      <c r="B452" s="5" t="str">
        <f>IFERROR(__xludf.DUMMYFUNCTION("""COMPUTED_VALUE"""),"CB006")</f>
        <v>CB006</v>
      </c>
      <c r="C452" s="5" t="str">
        <f>IFERROR(__xludf.DUMMYFUNCTION("""COMPUTED_VALUE"""),"NÃO POSSUI")</f>
        <v>NÃO POSSUI</v>
      </c>
      <c r="D452" s="5" t="str">
        <f>IFERROR(__xludf.DUMMYFUNCTION("""COMPUTED_VALUE"""),"COM SUPORTE")</f>
        <v>COM SUPORTE</v>
      </c>
      <c r="E452" s="5" t="str">
        <f>IFERROR(__xludf.DUMMYFUNCTION("""COMPUTED_VALUE"""),"BAIA PINTADA")</f>
        <v>BAIA PINTADA</v>
      </c>
      <c r="F452" s="5" t="str">
        <f>IFERROR(__xludf.DUMMYFUNCTION("""COMPUTED_VALUE"""),"NÃO")</f>
        <v>NÃO</v>
      </c>
      <c r="G452" s="5" t="str">
        <f>IFERROR(__xludf.DUMMYFUNCTION("""COMPUTED_VALUE"""),"NÃO")</f>
        <v>NÃO</v>
      </c>
      <c r="H452" s="5" t="str">
        <f>IFERROR(__xludf.DUMMYFUNCTION("""COMPUTED_VALUE"""),"PAVIMENTADA COM AVARIAS")</f>
        <v>PAVIMENTADA COM AVARIAS</v>
      </c>
      <c r="I452" s="6" t="str">
        <f>IFERROR(__xludf.DUMMYFUNCTION("""COMPUTED_VALUE"""),"-9.569481")</f>
        <v>-9.569481</v>
      </c>
      <c r="J452" s="6" t="str">
        <f>IFERROR(__xludf.DUMMYFUNCTION("""COMPUTED_VALUE"""),"-35.778126")</f>
        <v>-35.778126</v>
      </c>
      <c r="K452" s="5" t="str">
        <f>IFERROR(__xludf.DUMMYFUNCTION("""COMPUTED_VALUE"""),"AV. LUÍZ GONZAGA BARROSO")</f>
        <v>AV. LUÍZ GONZAGA BARROSO</v>
      </c>
      <c r="L452" s="5" t="str">
        <f>IFERROR(__xludf.DUMMYFUNCTION("""COMPUTED_VALUE"""),"LOCAL")</f>
        <v>LOCAL</v>
      </c>
      <c r="M452" s="5" t="str">
        <f>IFERROR(__xludf.DUMMYFUNCTION("""COMPUTED_VALUE"""),"CLIMA BOM")</f>
        <v>CLIMA BOM</v>
      </c>
      <c r="N452" s="5" t="str">
        <f>IFERROR(__xludf.DUMMYFUNCTION("""COMPUTED_VALUE"""),"CENTRO - BAIRRO")</f>
        <v>CENTRO - BAIRRO</v>
      </c>
      <c r="O452" s="5" t="str">
        <f>IFERROR(__xludf.DUMMYFUNCTION("""COMPUTED_VALUE"""),"EM FRENTE AO ESPETINHO DA MARY")</f>
        <v>EM FRENTE AO ESPETINHO DA MARY</v>
      </c>
      <c r="P452" s="5" t="str">
        <f>IFERROR(__xludf.DUMMYFUNCTION("""COMPUTED_VALUE"""),"PRIORIDADE MÉDIA")</f>
        <v>PRIORIDADE MÉDIA</v>
      </c>
      <c r="Q452" s="5" t="str">
        <f>IFERROR(__xludf.DUMMYFUNCTION("""COMPUTED_VALUE"""),"NECESSÁRIO REALIZAR LIMPEZA DA VEGETAÇÃO SELVAGEM CRESCENTE E CORREÇÃO DA PINTURA DE BAÍA NO ASFALTO.")</f>
        <v>NECESSÁRIO REALIZAR LIMPEZA DA VEGETAÇÃO SELVAGEM CRESCENTE E CORREÇÃO DA PINTURA DE BAÍA NO ASFALTO.</v>
      </c>
      <c r="R452" s="5" t="str">
        <f>IFERROR(__xludf.DUMMYFUNCTION("""COMPUTED_VALUE"""),"IMPLANTAR ABRIGO")</f>
        <v>IMPLANTAR ABRIGO</v>
      </c>
      <c r="S452" s="5"/>
      <c r="T452" s="5"/>
      <c r="U452" s="5"/>
      <c r="V452" s="9" t="str">
        <f>IFERROR(__xludf.DUMMYFUNCTION("""COMPUTED_VALUE"""),"https://drive.google.com/uc?id=1nxL3MXyytsD6ZtR6q9EosqloV64DQ3i4")</f>
        <v>https://drive.google.com/uc?id=1nxL3MXyytsD6ZtR6q9EosqloV64DQ3i4</v>
      </c>
      <c r="W452" s="5" t="str">
        <f>IFERROR(__xludf.DUMMYFUNCTION("""COMPUTED_VALUE"""),"NÃO")</f>
        <v>NÃO</v>
      </c>
      <c r="X452" s="5" t="str">
        <f>IFERROR(__xludf.DUMMYFUNCTION("""COMPUTED_VALUE"""),"NÃO SE APLICA")</f>
        <v>NÃO SE APLICA</v>
      </c>
    </row>
    <row r="453" hidden="1">
      <c r="A453" s="5">
        <f>IFERROR(__xludf.DUMMYFUNCTION("""COMPUTED_VALUE"""),7.0)</f>
        <v>7</v>
      </c>
      <c r="B453" s="5" t="str">
        <f>IFERROR(__xludf.DUMMYFUNCTION("""COMPUTED_VALUE"""),"CB007")</f>
        <v>CB007</v>
      </c>
      <c r="C453" s="5" t="str">
        <f>IFERROR(__xludf.DUMMYFUNCTION("""COMPUTED_VALUE"""),"NÃO POSSUI")</f>
        <v>NÃO POSSUI</v>
      </c>
      <c r="D453" s="5" t="str">
        <f>IFERROR(__xludf.DUMMYFUNCTION("""COMPUTED_VALUE"""),"FIXADA EM POSTE")</f>
        <v>FIXADA EM POSTE</v>
      </c>
      <c r="E453" s="5" t="str">
        <f>IFERROR(__xludf.DUMMYFUNCTION("""COMPUTED_VALUE"""),"SEM BAIA")</f>
        <v>SEM BAIA</v>
      </c>
      <c r="F453" s="5" t="str">
        <f>IFERROR(__xludf.DUMMYFUNCTION("""COMPUTED_VALUE"""),"NÃO")</f>
        <v>NÃO</v>
      </c>
      <c r="G453" s="5" t="str">
        <f>IFERROR(__xludf.DUMMYFUNCTION("""COMPUTED_VALUE"""),"NÃO")</f>
        <v>NÃO</v>
      </c>
      <c r="H453" s="5" t="str">
        <f>IFERROR(__xludf.DUMMYFUNCTION("""COMPUTED_VALUE"""),"PAVIMENTADA COM AVARIAS")</f>
        <v>PAVIMENTADA COM AVARIAS</v>
      </c>
      <c r="I453" s="6" t="str">
        <f>IFERROR(__xludf.DUMMYFUNCTION("""COMPUTED_VALUE"""),"-9.568946")</f>
        <v>-9.568946</v>
      </c>
      <c r="J453" s="6" t="str">
        <f>IFERROR(__xludf.DUMMYFUNCTION("""COMPUTED_VALUE"""),"-35.781599")</f>
        <v>-35.781599</v>
      </c>
      <c r="K453" s="5" t="str">
        <f>IFERROR(__xludf.DUMMYFUNCTION("""COMPUTED_VALUE"""),"R. SUPERVISOR IVALDO FERINO")</f>
        <v>R. SUPERVISOR IVALDO FERINO</v>
      </c>
      <c r="L453" s="5" t="str">
        <f>IFERROR(__xludf.DUMMYFUNCTION("""COMPUTED_VALUE"""),"LOCAL")</f>
        <v>LOCAL</v>
      </c>
      <c r="M453" s="5" t="str">
        <f>IFERROR(__xludf.DUMMYFUNCTION("""COMPUTED_VALUE"""),"CLIMA BOM")</f>
        <v>CLIMA BOM</v>
      </c>
      <c r="N453" s="5" t="str">
        <f>IFERROR(__xludf.DUMMYFUNCTION("""COMPUTED_VALUE"""),"CENTRO - BAIRRO")</f>
        <v>CENTRO - BAIRRO</v>
      </c>
      <c r="O453" s="5" t="str">
        <f>IFERROR(__xludf.DUMMYFUNCTION("""COMPUTED_VALUE"""),"APÓS A LOJA DE SUCATA")</f>
        <v>APÓS A LOJA DE SUCATA</v>
      </c>
      <c r="P453" s="5" t="str">
        <f>IFERROR(__xludf.DUMMYFUNCTION("""COMPUTED_VALUE"""),"PRIORIDADE BAIXA")</f>
        <v>PRIORIDADE BAIXA</v>
      </c>
      <c r="Q453" s="5" t="str">
        <f>IFERROR(__xludf.DUMMYFUNCTION("""COMPUTED_VALUE"""),"READEQUAÇÃO DE CALÇADA E CORREÇÃO DA PINTURA DE BAÍA NO ASFALTO.")</f>
        <v>READEQUAÇÃO DE CALÇADA E CORREÇÃO DA PINTURA DE BAÍA NO ASFALTO.</v>
      </c>
      <c r="R453" s="5" t="str">
        <f>IFERROR(__xludf.DUMMYFUNCTION("""COMPUTED_VALUE"""),"IMPLANTAR ABRIGO")</f>
        <v>IMPLANTAR ABRIGO</v>
      </c>
      <c r="S453" s="5"/>
      <c r="T453" s="5"/>
      <c r="U453" s="5"/>
      <c r="V453" s="9" t="str">
        <f>IFERROR(__xludf.DUMMYFUNCTION("""COMPUTED_VALUE"""),"https://drive.google.com/uc?id=1Y5fkyjLO-HvMNRK8hEt0Q969cDrjXmT7")</f>
        <v>https://drive.google.com/uc?id=1Y5fkyjLO-HvMNRK8hEt0Q969cDrjXmT7</v>
      </c>
      <c r="W453" s="5" t="str">
        <f>IFERROR(__xludf.DUMMYFUNCTION("""COMPUTED_VALUE"""),"NÃO")</f>
        <v>NÃO</v>
      </c>
      <c r="X453" s="5" t="str">
        <f>IFERROR(__xludf.DUMMYFUNCTION("""COMPUTED_VALUE"""),"NÃO SE APLICA")</f>
        <v>NÃO SE APLICA</v>
      </c>
    </row>
    <row r="454" hidden="1">
      <c r="A454" s="5">
        <f>IFERROR(__xludf.DUMMYFUNCTION("""COMPUTED_VALUE"""),7.0)</f>
        <v>7</v>
      </c>
      <c r="B454" s="5" t="str">
        <f>IFERROR(__xludf.DUMMYFUNCTION("""COMPUTED_VALUE"""),"CB008")</f>
        <v>CB008</v>
      </c>
      <c r="C454" s="5" t="str">
        <f>IFERROR(__xludf.DUMMYFUNCTION("""COMPUTED_VALUE"""),"NÃO POSSUI")</f>
        <v>NÃO POSSUI</v>
      </c>
      <c r="D454" s="5" t="str">
        <f>IFERROR(__xludf.DUMMYFUNCTION("""COMPUTED_VALUE"""),"COM SUPORTE")</f>
        <v>COM SUPORTE</v>
      </c>
      <c r="E454" s="5" t="str">
        <f>IFERROR(__xludf.DUMMYFUNCTION("""COMPUTED_VALUE"""),"SEM BAIA")</f>
        <v>SEM BAIA</v>
      </c>
      <c r="F454" s="5" t="str">
        <f>IFERROR(__xludf.DUMMYFUNCTION("""COMPUTED_VALUE"""),"NÃO")</f>
        <v>NÃO</v>
      </c>
      <c r="G454" s="5" t="str">
        <f>IFERROR(__xludf.DUMMYFUNCTION("""COMPUTED_VALUE"""),"NÃO")</f>
        <v>NÃO</v>
      </c>
      <c r="H454" s="5" t="str">
        <f>IFERROR(__xludf.DUMMYFUNCTION("""COMPUTED_VALUE"""),"PAVIMENTADA")</f>
        <v>PAVIMENTADA</v>
      </c>
      <c r="I454" s="6" t="str">
        <f>IFERROR(__xludf.DUMMYFUNCTION("""COMPUTED_VALUE"""),"-9.56788")</f>
        <v>-9.56788</v>
      </c>
      <c r="J454" s="6" t="str">
        <f>IFERROR(__xludf.DUMMYFUNCTION("""COMPUTED_VALUE"""),"-35.78919")</f>
        <v>-35.78919</v>
      </c>
      <c r="K454" s="5" t="str">
        <f>IFERROR(__xludf.DUMMYFUNCTION("""COMPUTED_VALUE"""),"AV. LUÍZ GONZAGA BARROSO")</f>
        <v>AV. LUÍZ GONZAGA BARROSO</v>
      </c>
      <c r="L454" s="5" t="str">
        <f>IFERROR(__xludf.DUMMYFUNCTION("""COMPUTED_VALUE"""),"LOCAL")</f>
        <v>LOCAL</v>
      </c>
      <c r="M454" s="5" t="str">
        <f>IFERROR(__xludf.DUMMYFUNCTION("""COMPUTED_VALUE"""),"CLIMA BOM")</f>
        <v>CLIMA BOM</v>
      </c>
      <c r="N454" s="5" t="str">
        <f>IFERROR(__xludf.DUMMYFUNCTION("""COMPUTED_VALUE"""),"CENTRO - BAIRRO")</f>
        <v>CENTRO - BAIRRO</v>
      </c>
      <c r="O454" s="5" t="str">
        <f>IFERROR(__xludf.DUMMYFUNCTION("""COMPUTED_VALUE"""),"EM FRENTE A CASA 29")</f>
        <v>EM FRENTE A CASA 29</v>
      </c>
      <c r="P454" s="5" t="str">
        <f>IFERROR(__xludf.DUMMYFUNCTION("""COMPUTED_VALUE"""),"URGENTE")</f>
        <v>URGENTE</v>
      </c>
      <c r="Q454" s="5" t="str">
        <f>IFERROR(__xludf.DUMMYFUNCTION("""COMPUTED_VALUE"""),"READEQUAÇÃO DE CALÇADA E CORREÇÃO DA PINTURA DE BAÍA NO ASFALTO.")</f>
        <v>READEQUAÇÃO DE CALÇADA E CORREÇÃO DA PINTURA DE BAÍA NO ASFALTO.</v>
      </c>
      <c r="R454" s="5" t="str">
        <f>IFERROR(__xludf.DUMMYFUNCTION("""COMPUTED_VALUE"""),"NENHUMA DAS OPÇÕES")</f>
        <v>NENHUMA DAS OPÇÕES</v>
      </c>
      <c r="S454" s="5"/>
      <c r="T454" s="5"/>
      <c r="U454" s="5"/>
      <c r="V454" s="9" t="str">
        <f>IFERROR(__xludf.DUMMYFUNCTION("""COMPUTED_VALUE"""),"https://drive.google.com/uc?id=1qpPM9FNiqFB1FsOsJ_vNeqHGXoHnl7dx")</f>
        <v>https://drive.google.com/uc?id=1qpPM9FNiqFB1FsOsJ_vNeqHGXoHnl7dx</v>
      </c>
      <c r="W454" s="5" t="str">
        <f>IFERROR(__xludf.DUMMYFUNCTION("""COMPUTED_VALUE"""),"NÃO")</f>
        <v>NÃO</v>
      </c>
      <c r="X454" s="5" t="str">
        <f>IFERROR(__xludf.DUMMYFUNCTION("""COMPUTED_VALUE"""),"NÃO SE APLICA")</f>
        <v>NÃO SE APLICA</v>
      </c>
    </row>
    <row r="455" hidden="1">
      <c r="A455" s="5">
        <f>IFERROR(__xludf.DUMMYFUNCTION("""COMPUTED_VALUE"""),7.0)</f>
        <v>7</v>
      </c>
      <c r="B455" s="5" t="str">
        <f>IFERROR(__xludf.DUMMYFUNCTION("""COMPUTED_VALUE"""),"CB009")</f>
        <v>CB009</v>
      </c>
      <c r="C455" s="5" t="str">
        <f>IFERROR(__xludf.DUMMYFUNCTION("""COMPUTED_VALUE"""),"NÃO POSSUI")</f>
        <v>NÃO POSSUI</v>
      </c>
      <c r="D455" s="5" t="str">
        <f>IFERROR(__xludf.DUMMYFUNCTION("""COMPUTED_VALUE"""),"SEM PLACA")</f>
        <v>SEM PLACA</v>
      </c>
      <c r="E455" s="5" t="str">
        <f>IFERROR(__xludf.DUMMYFUNCTION("""COMPUTED_VALUE"""),"SEM BAIA")</f>
        <v>SEM BAIA</v>
      </c>
      <c r="F455" s="5" t="str">
        <f>IFERROR(__xludf.DUMMYFUNCTION("""COMPUTED_VALUE"""),"NÃO")</f>
        <v>NÃO</v>
      </c>
      <c r="G455" s="5" t="str">
        <f>IFERROR(__xludf.DUMMYFUNCTION("""COMPUTED_VALUE"""),"NÃO")</f>
        <v>NÃO</v>
      </c>
      <c r="H455" s="5" t="str">
        <f>IFERROR(__xludf.DUMMYFUNCTION("""COMPUTED_VALUE"""),"PAVIMENTADA COM AVARIAS")</f>
        <v>PAVIMENTADA COM AVARIAS</v>
      </c>
      <c r="I455" s="6" t="str">
        <f>IFERROR(__xludf.DUMMYFUNCTION("""COMPUTED_VALUE"""),"-9.567897")</f>
        <v>-9.567897</v>
      </c>
      <c r="J455" s="6" t="str">
        <f>IFERROR(__xludf.DUMMYFUNCTION("""COMPUTED_VALUE"""),"-35.788678")</f>
        <v>-35.788678</v>
      </c>
      <c r="K455" s="5" t="str">
        <f>IFERROR(__xludf.DUMMYFUNCTION("""COMPUTED_VALUE"""),"AV. LUÍZ GONZAGA BARROSO")</f>
        <v>AV. LUÍZ GONZAGA BARROSO</v>
      </c>
      <c r="L455" s="5" t="str">
        <f>IFERROR(__xludf.DUMMYFUNCTION("""COMPUTED_VALUE"""),"LOCAL")</f>
        <v>LOCAL</v>
      </c>
      <c r="M455" s="5" t="str">
        <f>IFERROR(__xludf.DUMMYFUNCTION("""COMPUTED_VALUE"""),"CLIMA BOM")</f>
        <v>CLIMA BOM</v>
      </c>
      <c r="N455" s="5" t="str">
        <f>IFERROR(__xludf.DUMMYFUNCTION("""COMPUTED_VALUE"""),"CENTRO - BAIRRO")</f>
        <v>CENTRO - BAIRRO</v>
      </c>
      <c r="O455" s="5" t="str">
        <f>IFERROR(__xludf.DUMMYFUNCTION("""COMPUTED_VALUE"""),"EM FRENTE A NIL LANCHES")</f>
        <v>EM FRENTE A NIL LANCHES</v>
      </c>
      <c r="P455" s="5" t="str">
        <f>IFERROR(__xludf.DUMMYFUNCTION("""COMPUTED_VALUE"""),"URGENTE")</f>
        <v>URGENTE</v>
      </c>
      <c r="Q455" s="5" t="str">
        <f>IFERROR(__xludf.DUMMYFUNCTION("""COMPUTED_VALUE"""),"PINTURA DE BAÍA NO ASFALTO.")</f>
        <v>PINTURA DE BAÍA NO ASFALTO.</v>
      </c>
      <c r="R455" s="5" t="str">
        <f>IFERROR(__xludf.DUMMYFUNCTION("""COMPUTED_VALUE"""),"NENHUMA DAS OPÇÕES")</f>
        <v>NENHUMA DAS OPÇÕES</v>
      </c>
      <c r="S455" s="5"/>
      <c r="T455" s="5"/>
      <c r="U455" s="5"/>
      <c r="V455" s="9" t="str">
        <f>IFERROR(__xludf.DUMMYFUNCTION("""COMPUTED_VALUE"""),"https://drive.google.com/uc?id=1EqziJjJTAQE2y7uIFClOsoVUCtVpZszU")</f>
        <v>https://drive.google.com/uc?id=1EqziJjJTAQE2y7uIFClOsoVUCtVpZszU</v>
      </c>
      <c r="W455" s="5" t="str">
        <f>IFERROR(__xludf.DUMMYFUNCTION("""COMPUTED_VALUE"""),"NÃO")</f>
        <v>NÃO</v>
      </c>
      <c r="X455" s="5" t="str">
        <f>IFERROR(__xludf.DUMMYFUNCTION("""COMPUTED_VALUE"""),"NÃO SE APLICA")</f>
        <v>NÃO SE APLICA</v>
      </c>
    </row>
    <row r="456">
      <c r="A456" s="5">
        <f>IFERROR(__xludf.DUMMYFUNCTION("""COMPUTED_VALUE"""),7.0)</f>
        <v>7</v>
      </c>
      <c r="B456" s="5" t="str">
        <f>IFERROR(__xludf.DUMMYFUNCTION("""COMPUTED_VALUE"""),"CB010")</f>
        <v>CB010</v>
      </c>
      <c r="C456" s="5" t="str">
        <f>IFERROR(__xludf.DUMMYFUNCTION("""COMPUTED_VALUE"""),"ABRIGO METÁLICO PEQUENO PORTE")</f>
        <v>ABRIGO METÁLICO PEQUENO PORTE</v>
      </c>
      <c r="D456" s="5" t="str">
        <f>IFERROR(__xludf.DUMMYFUNCTION("""COMPUTED_VALUE"""),"COM SUPORTE")</f>
        <v>COM SUPORTE</v>
      </c>
      <c r="E456" s="5" t="str">
        <f>IFERROR(__xludf.DUMMYFUNCTION("""COMPUTED_VALUE"""),"SEM BAIA")</f>
        <v>SEM BAIA</v>
      </c>
      <c r="F456" s="5" t="str">
        <f>IFERROR(__xludf.DUMMYFUNCTION("""COMPUTED_VALUE"""),"NÃO")</f>
        <v>NÃO</v>
      </c>
      <c r="G456" s="5" t="str">
        <f>IFERROR(__xludf.DUMMYFUNCTION("""COMPUTED_VALUE"""),"NÃO")</f>
        <v>NÃO</v>
      </c>
      <c r="H456" s="5" t="str">
        <f>IFERROR(__xludf.DUMMYFUNCTION("""COMPUTED_VALUE"""),"PAVIMENTADA")</f>
        <v>PAVIMENTADA</v>
      </c>
      <c r="I456" s="6" t="str">
        <f>IFERROR(__xludf.DUMMYFUNCTION("""COMPUTED_VALUE"""),"-9.566938")</f>
        <v>-9.566938</v>
      </c>
      <c r="J456" s="6" t="str">
        <f>IFERROR(__xludf.DUMMYFUNCTION("""COMPUTED_VALUE"""),"-35.790676")</f>
        <v>-35.790676</v>
      </c>
      <c r="K456" s="5" t="str">
        <f>IFERROR(__xludf.DUMMYFUNCTION("""COMPUTED_VALUE"""),"R. EDUARDO JORGE LOPES NOVAES")</f>
        <v>R. EDUARDO JORGE LOPES NOVAES</v>
      </c>
      <c r="L456" s="5" t="str">
        <f>IFERROR(__xludf.DUMMYFUNCTION("""COMPUTED_VALUE"""),"LOCAL")</f>
        <v>LOCAL</v>
      </c>
      <c r="M456" s="5" t="str">
        <f>IFERROR(__xludf.DUMMYFUNCTION("""COMPUTED_VALUE"""),"CLIMA BOM")</f>
        <v>CLIMA BOM</v>
      </c>
      <c r="N456" s="5" t="str">
        <f>IFERROR(__xludf.DUMMYFUNCTION("""COMPUTED_VALUE"""),"BAIRRO - CENTRO")</f>
        <v>BAIRRO - CENTRO</v>
      </c>
      <c r="O456" s="5" t="str">
        <f>IFERROR(__xludf.DUMMYFUNCTION("""COMPUTED_VALUE"""),"APÓS O  RESTAURANTE DA KEY")</f>
        <v>APÓS O  RESTAURANTE DA KEY</v>
      </c>
      <c r="P456" s="5" t="str">
        <f>IFERROR(__xludf.DUMMYFUNCTION("""COMPUTED_VALUE"""),"PRIORIDADE BAIXA")</f>
        <v>PRIORIDADE BAIXA</v>
      </c>
      <c r="Q456" s="5"/>
      <c r="R456" s="5" t="str">
        <f>IFERROR(__xludf.DUMMYFUNCTION("""COMPUTED_VALUE"""),"NENHUMA DAS OPÇÕES")</f>
        <v>NENHUMA DAS OPÇÕES</v>
      </c>
      <c r="S456" s="5"/>
      <c r="T456" s="5"/>
      <c r="U456" s="5"/>
      <c r="V456" s="9" t="str">
        <f>IFERROR(__xludf.DUMMYFUNCTION("""COMPUTED_VALUE"""),"https://drive.google.com/uc?id=1SJo5W0lv_HXbfrDBOM7LmIgzzBw_9Hro")</f>
        <v>https://drive.google.com/uc?id=1SJo5W0lv_HXbfrDBOM7LmIgzzBw_9Hro</v>
      </c>
      <c r="W456" s="5" t="str">
        <f>IFERROR(__xludf.DUMMYFUNCTION("""COMPUTED_VALUE"""),"NÃO")</f>
        <v>NÃO</v>
      </c>
      <c r="X456" s="5" t="str">
        <f>IFERROR(__xludf.DUMMYFUNCTION("""COMPUTED_VALUE"""),"NÃO")</f>
        <v>NÃO</v>
      </c>
    </row>
    <row r="457">
      <c r="A457" s="5">
        <f>IFERROR(__xludf.DUMMYFUNCTION("""COMPUTED_VALUE"""),7.0)</f>
        <v>7</v>
      </c>
      <c r="B457" s="5" t="str">
        <f>IFERROR(__xludf.DUMMYFUNCTION("""COMPUTED_VALUE"""),"CB011")</f>
        <v>CB011</v>
      </c>
      <c r="C457" s="5" t="str">
        <f>IFERROR(__xludf.DUMMYFUNCTION("""COMPUTED_VALUE"""),"ABRIGO CONCRETO")</f>
        <v>ABRIGO CONCRETO</v>
      </c>
      <c r="D457" s="5" t="str">
        <f>IFERROR(__xludf.DUMMYFUNCTION("""COMPUTED_VALUE"""),"SEM PLACA")</f>
        <v>SEM PLACA</v>
      </c>
      <c r="E457" s="5" t="str">
        <f>IFERROR(__xludf.DUMMYFUNCTION("""COMPUTED_VALUE"""),"BAIA PINTADA")</f>
        <v>BAIA PINTADA</v>
      </c>
      <c r="F457" s="5" t="str">
        <f>IFERROR(__xludf.DUMMYFUNCTION("""COMPUTED_VALUE"""),"NÃO")</f>
        <v>NÃO</v>
      </c>
      <c r="G457" s="5" t="str">
        <f>IFERROR(__xludf.DUMMYFUNCTION("""COMPUTED_VALUE"""),"NÃO")</f>
        <v>NÃO</v>
      </c>
      <c r="H457" s="5" t="str">
        <f>IFERROR(__xludf.DUMMYFUNCTION("""COMPUTED_VALUE"""),"PAVIMENTADA")</f>
        <v>PAVIMENTADA</v>
      </c>
      <c r="I457" s="6" t="str">
        <f>IFERROR(__xludf.DUMMYFUNCTION("""COMPUTED_VALUE"""),"-9.56787")</f>
        <v>-9.56787</v>
      </c>
      <c r="J457" s="6" t="str">
        <f>IFERROR(__xludf.DUMMYFUNCTION("""COMPUTED_VALUE"""),"-35.79083")</f>
        <v>-35.79083</v>
      </c>
      <c r="K457" s="5" t="str">
        <f>IFERROR(__xludf.DUMMYFUNCTION("""COMPUTED_VALUE"""),"R. EDUARDO JORGE LOPES NOVAES")</f>
        <v>R. EDUARDO JORGE LOPES NOVAES</v>
      </c>
      <c r="L457" s="5" t="str">
        <f>IFERROR(__xludf.DUMMYFUNCTION("""COMPUTED_VALUE"""),"LOCAL")</f>
        <v>LOCAL</v>
      </c>
      <c r="M457" s="5" t="str">
        <f>IFERROR(__xludf.DUMMYFUNCTION("""COMPUTED_VALUE"""),"CLIMA BOM")</f>
        <v>CLIMA BOM</v>
      </c>
      <c r="N457" s="5" t="str">
        <f>IFERROR(__xludf.DUMMYFUNCTION("""COMPUTED_VALUE"""),"BAIRRO - CENTRO")</f>
        <v>BAIRRO - CENTRO</v>
      </c>
      <c r="O457" s="5" t="str">
        <f>IFERROR(__xludf.DUMMYFUNCTION("""COMPUTED_VALUE"""),"APÓS O MERCADO BARRIGA CHEIA")</f>
        <v>APÓS O MERCADO BARRIGA CHEIA</v>
      </c>
      <c r="P457" s="5" t="str">
        <f>IFERROR(__xludf.DUMMYFUNCTION("""COMPUTED_VALUE"""),"PRIORIDADE ALTA")</f>
        <v>PRIORIDADE ALTA</v>
      </c>
      <c r="Q457" s="5" t="str">
        <f>IFERROR(__xludf.DUMMYFUNCTION("""COMPUTED_VALUE"""),"ABRIGO DANIFICADO - REBOCO, PINURA, E ASSENTO DANIFICADO, NECESSÁRIO FAZER LIMPEZA DA COBERTA, E RETIRADA DE ESTRUTURA METALICA COLOCADA PELA POPULAÇÃO, PINTURA DA SINALIZAÇÃO DA BAÍA NO ASFALTO, ADEQUAR CALÇADA.")</f>
        <v>ABRIGO DANIFICADO - REBOCO, PINURA, E ASSENTO DANIFICADO, NECESSÁRIO FAZER LIMPEZA DA COBERTA, E RETIRADA DE ESTRUTURA METALICA COLOCADA PELA POPULAÇÃO, PINTURA DA SINALIZAÇÃO DA BAÍA NO ASFALTO, ADEQUAR CALÇADA.</v>
      </c>
      <c r="R457" s="5" t="str">
        <f>IFERROR(__xludf.DUMMYFUNCTION("""COMPUTED_VALUE"""),"SUBSTITUIR ABRIGO")</f>
        <v>SUBSTITUIR ABRIGO</v>
      </c>
      <c r="S457" s="5"/>
      <c r="T457" s="5"/>
      <c r="U457" s="5"/>
      <c r="V457" s="9" t="str">
        <f>IFERROR(__xludf.DUMMYFUNCTION("""COMPUTED_VALUE"""),"https://drive.google.com/uc?id=1Z0RGmdKANhMMyT97XzfBmwZr57vObToW")</f>
        <v>https://drive.google.com/uc?id=1Z0RGmdKANhMMyT97XzfBmwZr57vObToW</v>
      </c>
      <c r="W457" s="5" t="str">
        <f>IFERROR(__xludf.DUMMYFUNCTION("""COMPUTED_VALUE"""),"NÃO")</f>
        <v>NÃO</v>
      </c>
      <c r="X457" s="5" t="str">
        <f>IFERROR(__xludf.DUMMYFUNCTION("""COMPUTED_VALUE"""),"NÃO SE APLICA")</f>
        <v>NÃO SE APLICA</v>
      </c>
    </row>
    <row r="458" hidden="1">
      <c r="A458" s="5">
        <f>IFERROR(__xludf.DUMMYFUNCTION("""COMPUTED_VALUE"""),7.0)</f>
        <v>7</v>
      </c>
      <c r="B458" s="5" t="str">
        <f>IFERROR(__xludf.DUMMYFUNCTION("""COMPUTED_VALUE"""),"CB012")</f>
        <v>CB012</v>
      </c>
      <c r="C458" s="5" t="str">
        <f>IFERROR(__xludf.DUMMYFUNCTION("""COMPUTED_VALUE"""),"NÃO POSSUI")</f>
        <v>NÃO POSSUI</v>
      </c>
      <c r="D458" s="5" t="str">
        <f>IFERROR(__xludf.DUMMYFUNCTION("""COMPUTED_VALUE"""),"SEM PLACA")</f>
        <v>SEM PLACA</v>
      </c>
      <c r="E458" s="5" t="str">
        <f>IFERROR(__xludf.DUMMYFUNCTION("""COMPUTED_VALUE"""),"SEM BAIA")</f>
        <v>SEM BAIA</v>
      </c>
      <c r="F458" s="5" t="str">
        <f>IFERROR(__xludf.DUMMYFUNCTION("""COMPUTED_VALUE"""),"NÃO")</f>
        <v>NÃO</v>
      </c>
      <c r="G458" s="5" t="str">
        <f>IFERROR(__xludf.DUMMYFUNCTION("""COMPUTED_VALUE"""),"NÃO")</f>
        <v>NÃO</v>
      </c>
      <c r="H458" s="5" t="str">
        <f>IFERROR(__xludf.DUMMYFUNCTION("""COMPUTED_VALUE"""),"PAVIMENTADA")</f>
        <v>PAVIMENTADA</v>
      </c>
      <c r="I458" s="6" t="str">
        <f>IFERROR(__xludf.DUMMYFUNCTION("""COMPUTED_VALUE"""),"-9.567659")</f>
        <v>-9.567659</v>
      </c>
      <c r="J458" s="6" t="str">
        <f>IFERROR(__xludf.DUMMYFUNCTION("""COMPUTED_VALUE"""),"-35.790423")</f>
        <v>-35.790423</v>
      </c>
      <c r="K458" s="5" t="str">
        <f>IFERROR(__xludf.DUMMYFUNCTION("""COMPUTED_VALUE"""),"AV. LUÍZ GONZAGA BARROSO")</f>
        <v>AV. LUÍZ GONZAGA BARROSO</v>
      </c>
      <c r="L458" s="5" t="str">
        <f>IFERROR(__xludf.DUMMYFUNCTION("""COMPUTED_VALUE"""),"LOCAL")</f>
        <v>LOCAL</v>
      </c>
      <c r="M458" s="5" t="str">
        <f>IFERROR(__xludf.DUMMYFUNCTION("""COMPUTED_VALUE"""),"CLIMA BOM")</f>
        <v>CLIMA BOM</v>
      </c>
      <c r="N458" s="5" t="str">
        <f>IFERROR(__xludf.DUMMYFUNCTION("""COMPUTED_VALUE"""),"CENTRO - BAIRRO")</f>
        <v>CENTRO - BAIRRO</v>
      </c>
      <c r="O458" s="5" t="str">
        <f>IFERROR(__xludf.DUMMYFUNCTION("""COMPUTED_VALUE"""),"EM FRENTE A CASA 12")</f>
        <v>EM FRENTE A CASA 12</v>
      </c>
      <c r="P458" s="5" t="str">
        <f>IFERROR(__xludf.DUMMYFUNCTION("""COMPUTED_VALUE"""),"URGENTE")</f>
        <v>URGENTE</v>
      </c>
      <c r="Q458" s="5" t="str">
        <f>IFERROR(__xludf.DUMMYFUNCTION("""COMPUTED_VALUE"""),"IMPLANTAÇÃO DE PLACA EM POSTE DE CONCRETO EXISTENTE, PINTURA DE BAÍA NO ASFALTO.")</f>
        <v>IMPLANTAÇÃO DE PLACA EM POSTE DE CONCRETO EXISTENTE, PINTURA DE BAÍA NO ASFALTO.</v>
      </c>
      <c r="R458" s="5" t="str">
        <f>IFERROR(__xludf.DUMMYFUNCTION("""COMPUTED_VALUE"""),"NENHUMA DAS OPÇÕES")</f>
        <v>NENHUMA DAS OPÇÕES</v>
      </c>
      <c r="S458" s="5"/>
      <c r="T458" s="5"/>
      <c r="U458" s="5"/>
      <c r="V458" s="9" t="str">
        <f>IFERROR(__xludf.DUMMYFUNCTION("""COMPUTED_VALUE"""),"https://drive.google.com/uc?id=1HmDYKeDrVxp-Lo0ojt7jfebmrQAD7iXD")</f>
        <v>https://drive.google.com/uc?id=1HmDYKeDrVxp-Lo0ojt7jfebmrQAD7iXD</v>
      </c>
      <c r="W458" s="5" t="str">
        <f>IFERROR(__xludf.DUMMYFUNCTION("""COMPUTED_VALUE"""),"NÃO")</f>
        <v>NÃO</v>
      </c>
      <c r="X458" s="5" t="str">
        <f>IFERROR(__xludf.DUMMYFUNCTION("""COMPUTED_VALUE"""),"NÃO SE APLICA")</f>
        <v>NÃO SE APLICA</v>
      </c>
    </row>
    <row r="459" hidden="1">
      <c r="A459" s="5">
        <f>IFERROR(__xludf.DUMMYFUNCTION("""COMPUTED_VALUE"""),7.0)</f>
        <v>7</v>
      </c>
      <c r="B459" s="5" t="str">
        <f>IFERROR(__xludf.DUMMYFUNCTION("""COMPUTED_VALUE"""),"CB013")</f>
        <v>CB013</v>
      </c>
      <c r="C459" s="5" t="str">
        <f>IFERROR(__xludf.DUMMYFUNCTION("""COMPUTED_VALUE"""),"NÃO POSSUI")</f>
        <v>NÃO POSSUI</v>
      </c>
      <c r="D459" s="5" t="str">
        <f>IFERROR(__xludf.DUMMYFUNCTION("""COMPUTED_VALUE"""),"SEM PLACA")</f>
        <v>SEM PLACA</v>
      </c>
      <c r="E459" s="5" t="str">
        <f>IFERROR(__xludf.DUMMYFUNCTION("""COMPUTED_VALUE"""),"SEM BAIA")</f>
        <v>SEM BAIA</v>
      </c>
      <c r="F459" s="5" t="str">
        <f>IFERROR(__xludf.DUMMYFUNCTION("""COMPUTED_VALUE"""),"NÃO")</f>
        <v>NÃO</v>
      </c>
      <c r="G459" s="5" t="str">
        <f>IFERROR(__xludf.DUMMYFUNCTION("""COMPUTED_VALUE"""),"NÃO")</f>
        <v>NÃO</v>
      </c>
      <c r="H459" s="5" t="str">
        <f>IFERROR(__xludf.DUMMYFUNCTION("""COMPUTED_VALUE"""),"PAVIMENTADA")</f>
        <v>PAVIMENTADA</v>
      </c>
      <c r="I459" s="6" t="str">
        <f>IFERROR(__xludf.DUMMYFUNCTION("""COMPUTED_VALUE"""),"-9.568570")</f>
        <v>-9.568570</v>
      </c>
      <c r="J459" s="6" t="str">
        <f>IFERROR(__xludf.DUMMYFUNCTION("""COMPUTED_VALUE"""),"-35.790476")</f>
        <v>-35.790476</v>
      </c>
      <c r="K459" s="5" t="str">
        <f>IFERROR(__xludf.DUMMYFUNCTION("""COMPUTED_VALUE"""),"R. EDUARDO JORGE LOPES NOVAES")</f>
        <v>R. EDUARDO JORGE LOPES NOVAES</v>
      </c>
      <c r="L459" s="5" t="str">
        <f>IFERROR(__xludf.DUMMYFUNCTION("""COMPUTED_VALUE"""),"LOCAL")</f>
        <v>LOCAL</v>
      </c>
      <c r="M459" s="5" t="str">
        <f>IFERROR(__xludf.DUMMYFUNCTION("""COMPUTED_VALUE"""),"CLIMA BOM")</f>
        <v>CLIMA BOM</v>
      </c>
      <c r="N459" s="5" t="str">
        <f>IFERROR(__xludf.DUMMYFUNCTION("""COMPUTED_VALUE"""),"CENTRO - BAIRRO")</f>
        <v>CENTRO - BAIRRO</v>
      </c>
      <c r="O459" s="5" t="str">
        <f>IFERROR(__xludf.DUMMYFUNCTION("""COMPUTED_VALUE"""),"EM FRENTE AO  RESTAURANTE DA KEY")</f>
        <v>EM FRENTE AO  RESTAURANTE DA KEY</v>
      </c>
      <c r="P459" s="5" t="str">
        <f>IFERROR(__xludf.DUMMYFUNCTION("""COMPUTED_VALUE"""),"PRIORIDADE BAIXA")</f>
        <v>PRIORIDADE BAIXA</v>
      </c>
      <c r="Q459" s="5"/>
      <c r="R459" s="5" t="str">
        <f>IFERROR(__xludf.DUMMYFUNCTION("""COMPUTED_VALUE"""),"NENHUMA DAS OPÇÕES")</f>
        <v>NENHUMA DAS OPÇÕES</v>
      </c>
      <c r="S459" s="5"/>
      <c r="T459" s="5"/>
      <c r="U459" s="5"/>
      <c r="V459" s="9" t="str">
        <f>IFERROR(__xludf.DUMMYFUNCTION("""COMPUTED_VALUE"""),"https://drive.google.com/uc?id=1H6lggoBz01rbwvSqPzZZ53Zv4HPBYj1-")</f>
        <v>https://drive.google.com/uc?id=1H6lggoBz01rbwvSqPzZZ53Zv4HPBYj1-</v>
      </c>
      <c r="W459" s="5" t="str">
        <f>IFERROR(__xludf.DUMMYFUNCTION("""COMPUTED_VALUE"""),"NÃO")</f>
        <v>NÃO</v>
      </c>
      <c r="X459" s="5" t="str">
        <f>IFERROR(__xludf.DUMMYFUNCTION("""COMPUTED_VALUE"""),"NÃO SE APLICA")</f>
        <v>NÃO SE APLICA</v>
      </c>
    </row>
    <row r="460">
      <c r="A460" s="5">
        <f>IFERROR(__xludf.DUMMYFUNCTION("""COMPUTED_VALUE"""),7.0)</f>
        <v>7</v>
      </c>
      <c r="B460" s="5" t="str">
        <f>IFERROR(__xludf.DUMMYFUNCTION("""COMPUTED_VALUE"""),"CB014")</f>
        <v>CB014</v>
      </c>
      <c r="C460" s="5" t="str">
        <f>IFERROR(__xludf.DUMMYFUNCTION("""COMPUTED_VALUE"""),"ABRIGO CONCRETO")</f>
        <v>ABRIGO CONCRETO</v>
      </c>
      <c r="D460" s="5" t="str">
        <f>IFERROR(__xludf.DUMMYFUNCTION("""COMPUTED_VALUE"""),"SEM PLACA")</f>
        <v>SEM PLACA</v>
      </c>
      <c r="E460" s="5" t="str">
        <f>IFERROR(__xludf.DUMMYFUNCTION("""COMPUTED_VALUE"""),"SEM BAIA")</f>
        <v>SEM BAIA</v>
      </c>
      <c r="F460" s="5" t="str">
        <f>IFERROR(__xludf.DUMMYFUNCTION("""COMPUTED_VALUE"""),"NÃO")</f>
        <v>NÃO</v>
      </c>
      <c r="G460" s="5" t="str">
        <f>IFERROR(__xludf.DUMMYFUNCTION("""COMPUTED_VALUE"""),"NÃO")</f>
        <v>NÃO</v>
      </c>
      <c r="H460" s="5" t="str">
        <f>IFERROR(__xludf.DUMMYFUNCTION("""COMPUTED_VALUE"""),"PAVIMENTADA")</f>
        <v>PAVIMENTADA</v>
      </c>
      <c r="I460" s="6" t="str">
        <f>IFERROR(__xludf.DUMMYFUNCTION("""COMPUTED_VALUE"""),"-9.568884")</f>
        <v>-9.568884</v>
      </c>
      <c r="J460" s="6" t="str">
        <f>IFERROR(__xludf.DUMMYFUNCTION("""COMPUTED_VALUE"""),"-35.789631")</f>
        <v>-35.789631</v>
      </c>
      <c r="K460" s="5" t="str">
        <f>IFERROR(__xludf.DUMMYFUNCTION("""COMPUTED_VALUE"""),"RUA LUIZ CLEMENTE VASCONCELOS")</f>
        <v>RUA LUIZ CLEMENTE VASCONCELOS</v>
      </c>
      <c r="L460" s="5" t="str">
        <f>IFERROR(__xludf.DUMMYFUNCTION("""COMPUTED_VALUE"""),"LOCAL")</f>
        <v>LOCAL</v>
      </c>
      <c r="M460" s="5" t="str">
        <f>IFERROR(__xludf.DUMMYFUNCTION("""COMPUTED_VALUE"""),"CLIMA BOM")</f>
        <v>CLIMA BOM</v>
      </c>
      <c r="N460" s="5" t="str">
        <f>IFERROR(__xludf.DUMMYFUNCTION("""COMPUTED_VALUE"""),"BAIRRO - CENTRO")</f>
        <v>BAIRRO - CENTRO</v>
      </c>
      <c r="O460" s="5" t="str">
        <f>IFERROR(__xludf.DUMMYFUNCTION("""COMPUTED_VALUE"""),"EM FRENTE A LOJA DE ROUPA")</f>
        <v>EM FRENTE A LOJA DE ROUPA</v>
      </c>
      <c r="P460" s="5" t="str">
        <f>IFERROR(__xludf.DUMMYFUNCTION("""COMPUTED_VALUE"""),"URGENTE")</f>
        <v>URGENTE</v>
      </c>
      <c r="Q460" s="5" t="str">
        <f>IFERROR(__xludf.DUMMYFUNCTION("""COMPUTED_VALUE"""),"ABRIGO DANIFICADO - REBOCO, PINURA, E ASSENTO DANIFICADO, NECESSÁRIO FAZER LIMPEZA DA COBERTA, PINTURA DA SINALIZAÇÃO DA BAÍA NO ASFALTO, ADEQUAR CALÇADA.")</f>
        <v>ABRIGO DANIFICADO - REBOCO, PINURA, E ASSENTO DANIFICADO, NECESSÁRIO FAZER LIMPEZA DA COBERTA, PINTURA DA SINALIZAÇÃO DA BAÍA NO ASFALTO, ADEQUAR CALÇADA.</v>
      </c>
      <c r="R460" s="5" t="str">
        <f>IFERROR(__xludf.DUMMYFUNCTION("""COMPUTED_VALUE"""),"SUBSTITUIR ABRIGO")</f>
        <v>SUBSTITUIR ABRIGO</v>
      </c>
      <c r="S460" s="5"/>
      <c r="T460" s="5"/>
      <c r="U460" s="5"/>
      <c r="V460" s="9" t="str">
        <f>IFERROR(__xludf.DUMMYFUNCTION("""COMPUTED_VALUE"""),"https://drive.google.com/uc?id=1pDSoI3L3H_iKFO6V4j55UPgMyJAdHGiF")</f>
        <v>https://drive.google.com/uc?id=1pDSoI3L3H_iKFO6V4j55UPgMyJAdHGiF</v>
      </c>
      <c r="W460" s="5" t="str">
        <f>IFERROR(__xludf.DUMMYFUNCTION("""COMPUTED_VALUE"""),"NÃO")</f>
        <v>NÃO</v>
      </c>
      <c r="X460" s="5" t="str">
        <f>IFERROR(__xludf.DUMMYFUNCTION("""COMPUTED_VALUE"""),"NÃO SE APLICA")</f>
        <v>NÃO SE APLICA</v>
      </c>
    </row>
    <row r="461">
      <c r="A461" s="5">
        <f>IFERROR(__xludf.DUMMYFUNCTION("""COMPUTED_VALUE"""),7.0)</f>
        <v>7</v>
      </c>
      <c r="B461" s="5" t="str">
        <f>IFERROR(__xludf.DUMMYFUNCTION("""COMPUTED_VALUE"""),"CB015")</f>
        <v>CB015</v>
      </c>
      <c r="C461" s="5" t="str">
        <f>IFERROR(__xludf.DUMMYFUNCTION("""COMPUTED_VALUE"""),"ABRIGO CONCRETO")</f>
        <v>ABRIGO CONCRETO</v>
      </c>
      <c r="D461" s="5" t="str">
        <f>IFERROR(__xludf.DUMMYFUNCTION("""COMPUTED_VALUE"""),"SEM PLACA")</f>
        <v>SEM PLACA</v>
      </c>
      <c r="E461" s="5" t="str">
        <f>IFERROR(__xludf.DUMMYFUNCTION("""COMPUTED_VALUE"""),"BAIA PINTADA")</f>
        <v>BAIA PINTADA</v>
      </c>
      <c r="F461" s="5" t="str">
        <f>IFERROR(__xludf.DUMMYFUNCTION("""COMPUTED_VALUE"""),"NÃO")</f>
        <v>NÃO</v>
      </c>
      <c r="G461" s="5" t="str">
        <f>IFERROR(__xludf.DUMMYFUNCTION("""COMPUTED_VALUE"""),"NÃO")</f>
        <v>NÃO</v>
      </c>
      <c r="H461" s="5" t="str">
        <f>IFERROR(__xludf.DUMMYFUNCTION("""COMPUTED_VALUE"""),"PAVIMENTADA COM AVARIAS")</f>
        <v>PAVIMENTADA COM AVARIAS</v>
      </c>
      <c r="I461" s="6" t="str">
        <f>IFERROR(__xludf.DUMMYFUNCTION("""COMPUTED_VALUE"""),"-9.569357")</f>
        <v>-9.569357</v>
      </c>
      <c r="J461" s="6" t="str">
        <f>IFERROR(__xludf.DUMMYFUNCTION("""COMPUTED_VALUE"""),"-35.786178")</f>
        <v>-35.786178</v>
      </c>
      <c r="K461" s="5" t="str">
        <f>IFERROR(__xludf.DUMMYFUNCTION("""COMPUTED_VALUE"""),"RUA LUIZ CLEMENTE VASCONCELOS")</f>
        <v>RUA LUIZ CLEMENTE VASCONCELOS</v>
      </c>
      <c r="L461" s="5" t="str">
        <f>IFERROR(__xludf.DUMMYFUNCTION("""COMPUTED_VALUE"""),"LOCAL")</f>
        <v>LOCAL</v>
      </c>
      <c r="M461" s="5" t="str">
        <f>IFERROR(__xludf.DUMMYFUNCTION("""COMPUTED_VALUE"""),"CLIMA BOM")</f>
        <v>CLIMA BOM</v>
      </c>
      <c r="N461" s="5" t="str">
        <f>IFERROR(__xludf.DUMMYFUNCTION("""COMPUTED_VALUE"""),"BAIRRO - CENTRO")</f>
        <v>BAIRRO - CENTRO</v>
      </c>
      <c r="O461" s="5" t="str">
        <f>IFERROR(__xludf.DUMMYFUNCTION("""COMPUTED_VALUE"""),"AO LADO DO COLÉGIO BENEDITA DE CASTRO")</f>
        <v>AO LADO DO COLÉGIO BENEDITA DE CASTRO</v>
      </c>
      <c r="P461" s="5" t="str">
        <f>IFERROR(__xludf.DUMMYFUNCTION("""COMPUTED_VALUE"""),"PRIORIDADE ALTA")</f>
        <v>PRIORIDADE ALTA</v>
      </c>
      <c r="Q461" s="5" t="str">
        <f>IFERROR(__xludf.DUMMYFUNCTION("""COMPUTED_VALUE"""),"ABRIGO DANIFICADO - REBOCO, PINURA, E ASSENTO DANIFICADO, NECESSÁRIO FAZER LIMPEZA DA COBERTA, PINTURA DA SINALIZAÇÃO DA BAÍA NO ASFALTO, ADEQUAR CALÇADA, IMPLANTAR PLACA.")</f>
        <v>ABRIGO DANIFICADO - REBOCO, PINURA, E ASSENTO DANIFICADO, NECESSÁRIO FAZER LIMPEZA DA COBERTA, PINTURA DA SINALIZAÇÃO DA BAÍA NO ASFALTO, ADEQUAR CALÇADA, IMPLANTAR PLACA.</v>
      </c>
      <c r="R461" s="5" t="str">
        <f>IFERROR(__xludf.DUMMYFUNCTION("""COMPUTED_VALUE"""),"SUBSTITUIR ABRIGO")</f>
        <v>SUBSTITUIR ABRIGO</v>
      </c>
      <c r="S461" s="5"/>
      <c r="T461" s="5"/>
      <c r="U461" s="5"/>
      <c r="V461" s="9" t="str">
        <f>IFERROR(__xludf.DUMMYFUNCTION("""COMPUTED_VALUE"""),"https://drive.google.com/uc?id=1LWQeniFKkw142flohv4_1jPQP9t-73Id")</f>
        <v>https://drive.google.com/uc?id=1LWQeniFKkw142flohv4_1jPQP9t-73Id</v>
      </c>
      <c r="W461" s="5" t="str">
        <f>IFERROR(__xludf.DUMMYFUNCTION("""COMPUTED_VALUE"""),"NÃO")</f>
        <v>NÃO</v>
      </c>
      <c r="X461" s="5" t="str">
        <f>IFERROR(__xludf.DUMMYFUNCTION("""COMPUTED_VALUE"""),"NÃO SE APLICA")</f>
        <v>NÃO SE APLICA</v>
      </c>
    </row>
    <row r="462" hidden="1">
      <c r="A462" s="5">
        <f>IFERROR(__xludf.DUMMYFUNCTION("""COMPUTED_VALUE"""),7.0)</f>
        <v>7</v>
      </c>
      <c r="B462" s="5" t="str">
        <f>IFERROR(__xludf.DUMMYFUNCTION("""COMPUTED_VALUE"""),"CB016")</f>
        <v>CB016</v>
      </c>
      <c r="C462" s="5" t="str">
        <f>IFERROR(__xludf.DUMMYFUNCTION("""COMPUTED_VALUE"""),"NÃO POSSUI")</f>
        <v>NÃO POSSUI</v>
      </c>
      <c r="D462" s="5" t="str">
        <f>IFERROR(__xludf.DUMMYFUNCTION("""COMPUTED_VALUE"""),"SEM PLACA")</f>
        <v>SEM PLACA</v>
      </c>
      <c r="E462" s="5" t="str">
        <f>IFERROR(__xludf.DUMMYFUNCTION("""COMPUTED_VALUE"""),"SEM BAIA")</f>
        <v>SEM BAIA</v>
      </c>
      <c r="F462" s="5" t="str">
        <f>IFERROR(__xludf.DUMMYFUNCTION("""COMPUTED_VALUE"""),"NÃO")</f>
        <v>NÃO</v>
      </c>
      <c r="G462" s="5" t="str">
        <f>IFERROR(__xludf.DUMMYFUNCTION("""COMPUTED_VALUE"""),"NÃO")</f>
        <v>NÃO</v>
      </c>
      <c r="H462" s="5" t="str">
        <f>IFERROR(__xludf.DUMMYFUNCTION("""COMPUTED_VALUE"""),"PAVIMENTADA")</f>
        <v>PAVIMENTADA</v>
      </c>
      <c r="I462" s="6" t="str">
        <f>IFERROR(__xludf.DUMMYFUNCTION("""COMPUTED_VALUE"""),"-9.569975")</f>
        <v>-9.569975</v>
      </c>
      <c r="J462" s="6" t="str">
        <f>IFERROR(__xludf.DUMMYFUNCTION("""COMPUTED_VALUE"""),"-35.782167")</f>
        <v>-35.782167</v>
      </c>
      <c r="K462" s="5" t="str">
        <f>IFERROR(__xludf.DUMMYFUNCTION("""COMPUTED_VALUE"""),"RUA LUIZ CLEMENTE VASCONCELOS")</f>
        <v>RUA LUIZ CLEMENTE VASCONCELOS</v>
      </c>
      <c r="L462" s="5" t="str">
        <f>IFERROR(__xludf.DUMMYFUNCTION("""COMPUTED_VALUE"""),"LOCAL")</f>
        <v>LOCAL</v>
      </c>
      <c r="M462" s="5" t="str">
        <f>IFERROR(__xludf.DUMMYFUNCTION("""COMPUTED_VALUE"""),"CLIMA BOM")</f>
        <v>CLIMA BOM</v>
      </c>
      <c r="N462" s="5" t="str">
        <f>IFERROR(__xludf.DUMMYFUNCTION("""COMPUTED_VALUE"""),"BAIRRO - CENTRO")</f>
        <v>BAIRRO - CENTRO</v>
      </c>
      <c r="O462" s="5" t="str">
        <f>IFERROR(__xludf.DUMMYFUNCTION("""COMPUTED_VALUE"""),"EM FRENTE A MÁRIO SUCATAS")</f>
        <v>EM FRENTE A MÁRIO SUCATAS</v>
      </c>
      <c r="P462" s="5" t="str">
        <f>IFERROR(__xludf.DUMMYFUNCTION("""COMPUTED_VALUE"""),"URGENTE")</f>
        <v>URGENTE</v>
      </c>
      <c r="Q462" s="5" t="str">
        <f>IFERROR(__xludf.DUMMYFUNCTION("""COMPUTED_VALUE"""),"PINTURA DE BAÍA NO ASFALTO")</f>
        <v>PINTURA DE BAÍA NO ASFALTO</v>
      </c>
      <c r="R462" s="5" t="str">
        <f>IFERROR(__xludf.DUMMYFUNCTION("""COMPUTED_VALUE"""),"IMPLANTAR ABRIGO")</f>
        <v>IMPLANTAR ABRIGO</v>
      </c>
      <c r="S462" s="5"/>
      <c r="T462" s="5"/>
      <c r="U462" s="5"/>
      <c r="V462" s="9" t="str">
        <f>IFERROR(__xludf.DUMMYFUNCTION("""COMPUTED_VALUE"""),"https://drive.google.com/uc?id=1Zznjsw-nk5DI1uGTsrwWaAi9RN41zYpm")</f>
        <v>https://drive.google.com/uc?id=1Zznjsw-nk5DI1uGTsrwWaAi9RN41zYpm</v>
      </c>
      <c r="W462" s="5" t="str">
        <f>IFERROR(__xludf.DUMMYFUNCTION("""COMPUTED_VALUE"""),"NÃO")</f>
        <v>NÃO</v>
      </c>
      <c r="X462" s="5" t="str">
        <f>IFERROR(__xludf.DUMMYFUNCTION("""COMPUTED_VALUE"""),"NÃO SE APLICA")</f>
        <v>NÃO SE APLICA</v>
      </c>
    </row>
    <row r="463">
      <c r="A463" s="5">
        <f>IFERROR(__xludf.DUMMYFUNCTION("""COMPUTED_VALUE"""),7.0)</f>
        <v>7</v>
      </c>
      <c r="B463" s="5" t="str">
        <f>IFERROR(__xludf.DUMMYFUNCTION("""COMPUTED_VALUE"""),"CB017")</f>
        <v>CB017</v>
      </c>
      <c r="C463" s="5" t="str">
        <f>IFERROR(__xludf.DUMMYFUNCTION("""COMPUTED_VALUE"""),"ABRIGO CONCRETO")</f>
        <v>ABRIGO CONCRETO</v>
      </c>
      <c r="D463" s="5" t="str">
        <f>IFERROR(__xludf.DUMMYFUNCTION("""COMPUTED_VALUE"""),"SEM PLACA")</f>
        <v>SEM PLACA</v>
      </c>
      <c r="E463" s="5" t="str">
        <f>IFERROR(__xludf.DUMMYFUNCTION("""COMPUTED_VALUE"""),"BAIA PINTADA")</f>
        <v>BAIA PINTADA</v>
      </c>
      <c r="F463" s="5" t="str">
        <f>IFERROR(__xludf.DUMMYFUNCTION("""COMPUTED_VALUE"""),"NÃO")</f>
        <v>NÃO</v>
      </c>
      <c r="G463" s="5" t="str">
        <f>IFERROR(__xludf.DUMMYFUNCTION("""COMPUTED_VALUE"""),"NÃO")</f>
        <v>NÃO</v>
      </c>
      <c r="H463" s="5" t="str">
        <f>IFERROR(__xludf.DUMMYFUNCTION("""COMPUTED_VALUE"""),"PAVIMENTADA")</f>
        <v>PAVIMENTADA</v>
      </c>
      <c r="I463" s="6" t="str">
        <f>IFERROR(__xludf.DUMMYFUNCTION("""COMPUTED_VALUE"""),"-9.57054")</f>
        <v>-9.57054</v>
      </c>
      <c r="J463" s="6" t="str">
        <f>IFERROR(__xludf.DUMMYFUNCTION("""COMPUTED_VALUE"""),"-35.77817")</f>
        <v>-35.77817</v>
      </c>
      <c r="K463" s="5" t="str">
        <f>IFERROR(__xludf.DUMMYFUNCTION("""COMPUTED_VALUE"""),"RUA LUIZ CLEMENTE VASCONCELOS")</f>
        <v>RUA LUIZ CLEMENTE VASCONCELOS</v>
      </c>
      <c r="L463" s="5" t="str">
        <f>IFERROR(__xludf.DUMMYFUNCTION("""COMPUTED_VALUE"""),"LOCAL")</f>
        <v>LOCAL</v>
      </c>
      <c r="M463" s="5" t="str">
        <f>IFERROR(__xludf.DUMMYFUNCTION("""COMPUTED_VALUE"""),"CLIMA BOM")</f>
        <v>CLIMA BOM</v>
      </c>
      <c r="N463" s="5" t="str">
        <f>IFERROR(__xludf.DUMMYFUNCTION("""COMPUTED_VALUE"""),"BAIRRO - CENTRO")</f>
        <v>BAIRRO - CENTRO</v>
      </c>
      <c r="O463" s="5" t="str">
        <f>IFERROR(__xludf.DUMMYFUNCTION("""COMPUTED_VALUE"""),"APÓS A LOJA DE SUCATA")</f>
        <v>APÓS A LOJA DE SUCATA</v>
      </c>
      <c r="P463" s="5" t="str">
        <f>IFERROR(__xludf.DUMMYFUNCTION("""COMPUTED_VALUE"""),"PRIORIDADE BAIXA")</f>
        <v>PRIORIDADE BAIXA</v>
      </c>
      <c r="Q463" s="5" t="str">
        <f>IFERROR(__xludf.DUMMYFUNCTION("""COMPUTED_VALUE"""),"LIMPEZA DA COBERTA E CORREÇÃO DA PINTURA DA BAÍA NO ASFALTO.")</f>
        <v>LIMPEZA DA COBERTA E CORREÇÃO DA PINTURA DA BAÍA NO ASFALTO.</v>
      </c>
      <c r="R463" s="5" t="str">
        <f>IFERROR(__xludf.DUMMYFUNCTION("""COMPUTED_VALUE"""),"SUBSTITUIR ABRIGO")</f>
        <v>SUBSTITUIR ABRIGO</v>
      </c>
      <c r="S463" s="5"/>
      <c r="T463" s="5"/>
      <c r="U463" s="5"/>
      <c r="V463" s="9" t="str">
        <f>IFERROR(__xludf.DUMMYFUNCTION("""COMPUTED_VALUE"""),"https://drive.google.com/uc?id=1UUJ3lHrdPike4MS97BUcnQnyydSJ0HtE")</f>
        <v>https://drive.google.com/uc?id=1UUJ3lHrdPike4MS97BUcnQnyydSJ0HtE</v>
      </c>
      <c r="W463" s="5" t="str">
        <f>IFERROR(__xludf.DUMMYFUNCTION("""COMPUTED_VALUE"""),"NÃO")</f>
        <v>NÃO</v>
      </c>
      <c r="X463" s="5" t="str">
        <f>IFERROR(__xludf.DUMMYFUNCTION("""COMPUTED_VALUE"""),"NÃO SE APLICA")</f>
        <v>NÃO SE APLICA</v>
      </c>
    </row>
    <row r="464" hidden="1">
      <c r="A464" s="5">
        <f>IFERROR(__xludf.DUMMYFUNCTION("""COMPUTED_VALUE"""),7.0)</f>
        <v>7</v>
      </c>
      <c r="B464" s="5" t="str">
        <f>IFERROR(__xludf.DUMMYFUNCTION("""COMPUTED_VALUE"""),"CB018")</f>
        <v>CB018</v>
      </c>
      <c r="C464" s="5" t="str">
        <f>IFERROR(__xludf.DUMMYFUNCTION("""COMPUTED_VALUE"""),"NÃO POSSUI")</f>
        <v>NÃO POSSUI</v>
      </c>
      <c r="D464" s="5" t="str">
        <f>IFERROR(__xludf.DUMMYFUNCTION("""COMPUTED_VALUE"""),"FIXADA EM POSTE")</f>
        <v>FIXADA EM POSTE</v>
      </c>
      <c r="E464" s="5" t="str">
        <f>IFERROR(__xludf.DUMMYFUNCTION("""COMPUTED_VALUE"""),"SEM BAIA")</f>
        <v>SEM BAIA</v>
      </c>
      <c r="F464" s="5" t="str">
        <f>IFERROR(__xludf.DUMMYFUNCTION("""COMPUTED_VALUE"""),"NÃO")</f>
        <v>NÃO</v>
      </c>
      <c r="G464" s="5" t="str">
        <f>IFERROR(__xludf.DUMMYFUNCTION("""COMPUTED_VALUE"""),"NÃO")</f>
        <v>NÃO</v>
      </c>
      <c r="H464" s="5" t="str">
        <f>IFERROR(__xludf.DUMMYFUNCTION("""COMPUTED_VALUE"""),"PAVIMENTADA")</f>
        <v>PAVIMENTADA</v>
      </c>
      <c r="I464" s="6" t="str">
        <f>IFERROR(__xludf.DUMMYFUNCTION("""COMPUTED_VALUE"""),"-9.571171")</f>
        <v>-9.571171</v>
      </c>
      <c r="J464" s="6" t="str">
        <f>IFERROR(__xludf.DUMMYFUNCTION("""COMPUTED_VALUE"""),"-35.777729")</f>
        <v>-35.777729</v>
      </c>
      <c r="K464" s="5" t="str">
        <f>IFERROR(__xludf.DUMMYFUNCTION("""COMPUTED_VALUE"""),"R. DR. JOÃO CRISÓSTOMO DE FARIAS")</f>
        <v>R. DR. JOÃO CRISÓSTOMO DE FARIAS</v>
      </c>
      <c r="L464" s="5" t="str">
        <f>IFERROR(__xludf.DUMMYFUNCTION("""COMPUTED_VALUE"""),"LOCAL")</f>
        <v>LOCAL</v>
      </c>
      <c r="M464" s="5" t="str">
        <f>IFERROR(__xludf.DUMMYFUNCTION("""COMPUTED_VALUE"""),"CLIMA BOM")</f>
        <v>CLIMA BOM</v>
      </c>
      <c r="N464" s="5" t="str">
        <f>IFERROR(__xludf.DUMMYFUNCTION("""COMPUTED_VALUE"""),"BAIRRO - CENTRO")</f>
        <v>BAIRRO - CENTRO</v>
      </c>
      <c r="O464" s="5" t="str">
        <f>IFERROR(__xludf.DUMMYFUNCTION("""COMPUTED_VALUE"""),"AO LADO DA LOJA TENTAÇÃO")</f>
        <v>AO LADO DA LOJA TENTAÇÃO</v>
      </c>
      <c r="P464" s="5" t="str">
        <f>IFERROR(__xludf.DUMMYFUNCTION("""COMPUTED_VALUE"""),"PRIORIDADE BAIXA")</f>
        <v>PRIORIDADE BAIXA</v>
      </c>
      <c r="Q464" s="5" t="str">
        <f>IFERROR(__xludf.DUMMYFUNCTION("""COMPUTED_VALUE"""),"NECESSÁRIO REALIZAR LIMPEZA DA VEGETAÇÃO SELVAGEM CRESCENTE E PINTURA DE BAÍA NO ASFALTO.")</f>
        <v>NECESSÁRIO REALIZAR LIMPEZA DA VEGETAÇÃO SELVAGEM CRESCENTE E PINTURA DE BAÍA NO ASFALTO.</v>
      </c>
      <c r="R464" s="5" t="str">
        <f>IFERROR(__xludf.DUMMYFUNCTION("""COMPUTED_VALUE"""),"NENHUMA DAS OPÇÕES")</f>
        <v>NENHUMA DAS OPÇÕES</v>
      </c>
      <c r="S464" s="5"/>
      <c r="T464" s="5"/>
      <c r="U464" s="5"/>
      <c r="V464" s="9" t="str">
        <f>IFERROR(__xludf.DUMMYFUNCTION("""COMPUTED_VALUE"""),"https://drive.google.com/uc?id=1JqWs4v1r2Jvp7yU0xfeuu3uLX1unnSrA")</f>
        <v>https://drive.google.com/uc?id=1JqWs4v1r2Jvp7yU0xfeuu3uLX1unnSrA</v>
      </c>
      <c r="W464" s="5" t="str">
        <f>IFERROR(__xludf.DUMMYFUNCTION("""COMPUTED_VALUE"""),"NÃO")</f>
        <v>NÃO</v>
      </c>
      <c r="X464" s="5" t="str">
        <f>IFERROR(__xludf.DUMMYFUNCTION("""COMPUTED_VALUE"""),"NÃO SE APLICA")</f>
        <v>NÃO SE APLICA</v>
      </c>
    </row>
    <row r="465" hidden="1">
      <c r="A465" s="5">
        <f>IFERROR(__xludf.DUMMYFUNCTION("""COMPUTED_VALUE"""),7.0)</f>
        <v>7</v>
      </c>
      <c r="B465" s="5" t="str">
        <f>IFERROR(__xludf.DUMMYFUNCTION("""COMPUTED_VALUE"""),"CB019")</f>
        <v>CB019</v>
      </c>
      <c r="C465" s="5" t="str">
        <f>IFERROR(__xludf.DUMMYFUNCTION("""COMPUTED_VALUE"""),"NÃO POSSUI")</f>
        <v>NÃO POSSUI</v>
      </c>
      <c r="D465" s="5" t="str">
        <f>IFERROR(__xludf.DUMMYFUNCTION("""COMPUTED_VALUE"""),"SEM PLACA")</f>
        <v>SEM PLACA</v>
      </c>
      <c r="E465" s="5" t="str">
        <f>IFERROR(__xludf.DUMMYFUNCTION("""COMPUTED_VALUE"""),"SEM BAIA")</f>
        <v>SEM BAIA</v>
      </c>
      <c r="F465" s="5" t="str">
        <f>IFERROR(__xludf.DUMMYFUNCTION("""COMPUTED_VALUE"""),"NÃO")</f>
        <v>NÃO</v>
      </c>
      <c r="G465" s="5" t="str">
        <f>IFERROR(__xludf.DUMMYFUNCTION("""COMPUTED_VALUE"""),"NÃO")</f>
        <v>NÃO</v>
      </c>
      <c r="H465" s="5" t="str">
        <f>IFERROR(__xludf.DUMMYFUNCTION("""COMPUTED_VALUE"""),"PAVIMENTADA")</f>
        <v>PAVIMENTADA</v>
      </c>
      <c r="I465" s="6" t="str">
        <f>IFERROR(__xludf.DUMMYFUNCTION("""COMPUTED_VALUE"""),"-9.57933")</f>
        <v>-9.57933</v>
      </c>
      <c r="J465" s="6" t="str">
        <f>IFERROR(__xludf.DUMMYFUNCTION("""COMPUTED_VALUE"""),"-35.7787")</f>
        <v>-35.7787</v>
      </c>
      <c r="K465" s="5" t="str">
        <f>IFERROR(__xludf.DUMMYFUNCTION("""COMPUTED_VALUE"""),"AV. B")</f>
        <v>AV. B</v>
      </c>
      <c r="L465" s="5" t="str">
        <f>IFERROR(__xludf.DUMMYFUNCTION("""COMPUTED_VALUE"""),"LOCAL")</f>
        <v>LOCAL</v>
      </c>
      <c r="M465" s="5" t="str">
        <f>IFERROR(__xludf.DUMMYFUNCTION("""COMPUTED_VALUE"""),"CLIMA BOM")</f>
        <v>CLIMA BOM</v>
      </c>
      <c r="N465" s="5" t="str">
        <f>IFERROR(__xludf.DUMMYFUNCTION("""COMPUTED_VALUE"""),"CENTRO - BAIRRO")</f>
        <v>CENTRO - BAIRRO</v>
      </c>
      <c r="O465" s="5" t="str">
        <f>IFERROR(__xludf.DUMMYFUNCTION("""COMPUTED_VALUE"""),"EM FRENTE AO TERMINAL DO OSMAN LOUREIRO")</f>
        <v>EM FRENTE AO TERMINAL DO OSMAN LOUREIRO</v>
      </c>
      <c r="P465" s="5" t="str">
        <f>IFERROR(__xludf.DUMMYFUNCTION("""COMPUTED_VALUE"""),"URGENTE")</f>
        <v>URGENTE</v>
      </c>
      <c r="Q465" s="5"/>
      <c r="R465" s="5" t="str">
        <f>IFERROR(__xludf.DUMMYFUNCTION("""COMPUTED_VALUE"""),"NENHUMA DAS OPÇÕES")</f>
        <v>NENHUMA DAS OPÇÕES</v>
      </c>
      <c r="S465" s="5"/>
      <c r="T465" s="5"/>
      <c r="U465" s="5"/>
      <c r="V465" s="9" t="str">
        <f>IFERROR(__xludf.DUMMYFUNCTION("""COMPUTED_VALUE"""),"https://drive.google.com/uc?id=1hk6ZYGwjltt9FsJ22QHX5K5hCmNElTOJ")</f>
        <v>https://drive.google.com/uc?id=1hk6ZYGwjltt9FsJ22QHX5K5hCmNElTOJ</v>
      </c>
      <c r="W465" s="5" t="str">
        <f>IFERROR(__xludf.DUMMYFUNCTION("""COMPUTED_VALUE"""),"NÃO")</f>
        <v>NÃO</v>
      </c>
      <c r="X465" s="5" t="str">
        <f>IFERROR(__xludf.DUMMYFUNCTION("""COMPUTED_VALUE"""),"NÃO SE APLICA")</f>
        <v>NÃO SE APLICA</v>
      </c>
    </row>
    <row r="466">
      <c r="A466" s="5">
        <f>IFERROR(__xludf.DUMMYFUNCTION("""COMPUTED_VALUE"""),7.0)</f>
        <v>7</v>
      </c>
      <c r="B466" s="5" t="str">
        <f>IFERROR(__xludf.DUMMYFUNCTION("""COMPUTED_VALUE"""),"CB020")</f>
        <v>CB020</v>
      </c>
      <c r="C466" s="5" t="str">
        <f>IFERROR(__xludf.DUMMYFUNCTION("""COMPUTED_VALUE"""),"ABRIGO CONCRETO")</f>
        <v>ABRIGO CONCRETO</v>
      </c>
      <c r="D466" s="5" t="str">
        <f>IFERROR(__xludf.DUMMYFUNCTION("""COMPUTED_VALUE"""),"SEM PLACA")</f>
        <v>SEM PLACA</v>
      </c>
      <c r="E466" s="5" t="str">
        <f>IFERROR(__xludf.DUMMYFUNCTION("""COMPUTED_VALUE"""),"SEM BAIA")</f>
        <v>SEM BAIA</v>
      </c>
      <c r="F466" s="5" t="str">
        <f>IFERROR(__xludf.DUMMYFUNCTION("""COMPUTED_VALUE"""),"NÃO")</f>
        <v>NÃO</v>
      </c>
      <c r="G466" s="5" t="str">
        <f>IFERROR(__xludf.DUMMYFUNCTION("""COMPUTED_VALUE"""),"NÃO")</f>
        <v>NÃO</v>
      </c>
      <c r="H466" s="5" t="str">
        <f>IFERROR(__xludf.DUMMYFUNCTION("""COMPUTED_VALUE"""),"PAVIMENTADA COM AVARIAS")</f>
        <v>PAVIMENTADA COM AVARIAS</v>
      </c>
      <c r="I466" s="6" t="str">
        <f>IFERROR(__xludf.DUMMYFUNCTION("""COMPUTED_VALUE"""),"-9.57903")</f>
        <v>-9.57903</v>
      </c>
      <c r="J466" s="6" t="str">
        <f>IFERROR(__xludf.DUMMYFUNCTION("""COMPUTED_VALUE"""),"-35.77576")</f>
        <v>-35.77576</v>
      </c>
      <c r="K466" s="5" t="str">
        <f>IFERROR(__xludf.DUMMYFUNCTION("""COMPUTED_VALUE"""),"RUA JOSÉ GONZAGA DE ALMEIDA")</f>
        <v>RUA JOSÉ GONZAGA DE ALMEIDA</v>
      </c>
      <c r="L466" s="5" t="str">
        <f>IFERROR(__xludf.DUMMYFUNCTION("""COMPUTED_VALUE"""),"COLETORA")</f>
        <v>COLETORA</v>
      </c>
      <c r="M466" s="5" t="str">
        <f>IFERROR(__xludf.DUMMYFUNCTION("""COMPUTED_VALUE"""),"CLIMA BOM")</f>
        <v>CLIMA BOM</v>
      </c>
      <c r="N466" s="5" t="str">
        <f>IFERROR(__xludf.DUMMYFUNCTION("""COMPUTED_VALUE"""),"BAIRRO - CENTRO")</f>
        <v>BAIRRO - CENTRO</v>
      </c>
      <c r="O466" s="5" t="str">
        <f>IFERROR(__xludf.DUMMYFUNCTION("""COMPUTED_VALUE"""),"EM FRENTE A LANCHONETE CALANGO FRIO")</f>
        <v>EM FRENTE A LANCHONETE CALANGO FRIO</v>
      </c>
      <c r="P466" s="5" t="str">
        <f>IFERROR(__xludf.DUMMYFUNCTION("""COMPUTED_VALUE"""),"URGENTE")</f>
        <v>URGENTE</v>
      </c>
      <c r="Q466" s="5" t="str">
        <f>IFERROR(__xludf.DUMMYFUNCTION("""COMPUTED_VALUE"""),"ABRIGO DANIFICADO - REBOCO, PINURA, E ASSENTO DANIFICADO, NECESSÁRIO FAZER LIMPEZA DA COBERTA, PINTURA DA SINALIZAÇÃO DA BAÍA NO ASFALTO, ADEQUAR CALÇADA.")</f>
        <v>ABRIGO DANIFICADO - REBOCO, PINURA, E ASSENTO DANIFICADO, NECESSÁRIO FAZER LIMPEZA DA COBERTA, PINTURA DA SINALIZAÇÃO DA BAÍA NO ASFALTO, ADEQUAR CALÇADA.</v>
      </c>
      <c r="R466" s="5" t="str">
        <f>IFERROR(__xludf.DUMMYFUNCTION("""COMPUTED_VALUE"""),"SUBSTITUIR ABRIGO")</f>
        <v>SUBSTITUIR ABRIGO</v>
      </c>
      <c r="S466" s="5"/>
      <c r="T466" s="5"/>
      <c r="U466" s="5"/>
      <c r="V466" s="9" t="str">
        <f>IFERROR(__xludf.DUMMYFUNCTION("""COMPUTED_VALUE"""),"https://drive.google.com/uc?id=1f9hhjNHUGPLFpjx5LpqtnpQ4VaXodf1M")</f>
        <v>https://drive.google.com/uc?id=1f9hhjNHUGPLFpjx5LpqtnpQ4VaXodf1M</v>
      </c>
      <c r="W466" s="5" t="str">
        <f>IFERROR(__xludf.DUMMYFUNCTION("""COMPUTED_VALUE"""),"NÃO")</f>
        <v>NÃO</v>
      </c>
      <c r="X466" s="5" t="str">
        <f>IFERROR(__xludf.DUMMYFUNCTION("""COMPUTED_VALUE"""),"NÃO SE APLICA")</f>
        <v>NÃO SE APLICA</v>
      </c>
    </row>
    <row r="467" hidden="1">
      <c r="A467" s="5">
        <f>IFERROR(__xludf.DUMMYFUNCTION("""COMPUTED_VALUE"""),7.0)</f>
        <v>7</v>
      </c>
      <c r="B467" s="5" t="str">
        <f>IFERROR(__xludf.DUMMYFUNCTION("""COMPUTED_VALUE"""),"CB021")</f>
        <v>CB021</v>
      </c>
      <c r="C467" s="5" t="str">
        <f>IFERROR(__xludf.DUMMYFUNCTION("""COMPUTED_VALUE"""),"NÃO POSSUI")</f>
        <v>NÃO POSSUI</v>
      </c>
      <c r="D467" s="5" t="str">
        <f>IFERROR(__xludf.DUMMYFUNCTION("""COMPUTED_VALUE"""),"SEM PLACA")</f>
        <v>SEM PLACA</v>
      </c>
      <c r="E467" s="5" t="str">
        <f>IFERROR(__xludf.DUMMYFUNCTION("""COMPUTED_VALUE"""),"SEM BAIA")</f>
        <v>SEM BAIA</v>
      </c>
      <c r="F467" s="5" t="str">
        <f>IFERROR(__xludf.DUMMYFUNCTION("""COMPUTED_VALUE"""),"NÃO")</f>
        <v>NÃO</v>
      </c>
      <c r="G467" s="5" t="str">
        <f>IFERROR(__xludf.DUMMYFUNCTION("""COMPUTED_VALUE"""),"NÃO")</f>
        <v>NÃO</v>
      </c>
      <c r="H467" s="5" t="str">
        <f>IFERROR(__xludf.DUMMYFUNCTION("""COMPUTED_VALUE"""),"PAVIMENTADA")</f>
        <v>PAVIMENTADA</v>
      </c>
      <c r="I467" s="6" t="str">
        <f>IFERROR(__xludf.DUMMYFUNCTION("""COMPUTED_VALUE"""),"-9.57637")</f>
        <v>-9.57637</v>
      </c>
      <c r="J467" s="6" t="str">
        <f>IFERROR(__xludf.DUMMYFUNCTION("""COMPUTED_VALUE"""),"-35.78114")</f>
        <v>-35.78114</v>
      </c>
      <c r="K467" s="5" t="str">
        <f>IFERROR(__xludf.DUMMYFUNCTION("""COMPUTED_VALUE"""),"R. DONA MARIETA QUINTELA CAMPOS TEIXEIRA")</f>
        <v>R. DONA MARIETA QUINTELA CAMPOS TEIXEIRA</v>
      </c>
      <c r="L467" s="5" t="str">
        <f>IFERROR(__xludf.DUMMYFUNCTION("""COMPUTED_VALUE"""),"LOCAL")</f>
        <v>LOCAL</v>
      </c>
      <c r="M467" s="5" t="str">
        <f>IFERROR(__xludf.DUMMYFUNCTION("""COMPUTED_VALUE"""),"CLIMA BOM")</f>
        <v>CLIMA BOM</v>
      </c>
      <c r="N467" s="5" t="str">
        <f>IFERROR(__xludf.DUMMYFUNCTION("""COMPUTED_VALUE"""),"BAIRRO - CENTRO")</f>
        <v>BAIRRO - CENTRO</v>
      </c>
      <c r="O467" s="5" t="str">
        <f>IFERROR(__xludf.DUMMYFUNCTION("""COMPUTED_VALUE"""),"EM FRENTE A SAPATARIA")</f>
        <v>EM FRENTE A SAPATARIA</v>
      </c>
      <c r="P467" s="5" t="str">
        <f>IFERROR(__xludf.DUMMYFUNCTION("""COMPUTED_VALUE"""),"PRIORIDADE ALTA")</f>
        <v>PRIORIDADE ALTA</v>
      </c>
      <c r="Q467" s="5" t="str">
        <f>IFERROR(__xludf.DUMMYFUNCTION("""COMPUTED_VALUE"""),"PINTURA DE BAÍA NO ASFALTO.")</f>
        <v>PINTURA DE BAÍA NO ASFALTO.</v>
      </c>
      <c r="R467" s="5" t="str">
        <f>IFERROR(__xludf.DUMMYFUNCTION("""COMPUTED_VALUE"""),"NENHUMA DAS OPÇÕES")</f>
        <v>NENHUMA DAS OPÇÕES</v>
      </c>
      <c r="S467" s="5"/>
      <c r="T467" s="5"/>
      <c r="U467" s="5"/>
      <c r="V467" s="9" t="str">
        <f>IFERROR(__xludf.DUMMYFUNCTION("""COMPUTED_VALUE"""),"https://drive.google.com/uc?id=1f9hhjNHUGPLFpjx5LpqtnpQ4VaXodf1M")</f>
        <v>https://drive.google.com/uc?id=1f9hhjNHUGPLFpjx5LpqtnpQ4VaXodf1M</v>
      </c>
      <c r="W467" s="5" t="str">
        <f>IFERROR(__xludf.DUMMYFUNCTION("""COMPUTED_VALUE"""),"NÃO")</f>
        <v>NÃO</v>
      </c>
      <c r="X467" s="5" t="str">
        <f>IFERROR(__xludf.DUMMYFUNCTION("""COMPUTED_VALUE"""),"NÃO SE APLICA")</f>
        <v>NÃO SE APLICA</v>
      </c>
    </row>
    <row r="468" hidden="1">
      <c r="A468" s="5">
        <f>IFERROR(__xludf.DUMMYFUNCTION("""COMPUTED_VALUE"""),7.0)</f>
        <v>7</v>
      </c>
      <c r="B468" s="5" t="str">
        <f>IFERROR(__xludf.DUMMYFUNCTION("""COMPUTED_VALUE"""),"CB022")</f>
        <v>CB022</v>
      </c>
      <c r="C468" s="5" t="str">
        <f>IFERROR(__xludf.DUMMYFUNCTION("""COMPUTED_VALUE"""),"NÃO POSSUI")</f>
        <v>NÃO POSSUI</v>
      </c>
      <c r="D468" s="5" t="str">
        <f>IFERROR(__xludf.DUMMYFUNCTION("""COMPUTED_VALUE"""),"SEM PLACA")</f>
        <v>SEM PLACA</v>
      </c>
      <c r="E468" s="5" t="str">
        <f>IFERROR(__xludf.DUMMYFUNCTION("""COMPUTED_VALUE"""),"SEM BAIA")</f>
        <v>SEM BAIA</v>
      </c>
      <c r="F468" s="5" t="str">
        <f>IFERROR(__xludf.DUMMYFUNCTION("""COMPUTED_VALUE"""),"NÃO")</f>
        <v>NÃO</v>
      </c>
      <c r="G468" s="5" t="str">
        <f>IFERROR(__xludf.DUMMYFUNCTION("""COMPUTED_VALUE"""),"NÃO")</f>
        <v>NÃO</v>
      </c>
      <c r="H468" s="5" t="str">
        <f>IFERROR(__xludf.DUMMYFUNCTION("""COMPUTED_VALUE"""),"PAVIMENTADA COM AVARIAS")</f>
        <v>PAVIMENTADA COM AVARIAS</v>
      </c>
      <c r="I468" s="6" t="str">
        <f>IFERROR(__xludf.DUMMYFUNCTION("""COMPUTED_VALUE"""),"-9.57596")</f>
        <v>-9.57596</v>
      </c>
      <c r="J468" s="6" t="str">
        <f>IFERROR(__xludf.DUMMYFUNCTION("""COMPUTED_VALUE"""),"-35.78416")</f>
        <v>-35.78416</v>
      </c>
      <c r="K468" s="5" t="str">
        <f>IFERROR(__xludf.DUMMYFUNCTION("""COMPUTED_VALUE"""),"R. DONA MARIETA QUINTELA CAMPOS TEIXEIRA")</f>
        <v>R. DONA MARIETA QUINTELA CAMPOS TEIXEIRA</v>
      </c>
      <c r="L468" s="5" t="str">
        <f>IFERROR(__xludf.DUMMYFUNCTION("""COMPUTED_VALUE"""),"LOCAL")</f>
        <v>LOCAL</v>
      </c>
      <c r="M468" s="5" t="str">
        <f>IFERROR(__xludf.DUMMYFUNCTION("""COMPUTED_VALUE"""),"CLIMA BOM")</f>
        <v>CLIMA BOM</v>
      </c>
      <c r="N468" s="5" t="str">
        <f>IFERROR(__xludf.DUMMYFUNCTION("""COMPUTED_VALUE"""),"BAIRRO - CENTRO")</f>
        <v>BAIRRO - CENTRO</v>
      </c>
      <c r="O468" s="5" t="str">
        <f>IFERROR(__xludf.DUMMYFUNCTION("""COMPUTED_VALUE"""),"EM FRENTE A IGREJA UNIVERSAL")</f>
        <v>EM FRENTE A IGREJA UNIVERSAL</v>
      </c>
      <c r="P468" s="5" t="str">
        <f>IFERROR(__xludf.DUMMYFUNCTION("""COMPUTED_VALUE"""),"PRIORIDADE ALTA")</f>
        <v>PRIORIDADE ALTA</v>
      </c>
      <c r="Q468" s="5" t="str">
        <f>IFERROR(__xludf.DUMMYFUNCTION("""COMPUTED_VALUE"""),"ADEQUAR CALÇADA, PINTURA DE BAÍA NO ASFALTO.")</f>
        <v>ADEQUAR CALÇADA, PINTURA DE BAÍA NO ASFALTO.</v>
      </c>
      <c r="R468" s="5" t="str">
        <f>IFERROR(__xludf.DUMMYFUNCTION("""COMPUTED_VALUE"""),"NENHUMA DAS OPÇÕES")</f>
        <v>NENHUMA DAS OPÇÕES</v>
      </c>
      <c r="S468" s="5"/>
      <c r="T468" s="5"/>
      <c r="U468" s="5"/>
      <c r="V468" s="9" t="str">
        <f>IFERROR(__xludf.DUMMYFUNCTION("""COMPUTED_VALUE"""),"https://drive.google.com/uc?id=1f9hhjNHUGPLFpjx5LpqtnpQ4VaXodf1M")</f>
        <v>https://drive.google.com/uc?id=1f9hhjNHUGPLFpjx5LpqtnpQ4VaXodf1M</v>
      </c>
      <c r="W468" s="5" t="str">
        <f>IFERROR(__xludf.DUMMYFUNCTION("""COMPUTED_VALUE"""),"NÃO")</f>
        <v>NÃO</v>
      </c>
      <c r="X468" s="5" t="str">
        <f>IFERROR(__xludf.DUMMYFUNCTION("""COMPUTED_VALUE"""),"NÃO SE APLICA")</f>
        <v>NÃO SE APLICA</v>
      </c>
    </row>
    <row r="469" hidden="1">
      <c r="A469" s="5">
        <f>IFERROR(__xludf.DUMMYFUNCTION("""COMPUTED_VALUE"""),7.0)</f>
        <v>7</v>
      </c>
      <c r="B469" s="5" t="str">
        <f>IFERROR(__xludf.DUMMYFUNCTION("""COMPUTED_VALUE"""),"CB023")</f>
        <v>CB023</v>
      </c>
      <c r="C469" s="5" t="str">
        <f>IFERROR(__xludf.DUMMYFUNCTION("""COMPUTED_VALUE"""),"NÃO POSSUI")</f>
        <v>NÃO POSSUI</v>
      </c>
      <c r="D469" s="5" t="str">
        <f>IFERROR(__xludf.DUMMYFUNCTION("""COMPUTED_VALUE"""),"FIXADA EM POSTE")</f>
        <v>FIXADA EM POSTE</v>
      </c>
      <c r="E469" s="5" t="str">
        <f>IFERROR(__xludf.DUMMYFUNCTION("""COMPUTED_VALUE"""),"SEM BAIA")</f>
        <v>SEM BAIA</v>
      </c>
      <c r="F469" s="5" t="str">
        <f>IFERROR(__xludf.DUMMYFUNCTION("""COMPUTED_VALUE"""),"NÃO")</f>
        <v>NÃO</v>
      </c>
      <c r="G469" s="5" t="str">
        <f>IFERROR(__xludf.DUMMYFUNCTION("""COMPUTED_VALUE"""),"NÃO")</f>
        <v>NÃO</v>
      </c>
      <c r="H469" s="5" t="str">
        <f>IFERROR(__xludf.DUMMYFUNCTION("""COMPUTED_VALUE"""),"PAVIMENTADA")</f>
        <v>PAVIMENTADA</v>
      </c>
      <c r="I469" s="6" t="str">
        <f>IFERROR(__xludf.DUMMYFUNCTION("""COMPUTED_VALUE"""),"-9.57577")</f>
        <v>-9.57577</v>
      </c>
      <c r="J469" s="6" t="str">
        <f>IFERROR(__xludf.DUMMYFUNCTION("""COMPUTED_VALUE"""),"-35.78575")</f>
        <v>-35.78575</v>
      </c>
      <c r="K469" s="5" t="str">
        <f>IFERROR(__xludf.DUMMYFUNCTION("""COMPUTED_VALUE"""),"R. DONA MARIETA QUINTELA CAMPOS TEIXEIRA")</f>
        <v>R. DONA MARIETA QUINTELA CAMPOS TEIXEIRA</v>
      </c>
      <c r="L469" s="5" t="str">
        <f>IFERROR(__xludf.DUMMYFUNCTION("""COMPUTED_VALUE"""),"LOCAL")</f>
        <v>LOCAL</v>
      </c>
      <c r="M469" s="5" t="str">
        <f>IFERROR(__xludf.DUMMYFUNCTION("""COMPUTED_VALUE"""),"CLIMA BOM")</f>
        <v>CLIMA BOM</v>
      </c>
      <c r="N469" s="5" t="str">
        <f>IFERROR(__xludf.DUMMYFUNCTION("""COMPUTED_VALUE"""),"BAIRRO - CENTRO")</f>
        <v>BAIRRO - CENTRO</v>
      </c>
      <c r="O469" s="5" t="str">
        <f>IFERROR(__xludf.DUMMYFUNCTION("""COMPUTED_VALUE"""),"EM FRENTE A ASSEMBLEIA")</f>
        <v>EM FRENTE A ASSEMBLEIA</v>
      </c>
      <c r="P469" s="5" t="str">
        <f>IFERROR(__xludf.DUMMYFUNCTION("""COMPUTED_VALUE"""),"PRIORIDADE BAIXA")</f>
        <v>PRIORIDADE BAIXA</v>
      </c>
      <c r="Q469" s="5"/>
      <c r="R469" s="5" t="str">
        <f>IFERROR(__xludf.DUMMYFUNCTION("""COMPUTED_VALUE"""),"NENHUMA DAS OPÇÕES")</f>
        <v>NENHUMA DAS OPÇÕES</v>
      </c>
      <c r="S469" s="5"/>
      <c r="T469" s="5"/>
      <c r="U469" s="5"/>
      <c r="V469" s="9" t="str">
        <f>IFERROR(__xludf.DUMMYFUNCTION("""COMPUTED_VALUE"""),"https://drive.google.com/uc?id=1JRHM_QKKZqxrTtFaXhStfgaaKd7cdaNW")</f>
        <v>https://drive.google.com/uc?id=1JRHM_QKKZqxrTtFaXhStfgaaKd7cdaNW</v>
      </c>
      <c r="W469" s="5" t="str">
        <f>IFERROR(__xludf.DUMMYFUNCTION("""COMPUTED_VALUE"""),"NÃO")</f>
        <v>NÃO</v>
      </c>
      <c r="X469" s="5" t="str">
        <f>IFERROR(__xludf.DUMMYFUNCTION("""COMPUTED_VALUE"""),"NÃO SE APLICA")</f>
        <v>NÃO SE APLICA</v>
      </c>
    </row>
    <row r="470">
      <c r="A470" s="5">
        <f>IFERROR(__xludf.DUMMYFUNCTION("""COMPUTED_VALUE"""),7.0)</f>
        <v>7</v>
      </c>
      <c r="B470" s="5" t="str">
        <f>IFERROR(__xludf.DUMMYFUNCTION("""COMPUTED_VALUE"""),"CB024")</f>
        <v>CB024</v>
      </c>
      <c r="C470" s="5" t="str">
        <f>IFERROR(__xludf.DUMMYFUNCTION("""COMPUTED_VALUE"""),"ABRIGO METÁLICO GRANDE PORTE")</f>
        <v>ABRIGO METÁLICO GRANDE PORTE</v>
      </c>
      <c r="D470" s="5" t="str">
        <f>IFERROR(__xludf.DUMMYFUNCTION("""COMPUTED_VALUE"""),"SEM PLACA")</f>
        <v>SEM PLACA</v>
      </c>
      <c r="E470" s="5" t="str">
        <f>IFERROR(__xludf.DUMMYFUNCTION("""COMPUTED_VALUE"""),"BAIA CONSTRUÍDA")</f>
        <v>BAIA CONSTRUÍDA</v>
      </c>
      <c r="F470" s="5" t="str">
        <f>IFERROR(__xludf.DUMMYFUNCTION("""COMPUTED_VALUE"""),"SIM")</f>
        <v>SIM</v>
      </c>
      <c r="G470" s="5" t="str">
        <f>IFERROR(__xludf.DUMMYFUNCTION("""COMPUTED_VALUE"""),"NÃO")</f>
        <v>NÃO</v>
      </c>
      <c r="H470" s="5" t="str">
        <f>IFERROR(__xludf.DUMMYFUNCTION("""COMPUTED_VALUE"""),"PAVIMENTADA")</f>
        <v>PAVIMENTADA</v>
      </c>
      <c r="I470" s="6" t="str">
        <f>IFERROR(__xludf.DUMMYFUNCTION("""COMPUTED_VALUE"""),"-9.57735")</f>
        <v>-9.57735</v>
      </c>
      <c r="J470" s="6" t="str">
        <f>IFERROR(__xludf.DUMMYFUNCTION("""COMPUTED_VALUE"""),"-35.78854")</f>
        <v>-35.78854</v>
      </c>
      <c r="K470" s="5" t="str">
        <f>IFERROR(__xludf.DUMMYFUNCTION("""COMPUTED_VALUE"""),"RUA DOUTORA NADJA")</f>
        <v>RUA DOUTORA NADJA</v>
      </c>
      <c r="L470" s="5" t="str">
        <f>IFERROR(__xludf.DUMMYFUNCTION("""COMPUTED_VALUE"""),"LOCAL")</f>
        <v>LOCAL</v>
      </c>
      <c r="M470" s="5" t="str">
        <f>IFERROR(__xludf.DUMMYFUNCTION("""COMPUTED_VALUE"""),"CLIMA BOM")</f>
        <v>CLIMA BOM</v>
      </c>
      <c r="N470" s="5" t="str">
        <f>IFERROR(__xludf.DUMMYFUNCTION("""COMPUTED_VALUE"""),"BAIRRO - CENTRO")</f>
        <v>BAIRRO - CENTRO</v>
      </c>
      <c r="O470" s="5" t="str">
        <f>IFERROR(__xludf.DUMMYFUNCTION("""COMPUTED_VALUE"""),"AO LADO DO CAMPO DO ROSANE COLLOR")</f>
        <v>AO LADO DO CAMPO DO ROSANE COLLOR</v>
      </c>
      <c r="P470" s="5" t="str">
        <f>IFERROR(__xludf.DUMMYFUNCTION("""COMPUTED_VALUE"""),"PRIORIDADE ALTA")</f>
        <v>PRIORIDADE ALTA</v>
      </c>
      <c r="Q470" s="5" t="str">
        <f>IFERROR(__xludf.DUMMYFUNCTION("""COMPUTED_VALUE"""),"ADEQUAR CALÇADA, PINTURA DE BAÍA NO ASFALTO.")</f>
        <v>ADEQUAR CALÇADA, PINTURA DE BAÍA NO ASFALTO.</v>
      </c>
      <c r="R470" s="5" t="str">
        <f>IFERROR(__xludf.DUMMYFUNCTION("""COMPUTED_VALUE"""),"NENHUMA DAS OPÇÕES")</f>
        <v>NENHUMA DAS OPÇÕES</v>
      </c>
      <c r="S470" s="5"/>
      <c r="T470" s="5"/>
      <c r="U470" s="5"/>
      <c r="V470" s="9" t="str">
        <f>IFERROR(__xludf.DUMMYFUNCTION("""COMPUTED_VALUE"""),"https://drive.google.com/uc?id=1u4jeDR508_ElKRtW-Cf5vwR8egaSLI5L")</f>
        <v>https://drive.google.com/uc?id=1u4jeDR508_ElKRtW-Cf5vwR8egaSLI5L</v>
      </c>
      <c r="W470" s="5" t="str">
        <f>IFERROR(__xludf.DUMMYFUNCTION("""COMPUTED_VALUE"""),"NÃO")</f>
        <v>NÃO</v>
      </c>
      <c r="X470" s="5" t="str">
        <f>IFERROR(__xludf.DUMMYFUNCTION("""COMPUTED_VALUE"""),"NÃO SE APLICA")</f>
        <v>NÃO SE APLICA</v>
      </c>
    </row>
    <row r="471" hidden="1">
      <c r="A471" s="5">
        <f>IFERROR(__xludf.DUMMYFUNCTION("""COMPUTED_VALUE"""),7.0)</f>
        <v>7</v>
      </c>
      <c r="B471" s="5" t="str">
        <f>IFERROR(__xludf.DUMMYFUNCTION("""COMPUTED_VALUE"""),"CB025")</f>
        <v>CB025</v>
      </c>
      <c r="C471" s="5" t="str">
        <f>IFERROR(__xludf.DUMMYFUNCTION("""COMPUTED_VALUE"""),"NÃO POSSUI")</f>
        <v>NÃO POSSUI</v>
      </c>
      <c r="D471" s="5" t="str">
        <f>IFERROR(__xludf.DUMMYFUNCTION("""COMPUTED_VALUE"""),"FIXADA EM POSTE")</f>
        <v>FIXADA EM POSTE</v>
      </c>
      <c r="E471" s="5" t="str">
        <f>IFERROR(__xludf.DUMMYFUNCTION("""COMPUTED_VALUE"""),"SEM BAIA")</f>
        <v>SEM BAIA</v>
      </c>
      <c r="F471" s="5" t="str">
        <f>IFERROR(__xludf.DUMMYFUNCTION("""COMPUTED_VALUE"""),"NÃO")</f>
        <v>NÃO</v>
      </c>
      <c r="G471" s="5" t="str">
        <f>IFERROR(__xludf.DUMMYFUNCTION("""COMPUTED_VALUE"""),"NÃO")</f>
        <v>NÃO</v>
      </c>
      <c r="H471" s="5" t="str">
        <f>IFERROR(__xludf.DUMMYFUNCTION("""COMPUTED_VALUE"""),"PAVIMENTADA")</f>
        <v>PAVIMENTADA</v>
      </c>
      <c r="I471" s="6" t="str">
        <f>IFERROR(__xludf.DUMMYFUNCTION("""COMPUTED_VALUE"""),"-9.57635")</f>
        <v>-9.57635</v>
      </c>
      <c r="J471" s="6" t="str">
        <f>IFERROR(__xludf.DUMMYFUNCTION("""COMPUTED_VALUE"""),"-35.78836")</f>
        <v>-35.78836</v>
      </c>
      <c r="K471" s="5" t="str">
        <f>IFERROR(__xludf.DUMMYFUNCTION("""COMPUTED_VALUE"""),"RUA DOUTORA NADJA")</f>
        <v>RUA DOUTORA NADJA</v>
      </c>
      <c r="L471" s="5" t="str">
        <f>IFERROR(__xludf.DUMMYFUNCTION("""COMPUTED_VALUE"""),"LOCAL")</f>
        <v>LOCAL</v>
      </c>
      <c r="M471" s="5" t="str">
        <f>IFERROR(__xludf.DUMMYFUNCTION("""COMPUTED_VALUE"""),"CLIMA BOM")</f>
        <v>CLIMA BOM</v>
      </c>
      <c r="N471" s="5" t="str">
        <f>IFERROR(__xludf.DUMMYFUNCTION("""COMPUTED_VALUE"""),"CENTRO - BAIRRO")</f>
        <v>CENTRO - BAIRRO</v>
      </c>
      <c r="O471" s="5" t="str">
        <f>IFERROR(__xludf.DUMMYFUNCTION("""COMPUTED_VALUE"""),"EM FRENTE A ESCOLA LUIZ PEDRO")</f>
        <v>EM FRENTE A ESCOLA LUIZ PEDRO</v>
      </c>
      <c r="P471" s="5" t="str">
        <f>IFERROR(__xludf.DUMMYFUNCTION("""COMPUTED_VALUE"""),"PRIORIDADE BAIXA")</f>
        <v>PRIORIDADE BAIXA</v>
      </c>
      <c r="Q471" s="5" t="str">
        <f>IFERROR(__xludf.DUMMYFUNCTION("""COMPUTED_VALUE"""),"READEQUAÇÃO DA CALÇADA COM ACESSIBILIDADE E BAIA.")</f>
        <v>READEQUAÇÃO DA CALÇADA COM ACESSIBILIDADE E BAIA.</v>
      </c>
      <c r="R471" s="5" t="str">
        <f>IFERROR(__xludf.DUMMYFUNCTION("""COMPUTED_VALUE"""),"NENHUMA DAS OPÇÕES")</f>
        <v>NENHUMA DAS OPÇÕES</v>
      </c>
      <c r="S471" s="5"/>
      <c r="T471" s="5"/>
      <c r="U471" s="5"/>
      <c r="V471" s="9" t="str">
        <f>IFERROR(__xludf.DUMMYFUNCTION("""COMPUTED_VALUE"""),"https://drive.google.com/uc?id=1ElQLEra0ENVh2COpyZXRXKrbZe_uOU8u")</f>
        <v>https://drive.google.com/uc?id=1ElQLEra0ENVh2COpyZXRXKrbZe_uOU8u</v>
      </c>
      <c r="W471" s="5" t="str">
        <f>IFERROR(__xludf.DUMMYFUNCTION("""COMPUTED_VALUE"""),"NÃO")</f>
        <v>NÃO</v>
      </c>
      <c r="X471" s="5" t="str">
        <f>IFERROR(__xludf.DUMMYFUNCTION("""COMPUTED_VALUE"""),"NÃO SE APLICA")</f>
        <v>NÃO SE APLICA</v>
      </c>
    </row>
    <row r="472" hidden="1">
      <c r="A472" s="5">
        <f>IFERROR(__xludf.DUMMYFUNCTION("""COMPUTED_VALUE"""),7.0)</f>
        <v>7</v>
      </c>
      <c r="B472" s="5" t="str">
        <f>IFERROR(__xludf.DUMMYFUNCTION("""COMPUTED_VALUE"""),"CB026")</f>
        <v>CB026</v>
      </c>
      <c r="C472" s="5" t="str">
        <f>IFERROR(__xludf.DUMMYFUNCTION("""COMPUTED_VALUE"""),"NÃO POSSUI")</f>
        <v>NÃO POSSUI</v>
      </c>
      <c r="D472" s="5" t="str">
        <f>IFERROR(__xludf.DUMMYFUNCTION("""COMPUTED_VALUE"""),"SEM PLACA")</f>
        <v>SEM PLACA</v>
      </c>
      <c r="E472" s="5" t="str">
        <f>IFERROR(__xludf.DUMMYFUNCTION("""COMPUTED_VALUE"""),"SEM BAIA")</f>
        <v>SEM BAIA</v>
      </c>
      <c r="F472" s="5" t="str">
        <f>IFERROR(__xludf.DUMMYFUNCTION("""COMPUTED_VALUE"""),"NÃO")</f>
        <v>NÃO</v>
      </c>
      <c r="G472" s="5" t="str">
        <f>IFERROR(__xludf.DUMMYFUNCTION("""COMPUTED_VALUE"""),"NÃO")</f>
        <v>NÃO</v>
      </c>
      <c r="H472" s="5" t="str">
        <f>IFERROR(__xludf.DUMMYFUNCTION("""COMPUTED_VALUE"""),"PAVIMENTADA")</f>
        <v>PAVIMENTADA</v>
      </c>
      <c r="I472" s="6" t="str">
        <f>IFERROR(__xludf.DUMMYFUNCTION("""COMPUTED_VALUE"""),"-9.57555")</f>
        <v>-9.57555</v>
      </c>
      <c r="J472" s="6" t="str">
        <f>IFERROR(__xludf.DUMMYFUNCTION("""COMPUTED_VALUE"""),"-35.78657")</f>
        <v>-35.78657</v>
      </c>
      <c r="K472" s="5" t="str">
        <f>IFERROR(__xludf.DUMMYFUNCTION("""COMPUTED_VALUE"""),"RUA MARIETA QUINTELA C TEIXEIRA")</f>
        <v>RUA MARIETA QUINTELA C TEIXEIRA</v>
      </c>
      <c r="L472" s="5" t="str">
        <f>IFERROR(__xludf.DUMMYFUNCTION("""COMPUTED_VALUE"""),"LOCAL")</f>
        <v>LOCAL</v>
      </c>
      <c r="M472" s="5" t="str">
        <f>IFERROR(__xludf.DUMMYFUNCTION("""COMPUTED_VALUE"""),"CLIMA BOM")</f>
        <v>CLIMA BOM</v>
      </c>
      <c r="N472" s="5" t="str">
        <f>IFERROR(__xludf.DUMMYFUNCTION("""COMPUTED_VALUE"""),"CENTRO - BAIRRO")</f>
        <v>CENTRO - BAIRRO</v>
      </c>
      <c r="O472" s="5" t="str">
        <f>IFERROR(__xludf.DUMMYFUNCTION("""COMPUTED_VALUE"""),"EM FRENTE A ARI CALÇADOS")</f>
        <v>EM FRENTE A ARI CALÇADOS</v>
      </c>
      <c r="P472" s="5" t="str">
        <f>IFERROR(__xludf.DUMMYFUNCTION("""COMPUTED_VALUE"""),"PRIORIDADE ALTA")</f>
        <v>PRIORIDADE ALTA</v>
      </c>
      <c r="Q472" s="5" t="str">
        <f>IFERROR(__xludf.DUMMYFUNCTION("""COMPUTED_VALUE""")," PINTURA DE BAÍA NO ASFALTO.")</f>
        <v> PINTURA DE BAÍA NO ASFALTO.</v>
      </c>
      <c r="R472" s="5" t="str">
        <f>IFERROR(__xludf.DUMMYFUNCTION("""COMPUTED_VALUE"""),"NENHUMA DAS OPÇÕES")</f>
        <v>NENHUMA DAS OPÇÕES</v>
      </c>
      <c r="S472" s="5"/>
      <c r="T472" s="5"/>
      <c r="U472" s="5"/>
      <c r="V472" s="9" t="str">
        <f>IFERROR(__xludf.DUMMYFUNCTION("""COMPUTED_VALUE"""),"https://drive.google.com/uc?id=1fsRksXtWQvPnrkrWlnKzvsg1c_aWyU2T")</f>
        <v>https://drive.google.com/uc?id=1fsRksXtWQvPnrkrWlnKzvsg1c_aWyU2T</v>
      </c>
      <c r="W472" s="5" t="str">
        <f>IFERROR(__xludf.DUMMYFUNCTION("""COMPUTED_VALUE"""),"NÃO")</f>
        <v>NÃO</v>
      </c>
      <c r="X472" s="5" t="str">
        <f>IFERROR(__xludf.DUMMYFUNCTION("""COMPUTED_VALUE"""),"NÃO SE APLICA")</f>
        <v>NÃO SE APLICA</v>
      </c>
    </row>
    <row r="473" hidden="1">
      <c r="A473" s="5">
        <f>IFERROR(__xludf.DUMMYFUNCTION("""COMPUTED_VALUE"""),7.0)</f>
        <v>7</v>
      </c>
      <c r="B473" s="5" t="str">
        <f>IFERROR(__xludf.DUMMYFUNCTION("""COMPUTED_VALUE"""),"CB027")</f>
        <v>CB027</v>
      </c>
      <c r="C473" s="5" t="str">
        <f>IFERROR(__xludf.DUMMYFUNCTION("""COMPUTED_VALUE"""),"NÃO POSSUI")</f>
        <v>NÃO POSSUI</v>
      </c>
      <c r="D473" s="5" t="str">
        <f>IFERROR(__xludf.DUMMYFUNCTION("""COMPUTED_VALUE"""),"SEM PLACA")</f>
        <v>SEM PLACA</v>
      </c>
      <c r="E473" s="5" t="str">
        <f>IFERROR(__xludf.DUMMYFUNCTION("""COMPUTED_VALUE"""),"SEM BAIA")</f>
        <v>SEM BAIA</v>
      </c>
      <c r="F473" s="5" t="str">
        <f>IFERROR(__xludf.DUMMYFUNCTION("""COMPUTED_VALUE"""),"NÃO")</f>
        <v>NÃO</v>
      </c>
      <c r="G473" s="5" t="str">
        <f>IFERROR(__xludf.DUMMYFUNCTION("""COMPUTED_VALUE"""),"NÃO")</f>
        <v>NÃO</v>
      </c>
      <c r="H473" s="5" t="str">
        <f>IFERROR(__xludf.DUMMYFUNCTION("""COMPUTED_VALUE"""),"PAVIMENTADA")</f>
        <v>PAVIMENTADA</v>
      </c>
      <c r="I473" s="6" t="str">
        <f>IFERROR(__xludf.DUMMYFUNCTION("""COMPUTED_VALUE"""),"-9.57589")</f>
        <v>-9.57589</v>
      </c>
      <c r="J473" s="6" t="str">
        <f>IFERROR(__xludf.DUMMYFUNCTION("""COMPUTED_VALUE"""),"-35.78449")</f>
        <v>-35.78449</v>
      </c>
      <c r="K473" s="5" t="str">
        <f>IFERROR(__xludf.DUMMYFUNCTION("""COMPUTED_VALUE"""),"RUA MARIETA QUINTELA C TEIXEIRA")</f>
        <v>RUA MARIETA QUINTELA C TEIXEIRA</v>
      </c>
      <c r="L473" s="5" t="str">
        <f>IFERROR(__xludf.DUMMYFUNCTION("""COMPUTED_VALUE"""),"LOCAL")</f>
        <v>LOCAL</v>
      </c>
      <c r="M473" s="5" t="str">
        <f>IFERROR(__xludf.DUMMYFUNCTION("""COMPUTED_VALUE"""),"CLIMA BOM")</f>
        <v>CLIMA BOM</v>
      </c>
      <c r="N473" s="5" t="str">
        <f>IFERROR(__xludf.DUMMYFUNCTION("""COMPUTED_VALUE"""),"CENTRO - BAIRRO")</f>
        <v>CENTRO - BAIRRO</v>
      </c>
      <c r="O473" s="5" t="str">
        <f>IFERROR(__xludf.DUMMYFUNCTION("""COMPUTED_VALUE"""),"EM FRENTE A NON MOTO PEÇAS")</f>
        <v>EM FRENTE A NON MOTO PEÇAS</v>
      </c>
      <c r="P473" s="5" t="str">
        <f>IFERROR(__xludf.DUMMYFUNCTION("""COMPUTED_VALUE"""),"PRIORIDADE ALTA")</f>
        <v>PRIORIDADE ALTA</v>
      </c>
      <c r="Q473" s="5" t="str">
        <f>IFERROR(__xludf.DUMMYFUNCTION("""COMPUTED_VALUE"""),"PINTURA DE BAÍA NO ASFALTO.")</f>
        <v>PINTURA DE BAÍA NO ASFALTO.</v>
      </c>
      <c r="R473" s="5" t="str">
        <f>IFERROR(__xludf.DUMMYFUNCTION("""COMPUTED_VALUE"""),"IMPLANTAR ABRIGO")</f>
        <v>IMPLANTAR ABRIGO</v>
      </c>
      <c r="S473" s="5"/>
      <c r="T473" s="5"/>
      <c r="U473" s="5"/>
      <c r="V473" s="9" t="str">
        <f>IFERROR(__xludf.DUMMYFUNCTION("""COMPUTED_VALUE"""),"https://drive.google.com/uc?id=1pQxyJtwCDAZhtS6M0biA-wfV-p_lncKD")</f>
        <v>https://drive.google.com/uc?id=1pQxyJtwCDAZhtS6M0biA-wfV-p_lncKD</v>
      </c>
      <c r="W473" s="5" t="str">
        <f>IFERROR(__xludf.DUMMYFUNCTION("""COMPUTED_VALUE"""),"NÃO")</f>
        <v>NÃO</v>
      </c>
      <c r="X473" s="5" t="str">
        <f>IFERROR(__xludf.DUMMYFUNCTION("""COMPUTED_VALUE"""),"NÃO SE APLICA")</f>
        <v>NÃO SE APLICA</v>
      </c>
    </row>
    <row r="474" hidden="1">
      <c r="A474" s="5">
        <f>IFERROR(__xludf.DUMMYFUNCTION("""COMPUTED_VALUE"""),7.0)</f>
        <v>7</v>
      </c>
      <c r="B474" s="5" t="str">
        <f>IFERROR(__xludf.DUMMYFUNCTION("""COMPUTED_VALUE"""),"CB028")</f>
        <v>CB028</v>
      </c>
      <c r="C474" s="5" t="str">
        <f>IFERROR(__xludf.DUMMYFUNCTION("""COMPUTED_VALUE"""),"NÃO POSSUI")</f>
        <v>NÃO POSSUI</v>
      </c>
      <c r="D474" s="5" t="str">
        <f>IFERROR(__xludf.DUMMYFUNCTION("""COMPUTED_VALUE"""),"COM SUPORTE")</f>
        <v>COM SUPORTE</v>
      </c>
      <c r="E474" s="5" t="str">
        <f>IFERROR(__xludf.DUMMYFUNCTION("""COMPUTED_VALUE"""),"SEM BAIA")</f>
        <v>SEM BAIA</v>
      </c>
      <c r="F474" s="5" t="str">
        <f>IFERROR(__xludf.DUMMYFUNCTION("""COMPUTED_VALUE"""),"NÃO")</f>
        <v>NÃO</v>
      </c>
      <c r="G474" s="5" t="str">
        <f>IFERROR(__xludf.DUMMYFUNCTION("""COMPUTED_VALUE"""),"NÃO")</f>
        <v>NÃO</v>
      </c>
      <c r="H474" s="5" t="str">
        <f>IFERROR(__xludf.DUMMYFUNCTION("""COMPUTED_VALUE"""),"PAVIMENTADA")</f>
        <v>PAVIMENTADA</v>
      </c>
      <c r="I474" s="6" t="str">
        <f>IFERROR(__xludf.DUMMYFUNCTION("""COMPUTED_VALUE"""),"-9.575873")</f>
        <v>-9.575873</v>
      </c>
      <c r="J474" s="6" t="str">
        <f>IFERROR(__xludf.DUMMYFUNCTION("""COMPUTED_VALUE"""),"-35.784183")</f>
        <v>-35.784183</v>
      </c>
      <c r="K474" s="5" t="str">
        <f>IFERROR(__xludf.DUMMYFUNCTION("""COMPUTED_VALUE"""),"RUA MARIETA QUINTELA C TEIXEIRA")</f>
        <v>RUA MARIETA QUINTELA C TEIXEIRA</v>
      </c>
      <c r="L474" s="5" t="str">
        <f>IFERROR(__xludf.DUMMYFUNCTION("""COMPUTED_VALUE"""),"LOCAL")</f>
        <v>LOCAL</v>
      </c>
      <c r="M474" s="5" t="str">
        <f>IFERROR(__xludf.DUMMYFUNCTION("""COMPUTED_VALUE"""),"CLIMA BOM")</f>
        <v>CLIMA BOM</v>
      </c>
      <c r="N474" s="5" t="str">
        <f>IFERROR(__xludf.DUMMYFUNCTION("""COMPUTED_VALUE"""),"CENTRO - BAIRRO")</f>
        <v>CENTRO - BAIRRO</v>
      </c>
      <c r="O474" s="5" t="str">
        <f>IFERROR(__xludf.DUMMYFUNCTION("""COMPUTED_VALUE"""),"LADO OPOSTO A  IGREJA UNIVERSAL")</f>
        <v>LADO OPOSTO A  IGREJA UNIVERSAL</v>
      </c>
      <c r="P474" s="5" t="str">
        <f>IFERROR(__xludf.DUMMYFUNCTION("""COMPUTED_VALUE"""),"PRIORIDADE ALTA")</f>
        <v>PRIORIDADE ALTA</v>
      </c>
      <c r="Q474" s="5"/>
      <c r="R474" s="5" t="str">
        <f>IFERROR(__xludf.DUMMYFUNCTION("""COMPUTED_VALUE"""),"NENHUMA DAS OPÇÕES")</f>
        <v>NENHUMA DAS OPÇÕES</v>
      </c>
      <c r="S474" s="5"/>
      <c r="T474" s="5"/>
      <c r="U474" s="5"/>
      <c r="V474" s="9" t="str">
        <f>IFERROR(__xludf.DUMMYFUNCTION("""COMPUTED_VALUE"""),"https://drive.google.com/uc?id=18bLqv665ax6ympzpBC0iPbOnfMSjNXyb/view")</f>
        <v>https://drive.google.com/uc?id=18bLqv665ax6ympzpBC0iPbOnfMSjNXyb/view</v>
      </c>
      <c r="W474" s="5" t="str">
        <f>IFERROR(__xludf.DUMMYFUNCTION("""COMPUTED_VALUE"""),"NÃO")</f>
        <v>NÃO</v>
      </c>
      <c r="X474" s="5" t="str">
        <f>IFERROR(__xludf.DUMMYFUNCTION("""COMPUTED_VALUE"""),"NÃO SE APLICA")</f>
        <v>NÃO SE APLICA</v>
      </c>
    </row>
    <row r="475" hidden="1">
      <c r="A475" s="5">
        <f>IFERROR(__xludf.DUMMYFUNCTION("IMPORTRANGE(""https://docs.google.com/spreadsheets/d/1-Yu0wk38BvJp_4SsDjwItRQX9X18pxzX2mfs6mvd6ac/edit#gid=136929768"", ""TABULEIRO DOS MARTINS!A3:X117"")"),7.0)</f>
        <v>7</v>
      </c>
      <c r="B475" s="5" t="str">
        <f>IFERROR(__xludf.DUMMYFUNCTION("""COMPUTED_VALUE"""),"TM001")</f>
        <v>TM001</v>
      </c>
      <c r="C475" s="5" t="str">
        <f>IFERROR(__xludf.DUMMYFUNCTION("""COMPUTED_VALUE"""),"NÃO POSSUI")</f>
        <v>NÃO POSSUI</v>
      </c>
      <c r="D475" s="5" t="str">
        <f>IFERROR(__xludf.DUMMYFUNCTION("""COMPUTED_VALUE"""),"COM SUPORTE")</f>
        <v>COM SUPORTE</v>
      </c>
      <c r="E475" s="5" t="str">
        <f>IFERROR(__xludf.DUMMYFUNCTION("""COMPUTED_VALUE"""),"SEM BAIA")</f>
        <v>SEM BAIA</v>
      </c>
      <c r="F475" s="5" t="str">
        <f>IFERROR(__xludf.DUMMYFUNCTION("""COMPUTED_VALUE"""),"NÃO")</f>
        <v>NÃO</v>
      </c>
      <c r="G475" s="5" t="str">
        <f>IFERROR(__xludf.DUMMYFUNCTION("""COMPUTED_VALUE"""),"SIM")</f>
        <v>SIM</v>
      </c>
      <c r="H475" s="5" t="str">
        <f>IFERROR(__xludf.DUMMYFUNCTION("""COMPUTED_VALUE"""),"PAVIMENTADA")</f>
        <v>PAVIMENTADA</v>
      </c>
      <c r="I475" s="6" t="str">
        <f>IFERROR(__xludf.DUMMYFUNCTION("""COMPUTED_VALUE"""),"-9.576641")</f>
        <v>-9.576641</v>
      </c>
      <c r="J475" s="6" t="str">
        <f>IFERROR(__xludf.DUMMYFUNCTION("""COMPUTED_VALUE"""),"-35.771596")</f>
        <v>-35.771596</v>
      </c>
      <c r="K475" s="5" t="str">
        <f>IFERROR(__xludf.DUMMYFUNCTION("""COMPUTED_VALUE"""),"RUA DOUTOR EURICO AYRES")</f>
        <v>RUA DOUTOR EURICO AYRES</v>
      </c>
      <c r="L475" s="5" t="str">
        <f>IFERROR(__xludf.DUMMYFUNCTION("""COMPUTED_VALUE"""),"COLETORA")</f>
        <v>COLETORA</v>
      </c>
      <c r="M475" s="5" t="str">
        <f>IFERROR(__xludf.DUMMYFUNCTION("""COMPUTED_VALUE"""),"TABULEIRO DOS MARTINS")</f>
        <v>TABULEIRO DOS MARTINS</v>
      </c>
      <c r="N475" s="5" t="str">
        <f>IFERROR(__xludf.DUMMYFUNCTION("""COMPUTED_VALUE"""),"CENTRO - BAIRRO")</f>
        <v>CENTRO - BAIRRO</v>
      </c>
      <c r="O475" s="5" t="str">
        <f>IFERROR(__xludf.DUMMYFUNCTION("""COMPUTED_VALUE"""),"APÓS A IGREJA BATISTA")</f>
        <v>APÓS A IGREJA BATISTA</v>
      </c>
      <c r="P475" s="5" t="str">
        <f>IFERROR(__xludf.DUMMYFUNCTION("""COMPUTED_VALUE"""),"PRIORIDADE BAIXA")</f>
        <v>PRIORIDADE BAIXA</v>
      </c>
      <c r="Q475" s="5" t="str">
        <f>IFERROR(__xludf.DUMMYFUNCTION("""COMPUTED_VALUE"""),"READEQUAÇÃO DA CALÇADA COM ACESSIBILIDADE E BAIA.")</f>
        <v>READEQUAÇÃO DA CALÇADA COM ACESSIBILIDADE E BAIA.</v>
      </c>
      <c r="R475" s="5" t="str">
        <f>IFERROR(__xludf.DUMMYFUNCTION("""COMPUTED_VALUE"""),"NENHUMA DAS OPÇÕES")</f>
        <v>NENHUMA DAS OPÇÕES</v>
      </c>
      <c r="S475" s="5"/>
      <c r="T475" s="5"/>
      <c r="U475" s="5"/>
      <c r="V475" s="9" t="str">
        <f>IFERROR(__xludf.DUMMYFUNCTION("""COMPUTED_VALUE"""),"https://drive.google.com/uc?id=1qIvwjPByb0jGfxJDkCnZsPTmWV5njGHq")</f>
        <v>https://drive.google.com/uc?id=1qIvwjPByb0jGfxJDkCnZsPTmWV5njGHq</v>
      </c>
      <c r="W475" s="5" t="str">
        <f>IFERROR(__xludf.DUMMYFUNCTION("""COMPUTED_VALUE"""),"NÃO")</f>
        <v>NÃO</v>
      </c>
      <c r="X475" s="5" t="str">
        <f>IFERROR(__xludf.DUMMYFUNCTION("""COMPUTED_VALUE"""),"NÃO SE APLICA")</f>
        <v>NÃO SE APLICA</v>
      </c>
    </row>
    <row r="476">
      <c r="A476" s="5">
        <f>IFERROR(__xludf.DUMMYFUNCTION("""COMPUTED_VALUE"""),7.0)</f>
        <v>7</v>
      </c>
      <c r="B476" s="5" t="str">
        <f>IFERROR(__xludf.DUMMYFUNCTION("""COMPUTED_VALUE"""),"TM002")</f>
        <v>TM002</v>
      </c>
      <c r="C476" s="5" t="str">
        <f>IFERROR(__xludf.DUMMYFUNCTION("""COMPUTED_VALUE"""),"ABRIGO CONCRETO")</f>
        <v>ABRIGO CONCRETO</v>
      </c>
      <c r="D476" s="5" t="str">
        <f>IFERROR(__xludf.DUMMYFUNCTION("""COMPUTED_VALUE"""),"SEM PLACA")</f>
        <v>SEM PLACA</v>
      </c>
      <c r="E476" s="5" t="str">
        <f>IFERROR(__xludf.DUMMYFUNCTION("""COMPUTED_VALUE"""),"SEM BAIA")</f>
        <v>SEM BAIA</v>
      </c>
      <c r="F476" s="5" t="str">
        <f>IFERROR(__xludf.DUMMYFUNCTION("""COMPUTED_VALUE"""),"NÃO")</f>
        <v>NÃO</v>
      </c>
      <c r="G476" s="5" t="str">
        <f>IFERROR(__xludf.DUMMYFUNCTION("""COMPUTED_VALUE"""),"NÃO")</f>
        <v>NÃO</v>
      </c>
      <c r="H476" s="5" t="str">
        <f>IFERROR(__xludf.DUMMYFUNCTION("""COMPUTED_VALUE"""),"NÃO PAVIMENTADA")</f>
        <v>NÃO PAVIMENTADA</v>
      </c>
      <c r="I476" s="6" t="str">
        <f>IFERROR(__xludf.DUMMYFUNCTION("""COMPUTED_VALUE"""),"-9.57831")</f>
        <v>-9.57831</v>
      </c>
      <c r="J476" s="6" t="str">
        <f>IFERROR(__xludf.DUMMYFUNCTION("""COMPUTED_VALUE"""),"-35.77331")</f>
        <v>-35.77331</v>
      </c>
      <c r="K476" s="5" t="str">
        <f>IFERROR(__xludf.DUMMYFUNCTION("""COMPUTED_VALUE"""),"RUA SÃO PAULO")</f>
        <v>RUA SÃO PAULO</v>
      </c>
      <c r="L476" s="5" t="str">
        <f>IFERROR(__xludf.DUMMYFUNCTION("""COMPUTED_VALUE"""),"COLETORA")</f>
        <v>COLETORA</v>
      </c>
      <c r="M476" s="5" t="str">
        <f>IFERROR(__xludf.DUMMYFUNCTION("""COMPUTED_VALUE"""),"TABULEIRO DOS MARTINS")</f>
        <v>TABULEIRO DOS MARTINS</v>
      </c>
      <c r="N476" s="5" t="str">
        <f>IFERROR(__xludf.DUMMYFUNCTION("""COMPUTED_VALUE"""),"CENTRO - BAIRRO")</f>
        <v>CENTRO - BAIRRO</v>
      </c>
      <c r="O476" s="5" t="str">
        <f>IFERROR(__xludf.DUMMYFUNCTION("""COMPUTED_VALUE"""),"APÓS CONSULTÓRIO SÃO PAULO")</f>
        <v>APÓS CONSULTÓRIO SÃO PAULO</v>
      </c>
      <c r="P476" s="5" t="str">
        <f>IFERROR(__xludf.DUMMYFUNCTION("""COMPUTED_VALUE"""),"PRIORIDADE BAIXA")</f>
        <v>PRIORIDADE BAIXA</v>
      </c>
      <c r="Q476" s="5" t="str">
        <f>IFERROR(__xludf.DUMMYFUNCTION("""COMPUTED_VALUE"""),"READEQUAÇÃO DA CALÇADA COM ACESSIBILIDADE E BAIA.")</f>
        <v>READEQUAÇÃO DA CALÇADA COM ACESSIBILIDADE E BAIA.</v>
      </c>
      <c r="R476" s="5" t="str">
        <f>IFERROR(__xludf.DUMMYFUNCTION("""COMPUTED_VALUE"""),"SUBSTITUIR ABRIGO")</f>
        <v>SUBSTITUIR ABRIGO</v>
      </c>
      <c r="S476" s="5"/>
      <c r="T476" s="5"/>
      <c r="U476" s="5"/>
      <c r="V476" s="9" t="str">
        <f>IFERROR(__xludf.DUMMYFUNCTION("""COMPUTED_VALUE"""),"https://drive.google.com/uc?id=1ZWRX6ePbMzNE9KxhP_Yf7GawenttDqm0")</f>
        <v>https://drive.google.com/uc?id=1ZWRX6ePbMzNE9KxhP_Yf7GawenttDqm0</v>
      </c>
      <c r="W476" s="5" t="str">
        <f>IFERROR(__xludf.DUMMYFUNCTION("""COMPUTED_VALUE"""),"NÃO")</f>
        <v>NÃO</v>
      </c>
      <c r="X476" s="5" t="str">
        <f>IFERROR(__xludf.DUMMYFUNCTION("""COMPUTED_VALUE"""),"NÃO SE APLICA")</f>
        <v>NÃO SE APLICA</v>
      </c>
    </row>
    <row r="477" hidden="1">
      <c r="A477" s="5">
        <f>IFERROR(__xludf.DUMMYFUNCTION("""COMPUTED_VALUE"""),7.0)</f>
        <v>7</v>
      </c>
      <c r="B477" s="5" t="str">
        <f>IFERROR(__xludf.DUMMYFUNCTION("""COMPUTED_VALUE"""),"TM003")</f>
        <v>TM003</v>
      </c>
      <c r="C477" s="5" t="str">
        <f>IFERROR(__xludf.DUMMYFUNCTION("""COMPUTED_VALUE"""),"NÃO POSSUI")</f>
        <v>NÃO POSSUI</v>
      </c>
      <c r="D477" s="5" t="str">
        <f>IFERROR(__xludf.DUMMYFUNCTION("""COMPUTED_VALUE"""),"FIXADA EM POSTE")</f>
        <v>FIXADA EM POSTE</v>
      </c>
      <c r="E477" s="5" t="str">
        <f>IFERROR(__xludf.DUMMYFUNCTION("""COMPUTED_VALUE"""),"SEM BAIA")</f>
        <v>SEM BAIA</v>
      </c>
      <c r="F477" s="5" t="str">
        <f>IFERROR(__xludf.DUMMYFUNCTION("""COMPUTED_VALUE"""),"NÃO")</f>
        <v>NÃO</v>
      </c>
      <c r="G477" s="5" t="str">
        <f>IFERROR(__xludf.DUMMYFUNCTION("""COMPUTED_VALUE"""),"NÃO")</f>
        <v>NÃO</v>
      </c>
      <c r="H477" s="5" t="str">
        <f>IFERROR(__xludf.DUMMYFUNCTION("""COMPUTED_VALUE"""),"NÃO PAVIMENTADA")</f>
        <v>NÃO PAVIMENTADA</v>
      </c>
      <c r="I477" s="6" t="str">
        <f>IFERROR(__xludf.DUMMYFUNCTION("""COMPUTED_VALUE"""),"-9.58019")</f>
        <v>-9.58019</v>
      </c>
      <c r="J477" s="6" t="str">
        <f>IFERROR(__xludf.DUMMYFUNCTION("""COMPUTED_VALUE"""),"-35.77403")</f>
        <v>-35.77403</v>
      </c>
      <c r="K477" s="5" t="str">
        <f>IFERROR(__xludf.DUMMYFUNCTION("""COMPUTED_VALUE"""),"RUA SÃO PAULO")</f>
        <v>RUA SÃO PAULO</v>
      </c>
      <c r="L477" s="5" t="str">
        <f>IFERROR(__xludf.DUMMYFUNCTION("""COMPUTED_VALUE"""),"COLETORA")</f>
        <v>COLETORA</v>
      </c>
      <c r="M477" s="5" t="str">
        <f>IFERROR(__xludf.DUMMYFUNCTION("""COMPUTED_VALUE"""),"TABULEIRO DOS MARTINS")</f>
        <v>TABULEIRO DOS MARTINS</v>
      </c>
      <c r="N477" s="5" t="str">
        <f>IFERROR(__xludf.DUMMYFUNCTION("""COMPUTED_VALUE"""),"CENTRO - BAIRRO")</f>
        <v>CENTRO - BAIRRO</v>
      </c>
      <c r="O477" s="5" t="str">
        <f>IFERROR(__xludf.DUMMYFUNCTION("""COMPUTED_VALUE"""),"EM FRENTE A CASA 29C")</f>
        <v>EM FRENTE A CASA 29C</v>
      </c>
      <c r="P477" s="5" t="str">
        <f>IFERROR(__xludf.DUMMYFUNCTION("""COMPUTED_VALUE"""),"PRIORIDADE BAIXA")</f>
        <v>PRIORIDADE BAIXA</v>
      </c>
      <c r="Q477" s="5" t="str">
        <f>IFERROR(__xludf.DUMMYFUNCTION("""COMPUTED_VALUE"""),"READEQUAÇÃO DA CALÇADA COM ACESSIBILIDADE E BAIA.")</f>
        <v>READEQUAÇÃO DA CALÇADA COM ACESSIBILIDADE E BAIA.</v>
      </c>
      <c r="R477" s="5" t="str">
        <f>IFERROR(__xludf.DUMMYFUNCTION("""COMPUTED_VALUE"""),"NENHUMA DAS OPÇÕES")</f>
        <v>NENHUMA DAS OPÇÕES</v>
      </c>
      <c r="S477" s="5"/>
      <c r="T477" s="5"/>
      <c r="U477" s="5"/>
      <c r="V477" s="9" t="str">
        <f>IFERROR(__xludf.DUMMYFUNCTION("""COMPUTED_VALUE"""),"https://drive.google.com/uc?id=1gt-xk8PqC0lYGsUwoJOywkqFTHMjWuoH")</f>
        <v>https://drive.google.com/uc?id=1gt-xk8PqC0lYGsUwoJOywkqFTHMjWuoH</v>
      </c>
      <c r="W477" s="5" t="str">
        <f>IFERROR(__xludf.DUMMYFUNCTION("""COMPUTED_VALUE"""),"NÃO")</f>
        <v>NÃO</v>
      </c>
      <c r="X477" s="5" t="str">
        <f>IFERROR(__xludf.DUMMYFUNCTION("""COMPUTED_VALUE"""),"NÃO SE APLICA")</f>
        <v>NÃO SE APLICA</v>
      </c>
    </row>
    <row r="478">
      <c r="A478" s="5">
        <f>IFERROR(__xludf.DUMMYFUNCTION("""COMPUTED_VALUE"""),7.0)</f>
        <v>7</v>
      </c>
      <c r="B478" s="5" t="str">
        <f>IFERROR(__xludf.DUMMYFUNCTION("""COMPUTED_VALUE"""),"TM004")</f>
        <v>TM004</v>
      </c>
      <c r="C478" s="5" t="str">
        <f>IFERROR(__xludf.DUMMYFUNCTION("""COMPUTED_VALUE"""),"ABRIGO CONCRETO")</f>
        <v>ABRIGO CONCRETO</v>
      </c>
      <c r="D478" s="5" t="str">
        <f>IFERROR(__xludf.DUMMYFUNCTION("""COMPUTED_VALUE"""),"SEM PLACA")</f>
        <v>SEM PLACA</v>
      </c>
      <c r="E478" s="5" t="str">
        <f>IFERROR(__xludf.DUMMYFUNCTION("""COMPUTED_VALUE"""),"SEM BAIA")</f>
        <v>SEM BAIA</v>
      </c>
      <c r="F478" s="5" t="str">
        <f>IFERROR(__xludf.DUMMYFUNCTION("""COMPUTED_VALUE"""),"NÃO")</f>
        <v>NÃO</v>
      </c>
      <c r="G478" s="5" t="str">
        <f>IFERROR(__xludf.DUMMYFUNCTION("""COMPUTED_VALUE"""),"NÃO")</f>
        <v>NÃO</v>
      </c>
      <c r="H478" s="5" t="str">
        <f>IFERROR(__xludf.DUMMYFUNCTION("""COMPUTED_VALUE"""),"NÃO PAVIMENTADA")</f>
        <v>NÃO PAVIMENTADA</v>
      </c>
      <c r="I478" s="6" t="str">
        <f>IFERROR(__xludf.DUMMYFUNCTION("""COMPUTED_VALUE"""),"-9.5716044")</f>
        <v>-9.5716044</v>
      </c>
      <c r="J478" s="6" t="str">
        <f>IFERROR(__xludf.DUMMYFUNCTION("""COMPUTED_VALUE"""),"-35.7731139  ")</f>
        <v>-35.7731139  </v>
      </c>
      <c r="K478" s="5" t="str">
        <f>IFERROR(__xludf.DUMMYFUNCTION("""COMPUTED_VALUE"""),"AV. GOV. LUÍS CAVALCANTE")</f>
        <v>AV. GOV. LUÍS CAVALCANTE</v>
      </c>
      <c r="L478" s="5" t="str">
        <f>IFERROR(__xludf.DUMMYFUNCTION("""COMPUTED_VALUE"""),"COLETORA")</f>
        <v>COLETORA</v>
      </c>
      <c r="M478" s="5" t="str">
        <f>IFERROR(__xludf.DUMMYFUNCTION("""COMPUTED_VALUE"""),"TABULEIRO DOS MARTINS")</f>
        <v>TABULEIRO DOS MARTINS</v>
      </c>
      <c r="N478" s="5" t="str">
        <f>IFERROR(__xludf.DUMMYFUNCTION("""COMPUTED_VALUE"""),"CENTRO - BAIRRO")</f>
        <v>CENTRO - BAIRRO</v>
      </c>
      <c r="O478" s="5" t="str">
        <f>IFERROR(__xludf.DUMMYFUNCTION("""COMPUTED_VALUE"""),"APÓS A ENTRADA DO POLO INDUSTRIAL")</f>
        <v>APÓS A ENTRADA DO POLO INDUSTRIAL</v>
      </c>
      <c r="P478" s="5" t="str">
        <f>IFERROR(__xludf.DUMMYFUNCTION("""COMPUTED_VALUE"""),"PRIORIDADE BAIXA")</f>
        <v>PRIORIDADE BAIXA</v>
      </c>
      <c r="Q478" s="5" t="str">
        <f>IFERROR(__xludf.DUMMYFUNCTION("""COMPUTED_VALUE"""),"READEQUAÇÃO DA CALÇADA COM ACESSIBILIDADE E BAIA.")</f>
        <v>READEQUAÇÃO DA CALÇADA COM ACESSIBILIDADE E BAIA.</v>
      </c>
      <c r="R478" s="5" t="str">
        <f>IFERROR(__xludf.DUMMYFUNCTION("""COMPUTED_VALUE"""),"SUBSTITUIR ABRIGO")</f>
        <v>SUBSTITUIR ABRIGO</v>
      </c>
      <c r="S478" s="5"/>
      <c r="T478" s="5"/>
      <c r="U478" s="5"/>
      <c r="V478" s="9" t="str">
        <f>IFERROR(__xludf.DUMMYFUNCTION("""COMPUTED_VALUE"""),"https://drive.google.com/uc?id=1_piXWpMfwtIdaDWco2ih9Pmq8kB3IQBu")</f>
        <v>https://drive.google.com/uc?id=1_piXWpMfwtIdaDWco2ih9Pmq8kB3IQBu</v>
      </c>
      <c r="W478" s="5" t="str">
        <f>IFERROR(__xludf.DUMMYFUNCTION("""COMPUTED_VALUE"""),"NÃO")</f>
        <v>NÃO</v>
      </c>
      <c r="X478" s="5" t="str">
        <f>IFERROR(__xludf.DUMMYFUNCTION("""COMPUTED_VALUE"""),"NÃO SE APLICA")</f>
        <v>NÃO SE APLICA</v>
      </c>
    </row>
    <row r="479" hidden="1">
      <c r="A479" s="5">
        <f>IFERROR(__xludf.DUMMYFUNCTION("""COMPUTED_VALUE"""),7.0)</f>
        <v>7</v>
      </c>
      <c r="B479" s="5" t="str">
        <f>IFERROR(__xludf.DUMMYFUNCTION("""COMPUTED_VALUE"""),"TM005")</f>
        <v>TM005</v>
      </c>
      <c r="C479" s="5" t="str">
        <f>IFERROR(__xludf.DUMMYFUNCTION("""COMPUTED_VALUE"""),"NÃO POSSUI")</f>
        <v>NÃO POSSUI</v>
      </c>
      <c r="D479" s="5" t="str">
        <f>IFERROR(__xludf.DUMMYFUNCTION("""COMPUTED_VALUE"""),"SEM PLACA")</f>
        <v>SEM PLACA</v>
      </c>
      <c r="E479" s="5" t="str">
        <f>IFERROR(__xludf.DUMMYFUNCTION("""COMPUTED_VALUE"""),"SEM BAIA")</f>
        <v>SEM BAIA</v>
      </c>
      <c r="F479" s="5" t="str">
        <f>IFERROR(__xludf.DUMMYFUNCTION("""COMPUTED_VALUE"""),"NÃO")</f>
        <v>NÃO</v>
      </c>
      <c r="G479" s="5" t="str">
        <f>IFERROR(__xludf.DUMMYFUNCTION("""COMPUTED_VALUE"""),"NÃO")</f>
        <v>NÃO</v>
      </c>
      <c r="H479" s="5" t="str">
        <f>IFERROR(__xludf.DUMMYFUNCTION("""COMPUTED_VALUE"""),"PAVIMENTADA")</f>
        <v>PAVIMENTADA</v>
      </c>
      <c r="I479" s="6" t="str">
        <f>IFERROR(__xludf.DUMMYFUNCTION("""COMPUTED_VALUE"""),"-9.5697119")</f>
        <v>-9.5697119</v>
      </c>
      <c r="J479" s="6" t="str">
        <f>IFERROR(__xludf.DUMMYFUNCTION("""COMPUTED_VALUE"""),"-35.7702238 ")</f>
        <v>-35.7702238 </v>
      </c>
      <c r="K479" s="5" t="str">
        <f>IFERROR(__xludf.DUMMYFUNCTION("""COMPUTED_VALUE"""),"AV. GOV. LUÍS CAVALCANTE")</f>
        <v>AV. GOV. LUÍS CAVALCANTE</v>
      </c>
      <c r="L479" s="5" t="str">
        <f>IFERROR(__xludf.DUMMYFUNCTION("""COMPUTED_VALUE"""),"COLETORA")</f>
        <v>COLETORA</v>
      </c>
      <c r="M479" s="5" t="str">
        <f>IFERROR(__xludf.DUMMYFUNCTION("""COMPUTED_VALUE"""),"TABULEIRO DOS MARTINS")</f>
        <v>TABULEIRO DOS MARTINS</v>
      </c>
      <c r="N479" s="5" t="str">
        <f>IFERROR(__xludf.DUMMYFUNCTION("""COMPUTED_VALUE"""),"CENTRO - BAIRRO")</f>
        <v>CENTRO - BAIRRO</v>
      </c>
      <c r="O479" s="5" t="str">
        <f>IFERROR(__xludf.DUMMYFUNCTION("""COMPUTED_VALUE"""),"AO LADO DA JN TRANSPORTES")</f>
        <v>AO LADO DA JN TRANSPORTES</v>
      </c>
      <c r="P479" s="5" t="str">
        <f>IFERROR(__xludf.DUMMYFUNCTION("""COMPUTED_VALUE"""),"PRIORIDADE BAIXA")</f>
        <v>PRIORIDADE BAIXA</v>
      </c>
      <c r="Q479" s="5" t="str">
        <f>IFERROR(__xludf.DUMMYFUNCTION("""COMPUTED_VALUE"""),"READEQUAÇÃO DA CALÇADA COM ACESSIBILIDADE E BAIA.")</f>
        <v>READEQUAÇÃO DA CALÇADA COM ACESSIBILIDADE E BAIA.</v>
      </c>
      <c r="R479" s="5" t="str">
        <f>IFERROR(__xludf.DUMMYFUNCTION("""COMPUTED_VALUE"""),"NENHUMA DAS OPÇÕES")</f>
        <v>NENHUMA DAS OPÇÕES</v>
      </c>
      <c r="S479" s="5"/>
      <c r="T479" s="5"/>
      <c r="U479" s="5"/>
      <c r="V479" s="9" t="str">
        <f>IFERROR(__xludf.DUMMYFUNCTION("""COMPUTED_VALUE"""),"https://drive.google.com/uc?id=1zHILsKmSDzdk1ab4Kk9OUX6ZVXskVdGv")</f>
        <v>https://drive.google.com/uc?id=1zHILsKmSDzdk1ab4Kk9OUX6ZVXskVdGv</v>
      </c>
      <c r="W479" s="5" t="str">
        <f>IFERROR(__xludf.DUMMYFUNCTION("""COMPUTED_VALUE"""),"NÃO")</f>
        <v>NÃO</v>
      </c>
      <c r="X479" s="5" t="str">
        <f>IFERROR(__xludf.DUMMYFUNCTION("""COMPUTED_VALUE"""),"NÃO SE APLICA")</f>
        <v>NÃO SE APLICA</v>
      </c>
    </row>
    <row r="480">
      <c r="A480" s="5">
        <f>IFERROR(__xludf.DUMMYFUNCTION("""COMPUTED_VALUE"""),7.0)</f>
        <v>7</v>
      </c>
      <c r="B480" s="5" t="str">
        <f>IFERROR(__xludf.DUMMYFUNCTION("""COMPUTED_VALUE"""),"TM006")</f>
        <v>TM006</v>
      </c>
      <c r="C480" s="5" t="str">
        <f>IFERROR(__xludf.DUMMYFUNCTION("""COMPUTED_VALUE"""),"ABRIGO CONCRETO")</f>
        <v>ABRIGO CONCRETO</v>
      </c>
      <c r="D480" s="5" t="str">
        <f>IFERROR(__xludf.DUMMYFUNCTION("""COMPUTED_VALUE"""),"SEM PLACA")</f>
        <v>SEM PLACA</v>
      </c>
      <c r="E480" s="5" t="str">
        <f>IFERROR(__xludf.DUMMYFUNCTION("""COMPUTED_VALUE"""),"SEM BAIA")</f>
        <v>SEM BAIA</v>
      </c>
      <c r="F480" s="5" t="str">
        <f>IFERROR(__xludf.DUMMYFUNCTION("""COMPUTED_VALUE"""),"NÃO")</f>
        <v>NÃO</v>
      </c>
      <c r="G480" s="5" t="str">
        <f>IFERROR(__xludf.DUMMYFUNCTION("""COMPUTED_VALUE"""),"NÃO")</f>
        <v>NÃO</v>
      </c>
      <c r="H480" s="5" t="str">
        <f>IFERROR(__xludf.DUMMYFUNCTION("""COMPUTED_VALUE"""),"PAVIMENTADA")</f>
        <v>PAVIMENTADA</v>
      </c>
      <c r="I480" s="6" t="str">
        <f>IFERROR(__xludf.DUMMYFUNCTION("""COMPUTED_VALUE"""),"-9.5688986")</f>
        <v>-9.5688986</v>
      </c>
      <c r="J480" s="6" t="str">
        <f>IFERROR(__xludf.DUMMYFUNCTION("""COMPUTED_VALUE"""),"-35.7692536  ")</f>
        <v>-35.7692536  </v>
      </c>
      <c r="K480" s="5" t="str">
        <f>IFERROR(__xludf.DUMMYFUNCTION("""COMPUTED_VALUE"""),"AV. GOV. LUÍS CAVALCANTE")</f>
        <v>AV. GOV. LUÍS CAVALCANTE</v>
      </c>
      <c r="L480" s="5" t="str">
        <f>IFERROR(__xludf.DUMMYFUNCTION("""COMPUTED_VALUE"""),"COLETORA")</f>
        <v>COLETORA</v>
      </c>
      <c r="M480" s="5" t="str">
        <f>IFERROR(__xludf.DUMMYFUNCTION("""COMPUTED_VALUE"""),"TABULEIRO DOS MARTINS")</f>
        <v>TABULEIRO DOS MARTINS</v>
      </c>
      <c r="N480" s="5" t="str">
        <f>IFERROR(__xludf.DUMMYFUNCTION("""COMPUTED_VALUE"""),"CENTRO - BAIRRO")</f>
        <v>CENTRO - BAIRRO</v>
      </c>
      <c r="O480" s="5" t="str">
        <f>IFERROR(__xludf.DUMMYFUNCTION("""COMPUTED_VALUE"""),"EM FRENTE TRANSPORTADORA ESMERALDA")</f>
        <v>EM FRENTE TRANSPORTADORA ESMERALDA</v>
      </c>
      <c r="P480" s="5" t="str">
        <f>IFERROR(__xludf.DUMMYFUNCTION("""COMPUTED_VALUE"""),"PRIORIDADE BAIXA")</f>
        <v>PRIORIDADE BAIXA</v>
      </c>
      <c r="Q480" s="5" t="str">
        <f>IFERROR(__xludf.DUMMYFUNCTION("""COMPUTED_VALUE"""),"READEQUAÇÃO DA CALÇADA COM ACESSIBILIDADE E BAIA.")</f>
        <v>READEQUAÇÃO DA CALÇADA COM ACESSIBILIDADE E BAIA.</v>
      </c>
      <c r="R480" s="5" t="str">
        <f>IFERROR(__xludf.DUMMYFUNCTION("""COMPUTED_VALUE"""),"SUBSTITUIR ABRIGO")</f>
        <v>SUBSTITUIR ABRIGO</v>
      </c>
      <c r="S480" s="5"/>
      <c r="T480" s="5"/>
      <c r="U480" s="5"/>
      <c r="V480" s="9" t="str">
        <f>IFERROR(__xludf.DUMMYFUNCTION("""COMPUTED_VALUE"""),"https://drive.google.com/uc?id=1JJkRLZkm9048CErBjyZJkcR_yUhMVYlU")</f>
        <v>https://drive.google.com/uc?id=1JJkRLZkm9048CErBjyZJkcR_yUhMVYlU</v>
      </c>
      <c r="W480" s="5" t="str">
        <f>IFERROR(__xludf.DUMMYFUNCTION("""COMPUTED_VALUE"""),"NÃO")</f>
        <v>NÃO</v>
      </c>
      <c r="X480" s="5" t="str">
        <f>IFERROR(__xludf.DUMMYFUNCTION("""COMPUTED_VALUE"""),"NÃO SE APLICA")</f>
        <v>NÃO SE APLICA</v>
      </c>
    </row>
    <row r="481" hidden="1">
      <c r="A481" s="5">
        <f>IFERROR(__xludf.DUMMYFUNCTION("""COMPUTED_VALUE"""),7.0)</f>
        <v>7</v>
      </c>
      <c r="B481" s="5" t="str">
        <f>IFERROR(__xludf.DUMMYFUNCTION("""COMPUTED_VALUE"""),"TM007")</f>
        <v>TM007</v>
      </c>
      <c r="C481" s="5" t="str">
        <f>IFERROR(__xludf.DUMMYFUNCTION("""COMPUTED_VALUE"""),"NÃO POSSUI")</f>
        <v>NÃO POSSUI</v>
      </c>
      <c r="D481" s="5" t="str">
        <f>IFERROR(__xludf.DUMMYFUNCTION("""COMPUTED_VALUE"""),"SEM PLACA")</f>
        <v>SEM PLACA</v>
      </c>
      <c r="E481" s="5" t="str">
        <f>IFERROR(__xludf.DUMMYFUNCTION("""COMPUTED_VALUE"""),"SEM BAIA")</f>
        <v>SEM BAIA</v>
      </c>
      <c r="F481" s="5" t="str">
        <f>IFERROR(__xludf.DUMMYFUNCTION("""COMPUTED_VALUE"""),"NÃO")</f>
        <v>NÃO</v>
      </c>
      <c r="G481" s="5" t="str">
        <f>IFERROR(__xludf.DUMMYFUNCTION("""COMPUTED_VALUE"""),"NÃO")</f>
        <v>NÃO</v>
      </c>
      <c r="H481" s="5" t="str">
        <f>IFERROR(__xludf.DUMMYFUNCTION("""COMPUTED_VALUE"""),"PAVIMENTADA")</f>
        <v>PAVIMENTADA</v>
      </c>
      <c r="I481" s="6" t="str">
        <f>IFERROR(__xludf.DUMMYFUNCTION("""COMPUTED_VALUE"""),"-9.5671029")</f>
        <v>-9.5671029</v>
      </c>
      <c r="J481" s="6" t="str">
        <f>IFERROR(__xludf.DUMMYFUNCTION("""COMPUTED_VALUE"""),"-35.7666779")</f>
        <v>-35.7666779</v>
      </c>
      <c r="K481" s="5" t="str">
        <f>IFERROR(__xludf.DUMMYFUNCTION("""COMPUTED_VALUE"""),"AV. GOV. LUÍS CAVALCANTE")</f>
        <v>AV. GOV. LUÍS CAVALCANTE</v>
      </c>
      <c r="L481" s="5" t="str">
        <f>IFERROR(__xludf.DUMMYFUNCTION("""COMPUTED_VALUE"""),"COLETORA")</f>
        <v>COLETORA</v>
      </c>
      <c r="M481" s="5" t="str">
        <f>IFERROR(__xludf.DUMMYFUNCTION("""COMPUTED_VALUE"""),"TABULEIRO DOS MARTINS")</f>
        <v>TABULEIRO DOS MARTINS</v>
      </c>
      <c r="N481" s="5" t="str">
        <f>IFERROR(__xludf.DUMMYFUNCTION("""COMPUTED_VALUE"""),"CENTRO - BAIRRO")</f>
        <v>CENTRO - BAIRRO</v>
      </c>
      <c r="O481" s="5" t="str">
        <f>IFERROR(__xludf.DUMMYFUNCTION("""COMPUTED_VALUE"""),"EM FRENTE A SERPESA")</f>
        <v>EM FRENTE A SERPESA</v>
      </c>
      <c r="P481" s="5" t="str">
        <f>IFERROR(__xludf.DUMMYFUNCTION("""COMPUTED_VALUE"""),"PRIORIDADE BAIXA")</f>
        <v>PRIORIDADE BAIXA</v>
      </c>
      <c r="Q481" s="5" t="str">
        <f>IFERROR(__xludf.DUMMYFUNCTION("""COMPUTED_VALUE"""),"READEQUAÇÃO DA CALÇADA COM ACESSIBILIDADE E BAIA.")</f>
        <v>READEQUAÇÃO DA CALÇADA COM ACESSIBILIDADE E BAIA.</v>
      </c>
      <c r="R481" s="5" t="str">
        <f>IFERROR(__xludf.DUMMYFUNCTION("""COMPUTED_VALUE"""),"NENHUMA DAS OPÇÕES")</f>
        <v>NENHUMA DAS OPÇÕES</v>
      </c>
      <c r="S481" s="5"/>
      <c r="T481" s="5"/>
      <c r="U481" s="5"/>
      <c r="V481" s="9" t="str">
        <f>IFERROR(__xludf.DUMMYFUNCTION("""COMPUTED_VALUE"""),"https://drive.google.com/uc?id=1Bz2-hx3EqDq4v5_1590u7FRnf4LNS4H5")</f>
        <v>https://drive.google.com/uc?id=1Bz2-hx3EqDq4v5_1590u7FRnf4LNS4H5</v>
      </c>
      <c r="W481" s="5" t="str">
        <f>IFERROR(__xludf.DUMMYFUNCTION("""COMPUTED_VALUE"""),"NÃO")</f>
        <v>NÃO</v>
      </c>
      <c r="X481" s="5" t="str">
        <f>IFERROR(__xludf.DUMMYFUNCTION("""COMPUTED_VALUE"""),"NÃO SE APLICA")</f>
        <v>NÃO SE APLICA</v>
      </c>
    </row>
    <row r="482">
      <c r="A482" s="5">
        <f>IFERROR(__xludf.DUMMYFUNCTION("""COMPUTED_VALUE"""),7.0)</f>
        <v>7</v>
      </c>
      <c r="B482" s="5" t="str">
        <f>IFERROR(__xludf.DUMMYFUNCTION("""COMPUTED_VALUE"""),"TM008")</f>
        <v>TM008</v>
      </c>
      <c r="C482" s="5" t="str">
        <f>IFERROR(__xludf.DUMMYFUNCTION("""COMPUTED_VALUE"""),"ABRIGO METÁLICO PEQUENO PORTE")</f>
        <v>ABRIGO METÁLICO PEQUENO PORTE</v>
      </c>
      <c r="D482" s="5" t="str">
        <f>IFERROR(__xludf.DUMMYFUNCTION("""COMPUTED_VALUE"""),"SEM PLACA")</f>
        <v>SEM PLACA</v>
      </c>
      <c r="E482" s="5" t="str">
        <f>IFERROR(__xludf.DUMMYFUNCTION("""COMPUTED_VALUE"""),"SEM BAIA")</f>
        <v>SEM BAIA</v>
      </c>
      <c r="F482" s="5" t="str">
        <f>IFERROR(__xludf.DUMMYFUNCTION("""COMPUTED_VALUE"""),"NÃO")</f>
        <v>NÃO</v>
      </c>
      <c r="G482" s="5" t="str">
        <f>IFERROR(__xludf.DUMMYFUNCTION("""COMPUTED_VALUE"""),"NÃO")</f>
        <v>NÃO</v>
      </c>
      <c r="H482" s="5" t="str">
        <f>IFERROR(__xludf.DUMMYFUNCTION("""COMPUTED_VALUE"""),"PAVIMENTADA")</f>
        <v>PAVIMENTADA</v>
      </c>
      <c r="I482" s="6" t="str">
        <f>IFERROR(__xludf.DUMMYFUNCTION("""COMPUTED_VALUE"""),"-9.5660432")</f>
        <v>-9.5660432</v>
      </c>
      <c r="J482" s="6" t="str">
        <f>IFERROR(__xludf.DUMMYFUNCTION("""COMPUTED_VALUE"""),"-35.765244  ")</f>
        <v>-35.765244  </v>
      </c>
      <c r="K482" s="5" t="str">
        <f>IFERROR(__xludf.DUMMYFUNCTION("""COMPUTED_VALUE"""),"AV. GOV. LUÍS CAVALCANTE")</f>
        <v>AV. GOV. LUÍS CAVALCANTE</v>
      </c>
      <c r="L482" s="5" t="str">
        <f>IFERROR(__xludf.DUMMYFUNCTION("""COMPUTED_VALUE"""),"COLETORA")</f>
        <v>COLETORA</v>
      </c>
      <c r="M482" s="5" t="str">
        <f>IFERROR(__xludf.DUMMYFUNCTION("""COMPUTED_VALUE"""),"TABULEIRO DOS MARTINS")</f>
        <v>TABULEIRO DOS MARTINS</v>
      </c>
      <c r="N482" s="5" t="str">
        <f>IFERROR(__xludf.DUMMYFUNCTION("""COMPUTED_VALUE"""),"CENTRO - BAIRRO")</f>
        <v>CENTRO - BAIRRO</v>
      </c>
      <c r="O482" s="5" t="str">
        <f>IFERROR(__xludf.DUMMYFUNCTION("""COMPUTED_VALUE"""),"EM FRENTE AO SESI")</f>
        <v>EM FRENTE AO SESI</v>
      </c>
      <c r="P482" s="5" t="str">
        <f>IFERROR(__xludf.DUMMYFUNCTION("""COMPUTED_VALUE"""),"PRIORIDADE BAIXA")</f>
        <v>PRIORIDADE BAIXA</v>
      </c>
      <c r="Q482" s="5" t="str">
        <f>IFERROR(__xludf.DUMMYFUNCTION("""COMPUTED_VALUE"""),"READEQUAÇÃO DA CALÇADA COM ACESSIBILIDADE E BAIA.")</f>
        <v>READEQUAÇÃO DA CALÇADA COM ACESSIBILIDADE E BAIA.</v>
      </c>
      <c r="R482" s="5" t="str">
        <f>IFERROR(__xludf.DUMMYFUNCTION("""COMPUTED_VALUE"""),"NENHUMA DAS OPÇÕES")</f>
        <v>NENHUMA DAS OPÇÕES</v>
      </c>
      <c r="S482" s="5"/>
      <c r="T482" s="5"/>
      <c r="U482" s="5"/>
      <c r="V482" s="9" t="str">
        <f>IFERROR(__xludf.DUMMYFUNCTION("""COMPUTED_VALUE"""),"https://drive.google.com/uc?id=1-xvo2OxV1zU1lBMiSS1JvQjATXlEiS9Q")</f>
        <v>https://drive.google.com/uc?id=1-xvo2OxV1zU1lBMiSS1JvQjATXlEiS9Q</v>
      </c>
      <c r="W482" s="5" t="str">
        <f>IFERROR(__xludf.DUMMYFUNCTION("""COMPUTED_VALUE"""),"NÃO")</f>
        <v>NÃO</v>
      </c>
      <c r="X482" s="5" t="str">
        <f>IFERROR(__xludf.DUMMYFUNCTION("""COMPUTED_VALUE"""),"NÃO")</f>
        <v>NÃO</v>
      </c>
    </row>
    <row r="483" hidden="1">
      <c r="A483" s="5">
        <f>IFERROR(__xludf.DUMMYFUNCTION("""COMPUTED_VALUE"""),7.0)</f>
        <v>7</v>
      </c>
      <c r="B483" s="5" t="str">
        <f>IFERROR(__xludf.DUMMYFUNCTION("""COMPUTED_VALUE"""),"TM009")</f>
        <v>TM009</v>
      </c>
      <c r="C483" s="5" t="str">
        <f>IFERROR(__xludf.DUMMYFUNCTION("""COMPUTED_VALUE"""),"NÃO POSSUI")</f>
        <v>NÃO POSSUI</v>
      </c>
      <c r="D483" s="5" t="str">
        <f>IFERROR(__xludf.DUMMYFUNCTION("""COMPUTED_VALUE"""),"SEM PLACA")</f>
        <v>SEM PLACA</v>
      </c>
      <c r="E483" s="5" t="str">
        <f>IFERROR(__xludf.DUMMYFUNCTION("""COMPUTED_VALUE"""),"SEM BAIA")</f>
        <v>SEM BAIA</v>
      </c>
      <c r="F483" s="5" t="str">
        <f>IFERROR(__xludf.DUMMYFUNCTION("""COMPUTED_VALUE"""),"NÃO")</f>
        <v>NÃO</v>
      </c>
      <c r="G483" s="5" t="str">
        <f>IFERROR(__xludf.DUMMYFUNCTION("""COMPUTED_VALUE"""),"NÃO")</f>
        <v>NÃO</v>
      </c>
      <c r="H483" s="5" t="str">
        <f>IFERROR(__xludf.DUMMYFUNCTION("""COMPUTED_VALUE"""),"PAVIMENTADA")</f>
        <v>PAVIMENTADA</v>
      </c>
      <c r="I483" s="6" t="str">
        <f>IFERROR(__xludf.DUMMYFUNCTION("""COMPUTED_VALUE"""),"-9.564677")</f>
        <v>-9.564677</v>
      </c>
      <c r="J483" s="6" t="str">
        <f>IFERROR(__xludf.DUMMYFUNCTION("""COMPUTED_VALUE"""),"-35.7633551")</f>
        <v>-35.7633551</v>
      </c>
      <c r="K483" s="5" t="str">
        <f>IFERROR(__xludf.DUMMYFUNCTION("""COMPUTED_VALUE"""),"AV. GOV. LUÍS CAVALCANTE")</f>
        <v>AV. GOV. LUÍS CAVALCANTE</v>
      </c>
      <c r="L483" s="5" t="str">
        <f>IFERROR(__xludf.DUMMYFUNCTION("""COMPUTED_VALUE"""),"COLETORA")</f>
        <v>COLETORA</v>
      </c>
      <c r="M483" s="5" t="str">
        <f>IFERROR(__xludf.DUMMYFUNCTION("""COMPUTED_VALUE"""),"TABULEIRO DOS MARTINS")</f>
        <v>TABULEIRO DOS MARTINS</v>
      </c>
      <c r="N483" s="5" t="str">
        <f>IFERROR(__xludf.DUMMYFUNCTION("""COMPUTED_VALUE"""),"CENTRO - BAIRRO")</f>
        <v>CENTRO - BAIRRO</v>
      </c>
      <c r="O483" s="5" t="str">
        <f>IFERROR(__xludf.DUMMYFUNCTION("""COMPUTED_VALUE"""),"EM FRENTE A LEÃO NORDESTE")</f>
        <v>EM FRENTE A LEÃO NORDESTE</v>
      </c>
      <c r="P483" s="5" t="str">
        <f>IFERROR(__xludf.DUMMYFUNCTION("""COMPUTED_VALUE"""),"PRIORIDADE BAIXA")</f>
        <v>PRIORIDADE BAIXA</v>
      </c>
      <c r="Q483" s="5" t="str">
        <f>IFERROR(__xludf.DUMMYFUNCTION("""COMPUTED_VALUE"""),"READEQUAÇÃO DA CALÇADA COM ACESSIBILIDADE E BAIA.")</f>
        <v>READEQUAÇÃO DA CALÇADA COM ACESSIBILIDADE E BAIA.</v>
      </c>
      <c r="R483" s="5" t="str">
        <f>IFERROR(__xludf.DUMMYFUNCTION("""COMPUTED_VALUE"""),"NENHUMA DAS OPÇÕES")</f>
        <v>NENHUMA DAS OPÇÕES</v>
      </c>
      <c r="S483" s="5"/>
      <c r="T483" s="5"/>
      <c r="U483" s="5"/>
      <c r="V483" s="9" t="str">
        <f>IFERROR(__xludf.DUMMYFUNCTION("""COMPUTED_VALUE"""),"https://drive.google.com/uc?id=1ndrFukP1nKnK8wJvSrw1ub2yYuQOgTXu")</f>
        <v>https://drive.google.com/uc?id=1ndrFukP1nKnK8wJvSrw1ub2yYuQOgTXu</v>
      </c>
      <c r="W483" s="5" t="str">
        <f>IFERROR(__xludf.DUMMYFUNCTION("""COMPUTED_VALUE"""),"NÃO")</f>
        <v>NÃO</v>
      </c>
      <c r="X483" s="5" t="str">
        <f>IFERROR(__xludf.DUMMYFUNCTION("""COMPUTED_VALUE"""),"NÃO SE APLICA")</f>
        <v>NÃO SE APLICA</v>
      </c>
    </row>
    <row r="484">
      <c r="A484" s="5">
        <f>IFERROR(__xludf.DUMMYFUNCTION("""COMPUTED_VALUE"""),7.0)</f>
        <v>7</v>
      </c>
      <c r="B484" s="5" t="str">
        <f>IFERROR(__xludf.DUMMYFUNCTION("""COMPUTED_VALUE"""),"TM010")</f>
        <v>TM010</v>
      </c>
      <c r="C484" s="5" t="str">
        <f>IFERROR(__xludf.DUMMYFUNCTION("""COMPUTED_VALUE"""),"ABRIGO CONCRETO")</f>
        <v>ABRIGO CONCRETO</v>
      </c>
      <c r="D484" s="5" t="str">
        <f>IFERROR(__xludf.DUMMYFUNCTION("""COMPUTED_VALUE"""),"SEM PLACA")</f>
        <v>SEM PLACA</v>
      </c>
      <c r="E484" s="5" t="str">
        <f>IFERROR(__xludf.DUMMYFUNCTION("""COMPUTED_VALUE"""),"SEM BAIA")</f>
        <v>SEM BAIA</v>
      </c>
      <c r="F484" s="5" t="str">
        <f>IFERROR(__xludf.DUMMYFUNCTION("""COMPUTED_VALUE"""),"NÃO")</f>
        <v>NÃO</v>
      </c>
      <c r="G484" s="5" t="str">
        <f>IFERROR(__xludf.DUMMYFUNCTION("""COMPUTED_VALUE"""),"NÃO")</f>
        <v>NÃO</v>
      </c>
      <c r="H484" s="5" t="str">
        <f>IFERROR(__xludf.DUMMYFUNCTION("""COMPUTED_VALUE"""),"PAVIMENTADA")</f>
        <v>PAVIMENTADA</v>
      </c>
      <c r="I484" s="6" t="str">
        <f>IFERROR(__xludf.DUMMYFUNCTION("""COMPUTED_VALUE"""),"-9.562989 ")</f>
        <v>-9.562989 </v>
      </c>
      <c r="J484" s="6" t="str">
        <f>IFERROR(__xludf.DUMMYFUNCTION("""COMPUTED_VALUE"""),"-35.7610313 ")</f>
        <v>-35.7610313 </v>
      </c>
      <c r="K484" s="5" t="str">
        <f>IFERROR(__xludf.DUMMYFUNCTION("""COMPUTED_VALUE"""),"AV. GOV. LUÍS CAVALCANTE")</f>
        <v>AV. GOV. LUÍS CAVALCANTE</v>
      </c>
      <c r="L484" s="5" t="str">
        <f>IFERROR(__xludf.DUMMYFUNCTION("""COMPUTED_VALUE"""),"COLETORA")</f>
        <v>COLETORA</v>
      </c>
      <c r="M484" s="5" t="str">
        <f>IFERROR(__xludf.DUMMYFUNCTION("""COMPUTED_VALUE"""),"TABULEIRO DOS MARTINS")</f>
        <v>TABULEIRO DOS MARTINS</v>
      </c>
      <c r="N484" s="5" t="str">
        <f>IFERROR(__xludf.DUMMYFUNCTION("""COMPUTED_VALUE"""),"BAIRRO - CENTRO / CENTRO - BAIRRO")</f>
        <v>BAIRRO - CENTRO / CENTRO - BAIRRO</v>
      </c>
      <c r="O484" s="5" t="str">
        <f>IFERROR(__xludf.DUMMYFUNCTION("""COMPUTED_VALUE"""),"ANTES DO CENTRO DE LOGÍSTICA DOS CORREIOS")</f>
        <v>ANTES DO CENTRO DE LOGÍSTICA DOS CORREIOS</v>
      </c>
      <c r="P484" s="5" t="str">
        <f>IFERROR(__xludf.DUMMYFUNCTION("""COMPUTED_VALUE"""),"PRIORIDADE BAIXA")</f>
        <v>PRIORIDADE BAIXA</v>
      </c>
      <c r="Q484" s="5" t="str">
        <f>IFERROR(__xludf.DUMMYFUNCTION("""COMPUTED_VALUE"""),"READEQUAÇÃO DA CALÇADA COM ACESSIBILIDADE E BAIA.")</f>
        <v>READEQUAÇÃO DA CALÇADA COM ACESSIBILIDADE E BAIA.</v>
      </c>
      <c r="R484" s="5" t="str">
        <f>IFERROR(__xludf.DUMMYFUNCTION("""COMPUTED_VALUE"""),"SUBSTITUIR ABRIGO")</f>
        <v>SUBSTITUIR ABRIGO</v>
      </c>
      <c r="S484" s="5"/>
      <c r="T484" s="5"/>
      <c r="U484" s="5"/>
      <c r="V484" s="9" t="str">
        <f>IFERROR(__xludf.DUMMYFUNCTION("""COMPUTED_VALUE"""),"https://drive.google.com/uc?id=1XMW93RlToyj1M3gByxq9LIRBjtLtphJo")</f>
        <v>https://drive.google.com/uc?id=1XMW93RlToyj1M3gByxq9LIRBjtLtphJo</v>
      </c>
      <c r="W484" s="5" t="str">
        <f>IFERROR(__xludf.DUMMYFUNCTION("""COMPUTED_VALUE"""),"NÃO")</f>
        <v>NÃO</v>
      </c>
      <c r="X484" s="5" t="str">
        <f>IFERROR(__xludf.DUMMYFUNCTION("""COMPUTED_VALUE"""),"NÃO SE APLICA")</f>
        <v>NÃO SE APLICA</v>
      </c>
    </row>
    <row r="485" hidden="1">
      <c r="A485" s="5">
        <f>IFERROR(__xludf.DUMMYFUNCTION("""COMPUTED_VALUE"""),7.0)</f>
        <v>7</v>
      </c>
      <c r="B485" s="5" t="str">
        <f>IFERROR(__xludf.DUMMYFUNCTION("""COMPUTED_VALUE"""),"TM011")</f>
        <v>TM011</v>
      </c>
      <c r="C485" s="5" t="str">
        <f>IFERROR(__xludf.DUMMYFUNCTION("""COMPUTED_VALUE"""),"NÃO POSSUI")</f>
        <v>NÃO POSSUI</v>
      </c>
      <c r="D485" s="5" t="str">
        <f>IFERROR(__xludf.DUMMYFUNCTION("""COMPUTED_VALUE"""),"SEM PLACA")</f>
        <v>SEM PLACA</v>
      </c>
      <c r="E485" s="5" t="str">
        <f>IFERROR(__xludf.DUMMYFUNCTION("""COMPUTED_VALUE"""),"SEM BAIA")</f>
        <v>SEM BAIA</v>
      </c>
      <c r="F485" s="5" t="str">
        <f>IFERROR(__xludf.DUMMYFUNCTION("""COMPUTED_VALUE"""),"NÃO")</f>
        <v>NÃO</v>
      </c>
      <c r="G485" s="5" t="str">
        <f>IFERROR(__xludf.DUMMYFUNCTION("""COMPUTED_VALUE"""),"NÃO")</f>
        <v>NÃO</v>
      </c>
      <c r="H485" s="5" t="str">
        <f>IFERROR(__xludf.DUMMYFUNCTION("""COMPUTED_VALUE"""),"PAVIMENTADA")</f>
        <v>PAVIMENTADA</v>
      </c>
      <c r="I485" s="6" t="str">
        <f>IFERROR(__xludf.DUMMYFUNCTION("""COMPUTED_VALUE"""),"-9.5614646")</f>
        <v>-9.5614646</v>
      </c>
      <c r="J485" s="6" t="str">
        <f>IFERROR(__xludf.DUMMYFUNCTION("""COMPUTED_VALUE"""),"-35.7590114  ")</f>
        <v>-35.7590114  </v>
      </c>
      <c r="K485" s="5" t="str">
        <f>IFERROR(__xludf.DUMMYFUNCTION("""COMPUTED_VALUE"""),"AV. GOV. LUÍS CAVALCANTE")</f>
        <v>AV. GOV. LUÍS CAVALCANTE</v>
      </c>
      <c r="L485" s="5" t="str">
        <f>IFERROR(__xludf.DUMMYFUNCTION("""COMPUTED_VALUE"""),"COLETORA")</f>
        <v>COLETORA</v>
      </c>
      <c r="M485" s="5" t="str">
        <f>IFERROR(__xludf.DUMMYFUNCTION("""COMPUTED_VALUE"""),"TABULEIRO DOS MARTINS")</f>
        <v>TABULEIRO DOS MARTINS</v>
      </c>
      <c r="N485" s="5" t="str">
        <f>IFERROR(__xludf.DUMMYFUNCTION("""COMPUTED_VALUE"""),"BAIRRO - CENTRO / CENTRO - BAIRRO")</f>
        <v>BAIRRO - CENTRO / CENTRO - BAIRRO</v>
      </c>
      <c r="O485" s="5" t="str">
        <f>IFERROR(__xludf.DUMMYFUNCTION("""COMPUTED_VALUE"""),"ANTES DO FERRO VELHO DO BONITÃO")</f>
        <v>ANTES DO FERRO VELHO DO BONITÃO</v>
      </c>
      <c r="P485" s="5" t="str">
        <f>IFERROR(__xludf.DUMMYFUNCTION("""COMPUTED_VALUE"""),"PRIORIDADE BAIXA")</f>
        <v>PRIORIDADE BAIXA</v>
      </c>
      <c r="Q485" s="5" t="str">
        <f>IFERROR(__xludf.DUMMYFUNCTION("""COMPUTED_VALUE"""),"READEQUAÇÃO DA CALÇADA COM ACESSIBILIDADE E BAIA.")</f>
        <v>READEQUAÇÃO DA CALÇADA COM ACESSIBILIDADE E BAIA.</v>
      </c>
      <c r="R485" s="5" t="str">
        <f>IFERROR(__xludf.DUMMYFUNCTION("""COMPUTED_VALUE"""),"NENHUMA DAS OPÇÕES")</f>
        <v>NENHUMA DAS OPÇÕES</v>
      </c>
      <c r="S485" s="5"/>
      <c r="T485" s="5"/>
      <c r="U485" s="5"/>
      <c r="V485" s="9" t="str">
        <f>IFERROR(__xludf.DUMMYFUNCTION("""COMPUTED_VALUE"""),"https://drive.google.com/uc?id=1DaAH1eRGfiO_xp_uQm4g1Vxerfzw9hWm")</f>
        <v>https://drive.google.com/uc?id=1DaAH1eRGfiO_xp_uQm4g1Vxerfzw9hWm</v>
      </c>
      <c r="W485" s="5" t="str">
        <f>IFERROR(__xludf.DUMMYFUNCTION("""COMPUTED_VALUE"""),"NÃO")</f>
        <v>NÃO</v>
      </c>
      <c r="X485" s="5" t="str">
        <f>IFERROR(__xludf.DUMMYFUNCTION("""COMPUTED_VALUE"""),"NÃO SE APLICA")</f>
        <v>NÃO SE APLICA</v>
      </c>
    </row>
    <row r="486" hidden="1">
      <c r="A486" s="5">
        <f>IFERROR(__xludf.DUMMYFUNCTION("""COMPUTED_VALUE"""),7.0)</f>
        <v>7</v>
      </c>
      <c r="B486" s="5" t="str">
        <f>IFERROR(__xludf.DUMMYFUNCTION("""COMPUTED_VALUE"""),"TM012")</f>
        <v>TM012</v>
      </c>
      <c r="C486" s="5" t="str">
        <f>IFERROR(__xludf.DUMMYFUNCTION("""COMPUTED_VALUE"""),"NÃO POSSUI")</f>
        <v>NÃO POSSUI</v>
      </c>
      <c r="D486" s="5" t="str">
        <f>IFERROR(__xludf.DUMMYFUNCTION("""COMPUTED_VALUE"""),"SEM PLACA")</f>
        <v>SEM PLACA</v>
      </c>
      <c r="E486" s="5" t="str">
        <f>IFERROR(__xludf.DUMMYFUNCTION("""COMPUTED_VALUE"""),"SEM BAIA")</f>
        <v>SEM BAIA</v>
      </c>
      <c r="F486" s="5" t="str">
        <f>IFERROR(__xludf.DUMMYFUNCTION("""COMPUTED_VALUE"""),"NÃO")</f>
        <v>NÃO</v>
      </c>
      <c r="G486" s="5" t="str">
        <f>IFERROR(__xludf.DUMMYFUNCTION("""COMPUTED_VALUE"""),"NÃO")</f>
        <v>NÃO</v>
      </c>
      <c r="H486" s="5" t="str">
        <f>IFERROR(__xludf.DUMMYFUNCTION("""COMPUTED_VALUE"""),"PAVIMENTADA")</f>
        <v>PAVIMENTADA</v>
      </c>
      <c r="I486" s="6" t="str">
        <f>IFERROR(__xludf.DUMMYFUNCTION("""COMPUTED_VALUE"""),"-9.5604525")</f>
        <v>-9.5604525</v>
      </c>
      <c r="J486" s="6" t="str">
        <f>IFERROR(__xludf.DUMMYFUNCTION("""COMPUTED_VALUE"""),"-35.7578758 ")</f>
        <v>-35.7578758 </v>
      </c>
      <c r="K486" s="5" t="str">
        <f>IFERROR(__xludf.DUMMYFUNCTION("""COMPUTED_VALUE"""),"AV. GOV. LUÍS CAVALCANTE")</f>
        <v>AV. GOV. LUÍS CAVALCANTE</v>
      </c>
      <c r="L486" s="5" t="str">
        <f>IFERROR(__xludf.DUMMYFUNCTION("""COMPUTED_VALUE"""),"COLETORA")</f>
        <v>COLETORA</v>
      </c>
      <c r="M486" s="5" t="str">
        <f>IFERROR(__xludf.DUMMYFUNCTION("""COMPUTED_VALUE"""),"TABULEIRO DOS MARTINS")</f>
        <v>TABULEIRO DOS MARTINS</v>
      </c>
      <c r="N486" s="5" t="str">
        <f>IFERROR(__xludf.DUMMYFUNCTION("""COMPUTED_VALUE"""),"CENTRO - BAIRRO")</f>
        <v>CENTRO - BAIRRO</v>
      </c>
      <c r="O486" s="5" t="str">
        <f>IFERROR(__xludf.DUMMYFUNCTION("""COMPUTED_VALUE"""),"ANTES DO RESTAURANTE PRATO FEITO")</f>
        <v>ANTES DO RESTAURANTE PRATO FEITO</v>
      </c>
      <c r="P486" s="5" t="str">
        <f>IFERROR(__xludf.DUMMYFUNCTION("""COMPUTED_VALUE"""),"PRIORIDADE BAIXA")</f>
        <v>PRIORIDADE BAIXA</v>
      </c>
      <c r="Q486" s="5" t="str">
        <f>IFERROR(__xludf.DUMMYFUNCTION("""COMPUTED_VALUE"""),"READEQUAÇÃO DA CALÇADA COM ACESSIBILIDADE E BAIA.")</f>
        <v>READEQUAÇÃO DA CALÇADA COM ACESSIBILIDADE E BAIA.</v>
      </c>
      <c r="R486" s="5" t="str">
        <f>IFERROR(__xludf.DUMMYFUNCTION("""COMPUTED_VALUE"""),"NENHUMA DAS OPÇÕES")</f>
        <v>NENHUMA DAS OPÇÕES</v>
      </c>
      <c r="S486" s="5"/>
      <c r="T486" s="5"/>
      <c r="U486" s="5"/>
      <c r="V486" s="9" t="str">
        <f>IFERROR(__xludf.DUMMYFUNCTION("""COMPUTED_VALUE"""),"https://drive.google.com/uc?id=1QpbkZveIj3Advy7VDWnnajLgJLI_k_TG")</f>
        <v>https://drive.google.com/uc?id=1QpbkZveIj3Advy7VDWnnajLgJLI_k_TG</v>
      </c>
      <c r="W486" s="5" t="str">
        <f>IFERROR(__xludf.DUMMYFUNCTION("""COMPUTED_VALUE"""),"NÃO")</f>
        <v>NÃO</v>
      </c>
      <c r="X486" s="5" t="str">
        <f>IFERROR(__xludf.DUMMYFUNCTION("""COMPUTED_VALUE"""),"NÃO SE APLICA")</f>
        <v>NÃO SE APLICA</v>
      </c>
    </row>
    <row r="487" hidden="1">
      <c r="A487" s="5">
        <f>IFERROR(__xludf.DUMMYFUNCTION("""COMPUTED_VALUE"""),7.0)</f>
        <v>7</v>
      </c>
      <c r="B487" s="5" t="str">
        <f>IFERROR(__xludf.DUMMYFUNCTION("""COMPUTED_VALUE"""),"TM013")</f>
        <v>TM013</v>
      </c>
      <c r="C487" s="5" t="str">
        <f>IFERROR(__xludf.DUMMYFUNCTION("""COMPUTED_VALUE"""),"NÃO POSSUI")</f>
        <v>NÃO POSSUI</v>
      </c>
      <c r="D487" s="5" t="str">
        <f>IFERROR(__xludf.DUMMYFUNCTION("""COMPUTED_VALUE"""),"COM SUPORTE")</f>
        <v>COM SUPORTE</v>
      </c>
      <c r="E487" s="5" t="str">
        <f>IFERROR(__xludf.DUMMYFUNCTION("""COMPUTED_VALUE"""),"SEM BAIA")</f>
        <v>SEM BAIA</v>
      </c>
      <c r="F487" s="5" t="str">
        <f>IFERROR(__xludf.DUMMYFUNCTION("""COMPUTED_VALUE"""),"NÃO")</f>
        <v>NÃO</v>
      </c>
      <c r="G487" s="5" t="str">
        <f>IFERROR(__xludf.DUMMYFUNCTION("""COMPUTED_VALUE"""),"NÃO")</f>
        <v>NÃO</v>
      </c>
      <c r="H487" s="5" t="str">
        <f>IFERROR(__xludf.DUMMYFUNCTION("""COMPUTED_VALUE"""),"NÃO PAVIMENTADA")</f>
        <v>NÃO PAVIMENTADA</v>
      </c>
      <c r="I487" s="6" t="str">
        <f>IFERROR(__xludf.DUMMYFUNCTION("""COMPUTED_VALUE"""),"-9.5594282")</f>
        <v>-9.5594282</v>
      </c>
      <c r="J487" s="6" t="str">
        <f>IFERROR(__xludf.DUMMYFUNCTION("""COMPUTED_VALUE"""),"-35.7563734 ")</f>
        <v>-35.7563734 </v>
      </c>
      <c r="K487" s="5" t="str">
        <f>IFERROR(__xludf.DUMMYFUNCTION("""COMPUTED_VALUE"""),"AV. GOV. LUÍS CAVALCANTE")</f>
        <v>AV. GOV. LUÍS CAVALCANTE</v>
      </c>
      <c r="L487" s="5" t="str">
        <f>IFERROR(__xludf.DUMMYFUNCTION("""COMPUTED_VALUE"""),"COLETORA")</f>
        <v>COLETORA</v>
      </c>
      <c r="M487" s="5" t="str">
        <f>IFERROR(__xludf.DUMMYFUNCTION("""COMPUTED_VALUE"""),"TABULEIRO DOS MARTINS")</f>
        <v>TABULEIRO DOS MARTINS</v>
      </c>
      <c r="N487" s="5" t="str">
        <f>IFERROR(__xludf.DUMMYFUNCTION("""COMPUTED_VALUE"""),"CENTRO - BAIRRO")</f>
        <v>CENTRO - BAIRRO</v>
      </c>
      <c r="O487" s="5" t="str">
        <f>IFERROR(__xludf.DUMMYFUNCTION("""COMPUTED_VALUE"""),"EM FRENTE A DOMLOG")</f>
        <v>EM FRENTE A DOMLOG</v>
      </c>
      <c r="P487" s="5" t="str">
        <f>IFERROR(__xludf.DUMMYFUNCTION("""COMPUTED_VALUE"""),"PRIORIDADE BAIXA")</f>
        <v>PRIORIDADE BAIXA</v>
      </c>
      <c r="Q487" s="5" t="str">
        <f>IFERROR(__xludf.DUMMYFUNCTION("""COMPUTED_VALUE"""),"READEQUAÇÃO DA CALÇADA COM ACESSIBILIDADE E BAIA.")</f>
        <v>READEQUAÇÃO DA CALÇADA COM ACESSIBILIDADE E BAIA.</v>
      </c>
      <c r="R487" s="5" t="str">
        <f>IFERROR(__xludf.DUMMYFUNCTION("""COMPUTED_VALUE"""),"NENHUMA DAS OPÇÕES")</f>
        <v>NENHUMA DAS OPÇÕES</v>
      </c>
      <c r="S487" s="5"/>
      <c r="T487" s="5"/>
      <c r="U487" s="5"/>
      <c r="V487" s="9" t="str">
        <f>IFERROR(__xludf.DUMMYFUNCTION("""COMPUTED_VALUE"""),"https://drive.google.com/uc?id=1f_8iRgltWAVHzhzATtWZYeYf9vIUY7Us")</f>
        <v>https://drive.google.com/uc?id=1f_8iRgltWAVHzhzATtWZYeYf9vIUY7Us</v>
      </c>
      <c r="W487" s="5" t="str">
        <f>IFERROR(__xludf.DUMMYFUNCTION("""COMPUTED_VALUE"""),"NÃO")</f>
        <v>NÃO</v>
      </c>
      <c r="X487" s="5" t="str">
        <f>IFERROR(__xludf.DUMMYFUNCTION("""COMPUTED_VALUE"""),"NÃO SE APLICA")</f>
        <v>NÃO SE APLICA</v>
      </c>
    </row>
    <row r="488" hidden="1">
      <c r="A488" s="5">
        <f>IFERROR(__xludf.DUMMYFUNCTION("""COMPUTED_VALUE"""),7.0)</f>
        <v>7</v>
      </c>
      <c r="B488" s="5" t="str">
        <f>IFERROR(__xludf.DUMMYFUNCTION("""COMPUTED_VALUE"""),"TM014")</f>
        <v>TM014</v>
      </c>
      <c r="C488" s="5" t="str">
        <f>IFERROR(__xludf.DUMMYFUNCTION("""COMPUTED_VALUE"""),"NÃO POSSUI")</f>
        <v>NÃO POSSUI</v>
      </c>
      <c r="D488" s="5" t="str">
        <f>IFERROR(__xludf.DUMMYFUNCTION("""COMPUTED_VALUE"""),"SEM PLACA")</f>
        <v>SEM PLACA</v>
      </c>
      <c r="E488" s="5" t="str">
        <f>IFERROR(__xludf.DUMMYFUNCTION("""COMPUTED_VALUE"""),"SEM BAIA")</f>
        <v>SEM BAIA</v>
      </c>
      <c r="F488" s="5" t="str">
        <f>IFERROR(__xludf.DUMMYFUNCTION("""COMPUTED_VALUE"""),"NÃO")</f>
        <v>NÃO</v>
      </c>
      <c r="G488" s="5" t="str">
        <f>IFERROR(__xludf.DUMMYFUNCTION("""COMPUTED_VALUE"""),"NÃO")</f>
        <v>NÃO</v>
      </c>
      <c r="H488" s="5" t="str">
        <f>IFERROR(__xludf.DUMMYFUNCTION("""COMPUTED_VALUE"""),"NÃO PAVIMENTADA")</f>
        <v>NÃO PAVIMENTADA</v>
      </c>
      <c r="I488" s="6" t="str">
        <f>IFERROR(__xludf.DUMMYFUNCTION("""COMPUTED_VALUE"""),"-9.5596326")</f>
        <v>-9.5596326</v>
      </c>
      <c r="J488" s="6" t="str">
        <f>IFERROR(__xludf.DUMMYFUNCTION("""COMPUTED_VALUE"""),"-35.7547933")</f>
        <v>-35.7547933</v>
      </c>
      <c r="K488" s="5" t="str">
        <f>IFERROR(__xludf.DUMMYFUNCTION("""COMPUTED_VALUE"""),"R. DES. ZEFERINO L MACHADO")</f>
        <v>R. DES. ZEFERINO L MACHADO</v>
      </c>
      <c r="L488" s="5" t="str">
        <f>IFERROR(__xludf.DUMMYFUNCTION("""COMPUTED_VALUE"""),"LOCAL")</f>
        <v>LOCAL</v>
      </c>
      <c r="M488" s="5" t="str">
        <f>IFERROR(__xludf.DUMMYFUNCTION("""COMPUTED_VALUE"""),"TABULEIRO DOS MARTINS")</f>
        <v>TABULEIRO DOS MARTINS</v>
      </c>
      <c r="N488" s="5" t="str">
        <f>IFERROR(__xludf.DUMMYFUNCTION("""COMPUTED_VALUE"""),"CENTRO - BAIRRO")</f>
        <v>CENTRO - BAIRRO</v>
      </c>
      <c r="O488" s="5" t="str">
        <f>IFERROR(__xludf.DUMMYFUNCTION("""COMPUTED_VALUE"""),"AO LADO A CASA 39")</f>
        <v>AO LADO A CASA 39</v>
      </c>
      <c r="P488" s="5" t="str">
        <f>IFERROR(__xludf.DUMMYFUNCTION("""COMPUTED_VALUE"""),"PRIORIDADE BAIXA")</f>
        <v>PRIORIDADE BAIXA</v>
      </c>
      <c r="Q488" s="5" t="str">
        <f>IFERROR(__xludf.DUMMYFUNCTION("""COMPUTED_VALUE"""),"READEQUAÇÃO DA CALÇADA COM ACESSIBILIDADE E BAIA.")</f>
        <v>READEQUAÇÃO DA CALÇADA COM ACESSIBILIDADE E BAIA.</v>
      </c>
      <c r="R488" s="5" t="str">
        <f>IFERROR(__xludf.DUMMYFUNCTION("""COMPUTED_VALUE"""),"NENHUMA DAS OPÇÕES")</f>
        <v>NENHUMA DAS OPÇÕES</v>
      </c>
      <c r="S488" s="5"/>
      <c r="T488" s="5"/>
      <c r="U488" s="5"/>
      <c r="V488" s="9" t="str">
        <f>IFERROR(__xludf.DUMMYFUNCTION("""COMPUTED_VALUE"""),"https://drive.google.com/uc?id=1w9xQUuNU0yLCtgSHgdJ6tX3Hu-PHcLRD")</f>
        <v>https://drive.google.com/uc?id=1w9xQUuNU0yLCtgSHgdJ6tX3Hu-PHcLRD</v>
      </c>
      <c r="W488" s="5" t="str">
        <f>IFERROR(__xludf.DUMMYFUNCTION("""COMPUTED_VALUE"""),"NÃO")</f>
        <v>NÃO</v>
      </c>
      <c r="X488" s="5" t="str">
        <f>IFERROR(__xludf.DUMMYFUNCTION("""COMPUTED_VALUE"""),"NÃO SE APLICA")</f>
        <v>NÃO SE APLICA</v>
      </c>
    </row>
    <row r="489">
      <c r="A489" s="5">
        <f>IFERROR(__xludf.DUMMYFUNCTION("""COMPUTED_VALUE"""),7.0)</f>
        <v>7</v>
      </c>
      <c r="B489" s="5" t="str">
        <f>IFERROR(__xludf.DUMMYFUNCTION("""COMPUTED_VALUE"""),"TM015")</f>
        <v>TM015</v>
      </c>
      <c r="C489" s="5" t="str">
        <f>IFERROR(__xludf.DUMMYFUNCTION("""COMPUTED_VALUE"""),"ABRIGO CONCRETO")</f>
        <v>ABRIGO CONCRETO</v>
      </c>
      <c r="D489" s="5" t="str">
        <f>IFERROR(__xludf.DUMMYFUNCTION("""COMPUTED_VALUE"""),"SEM PLACA")</f>
        <v>SEM PLACA</v>
      </c>
      <c r="E489" s="5" t="str">
        <f>IFERROR(__xludf.DUMMYFUNCTION("""COMPUTED_VALUE"""),"SEM BAIA")</f>
        <v>SEM BAIA</v>
      </c>
      <c r="F489" s="5" t="str">
        <f>IFERROR(__xludf.DUMMYFUNCTION("""COMPUTED_VALUE"""),"NÃO")</f>
        <v>NÃO</v>
      </c>
      <c r="G489" s="5" t="str">
        <f>IFERROR(__xludf.DUMMYFUNCTION("""COMPUTED_VALUE"""),"NÃO")</f>
        <v>NÃO</v>
      </c>
      <c r="H489" s="5" t="str">
        <f>IFERROR(__xludf.DUMMYFUNCTION("""COMPUTED_VALUE"""),"PAVIMENTADA")</f>
        <v>PAVIMENTADA</v>
      </c>
      <c r="I489" s="6" t="str">
        <f>IFERROR(__xludf.DUMMYFUNCTION("""COMPUTED_VALUE"""),"-9.5611191")</f>
        <v>-9.5611191</v>
      </c>
      <c r="J489" s="6" t="str">
        <f>IFERROR(__xludf.DUMMYFUNCTION("""COMPUTED_VALUE"""),"-35.7513398 ")</f>
        <v>-35.7513398 </v>
      </c>
      <c r="K489" s="5" t="str">
        <f>IFERROR(__xludf.DUMMYFUNCTION("""COMPUTED_VALUE"""),"AV. CARLOS GOMES DE BARROS")</f>
        <v>AV. CARLOS GOMES DE BARROS</v>
      </c>
      <c r="L489" s="5" t="str">
        <f>IFERROR(__xludf.DUMMYFUNCTION("""COMPUTED_VALUE"""),"COLETORA")</f>
        <v>COLETORA</v>
      </c>
      <c r="M489" s="5" t="str">
        <f>IFERROR(__xludf.DUMMYFUNCTION("""COMPUTED_VALUE"""),"TABULEIRO DOS MARTINS")</f>
        <v>TABULEIRO DOS MARTINS</v>
      </c>
      <c r="N489" s="5" t="str">
        <f>IFERROR(__xludf.DUMMYFUNCTION("""COMPUTED_VALUE"""),"CENTRO - BAIRRO")</f>
        <v>CENTRO - BAIRRO</v>
      </c>
      <c r="O489" s="5" t="str">
        <f>IFERROR(__xludf.DUMMYFUNCTION("""COMPUTED_VALUE"""),"EM FRENTE A CASA 29C")</f>
        <v>EM FRENTE A CASA 29C</v>
      </c>
      <c r="P489" s="5" t="str">
        <f>IFERROR(__xludf.DUMMYFUNCTION("""COMPUTED_VALUE"""),"PRIORIDADE BAIXA")</f>
        <v>PRIORIDADE BAIXA</v>
      </c>
      <c r="Q489" s="5" t="str">
        <f>IFERROR(__xludf.DUMMYFUNCTION("""COMPUTED_VALUE"""),"READEQUAÇÃO DA CALÇADA COM ACESSIBILIDADE E BAIA.")</f>
        <v>READEQUAÇÃO DA CALÇADA COM ACESSIBILIDADE E BAIA.</v>
      </c>
      <c r="R489" s="5" t="str">
        <f>IFERROR(__xludf.DUMMYFUNCTION("""COMPUTED_VALUE"""),"SUBSTITUIR ABRIGO")</f>
        <v>SUBSTITUIR ABRIGO</v>
      </c>
      <c r="S489" s="5"/>
      <c r="T489" s="5"/>
      <c r="U489" s="5"/>
      <c r="V489" s="9" t="str">
        <f>IFERROR(__xludf.DUMMYFUNCTION("""COMPUTED_VALUE"""),"https://drive.google.com/uc?id=1dawNc7RhZUoqKKpoP3T3BGp5xx9uXCvJ")</f>
        <v>https://drive.google.com/uc?id=1dawNc7RhZUoqKKpoP3T3BGp5xx9uXCvJ</v>
      </c>
      <c r="W489" s="5" t="str">
        <f>IFERROR(__xludf.DUMMYFUNCTION("""COMPUTED_VALUE"""),"NÃO")</f>
        <v>NÃO</v>
      </c>
      <c r="X489" s="5" t="str">
        <f>IFERROR(__xludf.DUMMYFUNCTION("""COMPUTED_VALUE"""),"NÃO SE APLICA")</f>
        <v>NÃO SE APLICA</v>
      </c>
    </row>
    <row r="490" hidden="1">
      <c r="A490" s="5">
        <f>IFERROR(__xludf.DUMMYFUNCTION("""COMPUTED_VALUE"""),7.0)</f>
        <v>7</v>
      </c>
      <c r="B490" s="5" t="str">
        <f>IFERROR(__xludf.DUMMYFUNCTION("""COMPUTED_VALUE"""),"TM016")</f>
        <v>TM016</v>
      </c>
      <c r="C490" s="5" t="str">
        <f>IFERROR(__xludf.DUMMYFUNCTION("""COMPUTED_VALUE"""),"NÃO POSSUI")</f>
        <v>NÃO POSSUI</v>
      </c>
      <c r="D490" s="5" t="str">
        <f>IFERROR(__xludf.DUMMYFUNCTION("""COMPUTED_VALUE"""),"COM SUPORTE")</f>
        <v>COM SUPORTE</v>
      </c>
      <c r="E490" s="5" t="str">
        <f>IFERROR(__xludf.DUMMYFUNCTION("""COMPUTED_VALUE"""),"SEM BAIA")</f>
        <v>SEM BAIA</v>
      </c>
      <c r="F490" s="5" t="str">
        <f>IFERROR(__xludf.DUMMYFUNCTION("""COMPUTED_VALUE"""),"NÃO")</f>
        <v>NÃO</v>
      </c>
      <c r="G490" s="5" t="str">
        <f>IFERROR(__xludf.DUMMYFUNCTION("""COMPUTED_VALUE"""),"NÃO")</f>
        <v>NÃO</v>
      </c>
      <c r="H490" s="5" t="str">
        <f>IFERROR(__xludf.DUMMYFUNCTION("""COMPUTED_VALUE"""),"PAVIMENTADA")</f>
        <v>PAVIMENTADA</v>
      </c>
      <c r="I490" s="6" t="str">
        <f>IFERROR(__xludf.DUMMYFUNCTION("""COMPUTED_VALUE"""),"-9.5614201")</f>
        <v>-9.5614201</v>
      </c>
      <c r="J490" s="6" t="str">
        <f>IFERROR(__xludf.DUMMYFUNCTION("""COMPUTED_VALUE"""),"-35.7495479 ")</f>
        <v>-35.7495479 </v>
      </c>
      <c r="K490" s="5" t="str">
        <f>IFERROR(__xludf.DUMMYFUNCTION("""COMPUTED_VALUE"""),"AV. CARLOS GOMES DE BARROS")</f>
        <v>AV. CARLOS GOMES DE BARROS</v>
      </c>
      <c r="L490" s="5" t="str">
        <f>IFERROR(__xludf.DUMMYFUNCTION("""COMPUTED_VALUE"""),"COLETORA")</f>
        <v>COLETORA</v>
      </c>
      <c r="M490" s="5" t="str">
        <f>IFERROR(__xludf.DUMMYFUNCTION("""COMPUTED_VALUE"""),"TABULEIRO DOS MARTINS")</f>
        <v>TABULEIRO DOS MARTINS</v>
      </c>
      <c r="N490" s="5" t="str">
        <f>IFERROR(__xludf.DUMMYFUNCTION("""COMPUTED_VALUE"""),"CENTRO - BAIRRO")</f>
        <v>CENTRO - BAIRRO</v>
      </c>
      <c r="O490" s="5" t="str">
        <f>IFERROR(__xludf.DUMMYFUNCTION("""COMPUTED_VALUE"""),"EM FRENTE A CASA 401")</f>
        <v>EM FRENTE A CASA 401</v>
      </c>
      <c r="P490" s="5" t="str">
        <f>IFERROR(__xludf.DUMMYFUNCTION("""COMPUTED_VALUE"""),"PRIORIDADE BAIXA")</f>
        <v>PRIORIDADE BAIXA</v>
      </c>
      <c r="Q490" s="5" t="str">
        <f>IFERROR(__xludf.DUMMYFUNCTION("""COMPUTED_VALUE"""),"READEQUAÇÃO DA CALÇADA COM ACESSIBILIDADE E BAIA.")</f>
        <v>READEQUAÇÃO DA CALÇADA COM ACESSIBILIDADE E BAIA.</v>
      </c>
      <c r="R490" s="5" t="str">
        <f>IFERROR(__xludf.DUMMYFUNCTION("""COMPUTED_VALUE"""),"IMPLANTAR ABRIGO")</f>
        <v>IMPLANTAR ABRIGO</v>
      </c>
      <c r="S490" s="5"/>
      <c r="T490" s="5"/>
      <c r="U490" s="5"/>
      <c r="V490" s="9" t="str">
        <f>IFERROR(__xludf.DUMMYFUNCTION("""COMPUTED_VALUE"""),"https://drive.google.com/uc?id=1rVukQZuYkZ4YA0oGBp29SOEwvsCQ1I--")</f>
        <v>https://drive.google.com/uc?id=1rVukQZuYkZ4YA0oGBp29SOEwvsCQ1I--</v>
      </c>
      <c r="W490" s="5" t="str">
        <f>IFERROR(__xludf.DUMMYFUNCTION("""COMPUTED_VALUE"""),"NÃO")</f>
        <v>NÃO</v>
      </c>
      <c r="X490" s="5" t="str">
        <f>IFERROR(__xludf.DUMMYFUNCTION("""COMPUTED_VALUE"""),"NÃO SE APLICA")</f>
        <v>NÃO SE APLICA</v>
      </c>
    </row>
    <row r="491" hidden="1">
      <c r="A491" s="5">
        <f>IFERROR(__xludf.DUMMYFUNCTION("""COMPUTED_VALUE"""),7.0)</f>
        <v>7</v>
      </c>
      <c r="B491" s="5" t="str">
        <f>IFERROR(__xludf.DUMMYFUNCTION("""COMPUTED_VALUE"""),"TM017")</f>
        <v>TM017</v>
      </c>
      <c r="C491" s="5" t="str">
        <f>IFERROR(__xludf.DUMMYFUNCTION("""COMPUTED_VALUE"""),"NÃO POSSUI")</f>
        <v>NÃO POSSUI</v>
      </c>
      <c r="D491" s="5" t="str">
        <f>IFERROR(__xludf.DUMMYFUNCTION("""COMPUTED_VALUE"""),"COM SUPORTE")</f>
        <v>COM SUPORTE</v>
      </c>
      <c r="E491" s="5" t="str">
        <f>IFERROR(__xludf.DUMMYFUNCTION("""COMPUTED_VALUE"""),"SEM BAIA")</f>
        <v>SEM BAIA</v>
      </c>
      <c r="F491" s="5" t="str">
        <f>IFERROR(__xludf.DUMMYFUNCTION("""COMPUTED_VALUE"""),"NÃO")</f>
        <v>NÃO</v>
      </c>
      <c r="G491" s="5" t="str">
        <f>IFERROR(__xludf.DUMMYFUNCTION("""COMPUTED_VALUE"""),"NÃO")</f>
        <v>NÃO</v>
      </c>
      <c r="H491" s="5" t="str">
        <f>IFERROR(__xludf.DUMMYFUNCTION("""COMPUTED_VALUE"""),"PAVIMENTADA")</f>
        <v>PAVIMENTADA</v>
      </c>
      <c r="I491" s="6" t="str">
        <f>IFERROR(__xludf.DUMMYFUNCTION("""COMPUTED_VALUE"""),"-9.5618654")</f>
        <v>-9.5618654</v>
      </c>
      <c r="J491" s="6" t="str">
        <f>IFERROR(__xludf.DUMMYFUNCTION("""COMPUTED_VALUE"""),"-35.7470805  ")</f>
        <v>-35.7470805  </v>
      </c>
      <c r="K491" s="5" t="str">
        <f>IFERROR(__xludf.DUMMYFUNCTION("""COMPUTED_VALUE"""),"AV. CARLOS GOMES DE BARROS")</f>
        <v>AV. CARLOS GOMES DE BARROS</v>
      </c>
      <c r="L491" s="5" t="str">
        <f>IFERROR(__xludf.DUMMYFUNCTION("""COMPUTED_VALUE"""),"COLETORA")</f>
        <v>COLETORA</v>
      </c>
      <c r="M491" s="5" t="str">
        <f>IFERROR(__xludf.DUMMYFUNCTION("""COMPUTED_VALUE"""),"TABULEIRO DOS MARTINS")</f>
        <v>TABULEIRO DOS MARTINS</v>
      </c>
      <c r="N491" s="5" t="str">
        <f>IFERROR(__xludf.DUMMYFUNCTION("""COMPUTED_VALUE"""),"CENTRO - BAIRRO")</f>
        <v>CENTRO - BAIRRO</v>
      </c>
      <c r="O491" s="5" t="str">
        <f>IFERROR(__xludf.DUMMYFUNCTION("""COMPUTED_VALUE"""),"EM FRENTE A CASA 671")</f>
        <v>EM FRENTE A CASA 671</v>
      </c>
      <c r="P491" s="5" t="str">
        <f>IFERROR(__xludf.DUMMYFUNCTION("""COMPUTED_VALUE"""),"PRIORIDADE BAIXA")</f>
        <v>PRIORIDADE BAIXA</v>
      </c>
      <c r="Q491" s="5" t="str">
        <f>IFERROR(__xludf.DUMMYFUNCTION("""COMPUTED_VALUE"""),"READEQUAÇÃO DA CALÇADA COM ACESSIBILIDADE E BAIA.")</f>
        <v>READEQUAÇÃO DA CALÇADA COM ACESSIBILIDADE E BAIA.</v>
      </c>
      <c r="R491" s="5" t="str">
        <f>IFERROR(__xludf.DUMMYFUNCTION("""COMPUTED_VALUE"""),"NENHUMA DAS OPÇÕES")</f>
        <v>NENHUMA DAS OPÇÕES</v>
      </c>
      <c r="S491" s="5"/>
      <c r="T491" s="5"/>
      <c r="U491" s="5"/>
      <c r="V491" s="9" t="str">
        <f>IFERROR(__xludf.DUMMYFUNCTION("""COMPUTED_VALUE"""),"https://drive.google.com/uc?id=1KbRQ4bFxVFrwX-oWO9y-jjYIDSLyT3d_")</f>
        <v>https://drive.google.com/uc?id=1KbRQ4bFxVFrwX-oWO9y-jjYIDSLyT3d_</v>
      </c>
      <c r="W491" s="5" t="str">
        <f>IFERROR(__xludf.DUMMYFUNCTION("""COMPUTED_VALUE"""),"NÃO")</f>
        <v>NÃO</v>
      </c>
      <c r="X491" s="5" t="str">
        <f>IFERROR(__xludf.DUMMYFUNCTION("""COMPUTED_VALUE"""),"NÃO SE APLICA")</f>
        <v>NÃO SE APLICA</v>
      </c>
    </row>
    <row r="492" hidden="1">
      <c r="A492" s="5">
        <f>IFERROR(__xludf.DUMMYFUNCTION("""COMPUTED_VALUE"""),7.0)</f>
        <v>7</v>
      </c>
      <c r="B492" s="5" t="str">
        <f>IFERROR(__xludf.DUMMYFUNCTION("""COMPUTED_VALUE"""),"TM018")</f>
        <v>TM018</v>
      </c>
      <c r="C492" s="5" t="str">
        <f>IFERROR(__xludf.DUMMYFUNCTION("""COMPUTED_VALUE"""),"NÃO POSSUI")</f>
        <v>NÃO POSSUI</v>
      </c>
      <c r="D492" s="5" t="str">
        <f>IFERROR(__xludf.DUMMYFUNCTION("""COMPUTED_VALUE"""),"COM SUPORTE")</f>
        <v>COM SUPORTE</v>
      </c>
      <c r="E492" s="5" t="str">
        <f>IFERROR(__xludf.DUMMYFUNCTION("""COMPUTED_VALUE"""),"SEM BAIA")</f>
        <v>SEM BAIA</v>
      </c>
      <c r="F492" s="5" t="str">
        <f>IFERROR(__xludf.DUMMYFUNCTION("""COMPUTED_VALUE"""),"NÃO")</f>
        <v>NÃO</v>
      </c>
      <c r="G492" s="5" t="str">
        <f>IFERROR(__xludf.DUMMYFUNCTION("""COMPUTED_VALUE"""),"NÃO")</f>
        <v>NÃO</v>
      </c>
      <c r="H492" s="5" t="str">
        <f>IFERROR(__xludf.DUMMYFUNCTION("""COMPUTED_VALUE"""),"PAVIMENTADA")</f>
        <v>PAVIMENTADA</v>
      </c>
      <c r="I492" s="6" t="str">
        <f>IFERROR(__xludf.DUMMYFUNCTION("""COMPUTED_VALUE"""),"-9.5614067")</f>
        <v>-9.5614067</v>
      </c>
      <c r="J492" s="6" t="str">
        <f>IFERROR(__xludf.DUMMYFUNCTION("""COMPUTED_VALUE"""),"-35.7489489  ")</f>
        <v>-35.7489489  </v>
      </c>
      <c r="K492" s="5" t="str">
        <f>IFERROR(__xludf.DUMMYFUNCTION("""COMPUTED_VALUE"""),"AV. CARLOS GOMES DE BARROS")</f>
        <v>AV. CARLOS GOMES DE BARROS</v>
      </c>
      <c r="L492" s="5" t="str">
        <f>IFERROR(__xludf.DUMMYFUNCTION("""COMPUTED_VALUE"""),"COLETORA")</f>
        <v>COLETORA</v>
      </c>
      <c r="M492" s="5" t="str">
        <f>IFERROR(__xludf.DUMMYFUNCTION("""COMPUTED_VALUE"""),"TABULEIRO DOS MARTINS")</f>
        <v>TABULEIRO DOS MARTINS</v>
      </c>
      <c r="N492" s="5" t="str">
        <f>IFERROR(__xludf.DUMMYFUNCTION("""COMPUTED_VALUE"""),"BAIRRO - CENTRO")</f>
        <v>BAIRRO - CENTRO</v>
      </c>
      <c r="O492" s="5" t="str">
        <f>IFERROR(__xludf.DUMMYFUNCTION("""COMPUTED_VALUE"""),"EM FRENTE AO CONDOMÍNIO COSTAS DA LUZ")</f>
        <v>EM FRENTE AO CONDOMÍNIO COSTAS DA LUZ</v>
      </c>
      <c r="P492" s="5" t="str">
        <f>IFERROR(__xludf.DUMMYFUNCTION("""COMPUTED_VALUE"""),"PRIORIDADE BAIXA")</f>
        <v>PRIORIDADE BAIXA</v>
      </c>
      <c r="Q492" s="5" t="str">
        <f>IFERROR(__xludf.DUMMYFUNCTION("""COMPUTED_VALUE"""),"READEQUAÇÃO DA CALÇADA COM ACESSIBILIDADE E BAIA.")</f>
        <v>READEQUAÇÃO DA CALÇADA COM ACESSIBILIDADE E BAIA.</v>
      </c>
      <c r="R492" s="5" t="str">
        <f>IFERROR(__xludf.DUMMYFUNCTION("""COMPUTED_VALUE"""),"NENHUMA DAS OPÇÕES")</f>
        <v>NENHUMA DAS OPÇÕES</v>
      </c>
      <c r="S492" s="5"/>
      <c r="T492" s="5"/>
      <c r="U492" s="5"/>
      <c r="V492" s="9" t="str">
        <f>IFERROR(__xludf.DUMMYFUNCTION("""COMPUTED_VALUE"""),"https://drive.google.com/uc?id=1u4RpRyBlB_GHocE4jUMqBuB4XBZl7lbR")</f>
        <v>https://drive.google.com/uc?id=1u4RpRyBlB_GHocE4jUMqBuB4XBZl7lbR</v>
      </c>
      <c r="W492" s="5" t="str">
        <f>IFERROR(__xludf.DUMMYFUNCTION("""COMPUTED_VALUE"""),"NÃO")</f>
        <v>NÃO</v>
      </c>
      <c r="X492" s="5" t="str">
        <f>IFERROR(__xludf.DUMMYFUNCTION("""COMPUTED_VALUE"""),"NÃO SE APLICA")</f>
        <v>NÃO SE APLICA</v>
      </c>
    </row>
    <row r="493">
      <c r="A493" s="5">
        <f>IFERROR(__xludf.DUMMYFUNCTION("""COMPUTED_VALUE"""),7.0)</f>
        <v>7</v>
      </c>
      <c r="B493" s="5" t="str">
        <f>IFERROR(__xludf.DUMMYFUNCTION("""COMPUTED_VALUE"""),"TM019")</f>
        <v>TM019</v>
      </c>
      <c r="C493" s="5" t="str">
        <f>IFERROR(__xludf.DUMMYFUNCTION("""COMPUTED_VALUE"""),"ABRIGO CONCRETO")</f>
        <v>ABRIGO CONCRETO</v>
      </c>
      <c r="D493" s="5" t="str">
        <f>IFERROR(__xludf.DUMMYFUNCTION("""COMPUTED_VALUE"""),"SEM PLACA")</f>
        <v>SEM PLACA</v>
      </c>
      <c r="E493" s="5" t="str">
        <f>IFERROR(__xludf.DUMMYFUNCTION("""COMPUTED_VALUE"""),"SEM BAIA")</f>
        <v>SEM BAIA</v>
      </c>
      <c r="F493" s="5" t="str">
        <f>IFERROR(__xludf.DUMMYFUNCTION("""COMPUTED_VALUE"""),"NÃO")</f>
        <v>NÃO</v>
      </c>
      <c r="G493" s="5" t="str">
        <f>IFERROR(__xludf.DUMMYFUNCTION("""COMPUTED_VALUE"""),"NÃO")</f>
        <v>NÃO</v>
      </c>
      <c r="H493" s="5" t="str">
        <f>IFERROR(__xludf.DUMMYFUNCTION("""COMPUTED_VALUE"""),"NÃO PAVIMENTADA")</f>
        <v>NÃO PAVIMENTADA</v>
      </c>
      <c r="I493" s="6" t="str">
        <f>IFERROR(__xludf.DUMMYFUNCTION("""COMPUTED_VALUE"""),"-9.5611488   ")</f>
        <v>-9.5611488   </v>
      </c>
      <c r="J493" s="6" t="str">
        <f>IFERROR(__xludf.DUMMYFUNCTION("""COMPUTED_VALUE"""),"-35.7502928 ")</f>
        <v>-35.7502928 </v>
      </c>
      <c r="K493" s="5" t="str">
        <f>IFERROR(__xludf.DUMMYFUNCTION("""COMPUTED_VALUE"""),"AV. CARLOS GOMES DE BARROS")</f>
        <v>AV. CARLOS GOMES DE BARROS</v>
      </c>
      <c r="L493" s="5" t="str">
        <f>IFERROR(__xludf.DUMMYFUNCTION("""COMPUTED_VALUE"""),"COLETORA")</f>
        <v>COLETORA</v>
      </c>
      <c r="M493" s="5" t="str">
        <f>IFERROR(__xludf.DUMMYFUNCTION("""COMPUTED_VALUE"""),"TABULEIRO DOS MARTINS")</f>
        <v>TABULEIRO DOS MARTINS</v>
      </c>
      <c r="N493" s="5" t="str">
        <f>IFERROR(__xludf.DUMMYFUNCTION("""COMPUTED_VALUE"""),"BAIRRO - CENTRO")</f>
        <v>BAIRRO - CENTRO</v>
      </c>
      <c r="O493" s="5" t="str">
        <f>IFERROR(__xludf.DUMMYFUNCTION("""COMPUTED_VALUE"""),"EM FRENTE A CASA 07")</f>
        <v>EM FRENTE A CASA 07</v>
      </c>
      <c r="P493" s="5" t="str">
        <f>IFERROR(__xludf.DUMMYFUNCTION("""COMPUTED_VALUE"""),"PRIORIDADE BAIXA")</f>
        <v>PRIORIDADE BAIXA</v>
      </c>
      <c r="Q493" s="5" t="str">
        <f>IFERROR(__xludf.DUMMYFUNCTION("""COMPUTED_VALUE"""),"READEQUAÇÃO DA CALÇADA COM ACESSIBILIDADE E BAIA.")</f>
        <v>READEQUAÇÃO DA CALÇADA COM ACESSIBILIDADE E BAIA.</v>
      </c>
      <c r="R493" s="5" t="str">
        <f>IFERROR(__xludf.DUMMYFUNCTION("""COMPUTED_VALUE"""),"SUBSTITUIR ABRIGO")</f>
        <v>SUBSTITUIR ABRIGO</v>
      </c>
      <c r="S493" s="5"/>
      <c r="T493" s="5"/>
      <c r="U493" s="5"/>
      <c r="V493" s="9" t="str">
        <f>IFERROR(__xludf.DUMMYFUNCTION("""COMPUTED_VALUE"""),"https://drive.google.com/uc?id=1NLaUPtHwGhX3hKbTftXsfJalRJhKLJBi")</f>
        <v>https://drive.google.com/uc?id=1NLaUPtHwGhX3hKbTftXsfJalRJhKLJBi</v>
      </c>
      <c r="W493" s="5" t="str">
        <f>IFERROR(__xludf.DUMMYFUNCTION("""COMPUTED_VALUE"""),"NÃO")</f>
        <v>NÃO</v>
      </c>
      <c r="X493" s="5" t="str">
        <f>IFERROR(__xludf.DUMMYFUNCTION("""COMPUTED_VALUE"""),"NÃO SE APLICA")</f>
        <v>NÃO SE APLICA</v>
      </c>
    </row>
    <row r="494" hidden="1">
      <c r="A494" s="5">
        <f>IFERROR(__xludf.DUMMYFUNCTION("""COMPUTED_VALUE"""),7.0)</f>
        <v>7</v>
      </c>
      <c r="B494" s="5" t="str">
        <f>IFERROR(__xludf.DUMMYFUNCTION("""COMPUTED_VALUE"""),"TM020")</f>
        <v>TM020</v>
      </c>
      <c r="C494" s="5" t="str">
        <f>IFERROR(__xludf.DUMMYFUNCTION("""COMPUTED_VALUE"""),"NÃO POSSUI")</f>
        <v>NÃO POSSUI</v>
      </c>
      <c r="D494" s="5" t="str">
        <f>IFERROR(__xludf.DUMMYFUNCTION("""COMPUTED_VALUE"""),"SEM PLACA")</f>
        <v>SEM PLACA</v>
      </c>
      <c r="E494" s="5" t="str">
        <f>IFERROR(__xludf.DUMMYFUNCTION("""COMPUTED_VALUE"""),"SEM BAIA")</f>
        <v>SEM BAIA</v>
      </c>
      <c r="F494" s="5" t="str">
        <f>IFERROR(__xludf.DUMMYFUNCTION("""COMPUTED_VALUE"""),"NÃO")</f>
        <v>NÃO</v>
      </c>
      <c r="G494" s="5" t="str">
        <f>IFERROR(__xludf.DUMMYFUNCTION("""COMPUTED_VALUE"""),"NÃO")</f>
        <v>NÃO</v>
      </c>
      <c r="H494" s="5" t="str">
        <f>IFERROR(__xludf.DUMMYFUNCTION("""COMPUTED_VALUE"""),"PAVIMENTADA")</f>
        <v>PAVIMENTADA</v>
      </c>
      <c r="I494" s="6" t="str">
        <f>IFERROR(__xludf.DUMMYFUNCTION("""COMPUTED_VALUE"""),"-9.5609613")</f>
        <v>-9.5609613</v>
      </c>
      <c r="J494" s="6" t="str">
        <f>IFERROR(__xludf.DUMMYFUNCTION("""COMPUTED_VALUE"""),"-35.7514176  ")</f>
        <v>-35.7514176  </v>
      </c>
      <c r="K494" s="5" t="str">
        <f>IFERROR(__xludf.DUMMYFUNCTION("""COMPUTED_VALUE"""),"AV. CARLOS GOMES DE BARROS")</f>
        <v>AV. CARLOS GOMES DE BARROS</v>
      </c>
      <c r="L494" s="5" t="str">
        <f>IFERROR(__xludf.DUMMYFUNCTION("""COMPUTED_VALUE"""),"COLETORA")</f>
        <v>COLETORA</v>
      </c>
      <c r="M494" s="5" t="str">
        <f>IFERROR(__xludf.DUMMYFUNCTION("""COMPUTED_VALUE"""),"TABULEIRO DOS MARTINS")</f>
        <v>TABULEIRO DOS MARTINS</v>
      </c>
      <c r="N494" s="5" t="str">
        <f>IFERROR(__xludf.DUMMYFUNCTION("""COMPUTED_VALUE"""),"BAIRRO - CENTRO")</f>
        <v>BAIRRO - CENTRO</v>
      </c>
      <c r="O494" s="5" t="str">
        <f>IFERROR(__xludf.DUMMYFUNCTION("""COMPUTED_VALUE"""),"EM FRENTE A CASA 29C")</f>
        <v>EM FRENTE A CASA 29C</v>
      </c>
      <c r="P494" s="5" t="str">
        <f>IFERROR(__xludf.DUMMYFUNCTION("""COMPUTED_VALUE"""),"PRIORIDADE BAIXA")</f>
        <v>PRIORIDADE BAIXA</v>
      </c>
      <c r="Q494" s="5" t="str">
        <f>IFERROR(__xludf.DUMMYFUNCTION("""COMPUTED_VALUE"""),"READEQUAÇÃO DA CALÇADA COM ACESSIBILIDADE E BAIA.")</f>
        <v>READEQUAÇÃO DA CALÇADA COM ACESSIBILIDADE E BAIA.</v>
      </c>
      <c r="R494" s="5" t="str">
        <f>IFERROR(__xludf.DUMMYFUNCTION("""COMPUTED_VALUE"""),"NENHUMA DAS OPÇÕES")</f>
        <v>NENHUMA DAS OPÇÕES</v>
      </c>
      <c r="S494" s="5"/>
      <c r="T494" s="5"/>
      <c r="U494" s="5"/>
      <c r="V494" s="9" t="str">
        <f>IFERROR(__xludf.DUMMYFUNCTION("""COMPUTED_VALUE"""),"https://drive.google.com/uc?id=16O0NwUpVSZcWhCv5HiLCjuDPLWhTp4Tx")</f>
        <v>https://drive.google.com/uc?id=16O0NwUpVSZcWhCv5HiLCjuDPLWhTp4Tx</v>
      </c>
      <c r="W494" s="5" t="str">
        <f>IFERROR(__xludf.DUMMYFUNCTION("""COMPUTED_VALUE"""),"NÃO")</f>
        <v>NÃO</v>
      </c>
      <c r="X494" s="5" t="str">
        <f>IFERROR(__xludf.DUMMYFUNCTION("""COMPUTED_VALUE"""),"NÃO SE APLICA")</f>
        <v>NÃO SE APLICA</v>
      </c>
    </row>
    <row r="495">
      <c r="A495" s="5">
        <f>IFERROR(__xludf.DUMMYFUNCTION("""COMPUTED_VALUE"""),7.0)</f>
        <v>7</v>
      </c>
      <c r="B495" s="5" t="str">
        <f>IFERROR(__xludf.DUMMYFUNCTION("""COMPUTED_VALUE"""),"TM021")</f>
        <v>TM021</v>
      </c>
      <c r="C495" s="5" t="str">
        <f>IFERROR(__xludf.DUMMYFUNCTION("""COMPUTED_VALUE"""),"ABRIGO CONCRETO")</f>
        <v>ABRIGO CONCRETO</v>
      </c>
      <c r="D495" s="5" t="str">
        <f>IFERROR(__xludf.DUMMYFUNCTION("""COMPUTED_VALUE"""),"SEM PLACA")</f>
        <v>SEM PLACA</v>
      </c>
      <c r="E495" s="5" t="str">
        <f>IFERROR(__xludf.DUMMYFUNCTION("""COMPUTED_VALUE"""),"SEM BAIA")</f>
        <v>SEM BAIA</v>
      </c>
      <c r="F495" s="5" t="str">
        <f>IFERROR(__xludf.DUMMYFUNCTION("""COMPUTED_VALUE"""),"NÃO")</f>
        <v>NÃO</v>
      </c>
      <c r="G495" s="5" t="str">
        <f>IFERROR(__xludf.DUMMYFUNCTION("""COMPUTED_VALUE"""),"NÃO")</f>
        <v>NÃO</v>
      </c>
      <c r="H495" s="5" t="str">
        <f>IFERROR(__xludf.DUMMYFUNCTION("""COMPUTED_VALUE"""),"PAVIMENTADA")</f>
        <v>PAVIMENTADA</v>
      </c>
      <c r="I495" s="6" t="str">
        <f>IFERROR(__xludf.DUMMYFUNCTION("""COMPUTED_VALUE"""),"-9.560744")</f>
        <v>-9.560744</v>
      </c>
      <c r="J495" s="6" t="str">
        <f>IFERROR(__xludf.DUMMYFUNCTION("""COMPUTED_VALUE"""),"-35.752934")</f>
        <v>-35.752934</v>
      </c>
      <c r="K495" s="5" t="str">
        <f>IFERROR(__xludf.DUMMYFUNCTION("""COMPUTED_VALUE"""),"AV. CARLOS GOMES DE BARROS")</f>
        <v>AV. CARLOS GOMES DE BARROS</v>
      </c>
      <c r="L495" s="5" t="str">
        <f>IFERROR(__xludf.DUMMYFUNCTION("""COMPUTED_VALUE"""),"COLETORA")</f>
        <v>COLETORA</v>
      </c>
      <c r="M495" s="5" t="str">
        <f>IFERROR(__xludf.DUMMYFUNCTION("""COMPUTED_VALUE"""),"TABULEIRO DOS MARTINS")</f>
        <v>TABULEIRO DOS MARTINS</v>
      </c>
      <c r="N495" s="5" t="str">
        <f>IFERROR(__xludf.DUMMYFUNCTION("""COMPUTED_VALUE"""),"BAIRRO - CENTRO")</f>
        <v>BAIRRO - CENTRO</v>
      </c>
      <c r="O495" s="5" t="str">
        <f>IFERROR(__xludf.DUMMYFUNCTION("""COMPUTED_VALUE"""),"AO LADO DA CASA 92")</f>
        <v>AO LADO DA CASA 92</v>
      </c>
      <c r="P495" s="5" t="str">
        <f>IFERROR(__xludf.DUMMYFUNCTION("""COMPUTED_VALUE"""),"PRIORIDADE BAIXA")</f>
        <v>PRIORIDADE BAIXA</v>
      </c>
      <c r="Q495" s="5" t="str">
        <f>IFERROR(__xludf.DUMMYFUNCTION("""COMPUTED_VALUE"""),"READEQUAÇÃO DA CALÇADA COM ACESSIBILIDADE E BAIA.")</f>
        <v>READEQUAÇÃO DA CALÇADA COM ACESSIBILIDADE E BAIA.</v>
      </c>
      <c r="R495" s="5" t="str">
        <f>IFERROR(__xludf.DUMMYFUNCTION("""COMPUTED_VALUE"""),"SUBSTITUIR ABRIGO")</f>
        <v>SUBSTITUIR ABRIGO</v>
      </c>
      <c r="S495" s="5"/>
      <c r="T495" s="5"/>
      <c r="U495" s="5"/>
      <c r="V495" s="9" t="str">
        <f>IFERROR(__xludf.DUMMYFUNCTION("""COMPUTED_VALUE"""),"https://drive.google.com/uc?id=19zg6oW9aW8JbA_Tt9uNAyTRkK1NTcran")</f>
        <v>https://drive.google.com/uc?id=19zg6oW9aW8JbA_Tt9uNAyTRkK1NTcran</v>
      </c>
      <c r="W495" s="5" t="str">
        <f>IFERROR(__xludf.DUMMYFUNCTION("""COMPUTED_VALUE"""),"NÃO")</f>
        <v>NÃO</v>
      </c>
      <c r="X495" s="5" t="str">
        <f>IFERROR(__xludf.DUMMYFUNCTION("""COMPUTED_VALUE"""),"NÃO SE APLICA")</f>
        <v>NÃO SE APLICA</v>
      </c>
    </row>
    <row r="496">
      <c r="A496" s="5">
        <f>IFERROR(__xludf.DUMMYFUNCTION("""COMPUTED_VALUE"""),7.0)</f>
        <v>7</v>
      </c>
      <c r="B496" s="5" t="str">
        <f>IFERROR(__xludf.DUMMYFUNCTION("""COMPUTED_VALUE"""),"TM022")</f>
        <v>TM022</v>
      </c>
      <c r="C496" s="5" t="str">
        <f>IFERROR(__xludf.DUMMYFUNCTION("""COMPUTED_VALUE"""),"ABRIGO CONCRETO")</f>
        <v>ABRIGO CONCRETO</v>
      </c>
      <c r="D496" s="5" t="str">
        <f>IFERROR(__xludf.DUMMYFUNCTION("""COMPUTED_VALUE"""),"SEM PLACA")</f>
        <v>SEM PLACA</v>
      </c>
      <c r="E496" s="5" t="str">
        <f>IFERROR(__xludf.DUMMYFUNCTION("""COMPUTED_VALUE"""),"SEM BAIA")</f>
        <v>SEM BAIA</v>
      </c>
      <c r="F496" s="5" t="str">
        <f>IFERROR(__xludf.DUMMYFUNCTION("""COMPUTED_VALUE"""),"NÃO")</f>
        <v>NÃO</v>
      </c>
      <c r="G496" s="5" t="str">
        <f>IFERROR(__xludf.DUMMYFUNCTION("""COMPUTED_VALUE"""),"NÃO")</f>
        <v>NÃO</v>
      </c>
      <c r="H496" s="5" t="str">
        <f>IFERROR(__xludf.DUMMYFUNCTION("""COMPUTED_VALUE"""),"PAVIMENTADA")</f>
        <v>PAVIMENTADA</v>
      </c>
      <c r="I496" s="6" t="str">
        <f>IFERROR(__xludf.DUMMYFUNCTION("""COMPUTED_VALUE"""),"-9.5595621")</f>
        <v>-9.5595621</v>
      </c>
      <c r="J496" s="6" t="str">
        <f>IFERROR(__xludf.DUMMYFUNCTION("""COMPUTED_VALUE"""),"-35.754718 ")</f>
        <v>-35.754718 </v>
      </c>
      <c r="K496" s="5" t="str">
        <f>IFERROR(__xludf.DUMMYFUNCTION("""COMPUTED_VALUE"""),"R. DES. ZEFERINO L MACHADO")</f>
        <v>R. DES. ZEFERINO L MACHADO</v>
      </c>
      <c r="L496" s="5" t="str">
        <f>IFERROR(__xludf.DUMMYFUNCTION("""COMPUTED_VALUE"""),"LOCAL")</f>
        <v>LOCAL</v>
      </c>
      <c r="M496" s="5" t="str">
        <f>IFERROR(__xludf.DUMMYFUNCTION("""COMPUTED_VALUE"""),"TABULEIRO DOS MARTINS")</f>
        <v>TABULEIRO DOS MARTINS</v>
      </c>
      <c r="N496" s="5" t="str">
        <f>IFERROR(__xludf.DUMMYFUNCTION("""COMPUTED_VALUE"""),"BAIRRO - CENTRO")</f>
        <v>BAIRRO - CENTRO</v>
      </c>
      <c r="O496" s="5" t="str">
        <f>IFERROR(__xludf.DUMMYFUNCTION("""COMPUTED_VALUE"""),"AO LADO A CASA 39")</f>
        <v>AO LADO A CASA 39</v>
      </c>
      <c r="P496" s="5" t="str">
        <f>IFERROR(__xludf.DUMMYFUNCTION("""COMPUTED_VALUE"""),"PRIORIDADE BAIXA")</f>
        <v>PRIORIDADE BAIXA</v>
      </c>
      <c r="Q496" s="5" t="str">
        <f>IFERROR(__xludf.DUMMYFUNCTION("""COMPUTED_VALUE"""),"READEQUAÇÃO DA CALÇADA COM ACESSIBILIDADE E BAIA.")</f>
        <v>READEQUAÇÃO DA CALÇADA COM ACESSIBILIDADE E BAIA.</v>
      </c>
      <c r="R496" s="5" t="str">
        <f>IFERROR(__xludf.DUMMYFUNCTION("""COMPUTED_VALUE"""),"SUBSTITUIR ABRIGO")</f>
        <v>SUBSTITUIR ABRIGO</v>
      </c>
      <c r="S496" s="5"/>
      <c r="T496" s="5"/>
      <c r="U496" s="5"/>
      <c r="V496" s="9" t="str">
        <f>IFERROR(__xludf.DUMMYFUNCTION("""COMPUTED_VALUE"""),"https://drive.google.com/uc?id=1UCZqgXts5IrDyhGiidfCpvOcv8RJf9tq")</f>
        <v>https://drive.google.com/uc?id=1UCZqgXts5IrDyhGiidfCpvOcv8RJf9tq</v>
      </c>
      <c r="W496" s="5" t="str">
        <f>IFERROR(__xludf.DUMMYFUNCTION("""COMPUTED_VALUE"""),"NÃO")</f>
        <v>NÃO</v>
      </c>
      <c r="X496" s="5" t="str">
        <f>IFERROR(__xludf.DUMMYFUNCTION("""COMPUTED_VALUE"""),"NÃO SE APLICA")</f>
        <v>NÃO SE APLICA</v>
      </c>
    </row>
    <row r="497">
      <c r="A497" s="5">
        <f>IFERROR(__xludf.DUMMYFUNCTION("""COMPUTED_VALUE"""),7.0)</f>
        <v>7</v>
      </c>
      <c r="B497" s="5" t="str">
        <f>IFERROR(__xludf.DUMMYFUNCTION("""COMPUTED_VALUE"""),"TM023")</f>
        <v>TM023</v>
      </c>
      <c r="C497" s="5" t="str">
        <f>IFERROR(__xludf.DUMMYFUNCTION("""COMPUTED_VALUE"""),"ABRIGO CONCRETO")</f>
        <v>ABRIGO CONCRETO</v>
      </c>
      <c r="D497" s="5" t="str">
        <f>IFERROR(__xludf.DUMMYFUNCTION("""COMPUTED_VALUE"""),"SEM PLACA")</f>
        <v>SEM PLACA</v>
      </c>
      <c r="E497" s="5" t="str">
        <f>IFERROR(__xludf.DUMMYFUNCTION("""COMPUTED_VALUE"""),"SEM BAIA")</f>
        <v>SEM BAIA</v>
      </c>
      <c r="F497" s="5" t="str">
        <f>IFERROR(__xludf.DUMMYFUNCTION("""COMPUTED_VALUE"""),"NÃO")</f>
        <v>NÃO</v>
      </c>
      <c r="G497" s="5" t="str">
        <f>IFERROR(__xludf.DUMMYFUNCTION("""COMPUTED_VALUE"""),"NÃO")</f>
        <v>NÃO</v>
      </c>
      <c r="H497" s="5" t="str">
        <f>IFERROR(__xludf.DUMMYFUNCTION("""COMPUTED_VALUE"""),"NÃO PAVIMENTADA")</f>
        <v>NÃO PAVIMENTADA</v>
      </c>
      <c r="I497" s="6" t="str">
        <f>IFERROR(__xludf.DUMMYFUNCTION("""COMPUTED_VALUE"""),"-9.5591787")</f>
        <v>-9.5591787</v>
      </c>
      <c r="J497" s="6" t="str">
        <f>IFERROR(__xludf.DUMMYFUNCTION("""COMPUTED_VALUE"""),"-35.7562398   ")</f>
        <v>-35.7562398   </v>
      </c>
      <c r="K497" s="5" t="str">
        <f>IFERROR(__xludf.DUMMYFUNCTION("""COMPUTED_VALUE""")," AV. GOV. LUÍS CAVALCANTE")</f>
        <v> AV. GOV. LUÍS CAVALCANTE</v>
      </c>
      <c r="L497" s="5" t="str">
        <f>IFERROR(__xludf.DUMMYFUNCTION("""COMPUTED_VALUE"""),"COLETORA")</f>
        <v>COLETORA</v>
      </c>
      <c r="M497" s="5" t="str">
        <f>IFERROR(__xludf.DUMMYFUNCTION("""COMPUTED_VALUE"""),"TABULEIRO DOS MARTINS")</f>
        <v>TABULEIRO DOS MARTINS</v>
      </c>
      <c r="N497" s="5" t="str">
        <f>IFERROR(__xludf.DUMMYFUNCTION("""COMPUTED_VALUE"""),"BAIRRO - CENTRO")</f>
        <v>BAIRRO - CENTRO</v>
      </c>
      <c r="O497" s="5" t="str">
        <f>IFERROR(__xludf.DUMMYFUNCTION("""COMPUTED_VALUE"""),"AO LADO DA DOMLOG")</f>
        <v>AO LADO DA DOMLOG</v>
      </c>
      <c r="P497" s="5" t="str">
        <f>IFERROR(__xludf.DUMMYFUNCTION("""COMPUTED_VALUE"""),"PRIORIDADE BAIXA")</f>
        <v>PRIORIDADE BAIXA</v>
      </c>
      <c r="Q497" s="5" t="str">
        <f>IFERROR(__xludf.DUMMYFUNCTION("""COMPUTED_VALUE"""),"READEQUAÇÃO DA CALÇADA COM ACESSIBILIDADE E BAIA.")</f>
        <v>READEQUAÇÃO DA CALÇADA COM ACESSIBILIDADE E BAIA.</v>
      </c>
      <c r="R497" s="5" t="str">
        <f>IFERROR(__xludf.DUMMYFUNCTION("""COMPUTED_VALUE"""),"SUBSTITUIR ABRIGO")</f>
        <v>SUBSTITUIR ABRIGO</v>
      </c>
      <c r="S497" s="5"/>
      <c r="T497" s="5"/>
      <c r="U497" s="5"/>
      <c r="V497" s="9" t="str">
        <f>IFERROR(__xludf.DUMMYFUNCTION("""COMPUTED_VALUE"""),"https://drive.google.com/uc?id=1mKR1ERw86sAe4dRU3SKD8gwnzOgLl1xu")</f>
        <v>https://drive.google.com/uc?id=1mKR1ERw86sAe4dRU3SKD8gwnzOgLl1xu</v>
      </c>
      <c r="W497" s="5" t="str">
        <f>IFERROR(__xludf.DUMMYFUNCTION("""COMPUTED_VALUE"""),"NÃO")</f>
        <v>NÃO</v>
      </c>
      <c r="X497" s="5" t="str">
        <f>IFERROR(__xludf.DUMMYFUNCTION("""COMPUTED_VALUE"""),"NÃO SE APLICA")</f>
        <v>NÃO SE APLICA</v>
      </c>
    </row>
    <row r="498" hidden="1">
      <c r="A498" s="5">
        <f>IFERROR(__xludf.DUMMYFUNCTION("""COMPUTED_VALUE"""),7.0)</f>
        <v>7</v>
      </c>
      <c r="B498" s="5" t="str">
        <f>IFERROR(__xludf.DUMMYFUNCTION("""COMPUTED_VALUE"""),"TM024")</f>
        <v>TM024</v>
      </c>
      <c r="C498" s="5" t="str">
        <f>IFERROR(__xludf.DUMMYFUNCTION("""COMPUTED_VALUE"""),"NÃO POSSUI")</f>
        <v>NÃO POSSUI</v>
      </c>
      <c r="D498" s="5" t="str">
        <f>IFERROR(__xludf.DUMMYFUNCTION("""COMPUTED_VALUE"""),"SEM PLACA")</f>
        <v>SEM PLACA</v>
      </c>
      <c r="E498" s="5" t="str">
        <f>IFERROR(__xludf.DUMMYFUNCTION("""COMPUTED_VALUE"""),"SEM BAIA")</f>
        <v>SEM BAIA</v>
      </c>
      <c r="F498" s="5" t="str">
        <f>IFERROR(__xludf.DUMMYFUNCTION("""COMPUTED_VALUE"""),"NÃO")</f>
        <v>NÃO</v>
      </c>
      <c r="G498" s="5" t="str">
        <f>IFERROR(__xludf.DUMMYFUNCTION("""COMPUTED_VALUE"""),"NÃO")</f>
        <v>NÃO</v>
      </c>
      <c r="H498" s="5" t="str">
        <f>IFERROR(__xludf.DUMMYFUNCTION("""COMPUTED_VALUE"""),"PAVIMENTADA")</f>
        <v>PAVIMENTADA</v>
      </c>
      <c r="I498" s="6" t="str">
        <f>IFERROR(__xludf.DUMMYFUNCTION("""COMPUTED_VALUE"""),"-9.5613246")</f>
        <v>-9.5613246</v>
      </c>
      <c r="J498" s="6" t="str">
        <f>IFERROR(__xludf.DUMMYFUNCTION("""COMPUTED_VALUE"""),"-35.7590565 ")</f>
        <v>-35.7590565 </v>
      </c>
      <c r="K498" s="5" t="str">
        <f>IFERROR(__xludf.DUMMYFUNCTION("""COMPUTED_VALUE""")," AV. GOV. LUÍS CAVALCANTE")</f>
        <v> AV. GOV. LUÍS CAVALCANTE</v>
      </c>
      <c r="L498" s="5" t="str">
        <f>IFERROR(__xludf.DUMMYFUNCTION("""COMPUTED_VALUE"""),"COLETORA")</f>
        <v>COLETORA</v>
      </c>
      <c r="M498" s="5" t="str">
        <f>IFERROR(__xludf.DUMMYFUNCTION("""COMPUTED_VALUE"""),"TABULEIRO DOS MARTINS")</f>
        <v>TABULEIRO DOS MARTINS</v>
      </c>
      <c r="N498" s="5" t="str">
        <f>IFERROR(__xludf.DUMMYFUNCTION("""COMPUTED_VALUE"""),"BAIRRO - CENTRO")</f>
        <v>BAIRRO - CENTRO</v>
      </c>
      <c r="O498" s="5" t="str">
        <f>IFERROR(__xludf.DUMMYFUNCTION("""COMPUTED_VALUE"""),"EM FRENTE AO DO FERRO VELHO DO BONITÃO")</f>
        <v>EM FRENTE AO DO FERRO VELHO DO BONITÃO</v>
      </c>
      <c r="P498" s="5" t="str">
        <f>IFERROR(__xludf.DUMMYFUNCTION("""COMPUTED_VALUE"""),"PRIORIDADE BAIXA")</f>
        <v>PRIORIDADE BAIXA</v>
      </c>
      <c r="Q498" s="5" t="str">
        <f>IFERROR(__xludf.DUMMYFUNCTION("""COMPUTED_VALUE"""),"READEQUAÇÃO DA CALÇADA COM ACESSIBILIDADE E BAIA.")</f>
        <v>READEQUAÇÃO DA CALÇADA COM ACESSIBILIDADE E BAIA.</v>
      </c>
      <c r="R498" s="5" t="str">
        <f>IFERROR(__xludf.DUMMYFUNCTION("""COMPUTED_VALUE"""),"NENHUMA DAS OPÇÕES")</f>
        <v>NENHUMA DAS OPÇÕES</v>
      </c>
      <c r="S498" s="5"/>
      <c r="T498" s="5"/>
      <c r="U498" s="5"/>
      <c r="V498" s="9" t="str">
        <f>IFERROR(__xludf.DUMMYFUNCTION("""COMPUTED_VALUE"""),"https://drive.google.com/uc?id=1AznAuKzQDICtwR6JlkykUEnt6HeVJhfb")</f>
        <v>https://drive.google.com/uc?id=1AznAuKzQDICtwR6JlkykUEnt6HeVJhfb</v>
      </c>
      <c r="W498" s="5" t="str">
        <f>IFERROR(__xludf.DUMMYFUNCTION("""COMPUTED_VALUE"""),"NÃO")</f>
        <v>NÃO</v>
      </c>
      <c r="X498" s="5" t="str">
        <f>IFERROR(__xludf.DUMMYFUNCTION("""COMPUTED_VALUE"""),"NÃO SE APLICA")</f>
        <v>NÃO SE APLICA</v>
      </c>
    </row>
    <row r="499">
      <c r="A499" s="5">
        <f>IFERROR(__xludf.DUMMYFUNCTION("""COMPUTED_VALUE"""),7.0)</f>
        <v>7</v>
      </c>
      <c r="B499" s="5" t="str">
        <f>IFERROR(__xludf.DUMMYFUNCTION("""COMPUTED_VALUE"""),"TM025")</f>
        <v>TM025</v>
      </c>
      <c r="C499" s="5" t="str">
        <f>IFERROR(__xludf.DUMMYFUNCTION("""COMPUTED_VALUE"""),"ABRIGO CONCRETO")</f>
        <v>ABRIGO CONCRETO</v>
      </c>
      <c r="D499" s="5" t="str">
        <f>IFERROR(__xludf.DUMMYFUNCTION("""COMPUTED_VALUE"""),"SEM PLACA")</f>
        <v>SEM PLACA</v>
      </c>
      <c r="E499" s="5" t="str">
        <f>IFERROR(__xludf.DUMMYFUNCTION("""COMPUTED_VALUE"""),"SEM BAIA")</f>
        <v>SEM BAIA</v>
      </c>
      <c r="F499" s="5" t="str">
        <f>IFERROR(__xludf.DUMMYFUNCTION("""COMPUTED_VALUE"""),"NÃO")</f>
        <v>NÃO</v>
      </c>
      <c r="G499" s="5" t="str">
        <f>IFERROR(__xludf.DUMMYFUNCTION("""COMPUTED_VALUE"""),"NÃO")</f>
        <v>NÃO</v>
      </c>
      <c r="H499" s="5" t="str">
        <f>IFERROR(__xludf.DUMMYFUNCTION("""COMPUTED_VALUE"""),"PAVIMENTADA")</f>
        <v>PAVIMENTADA</v>
      </c>
      <c r="I499" s="6" t="str">
        <f>IFERROR(__xludf.DUMMYFUNCTION("""COMPUTED_VALUE"""),"-9.5628738")</f>
        <v>-9.5628738</v>
      </c>
      <c r="J499" s="6" t="str">
        <f>IFERROR(__xludf.DUMMYFUNCTION("""COMPUTED_VALUE"""),"-35.7611665  ")</f>
        <v>-35.7611665  </v>
      </c>
      <c r="K499" s="5" t="str">
        <f>IFERROR(__xludf.DUMMYFUNCTION("""COMPUTED_VALUE""")," AV. GOV. LUÍS CAVALCANTE")</f>
        <v> AV. GOV. LUÍS CAVALCANTE</v>
      </c>
      <c r="L499" s="5" t="str">
        <f>IFERROR(__xludf.DUMMYFUNCTION("""COMPUTED_VALUE"""),"COLETORA")</f>
        <v>COLETORA</v>
      </c>
      <c r="M499" s="5" t="str">
        <f>IFERROR(__xludf.DUMMYFUNCTION("""COMPUTED_VALUE"""),"TABULEIRO DOS MARTINS")</f>
        <v>TABULEIRO DOS MARTINS</v>
      </c>
      <c r="N499" s="5" t="str">
        <f>IFERROR(__xludf.DUMMYFUNCTION("""COMPUTED_VALUE"""),"BAIRRO - CENTRO / CENTRO - BAIRRO")</f>
        <v>BAIRRO - CENTRO / CENTRO - BAIRRO</v>
      </c>
      <c r="O499" s="5" t="str">
        <f>IFERROR(__xludf.DUMMYFUNCTION("""COMPUTED_VALUE"""),"EM FRENTE AO CENTRO DE LOGÍSTICA DOS CORREIOS")</f>
        <v>EM FRENTE AO CENTRO DE LOGÍSTICA DOS CORREIOS</v>
      </c>
      <c r="P499" s="5" t="str">
        <f>IFERROR(__xludf.DUMMYFUNCTION("""COMPUTED_VALUE"""),"PRIORIDADE BAIXA")</f>
        <v>PRIORIDADE BAIXA</v>
      </c>
      <c r="Q499" s="5" t="str">
        <f>IFERROR(__xludf.DUMMYFUNCTION("""COMPUTED_VALUE"""),"READEQUAÇÃO DA CALÇADA COM ACESSIBILIDADE E BAIA.")</f>
        <v>READEQUAÇÃO DA CALÇADA COM ACESSIBILIDADE E BAIA.</v>
      </c>
      <c r="R499" s="5" t="str">
        <f>IFERROR(__xludf.DUMMYFUNCTION("""COMPUTED_VALUE"""),"SUBSTITUIR ABRIGO")</f>
        <v>SUBSTITUIR ABRIGO</v>
      </c>
      <c r="S499" s="5"/>
      <c r="T499" s="5"/>
      <c r="U499" s="5"/>
      <c r="V499" s="9" t="str">
        <f>IFERROR(__xludf.DUMMYFUNCTION("""COMPUTED_VALUE"""),"https://drive.google.com/uc?id=15da5DN0iGK9hUg1yAqbRZ4lbVjX6esiJ")</f>
        <v>https://drive.google.com/uc?id=15da5DN0iGK9hUg1yAqbRZ4lbVjX6esiJ</v>
      </c>
      <c r="W499" s="5" t="str">
        <f>IFERROR(__xludf.DUMMYFUNCTION("""COMPUTED_VALUE"""),"NÃO")</f>
        <v>NÃO</v>
      </c>
      <c r="X499" s="5" t="str">
        <f>IFERROR(__xludf.DUMMYFUNCTION("""COMPUTED_VALUE"""),"NÃO SE APLICA")</f>
        <v>NÃO SE APLICA</v>
      </c>
    </row>
    <row r="500">
      <c r="A500" s="5">
        <f>IFERROR(__xludf.DUMMYFUNCTION("""COMPUTED_VALUE"""),7.0)</f>
        <v>7</v>
      </c>
      <c r="B500" s="5" t="str">
        <f>IFERROR(__xludf.DUMMYFUNCTION("""COMPUTED_VALUE"""),"TM026")</f>
        <v>TM026</v>
      </c>
      <c r="C500" s="5" t="str">
        <f>IFERROR(__xludf.DUMMYFUNCTION("""COMPUTED_VALUE"""),"ABRIGO CONCRETO")</f>
        <v>ABRIGO CONCRETO</v>
      </c>
      <c r="D500" s="5" t="str">
        <f>IFERROR(__xludf.DUMMYFUNCTION("""COMPUTED_VALUE"""),"SEM PLACA")</f>
        <v>SEM PLACA</v>
      </c>
      <c r="E500" s="5" t="str">
        <f>IFERROR(__xludf.DUMMYFUNCTION("""COMPUTED_VALUE"""),"SEM BAIA")</f>
        <v>SEM BAIA</v>
      </c>
      <c r="F500" s="5" t="str">
        <f>IFERROR(__xludf.DUMMYFUNCTION("""COMPUTED_VALUE"""),"NÃO")</f>
        <v>NÃO</v>
      </c>
      <c r="G500" s="5" t="str">
        <f>IFERROR(__xludf.DUMMYFUNCTION("""COMPUTED_VALUE"""),"NÃO")</f>
        <v>NÃO</v>
      </c>
      <c r="H500" s="5" t="str">
        <f>IFERROR(__xludf.DUMMYFUNCTION("""COMPUTED_VALUE"""),"PAVIMENTADA")</f>
        <v>PAVIMENTADA</v>
      </c>
      <c r="I500" s="6" t="str">
        <f>IFERROR(__xludf.DUMMYFUNCTION("""COMPUTED_VALUE"""),"-9.56504")</f>
        <v>-9.56504</v>
      </c>
      <c r="J500" s="6" t="str">
        <f>IFERROR(__xludf.DUMMYFUNCTION("""COMPUTED_VALUE"""),"-35.7642211 ")</f>
        <v>-35.7642211 </v>
      </c>
      <c r="K500" s="5" t="str">
        <f>IFERROR(__xludf.DUMMYFUNCTION("""COMPUTED_VALUE""")," AV. GOV. LUÍS CAVALCANTE")</f>
        <v> AV. GOV. LUÍS CAVALCANTE</v>
      </c>
      <c r="L500" s="5" t="str">
        <f>IFERROR(__xludf.DUMMYFUNCTION("""COMPUTED_VALUE"""),"COLETORA")</f>
        <v>COLETORA</v>
      </c>
      <c r="M500" s="5" t="str">
        <f>IFERROR(__xludf.DUMMYFUNCTION("""COMPUTED_VALUE"""),"TABULEIRO DOS MARTINS")</f>
        <v>TABULEIRO DOS MARTINS</v>
      </c>
      <c r="N500" s="5" t="str">
        <f>IFERROR(__xludf.DUMMYFUNCTION("""COMPUTED_VALUE"""),"BAIRRO - CENTRO")</f>
        <v>BAIRRO - CENTRO</v>
      </c>
      <c r="O500" s="5" t="str">
        <f>IFERROR(__xludf.DUMMYFUNCTION("""COMPUTED_VALUE"""),"EM FRENTE A INDÚSTRIA PLÁSTICA CAETÉS")</f>
        <v>EM FRENTE A INDÚSTRIA PLÁSTICA CAETÉS</v>
      </c>
      <c r="P500" s="5" t="str">
        <f>IFERROR(__xludf.DUMMYFUNCTION("""COMPUTED_VALUE"""),"PRIORIDADE BAIXA")</f>
        <v>PRIORIDADE BAIXA</v>
      </c>
      <c r="Q500" s="5" t="str">
        <f>IFERROR(__xludf.DUMMYFUNCTION("""COMPUTED_VALUE"""),"READEQUAÇÃO DA CALÇADA COM ACESSIBILIDADE E BAIA.")</f>
        <v>READEQUAÇÃO DA CALÇADA COM ACESSIBILIDADE E BAIA.</v>
      </c>
      <c r="R500" s="5" t="str">
        <f>IFERROR(__xludf.DUMMYFUNCTION("""COMPUTED_VALUE"""),"SUBSTITUIR ABRIGO")</f>
        <v>SUBSTITUIR ABRIGO</v>
      </c>
      <c r="S500" s="5"/>
      <c r="T500" s="5"/>
      <c r="U500" s="5"/>
      <c r="V500" s="9" t="str">
        <f>IFERROR(__xludf.DUMMYFUNCTION("""COMPUTED_VALUE"""),"https://drive.google.com/uc?id=1rgrvVIrnQA7IWT6n9V5UZtqxiagGSet_")</f>
        <v>https://drive.google.com/uc?id=1rgrvVIrnQA7IWT6n9V5UZtqxiagGSet_</v>
      </c>
      <c r="W500" s="5" t="str">
        <f>IFERROR(__xludf.DUMMYFUNCTION("""COMPUTED_VALUE"""),"NÃO")</f>
        <v>NÃO</v>
      </c>
      <c r="X500" s="5" t="str">
        <f>IFERROR(__xludf.DUMMYFUNCTION("""COMPUTED_VALUE"""),"NÃO SE APLICA")</f>
        <v>NÃO SE APLICA</v>
      </c>
    </row>
    <row r="501" hidden="1">
      <c r="A501" s="5">
        <f>IFERROR(__xludf.DUMMYFUNCTION("""COMPUTED_VALUE"""),7.0)</f>
        <v>7</v>
      </c>
      <c r="B501" s="5" t="str">
        <f>IFERROR(__xludf.DUMMYFUNCTION("""COMPUTED_VALUE"""),"TM027")</f>
        <v>TM027</v>
      </c>
      <c r="C501" s="5" t="str">
        <f>IFERROR(__xludf.DUMMYFUNCTION("""COMPUTED_VALUE"""),"NÃO POSSUI")</f>
        <v>NÃO POSSUI</v>
      </c>
      <c r="D501" s="5" t="str">
        <f>IFERROR(__xludf.DUMMYFUNCTION("""COMPUTED_VALUE"""),"SEM PLACA")</f>
        <v>SEM PLACA</v>
      </c>
      <c r="E501" s="5" t="str">
        <f>IFERROR(__xludf.DUMMYFUNCTION("""COMPUTED_VALUE"""),"SEM BAIA")</f>
        <v>SEM BAIA</v>
      </c>
      <c r="F501" s="5" t="str">
        <f>IFERROR(__xludf.DUMMYFUNCTION("""COMPUTED_VALUE"""),"NÃO")</f>
        <v>NÃO</v>
      </c>
      <c r="G501" s="5" t="str">
        <f>IFERROR(__xludf.DUMMYFUNCTION("""COMPUTED_VALUE"""),"NÃO")</f>
        <v>NÃO</v>
      </c>
      <c r="H501" s="5" t="str">
        <f>IFERROR(__xludf.DUMMYFUNCTION("""COMPUTED_VALUE"""),"PAVIMENTADA")</f>
        <v>PAVIMENTADA</v>
      </c>
      <c r="I501" s="6" t="str">
        <f>IFERROR(__xludf.DUMMYFUNCTION("""COMPUTED_VALUE"""),"-9.5664151")</f>
        <v>-9.5664151</v>
      </c>
      <c r="J501" s="6" t="str">
        <f>IFERROR(__xludf.DUMMYFUNCTION("""COMPUTED_VALUE"""),"-35.7660185   ")</f>
        <v>-35.7660185   </v>
      </c>
      <c r="K501" s="5" t="str">
        <f>IFERROR(__xludf.DUMMYFUNCTION("""COMPUTED_VALUE""")," AV. GOV. LUÍS CAVALCANTE")</f>
        <v> AV. GOV. LUÍS CAVALCANTE</v>
      </c>
      <c r="L501" s="5" t="str">
        <f>IFERROR(__xludf.DUMMYFUNCTION("""COMPUTED_VALUE"""),"COLETORA")</f>
        <v>COLETORA</v>
      </c>
      <c r="M501" s="5" t="str">
        <f>IFERROR(__xludf.DUMMYFUNCTION("""COMPUTED_VALUE"""),"TABULEIRO DOS MARTINS")</f>
        <v>TABULEIRO DOS MARTINS</v>
      </c>
      <c r="N501" s="5" t="str">
        <f>IFERROR(__xludf.DUMMYFUNCTION("""COMPUTED_VALUE"""),"BAIRRO - CENTRO")</f>
        <v>BAIRRO - CENTRO</v>
      </c>
      <c r="O501" s="5" t="str">
        <f>IFERROR(__xludf.DUMMYFUNCTION("""COMPUTED_VALUE"""),"EM FRENTE A CLINICA SESI TABULEIRO")</f>
        <v>EM FRENTE A CLINICA SESI TABULEIRO</v>
      </c>
      <c r="P501" s="5" t="str">
        <f>IFERROR(__xludf.DUMMYFUNCTION("""COMPUTED_VALUE"""),"PRIORIDADE BAIXA")</f>
        <v>PRIORIDADE BAIXA</v>
      </c>
      <c r="Q501" s="5" t="str">
        <f>IFERROR(__xludf.DUMMYFUNCTION("""COMPUTED_VALUE"""),"READEQUAÇÃO DA CALÇADA COM ACESSIBILIDADE E BAIA.")</f>
        <v>READEQUAÇÃO DA CALÇADA COM ACESSIBILIDADE E BAIA.</v>
      </c>
      <c r="R501" s="5" t="str">
        <f>IFERROR(__xludf.DUMMYFUNCTION("""COMPUTED_VALUE"""),"NENHUMA DAS OPÇÕES")</f>
        <v>NENHUMA DAS OPÇÕES</v>
      </c>
      <c r="S501" s="5"/>
      <c r="T501" s="5"/>
      <c r="U501" s="5"/>
      <c r="V501" s="9" t="str">
        <f>IFERROR(__xludf.DUMMYFUNCTION("""COMPUTED_VALUE"""),"https://drive.google.com/uc?id=1GbSk7OGTplQAFU2X-1C_JAsRQbC1i5C6")</f>
        <v>https://drive.google.com/uc?id=1GbSk7OGTplQAFU2X-1C_JAsRQbC1i5C6</v>
      </c>
      <c r="W501" s="5" t="str">
        <f>IFERROR(__xludf.DUMMYFUNCTION("""COMPUTED_VALUE"""),"NÃO")</f>
        <v>NÃO</v>
      </c>
      <c r="X501" s="5" t="str">
        <f>IFERROR(__xludf.DUMMYFUNCTION("""COMPUTED_VALUE"""),"NÃO SE APLICA")</f>
        <v>NÃO SE APLICA</v>
      </c>
    </row>
    <row r="502" hidden="1">
      <c r="A502" s="5">
        <f>IFERROR(__xludf.DUMMYFUNCTION("""COMPUTED_VALUE"""),7.0)</f>
        <v>7</v>
      </c>
      <c r="B502" s="5" t="str">
        <f>IFERROR(__xludf.DUMMYFUNCTION("""COMPUTED_VALUE"""),"TM028")</f>
        <v>TM028</v>
      </c>
      <c r="C502" s="5" t="str">
        <f>IFERROR(__xludf.DUMMYFUNCTION("""COMPUTED_VALUE"""),"NÃO POSSUI")</f>
        <v>NÃO POSSUI</v>
      </c>
      <c r="D502" s="5" t="str">
        <f>IFERROR(__xludf.DUMMYFUNCTION("""COMPUTED_VALUE"""),"COM SUPORTE")</f>
        <v>COM SUPORTE</v>
      </c>
      <c r="E502" s="5" t="str">
        <f>IFERROR(__xludf.DUMMYFUNCTION("""COMPUTED_VALUE"""),"SEM BAIA")</f>
        <v>SEM BAIA</v>
      </c>
      <c r="F502" s="5" t="str">
        <f>IFERROR(__xludf.DUMMYFUNCTION("""COMPUTED_VALUE"""),"NÃO")</f>
        <v>NÃO</v>
      </c>
      <c r="G502" s="5" t="str">
        <f>IFERROR(__xludf.DUMMYFUNCTION("""COMPUTED_VALUE"""),"NÃO")</f>
        <v>NÃO</v>
      </c>
      <c r="H502" s="5" t="str">
        <f>IFERROR(__xludf.DUMMYFUNCTION("""COMPUTED_VALUE"""),"PAVIMENTADA")</f>
        <v>PAVIMENTADA</v>
      </c>
      <c r="I502" s="6" t="str">
        <f>IFERROR(__xludf.DUMMYFUNCTION("""COMPUTED_VALUE"""),"-9.5677383")</f>
        <v>-9.5677383</v>
      </c>
      <c r="J502" s="6" t="str">
        <f>IFERROR(__xludf.DUMMYFUNCTION("""COMPUTED_VALUE"""),"-35.7678531   ")</f>
        <v>-35.7678531   </v>
      </c>
      <c r="K502" s="5" t="str">
        <f>IFERROR(__xludf.DUMMYFUNCTION("""COMPUTED_VALUE""")," AV. GOV. LUÍS CAVALCANTE")</f>
        <v> AV. GOV. LUÍS CAVALCANTE</v>
      </c>
      <c r="L502" s="5" t="str">
        <f>IFERROR(__xludf.DUMMYFUNCTION("""COMPUTED_VALUE"""),"COLETORA")</f>
        <v>COLETORA</v>
      </c>
      <c r="M502" s="5" t="str">
        <f>IFERROR(__xludf.DUMMYFUNCTION("""COMPUTED_VALUE"""),"TABULEIRO DOS MARTINS")</f>
        <v>TABULEIRO DOS MARTINS</v>
      </c>
      <c r="N502" s="5" t="str">
        <f>IFERROR(__xludf.DUMMYFUNCTION("""COMPUTED_VALUE"""),"BAIRRO - CENTRO")</f>
        <v>BAIRRO - CENTRO</v>
      </c>
      <c r="O502" s="5" t="str">
        <f>IFERROR(__xludf.DUMMYFUNCTION("""COMPUTED_VALUE"""),"AO LADO DA J R SAPATARIA")</f>
        <v>AO LADO DA J R SAPATARIA</v>
      </c>
      <c r="P502" s="5" t="str">
        <f>IFERROR(__xludf.DUMMYFUNCTION("""COMPUTED_VALUE"""),"PRIORIDADE BAIXA")</f>
        <v>PRIORIDADE BAIXA</v>
      </c>
      <c r="Q502" s="5" t="str">
        <f>IFERROR(__xludf.DUMMYFUNCTION("""COMPUTED_VALUE"""),"READEQUAÇÃO DA CALÇADA COM ACESSIBILIDADE E BAIA.")</f>
        <v>READEQUAÇÃO DA CALÇADA COM ACESSIBILIDADE E BAIA.</v>
      </c>
      <c r="R502" s="5" t="str">
        <f>IFERROR(__xludf.DUMMYFUNCTION("""COMPUTED_VALUE"""),"NENHUMA DAS OPÇÕES")</f>
        <v>NENHUMA DAS OPÇÕES</v>
      </c>
      <c r="S502" s="5"/>
      <c r="T502" s="5"/>
      <c r="U502" s="5"/>
      <c r="V502" s="9" t="str">
        <f>IFERROR(__xludf.DUMMYFUNCTION("""COMPUTED_VALUE"""),"https://drive.google.com/uc?id=1gr8hhQtXXAi2u10djKhwAnS-btjaEFG_")</f>
        <v>https://drive.google.com/uc?id=1gr8hhQtXXAi2u10djKhwAnS-btjaEFG_</v>
      </c>
      <c r="W502" s="5" t="str">
        <f>IFERROR(__xludf.DUMMYFUNCTION("""COMPUTED_VALUE"""),"NÃO")</f>
        <v>NÃO</v>
      </c>
      <c r="X502" s="5" t="str">
        <f>IFERROR(__xludf.DUMMYFUNCTION("""COMPUTED_VALUE"""),"NÃO SE APLICA")</f>
        <v>NÃO SE APLICA</v>
      </c>
    </row>
    <row r="503" hidden="1">
      <c r="A503" s="5">
        <f>IFERROR(__xludf.DUMMYFUNCTION("""COMPUTED_VALUE"""),7.0)</f>
        <v>7</v>
      </c>
      <c r="B503" s="5" t="str">
        <f>IFERROR(__xludf.DUMMYFUNCTION("""COMPUTED_VALUE"""),"TM029")</f>
        <v>TM029</v>
      </c>
      <c r="C503" s="5" t="str">
        <f>IFERROR(__xludf.DUMMYFUNCTION("""COMPUTED_VALUE"""),"NÃO POSSUI")</f>
        <v>NÃO POSSUI</v>
      </c>
      <c r="D503" s="5" t="str">
        <f>IFERROR(__xludf.DUMMYFUNCTION("""COMPUTED_VALUE"""),"COM SUPORTE")</f>
        <v>COM SUPORTE</v>
      </c>
      <c r="E503" s="5" t="str">
        <f>IFERROR(__xludf.DUMMYFUNCTION("""COMPUTED_VALUE"""),"SEM BAIA")</f>
        <v>SEM BAIA</v>
      </c>
      <c r="F503" s="5" t="str">
        <f>IFERROR(__xludf.DUMMYFUNCTION("""COMPUTED_VALUE"""),"NÃO")</f>
        <v>NÃO</v>
      </c>
      <c r="G503" s="5" t="str">
        <f>IFERROR(__xludf.DUMMYFUNCTION("""COMPUTED_VALUE"""),"NÃO")</f>
        <v>NÃO</v>
      </c>
      <c r="H503" s="5" t="str">
        <f>IFERROR(__xludf.DUMMYFUNCTION("""COMPUTED_VALUE"""),"PAVIMENTADA")</f>
        <v>PAVIMENTADA</v>
      </c>
      <c r="I503" s="6" t="str">
        <f>IFERROR(__xludf.DUMMYFUNCTION("""COMPUTED_VALUE"""),"-9.569772")</f>
        <v>-9.569772</v>
      </c>
      <c r="J503" s="6" t="str">
        <f>IFERROR(__xludf.DUMMYFUNCTION("""COMPUTED_VALUE"""),"-35.7706492 ")</f>
        <v>-35.7706492 </v>
      </c>
      <c r="K503" s="5" t="str">
        <f>IFERROR(__xludf.DUMMYFUNCTION("""COMPUTED_VALUE""")," AV. GOV. LUÍS CAVALCANTE")</f>
        <v> AV. GOV. LUÍS CAVALCANTE</v>
      </c>
      <c r="L503" s="5" t="str">
        <f>IFERROR(__xludf.DUMMYFUNCTION("""COMPUTED_VALUE"""),"COLETORA")</f>
        <v>COLETORA</v>
      </c>
      <c r="M503" s="5" t="str">
        <f>IFERROR(__xludf.DUMMYFUNCTION("""COMPUTED_VALUE"""),"TABULEIRO DOS MARTINS")</f>
        <v>TABULEIRO DOS MARTINS</v>
      </c>
      <c r="N503" s="5" t="str">
        <f>IFERROR(__xludf.DUMMYFUNCTION("""COMPUTED_VALUE"""),"BAIRRO - CENTRO")</f>
        <v>BAIRRO - CENTRO</v>
      </c>
      <c r="O503" s="5" t="str">
        <f>IFERROR(__xludf.DUMMYFUNCTION("""COMPUTED_VALUE"""),"EM FRENTE A JN TRANSPORTES")</f>
        <v>EM FRENTE A JN TRANSPORTES</v>
      </c>
      <c r="P503" s="5" t="str">
        <f>IFERROR(__xludf.DUMMYFUNCTION("""COMPUTED_VALUE"""),"PRIORIDADE BAIXA")</f>
        <v>PRIORIDADE BAIXA</v>
      </c>
      <c r="Q503" s="5" t="str">
        <f>IFERROR(__xludf.DUMMYFUNCTION("""COMPUTED_VALUE"""),"READEQUAÇÃO DA CALÇADA COM ACESSIBILIDADE E BAIA.")</f>
        <v>READEQUAÇÃO DA CALÇADA COM ACESSIBILIDADE E BAIA.</v>
      </c>
      <c r="R503" s="5" t="str">
        <f>IFERROR(__xludf.DUMMYFUNCTION("""COMPUTED_VALUE"""),"NENHUMA DAS OPÇÕES")</f>
        <v>NENHUMA DAS OPÇÕES</v>
      </c>
      <c r="S503" s="5"/>
      <c r="T503" s="5"/>
      <c r="U503" s="5"/>
      <c r="V503" s="9" t="str">
        <f>IFERROR(__xludf.DUMMYFUNCTION("""COMPUTED_VALUE"""),"https://drive.google.com/uc?id=1xQJDbq97sgPrX9WAaI7nt7CuplCO5Jd0")</f>
        <v>https://drive.google.com/uc?id=1xQJDbq97sgPrX9WAaI7nt7CuplCO5Jd0</v>
      </c>
      <c r="W503" s="5" t="str">
        <f>IFERROR(__xludf.DUMMYFUNCTION("""COMPUTED_VALUE"""),"NÃO")</f>
        <v>NÃO</v>
      </c>
      <c r="X503" s="5" t="str">
        <f>IFERROR(__xludf.DUMMYFUNCTION("""COMPUTED_VALUE"""),"NÃO SE APLICA")</f>
        <v>NÃO SE APLICA</v>
      </c>
    </row>
    <row r="504" hidden="1">
      <c r="A504" s="5">
        <f>IFERROR(__xludf.DUMMYFUNCTION("""COMPUTED_VALUE"""),7.0)</f>
        <v>7</v>
      </c>
      <c r="B504" s="5" t="str">
        <f>IFERROR(__xludf.DUMMYFUNCTION("""COMPUTED_VALUE"""),"TM030")</f>
        <v>TM030</v>
      </c>
      <c r="C504" s="5" t="str">
        <f>IFERROR(__xludf.DUMMYFUNCTION("""COMPUTED_VALUE"""),"NÃO POSSUI")</f>
        <v>NÃO POSSUI</v>
      </c>
      <c r="D504" s="5" t="str">
        <f>IFERROR(__xludf.DUMMYFUNCTION("""COMPUTED_VALUE"""),"SEM PLACA")</f>
        <v>SEM PLACA</v>
      </c>
      <c r="E504" s="5" t="str">
        <f>IFERROR(__xludf.DUMMYFUNCTION("""COMPUTED_VALUE"""),"SEM BAIA")</f>
        <v>SEM BAIA</v>
      </c>
      <c r="F504" s="5" t="str">
        <f>IFERROR(__xludf.DUMMYFUNCTION("""COMPUTED_VALUE"""),"NÃO")</f>
        <v>NÃO</v>
      </c>
      <c r="G504" s="5" t="str">
        <f>IFERROR(__xludf.DUMMYFUNCTION("""COMPUTED_VALUE"""),"NÃO")</f>
        <v>NÃO</v>
      </c>
      <c r="H504" s="5" t="str">
        <f>IFERROR(__xludf.DUMMYFUNCTION("""COMPUTED_VALUE"""),"PAVIMENTADA")</f>
        <v>PAVIMENTADA</v>
      </c>
      <c r="I504" s="6" t="str">
        <f>IFERROR(__xludf.DUMMYFUNCTION("""COMPUTED_VALUE"""),"-9.57110")</f>
        <v>-9.57110</v>
      </c>
      <c r="J504" s="6" t="str">
        <f>IFERROR(__xludf.DUMMYFUNCTION("""COMPUTED_VALUE"""),"-35.77262 ")</f>
        <v>-35.77262 </v>
      </c>
      <c r="K504" s="5" t="str">
        <f>IFERROR(__xludf.DUMMYFUNCTION("""COMPUTED_VALUE""")," AV. GOV. LUÍS CAVALCANTE")</f>
        <v> AV. GOV. LUÍS CAVALCANTE</v>
      </c>
      <c r="L504" s="5" t="str">
        <f>IFERROR(__xludf.DUMMYFUNCTION("""COMPUTED_VALUE"""),"COLETORA")</f>
        <v>COLETORA</v>
      </c>
      <c r="M504" s="5" t="str">
        <f>IFERROR(__xludf.DUMMYFUNCTION("""COMPUTED_VALUE"""),"TABULEIRO DOS MARTINS")</f>
        <v>TABULEIRO DOS MARTINS</v>
      </c>
      <c r="N504" s="5" t="str">
        <f>IFERROR(__xludf.DUMMYFUNCTION("""COMPUTED_VALUE"""),"BAIRRO - CENTRO")</f>
        <v>BAIRRO - CENTRO</v>
      </c>
      <c r="O504" s="5" t="str">
        <f>IFERROR(__xludf.DUMMYFUNCTION("""COMPUTED_VALUE"""),"EM FRENTE A REBOMIX")</f>
        <v>EM FRENTE A REBOMIX</v>
      </c>
      <c r="P504" s="5" t="str">
        <f>IFERROR(__xludf.DUMMYFUNCTION("""COMPUTED_VALUE"""),"PRIORIDADE BAIXA")</f>
        <v>PRIORIDADE BAIXA</v>
      </c>
      <c r="Q504" s="5" t="str">
        <f>IFERROR(__xludf.DUMMYFUNCTION("""COMPUTED_VALUE"""),"READEQUAÇÃO DA CALÇADA COM ACESSIBILIDADE E BAIA.")</f>
        <v>READEQUAÇÃO DA CALÇADA COM ACESSIBILIDADE E BAIA.</v>
      </c>
      <c r="R504" s="5" t="str">
        <f>IFERROR(__xludf.DUMMYFUNCTION("""COMPUTED_VALUE"""),"NENHUMA DAS OPÇÕES")</f>
        <v>NENHUMA DAS OPÇÕES</v>
      </c>
      <c r="S504" s="5"/>
      <c r="T504" s="5"/>
      <c r="U504" s="5"/>
      <c r="V504" s="9" t="str">
        <f>IFERROR(__xludf.DUMMYFUNCTION("""COMPUTED_VALUE"""),"https://drive.google.com/uc?id=1I60rBCKyqKX3tkT9YQBIny-nwHsjq3Ne")</f>
        <v>https://drive.google.com/uc?id=1I60rBCKyqKX3tkT9YQBIny-nwHsjq3Ne</v>
      </c>
      <c r="W504" s="5" t="str">
        <f>IFERROR(__xludf.DUMMYFUNCTION("""COMPUTED_VALUE"""),"NÃO")</f>
        <v>NÃO</v>
      </c>
      <c r="X504" s="5" t="str">
        <f>IFERROR(__xludf.DUMMYFUNCTION("""COMPUTED_VALUE"""),"NÃO SE APLICA")</f>
        <v>NÃO SE APLICA</v>
      </c>
    </row>
    <row r="505" ht="18.75" customHeight="1">
      <c r="A505" s="5">
        <f>IFERROR(__xludf.DUMMYFUNCTION("""COMPUTED_VALUE"""),7.0)</f>
        <v>7</v>
      </c>
      <c r="B505" s="5" t="str">
        <f>IFERROR(__xludf.DUMMYFUNCTION("""COMPUTED_VALUE"""),"TM031")</f>
        <v>TM031</v>
      </c>
      <c r="C505" s="5" t="str">
        <f>IFERROR(__xludf.DUMMYFUNCTION("""COMPUTED_VALUE"""),"ABRIGO CONCRETO")</f>
        <v>ABRIGO CONCRETO</v>
      </c>
      <c r="D505" s="5" t="str">
        <f>IFERROR(__xludf.DUMMYFUNCTION("""COMPUTED_VALUE"""),"SEM PLACA")</f>
        <v>SEM PLACA</v>
      </c>
      <c r="E505" s="5" t="str">
        <f>IFERROR(__xludf.DUMMYFUNCTION("""COMPUTED_VALUE"""),"SEM BAIA")</f>
        <v>SEM BAIA</v>
      </c>
      <c r="F505" s="5" t="str">
        <f>IFERROR(__xludf.DUMMYFUNCTION("""COMPUTED_VALUE"""),"NÃO")</f>
        <v>NÃO</v>
      </c>
      <c r="G505" s="5" t="str">
        <f>IFERROR(__xludf.DUMMYFUNCTION("""COMPUTED_VALUE"""),"NÃO")</f>
        <v>NÃO</v>
      </c>
      <c r="H505" s="5" t="str">
        <f>IFERROR(__xludf.DUMMYFUNCTION("""COMPUTED_VALUE"""),"PAVIMENTADA")</f>
        <v>PAVIMENTADA</v>
      </c>
      <c r="I505" s="6" t="str">
        <f>IFERROR(__xludf.DUMMYFUNCTION("""COMPUTED_VALUE"""),"-9.5598038")</f>
        <v>-9.5598038</v>
      </c>
      <c r="J505" s="6" t="str">
        <f>IFERROR(__xludf.DUMMYFUNCTION("""COMPUTED_VALUE"""),"-35.7640285 ")</f>
        <v>-35.7640285 </v>
      </c>
      <c r="K505" s="5" t="str">
        <f>IFERROR(__xludf.DUMMYFUNCTION("""COMPUTED_VALUE"""),"R.I S/N")</f>
        <v>R.I S/N</v>
      </c>
      <c r="L505" s="5" t="str">
        <f>IFERROR(__xludf.DUMMYFUNCTION("""COMPUTED_VALUE"""),"COLETORA")</f>
        <v>COLETORA</v>
      </c>
      <c r="M505" s="5" t="str">
        <f>IFERROR(__xludf.DUMMYFUNCTION("""COMPUTED_VALUE"""),"TABULEIRO DOS MARTINS")</f>
        <v>TABULEIRO DOS MARTINS</v>
      </c>
      <c r="N505" s="5" t="str">
        <f>IFERROR(__xludf.DUMMYFUNCTION("""COMPUTED_VALUE"""),"BAIRRO - CENTRO")</f>
        <v>BAIRRO - CENTRO</v>
      </c>
      <c r="O505" s="5" t="str">
        <f>IFERROR(__xludf.DUMMYFUNCTION("""COMPUTED_VALUE"""),"EM FRENTE A JBR PNEUS")</f>
        <v>EM FRENTE A JBR PNEUS</v>
      </c>
      <c r="P505" s="5" t="str">
        <f>IFERROR(__xludf.DUMMYFUNCTION("""COMPUTED_VALUE"""),"PRIORIDADE BAIXA")</f>
        <v>PRIORIDADE BAIXA</v>
      </c>
      <c r="Q505" s="5" t="str">
        <f>IFERROR(__xludf.DUMMYFUNCTION("""COMPUTED_VALUE"""),"READEQUAÇÃO DA CALÇADA COM ACESSIBILIDADE E BAIA.")</f>
        <v>READEQUAÇÃO DA CALÇADA COM ACESSIBILIDADE E BAIA.</v>
      </c>
      <c r="R505" s="5" t="str">
        <f>IFERROR(__xludf.DUMMYFUNCTION("""COMPUTED_VALUE"""),"SUBSTITUIR ABRIGO")</f>
        <v>SUBSTITUIR ABRIGO</v>
      </c>
      <c r="S505" s="5"/>
      <c r="T505" s="5"/>
      <c r="U505" s="5"/>
      <c r="V505" s="9" t="str">
        <f>IFERROR(__xludf.DUMMYFUNCTION("""COMPUTED_VALUE"""),"https://drive.google.com/uc?id=1g4CFmbhZG65o-llk8818c5G9a3kgknQc")</f>
        <v>https://drive.google.com/uc?id=1g4CFmbhZG65o-llk8818c5G9a3kgknQc</v>
      </c>
      <c r="W505" s="5" t="str">
        <f>IFERROR(__xludf.DUMMYFUNCTION("""COMPUTED_VALUE"""),"NÃO")</f>
        <v>NÃO</v>
      </c>
      <c r="X505" s="5" t="str">
        <f>IFERROR(__xludf.DUMMYFUNCTION("""COMPUTED_VALUE"""),"NÃO SE APLICA")</f>
        <v>NÃO SE APLICA</v>
      </c>
    </row>
    <row r="506" ht="18.0" customHeight="1">
      <c r="A506" s="5">
        <f>IFERROR(__xludf.DUMMYFUNCTION("""COMPUTED_VALUE"""),7.0)</f>
        <v>7</v>
      </c>
      <c r="B506" s="5" t="str">
        <f>IFERROR(__xludf.DUMMYFUNCTION("""COMPUTED_VALUE"""),"TM032")</f>
        <v>TM032</v>
      </c>
      <c r="C506" s="5" t="str">
        <f>IFERROR(__xludf.DUMMYFUNCTION("""COMPUTED_VALUE"""),"ABRIGO CONCRETO")</f>
        <v>ABRIGO CONCRETO</v>
      </c>
      <c r="D506" s="5" t="str">
        <f>IFERROR(__xludf.DUMMYFUNCTION("""COMPUTED_VALUE"""),"SEM PLACA")</f>
        <v>SEM PLACA</v>
      </c>
      <c r="E506" s="5" t="str">
        <f>IFERROR(__xludf.DUMMYFUNCTION("""COMPUTED_VALUE"""),"SEM BAIA")</f>
        <v>SEM BAIA</v>
      </c>
      <c r="F506" s="5" t="str">
        <f>IFERROR(__xludf.DUMMYFUNCTION("""COMPUTED_VALUE"""),"NÃO")</f>
        <v>NÃO</v>
      </c>
      <c r="G506" s="5" t="str">
        <f>IFERROR(__xludf.DUMMYFUNCTION("""COMPUTED_VALUE"""),"NÃO")</f>
        <v>NÃO</v>
      </c>
      <c r="H506" s="5" t="str">
        <f>IFERROR(__xludf.DUMMYFUNCTION("""COMPUTED_VALUE"""),"PAVIMENTADA")</f>
        <v>PAVIMENTADA</v>
      </c>
      <c r="I506" s="6" t="str">
        <f>IFERROR(__xludf.DUMMYFUNCTION("""COMPUTED_VALUE"""),"-9.5620796")</f>
        <v>-9.5620796</v>
      </c>
      <c r="J506" s="6" t="str">
        <f>IFERROR(__xludf.DUMMYFUNCTION("""COMPUTED_VALUE"""),"-35.7575507  ")</f>
        <v>-35.7575507  </v>
      </c>
      <c r="K506" s="5" t="str">
        <f>IFERROR(__xludf.DUMMYFUNCTION("""COMPUTED_VALUE"""),"RUA DA CODEAL")</f>
        <v>RUA DA CODEAL</v>
      </c>
      <c r="L506" s="5" t="str">
        <f>IFERROR(__xludf.DUMMYFUNCTION("""COMPUTED_VALUE"""),"COLETORA")</f>
        <v>COLETORA</v>
      </c>
      <c r="M506" s="5" t="str">
        <f>IFERROR(__xludf.DUMMYFUNCTION("""COMPUTED_VALUE"""),"TABULEIRO DOS MARTINS")</f>
        <v>TABULEIRO DOS MARTINS</v>
      </c>
      <c r="N506" s="5" t="str">
        <f>IFERROR(__xludf.DUMMYFUNCTION("""COMPUTED_VALUE"""),"BAIRRO - CENTRO / CENTRO - BAIRRO")</f>
        <v>BAIRRO - CENTRO / CENTRO - BAIRRO</v>
      </c>
      <c r="O506" s="5" t="str">
        <f>IFERROR(__xludf.DUMMYFUNCTION("""COMPUTED_VALUE"""),"EM FRENTE A UMA PRACINHA")</f>
        <v>EM FRENTE A UMA PRACINHA</v>
      </c>
      <c r="P506" s="5" t="str">
        <f>IFERROR(__xludf.DUMMYFUNCTION("""COMPUTED_VALUE"""),"PRIORIDADE BAIXA")</f>
        <v>PRIORIDADE BAIXA</v>
      </c>
      <c r="Q506" s="5" t="str">
        <f>IFERROR(__xludf.DUMMYFUNCTION("""COMPUTED_VALUE"""),"READEQUAÇÃO DA CALÇADA COM ACESSIBILIDADE E BAIA.")</f>
        <v>READEQUAÇÃO DA CALÇADA COM ACESSIBILIDADE E BAIA.</v>
      </c>
      <c r="R506" s="5" t="str">
        <f>IFERROR(__xludf.DUMMYFUNCTION("""COMPUTED_VALUE"""),"SUBSTITUIR ABRIGO")</f>
        <v>SUBSTITUIR ABRIGO</v>
      </c>
      <c r="S506" s="5"/>
      <c r="T506" s="5"/>
      <c r="U506" s="5"/>
      <c r="V506" s="9" t="str">
        <f>IFERROR(__xludf.DUMMYFUNCTION("""COMPUTED_VALUE"""),"https://drive.google.com/uc?id=1KWMrG3yVxxIDrKtvIeQ6yvzGMEfEeItb")</f>
        <v>https://drive.google.com/uc?id=1KWMrG3yVxxIDrKtvIeQ6yvzGMEfEeItb</v>
      </c>
      <c r="W506" s="5" t="str">
        <f>IFERROR(__xludf.DUMMYFUNCTION("""COMPUTED_VALUE"""),"NÃO")</f>
        <v>NÃO</v>
      </c>
      <c r="X506" s="5" t="str">
        <f>IFERROR(__xludf.DUMMYFUNCTION("""COMPUTED_VALUE"""),"NÃO SE APLICA")</f>
        <v>NÃO SE APLICA</v>
      </c>
    </row>
    <row r="507">
      <c r="A507" s="5">
        <f>IFERROR(__xludf.DUMMYFUNCTION("""COMPUTED_VALUE"""),7.0)</f>
        <v>7</v>
      </c>
      <c r="B507" s="5" t="str">
        <f>IFERROR(__xludf.DUMMYFUNCTION("""COMPUTED_VALUE"""),"TM033")</f>
        <v>TM033</v>
      </c>
      <c r="C507" s="5" t="str">
        <f>IFERROR(__xludf.DUMMYFUNCTION("""COMPUTED_VALUE"""),"ABRIGO METÁLICO PEQUENO PORTE")</f>
        <v>ABRIGO METÁLICO PEQUENO PORTE</v>
      </c>
      <c r="D507" s="5" t="str">
        <f>IFERROR(__xludf.DUMMYFUNCTION("""COMPUTED_VALUE"""),"SEM PLACA")</f>
        <v>SEM PLACA</v>
      </c>
      <c r="E507" s="5" t="str">
        <f>IFERROR(__xludf.DUMMYFUNCTION("""COMPUTED_VALUE"""),"SEM BAIA")</f>
        <v>SEM BAIA</v>
      </c>
      <c r="F507" s="5" t="str">
        <f>IFERROR(__xludf.DUMMYFUNCTION("""COMPUTED_VALUE"""),"NÃO")</f>
        <v>NÃO</v>
      </c>
      <c r="G507" s="5" t="str">
        <f>IFERROR(__xludf.DUMMYFUNCTION("""COMPUTED_VALUE"""),"NÃO")</f>
        <v>NÃO</v>
      </c>
      <c r="H507" s="5" t="str">
        <f>IFERROR(__xludf.DUMMYFUNCTION("""COMPUTED_VALUE"""),"PAVIMENTADA")</f>
        <v>PAVIMENTADA</v>
      </c>
      <c r="I507" s="6" t="str">
        <f>IFERROR(__xludf.DUMMYFUNCTION("""COMPUTED_VALUE"""),"-9.5642327")</f>
        <v>-9.5642327</v>
      </c>
      <c r="J507" s="6" t="str">
        <f>IFERROR(__xludf.DUMMYFUNCTION("""COMPUTED_VALUE"""),"-35.7560815 ")</f>
        <v>-35.7560815 </v>
      </c>
      <c r="K507" s="5" t="str">
        <f>IFERROR(__xludf.DUMMYFUNCTION("""COMPUTED_VALUE"""),"RUA DA CODEAL")</f>
        <v>RUA DA CODEAL</v>
      </c>
      <c r="L507" s="5" t="str">
        <f>IFERROR(__xludf.DUMMYFUNCTION("""COMPUTED_VALUE"""),"COLETORA")</f>
        <v>COLETORA</v>
      </c>
      <c r="M507" s="5" t="str">
        <f>IFERROR(__xludf.DUMMYFUNCTION("""COMPUTED_VALUE"""),"TABULEIRO DOS MARTINS")</f>
        <v>TABULEIRO DOS MARTINS</v>
      </c>
      <c r="N507" s="5" t="str">
        <f>IFERROR(__xludf.DUMMYFUNCTION("""COMPUTED_VALUE"""),"BAIRRO - CENTRO / CENTRO - BAIRRO")</f>
        <v>BAIRRO - CENTRO / CENTRO - BAIRRO</v>
      </c>
      <c r="O507" s="5" t="str">
        <f>IFERROR(__xludf.DUMMYFUNCTION("""COMPUTED_VALUE"""),"EM FRENTE AO CAMPINHO DE FUTEBOL")</f>
        <v>EM FRENTE AO CAMPINHO DE FUTEBOL</v>
      </c>
      <c r="P507" s="5" t="str">
        <f>IFERROR(__xludf.DUMMYFUNCTION("""COMPUTED_VALUE"""),"PRIORIDADE BAIXA")</f>
        <v>PRIORIDADE BAIXA</v>
      </c>
      <c r="Q507" s="5" t="str">
        <f>IFERROR(__xludf.DUMMYFUNCTION("""COMPUTED_VALUE"""),"READEQUAÇÃO DA CALÇADA COM ACESSIBILIDADE E BAIA.")</f>
        <v>READEQUAÇÃO DA CALÇADA COM ACESSIBILIDADE E BAIA.</v>
      </c>
      <c r="R507" s="5" t="str">
        <f>IFERROR(__xludf.DUMMYFUNCTION("""COMPUTED_VALUE"""),"NENHUMA DAS OPÇÕES")</f>
        <v>NENHUMA DAS OPÇÕES</v>
      </c>
      <c r="S507" s="5"/>
      <c r="T507" s="5"/>
      <c r="U507" s="5"/>
      <c r="V507" s="9" t="str">
        <f>IFERROR(__xludf.DUMMYFUNCTION("""COMPUTED_VALUE"""),"https://drive.google.com/uc?id=19BBawq-8ppac4Dw9Lqo_5kIAB2v_0I6O")</f>
        <v>https://drive.google.com/uc?id=19BBawq-8ppac4Dw9Lqo_5kIAB2v_0I6O</v>
      </c>
      <c r="W507" s="5" t="str">
        <f>IFERROR(__xludf.DUMMYFUNCTION("""COMPUTED_VALUE"""),"NÃO")</f>
        <v>NÃO</v>
      </c>
      <c r="X507" s="5" t="str">
        <f>IFERROR(__xludf.DUMMYFUNCTION("""COMPUTED_VALUE"""),"NÃO")</f>
        <v>NÃO</v>
      </c>
    </row>
    <row r="508" hidden="1">
      <c r="A508" s="5">
        <f>IFERROR(__xludf.DUMMYFUNCTION("""COMPUTED_VALUE"""),7.0)</f>
        <v>7</v>
      </c>
      <c r="B508" s="5" t="str">
        <f>IFERROR(__xludf.DUMMYFUNCTION("""COMPUTED_VALUE"""),"TM034")</f>
        <v>TM034</v>
      </c>
      <c r="C508" s="5" t="str">
        <f>IFERROR(__xludf.DUMMYFUNCTION("""COMPUTED_VALUE"""),"NÃO POSSUI")</f>
        <v>NÃO POSSUI</v>
      </c>
      <c r="D508" s="5" t="str">
        <f>IFERROR(__xludf.DUMMYFUNCTION("""COMPUTED_VALUE"""),"SEM PLACA")</f>
        <v>SEM PLACA</v>
      </c>
      <c r="E508" s="5" t="str">
        <f>IFERROR(__xludf.DUMMYFUNCTION("""COMPUTED_VALUE"""),"SEM BAIA")</f>
        <v>SEM BAIA</v>
      </c>
      <c r="F508" s="5" t="str">
        <f>IFERROR(__xludf.DUMMYFUNCTION("""COMPUTED_VALUE"""),"NÃO")</f>
        <v>NÃO</v>
      </c>
      <c r="G508" s="5" t="str">
        <f>IFERROR(__xludf.DUMMYFUNCTION("""COMPUTED_VALUE"""),"NÃO")</f>
        <v>NÃO</v>
      </c>
      <c r="H508" s="5" t="str">
        <f>IFERROR(__xludf.DUMMYFUNCTION("""COMPUTED_VALUE"""),"PAVIMENTADA")</f>
        <v>PAVIMENTADA</v>
      </c>
      <c r="I508" s="6" t="str">
        <f>IFERROR(__xludf.DUMMYFUNCTION("""COMPUTED_VALUE"""),"-9.5646077")</f>
        <v>-9.5646077</v>
      </c>
      <c r="J508" s="6" t="str">
        <f>IFERROR(__xludf.DUMMYFUNCTION("""COMPUTED_VALUE"""),"-35.7546361  ")</f>
        <v>-35.7546361  </v>
      </c>
      <c r="K508" s="5" t="str">
        <f>IFERROR(__xludf.DUMMYFUNCTION("""COMPUTED_VALUE"""),"RUA DA CODEAL")</f>
        <v>RUA DA CODEAL</v>
      </c>
      <c r="L508" s="5" t="str">
        <f>IFERROR(__xludf.DUMMYFUNCTION("""COMPUTED_VALUE"""),"COLETORA")</f>
        <v>COLETORA</v>
      </c>
      <c r="M508" s="5" t="str">
        <f>IFERROR(__xludf.DUMMYFUNCTION("""COMPUTED_VALUE"""),"TABULEIRO DOS MARTINS")</f>
        <v>TABULEIRO DOS MARTINS</v>
      </c>
      <c r="N508" s="5" t="str">
        <f>IFERROR(__xludf.DUMMYFUNCTION("""COMPUTED_VALUE"""),"BAIRRO - CENTRO / CENTRO - BAIRRO")</f>
        <v>BAIRRO - CENTRO / CENTRO - BAIRRO</v>
      </c>
      <c r="O508" s="5" t="str">
        <f>IFERROR(__xludf.DUMMYFUNCTION("""COMPUTED_VALUE"""),"EM FRENTE A UMA PRACINHA")</f>
        <v>EM FRENTE A UMA PRACINHA</v>
      </c>
      <c r="P508" s="5" t="str">
        <f>IFERROR(__xludf.DUMMYFUNCTION("""COMPUTED_VALUE"""),"PRIORIDADE BAIXA")</f>
        <v>PRIORIDADE BAIXA</v>
      </c>
      <c r="Q508" s="5" t="str">
        <f>IFERROR(__xludf.DUMMYFUNCTION("""COMPUTED_VALUE"""),"READEQUAÇÃO DA CALÇADA COM ACESSIBILIDADE E BAIA.")</f>
        <v>READEQUAÇÃO DA CALÇADA COM ACESSIBILIDADE E BAIA.</v>
      </c>
      <c r="R508" s="5" t="str">
        <f>IFERROR(__xludf.DUMMYFUNCTION("""COMPUTED_VALUE"""),"NENHUMA DAS OPÇÕES")</f>
        <v>NENHUMA DAS OPÇÕES</v>
      </c>
      <c r="S508" s="5"/>
      <c r="T508" s="5"/>
      <c r="U508" s="5"/>
      <c r="V508" s="9" t="str">
        <f>IFERROR(__xludf.DUMMYFUNCTION("""COMPUTED_VALUE"""),"https://drive.google.com/uc?id=1bVfZL1CKShJJxUUcDYJrwjpMwTDhQM9W")</f>
        <v>https://drive.google.com/uc?id=1bVfZL1CKShJJxUUcDYJrwjpMwTDhQM9W</v>
      </c>
      <c r="W508" s="5" t="str">
        <f>IFERROR(__xludf.DUMMYFUNCTION("""COMPUTED_VALUE"""),"NÃO")</f>
        <v>NÃO</v>
      </c>
      <c r="X508" s="5" t="str">
        <f>IFERROR(__xludf.DUMMYFUNCTION("""COMPUTED_VALUE"""),"NÃO SE APLICA")</f>
        <v>NÃO SE APLICA</v>
      </c>
    </row>
    <row r="509">
      <c r="A509" s="5">
        <f>IFERROR(__xludf.DUMMYFUNCTION("""COMPUTED_VALUE"""),7.0)</f>
        <v>7</v>
      </c>
      <c r="B509" s="5" t="str">
        <f>IFERROR(__xludf.DUMMYFUNCTION("""COMPUTED_VALUE"""),"TM035")</f>
        <v>TM035</v>
      </c>
      <c r="C509" s="5" t="str">
        <f>IFERROR(__xludf.DUMMYFUNCTION("""COMPUTED_VALUE"""),"ABRIGO CONCRETO")</f>
        <v>ABRIGO CONCRETO</v>
      </c>
      <c r="D509" s="5" t="str">
        <f>IFERROR(__xludf.DUMMYFUNCTION("""COMPUTED_VALUE"""),"SEM PLACA")</f>
        <v>SEM PLACA</v>
      </c>
      <c r="E509" s="5" t="str">
        <f>IFERROR(__xludf.DUMMYFUNCTION("""COMPUTED_VALUE"""),"SEM BAIA")</f>
        <v>SEM BAIA</v>
      </c>
      <c r="F509" s="5" t="str">
        <f>IFERROR(__xludf.DUMMYFUNCTION("""COMPUTED_VALUE"""),"NÃO")</f>
        <v>NÃO</v>
      </c>
      <c r="G509" s="5" t="str">
        <f>IFERROR(__xludf.DUMMYFUNCTION("""COMPUTED_VALUE"""),"NÃO")</f>
        <v>NÃO</v>
      </c>
      <c r="H509" s="5" t="str">
        <f>IFERROR(__xludf.DUMMYFUNCTION("""COMPUTED_VALUE"""),"PAVIMENTADA")</f>
        <v>PAVIMENTADA</v>
      </c>
      <c r="I509" s="6" t="str">
        <f>IFERROR(__xludf.DUMMYFUNCTION("""COMPUTED_VALUE"""),"-9.5650136")</f>
        <v>-9.5650136</v>
      </c>
      <c r="J509" s="6" t="str">
        <f>IFERROR(__xludf.DUMMYFUNCTION("""COMPUTED_VALUE"""),"-35.7522994 ")</f>
        <v>-35.7522994 </v>
      </c>
      <c r="K509" s="5" t="str">
        <f>IFERROR(__xludf.DUMMYFUNCTION("""COMPUTED_VALUE"""),"RUA DA CODEAL")</f>
        <v>RUA DA CODEAL</v>
      </c>
      <c r="L509" s="5" t="str">
        <f>IFERROR(__xludf.DUMMYFUNCTION("""COMPUTED_VALUE"""),"COLETORA")</f>
        <v>COLETORA</v>
      </c>
      <c r="M509" s="5" t="str">
        <f>IFERROR(__xludf.DUMMYFUNCTION("""COMPUTED_VALUE"""),"TABULEIRO DOS MARTINS")</f>
        <v>TABULEIRO DOS MARTINS</v>
      </c>
      <c r="N509" s="5" t="str">
        <f>IFERROR(__xludf.DUMMYFUNCTION("""COMPUTED_VALUE"""),"BAIRRO - CENTRO / CENTRO - BAIRRO")</f>
        <v>BAIRRO - CENTRO / CENTRO - BAIRRO</v>
      </c>
      <c r="O509" s="5" t="str">
        <f>IFERROR(__xludf.DUMMYFUNCTION("""COMPUTED_VALUE"""),"AO LADO DA CLARA MODAS")</f>
        <v>AO LADO DA CLARA MODAS</v>
      </c>
      <c r="P509" s="5" t="str">
        <f>IFERROR(__xludf.DUMMYFUNCTION("""COMPUTED_VALUE"""),"PRIORIDADE BAIXA")</f>
        <v>PRIORIDADE BAIXA</v>
      </c>
      <c r="Q509" s="5" t="str">
        <f>IFERROR(__xludf.DUMMYFUNCTION("""COMPUTED_VALUE"""),"READEQUAÇÃO DA CALÇADA COM ACESSIBILIDADE E BAIA.")</f>
        <v>READEQUAÇÃO DA CALÇADA COM ACESSIBILIDADE E BAIA.</v>
      </c>
      <c r="R509" s="5" t="str">
        <f>IFERROR(__xludf.DUMMYFUNCTION("""COMPUTED_VALUE"""),"SUBSTITUIR ABRIGO")</f>
        <v>SUBSTITUIR ABRIGO</v>
      </c>
      <c r="S509" s="5"/>
      <c r="T509" s="5"/>
      <c r="U509" s="5"/>
      <c r="V509" s="9" t="str">
        <f>IFERROR(__xludf.DUMMYFUNCTION("""COMPUTED_VALUE"""),"https://drive.google.com/uc?id=1sgYjFq1WJBiQ2qJjVm_GiMXPk7svENKO")</f>
        <v>https://drive.google.com/uc?id=1sgYjFq1WJBiQ2qJjVm_GiMXPk7svENKO</v>
      </c>
      <c r="W509" s="5" t="str">
        <f>IFERROR(__xludf.DUMMYFUNCTION("""COMPUTED_VALUE"""),"NÃO")</f>
        <v>NÃO</v>
      </c>
      <c r="X509" s="5" t="str">
        <f>IFERROR(__xludf.DUMMYFUNCTION("""COMPUTED_VALUE"""),"NÃO SE APLICA")</f>
        <v>NÃO SE APLICA</v>
      </c>
    </row>
    <row r="510">
      <c r="A510" s="5">
        <f>IFERROR(__xludf.DUMMYFUNCTION("""COMPUTED_VALUE"""),7.0)</f>
        <v>7</v>
      </c>
      <c r="B510" s="5" t="str">
        <f>IFERROR(__xludf.DUMMYFUNCTION("""COMPUTED_VALUE"""),"TM036")</f>
        <v>TM036</v>
      </c>
      <c r="C510" s="5" t="str">
        <f>IFERROR(__xludf.DUMMYFUNCTION("""COMPUTED_VALUE"""),"ABRIGO CONCRETO")</f>
        <v>ABRIGO CONCRETO</v>
      </c>
      <c r="D510" s="5" t="str">
        <f>IFERROR(__xludf.DUMMYFUNCTION("""COMPUTED_VALUE"""),"SEM PLACA")</f>
        <v>SEM PLACA</v>
      </c>
      <c r="E510" s="5" t="str">
        <f>IFERROR(__xludf.DUMMYFUNCTION("""COMPUTED_VALUE"""),"SEM BAIA")</f>
        <v>SEM BAIA</v>
      </c>
      <c r="F510" s="5" t="str">
        <f>IFERROR(__xludf.DUMMYFUNCTION("""COMPUTED_VALUE"""),"NÃO")</f>
        <v>NÃO</v>
      </c>
      <c r="G510" s="5" t="str">
        <f>IFERROR(__xludf.DUMMYFUNCTION("""COMPUTED_VALUE"""),"NÃO")</f>
        <v>NÃO</v>
      </c>
      <c r="H510" s="5" t="str">
        <f>IFERROR(__xludf.DUMMYFUNCTION("""COMPUTED_VALUE"""),"PAVIMENTADA")</f>
        <v>PAVIMENTADA</v>
      </c>
      <c r="I510" s="6" t="str">
        <f>IFERROR(__xludf.DUMMYFUNCTION("""COMPUTED_VALUE"""),"-9.5653569")</f>
        <v>-9.5653569</v>
      </c>
      <c r="J510" s="6" t="str">
        <f>IFERROR(__xludf.DUMMYFUNCTION("""COMPUTED_VALUE"""),"-35.7499013   ")</f>
        <v>-35.7499013   </v>
      </c>
      <c r="K510" s="5" t="str">
        <f>IFERROR(__xludf.DUMMYFUNCTION("""COMPUTED_VALUE"""),"RUA DA CODEAL")</f>
        <v>RUA DA CODEAL</v>
      </c>
      <c r="L510" s="5" t="str">
        <f>IFERROR(__xludf.DUMMYFUNCTION("""COMPUTED_VALUE"""),"COLETORA")</f>
        <v>COLETORA</v>
      </c>
      <c r="M510" s="5" t="str">
        <f>IFERROR(__xludf.DUMMYFUNCTION("""COMPUTED_VALUE"""),"TABULEIRO DOS MARTINS")</f>
        <v>TABULEIRO DOS MARTINS</v>
      </c>
      <c r="N510" s="5" t="str">
        <f>IFERROR(__xludf.DUMMYFUNCTION("""COMPUTED_VALUE"""),"BAIRRO - CENTRO / CENTRO - BAIRRO")</f>
        <v>BAIRRO - CENTRO / CENTRO - BAIRRO</v>
      </c>
      <c r="O510" s="5" t="str">
        <f>IFERROR(__xludf.DUMMYFUNCTION("""COMPUTED_VALUE"""),"EM FRENTE AO MERCADO BOM DIA")</f>
        <v>EM FRENTE AO MERCADO BOM DIA</v>
      </c>
      <c r="P510" s="5" t="str">
        <f>IFERROR(__xludf.DUMMYFUNCTION("""COMPUTED_VALUE"""),"PRIORIDADE BAIXA")</f>
        <v>PRIORIDADE BAIXA</v>
      </c>
      <c r="Q510" s="5" t="str">
        <f>IFERROR(__xludf.DUMMYFUNCTION("""COMPUTED_VALUE"""),"READEQUAÇÃO DA CALÇADA COM ACESSIBILIDADE E BAIA.")</f>
        <v>READEQUAÇÃO DA CALÇADA COM ACESSIBILIDADE E BAIA.</v>
      </c>
      <c r="R510" s="5" t="str">
        <f>IFERROR(__xludf.DUMMYFUNCTION("""COMPUTED_VALUE"""),"SUBSTITUIR ABRIGO")</f>
        <v>SUBSTITUIR ABRIGO</v>
      </c>
      <c r="S510" s="5"/>
      <c r="T510" s="5"/>
      <c r="U510" s="5"/>
      <c r="V510" s="9" t="str">
        <f>IFERROR(__xludf.DUMMYFUNCTION("""COMPUTED_VALUE"""),"https://drive.google.com/uc?id=1n7MGmDBXkbVz0I0PjbIhsZbVaXrxVVZe")</f>
        <v>https://drive.google.com/uc?id=1n7MGmDBXkbVz0I0PjbIhsZbVaXrxVVZe</v>
      </c>
      <c r="W510" s="5" t="str">
        <f>IFERROR(__xludf.DUMMYFUNCTION("""COMPUTED_VALUE"""),"NÃO")</f>
        <v>NÃO</v>
      </c>
      <c r="X510" s="5" t="str">
        <f>IFERROR(__xludf.DUMMYFUNCTION("""COMPUTED_VALUE"""),"NÃO SE APLICA")</f>
        <v>NÃO SE APLICA</v>
      </c>
    </row>
    <row r="511" hidden="1">
      <c r="A511" s="5">
        <f>IFERROR(__xludf.DUMMYFUNCTION("""COMPUTED_VALUE"""),7.0)</f>
        <v>7</v>
      </c>
      <c r="B511" s="5" t="str">
        <f>IFERROR(__xludf.DUMMYFUNCTION("""COMPUTED_VALUE"""),"TM037")</f>
        <v>TM037</v>
      </c>
      <c r="C511" s="5" t="str">
        <f>IFERROR(__xludf.DUMMYFUNCTION("""COMPUTED_VALUE"""),"NÃO POSSUI")</f>
        <v>NÃO POSSUI</v>
      </c>
      <c r="D511" s="5" t="str">
        <f>IFERROR(__xludf.DUMMYFUNCTION("""COMPUTED_VALUE"""),"COM SUPORTE")</f>
        <v>COM SUPORTE</v>
      </c>
      <c r="E511" s="5" t="str">
        <f>IFERROR(__xludf.DUMMYFUNCTION("""COMPUTED_VALUE"""),"SEM BAIA")</f>
        <v>SEM BAIA</v>
      </c>
      <c r="F511" s="5" t="str">
        <f>IFERROR(__xludf.DUMMYFUNCTION("""COMPUTED_VALUE"""),"NÃO")</f>
        <v>NÃO</v>
      </c>
      <c r="G511" s="5" t="str">
        <f>IFERROR(__xludf.DUMMYFUNCTION("""COMPUTED_VALUE"""),"NÃO")</f>
        <v>NÃO</v>
      </c>
      <c r="H511" s="5" t="str">
        <f>IFERROR(__xludf.DUMMYFUNCTION("""COMPUTED_VALUE"""),"PAVIMENTADA COM AVARIAS")</f>
        <v>PAVIMENTADA COM AVARIAS</v>
      </c>
      <c r="I511" s="6" t="str">
        <f>IFERROR(__xludf.DUMMYFUNCTION("""COMPUTED_VALUE"""),"-9.5656271")</f>
        <v>-9.5656271</v>
      </c>
      <c r="J511" s="6" t="str">
        <f>IFERROR(__xludf.DUMMYFUNCTION("""COMPUTED_VALUE"""),"-35.7484379 ")</f>
        <v>-35.7484379 </v>
      </c>
      <c r="K511" s="5" t="str">
        <f>IFERROR(__xludf.DUMMYFUNCTION("""COMPUTED_VALUE"""),"RUA DA CODEAL")</f>
        <v>RUA DA CODEAL</v>
      </c>
      <c r="L511" s="5" t="str">
        <f>IFERROR(__xludf.DUMMYFUNCTION("""COMPUTED_VALUE"""),"COLETORA")</f>
        <v>COLETORA</v>
      </c>
      <c r="M511" s="5" t="str">
        <f>IFERROR(__xludf.DUMMYFUNCTION("""COMPUTED_VALUE"""),"TABULEIRO DOS MARTINS")</f>
        <v>TABULEIRO DOS MARTINS</v>
      </c>
      <c r="N511" s="5" t="str">
        <f>IFERROR(__xludf.DUMMYFUNCTION("""COMPUTED_VALUE"""),"BAIRRO - CENTRO / CENTRO - BAIRRO")</f>
        <v>BAIRRO - CENTRO / CENTRO - BAIRRO</v>
      </c>
      <c r="O511" s="5" t="str">
        <f>IFERROR(__xludf.DUMMYFUNCTION("""COMPUTED_VALUE"""),"EM FRENTE AO INSTITUTO NOSSA SENHORA DE FATIMA")</f>
        <v>EM FRENTE AO INSTITUTO NOSSA SENHORA DE FATIMA</v>
      </c>
      <c r="P511" s="5" t="str">
        <f>IFERROR(__xludf.DUMMYFUNCTION("""COMPUTED_VALUE"""),"PRIORIDADE BAIXA")</f>
        <v>PRIORIDADE BAIXA</v>
      </c>
      <c r="Q511" s="5" t="str">
        <f>IFERROR(__xludf.DUMMYFUNCTION("""COMPUTED_VALUE"""),"READEQUAÇÃO DA CALÇADA COM ACESSIBILIDADE E BAIA.")</f>
        <v>READEQUAÇÃO DA CALÇADA COM ACESSIBILIDADE E BAIA.</v>
      </c>
      <c r="R511" s="5" t="str">
        <f>IFERROR(__xludf.DUMMYFUNCTION("""COMPUTED_VALUE"""),"NENHUMA DAS OPÇÕES")</f>
        <v>NENHUMA DAS OPÇÕES</v>
      </c>
      <c r="S511" s="5"/>
      <c r="T511" s="5"/>
      <c r="U511" s="5"/>
      <c r="V511" s="9" t="str">
        <f>IFERROR(__xludf.DUMMYFUNCTION("""COMPUTED_VALUE"""),"https://drive.google.com/uc?id=10FJebl3PM0_99NXbEz6qvvCQWtjo-BjS")</f>
        <v>https://drive.google.com/uc?id=10FJebl3PM0_99NXbEz6qvvCQWtjo-BjS</v>
      </c>
      <c r="W511" s="5" t="str">
        <f>IFERROR(__xludf.DUMMYFUNCTION("""COMPUTED_VALUE"""),"NÃO")</f>
        <v>NÃO</v>
      </c>
      <c r="X511" s="5" t="str">
        <f>IFERROR(__xludf.DUMMYFUNCTION("""COMPUTED_VALUE"""),"NÃO SE APLICA")</f>
        <v>NÃO SE APLICA</v>
      </c>
    </row>
    <row r="512" hidden="1">
      <c r="A512" s="5">
        <f>IFERROR(__xludf.DUMMYFUNCTION("""COMPUTED_VALUE"""),7.0)</f>
        <v>7</v>
      </c>
      <c r="B512" s="5" t="str">
        <f>IFERROR(__xludf.DUMMYFUNCTION("""COMPUTED_VALUE"""),"TM038")</f>
        <v>TM038</v>
      </c>
      <c r="C512" s="5" t="str">
        <f>IFERROR(__xludf.DUMMYFUNCTION("""COMPUTED_VALUE"""),"NÃO POSSUI")</f>
        <v>NÃO POSSUI</v>
      </c>
      <c r="D512" s="5" t="str">
        <f>IFERROR(__xludf.DUMMYFUNCTION("""COMPUTED_VALUE"""),"FIXADA EM POSTE")</f>
        <v>FIXADA EM POSTE</v>
      </c>
      <c r="E512" s="5" t="str">
        <f>IFERROR(__xludf.DUMMYFUNCTION("""COMPUTED_VALUE"""),"SEM BAIA")</f>
        <v>SEM BAIA</v>
      </c>
      <c r="F512" s="5" t="str">
        <f>IFERROR(__xludf.DUMMYFUNCTION("""COMPUTED_VALUE"""),"NÃO")</f>
        <v>NÃO</v>
      </c>
      <c r="G512" s="5" t="str">
        <f>IFERROR(__xludf.DUMMYFUNCTION("""COMPUTED_VALUE"""),"NÃO")</f>
        <v>NÃO</v>
      </c>
      <c r="H512" s="5" t="str">
        <f>IFERROR(__xludf.DUMMYFUNCTION("""COMPUTED_VALUE"""),"PAVIMENTADA")</f>
        <v>PAVIMENTADA</v>
      </c>
      <c r="I512" s="6" t="str">
        <f>IFERROR(__xludf.DUMMYFUNCTION("""COMPUTED_VALUE"""),"-9.56568")</f>
        <v>-9.56568</v>
      </c>
      <c r="J512" s="6" t="str">
        <f>IFERROR(__xludf.DUMMYFUNCTION("""COMPUTED_VALUE"""),"-35.74820")</f>
        <v>-35.74820</v>
      </c>
      <c r="K512" s="5" t="str">
        <f>IFERROR(__xludf.DUMMYFUNCTION("""COMPUTED_VALUE"""),"RUA DA CODEAL")</f>
        <v>RUA DA CODEAL</v>
      </c>
      <c r="L512" s="5" t="str">
        <f>IFERROR(__xludf.DUMMYFUNCTION("""COMPUTED_VALUE"""),"COLETORA")</f>
        <v>COLETORA</v>
      </c>
      <c r="M512" s="5" t="str">
        <f>IFERROR(__xludf.DUMMYFUNCTION("""COMPUTED_VALUE"""),"TABULEIRO DOS MARTINS")</f>
        <v>TABULEIRO DOS MARTINS</v>
      </c>
      <c r="N512" s="5" t="str">
        <f>IFERROR(__xludf.DUMMYFUNCTION("""COMPUTED_VALUE"""),"BAIRRO - CENTRO / CENTRO - BAIRRO")</f>
        <v>BAIRRO - CENTRO / CENTRO - BAIRRO</v>
      </c>
      <c r="O512" s="5" t="str">
        <f>IFERROR(__xludf.DUMMYFUNCTION("""COMPUTED_VALUE"""),"EM FRENTE AO COLÉGIO ATHENEU")</f>
        <v>EM FRENTE AO COLÉGIO ATHENEU</v>
      </c>
      <c r="P512" s="5" t="str">
        <f>IFERROR(__xludf.DUMMYFUNCTION("""COMPUTED_VALUE"""),"PRIORIDADE BAIXA")</f>
        <v>PRIORIDADE BAIXA</v>
      </c>
      <c r="Q512" s="5" t="str">
        <f>IFERROR(__xludf.DUMMYFUNCTION("""COMPUTED_VALUE"""),"READEQUAÇÃO DA CALÇADA COM ACESSIBILIDADE E BAIA.")</f>
        <v>READEQUAÇÃO DA CALÇADA COM ACESSIBILIDADE E BAIA.</v>
      </c>
      <c r="R512" s="5" t="str">
        <f>IFERROR(__xludf.DUMMYFUNCTION("""COMPUTED_VALUE"""),"NENHUMA DAS OPÇÕES")</f>
        <v>NENHUMA DAS OPÇÕES</v>
      </c>
      <c r="S512" s="5"/>
      <c r="T512" s="5"/>
      <c r="U512" s="5"/>
      <c r="V512" s="9" t="str">
        <f>IFERROR(__xludf.DUMMYFUNCTION("""COMPUTED_VALUE"""),"https://drive.google.com/uc?id=1AOScvlwAaOPAQj3zacQLXPvrCd4pZDlP")</f>
        <v>https://drive.google.com/uc?id=1AOScvlwAaOPAQj3zacQLXPvrCd4pZDlP</v>
      </c>
      <c r="W512" s="5" t="str">
        <f>IFERROR(__xludf.DUMMYFUNCTION("""COMPUTED_VALUE"""),"NÃO")</f>
        <v>NÃO</v>
      </c>
      <c r="X512" s="5" t="str">
        <f>IFERROR(__xludf.DUMMYFUNCTION("""COMPUTED_VALUE"""),"NÃO SE APLICA")</f>
        <v>NÃO SE APLICA</v>
      </c>
    </row>
    <row r="513" hidden="1">
      <c r="A513" s="5">
        <f>IFERROR(__xludf.DUMMYFUNCTION("""COMPUTED_VALUE"""),7.0)</f>
        <v>7</v>
      </c>
      <c r="B513" s="5" t="str">
        <f>IFERROR(__xludf.DUMMYFUNCTION("""COMPUTED_VALUE"""),"TM039")</f>
        <v>TM039</v>
      </c>
      <c r="C513" s="5" t="str">
        <f>IFERROR(__xludf.DUMMYFUNCTION("""COMPUTED_VALUE"""),"NÃO POSSUI")</f>
        <v>NÃO POSSUI</v>
      </c>
      <c r="D513" s="5" t="str">
        <f>IFERROR(__xludf.DUMMYFUNCTION("""COMPUTED_VALUE"""),"COM SUPORTE")</f>
        <v>COM SUPORTE</v>
      </c>
      <c r="E513" s="5" t="str">
        <f>IFERROR(__xludf.DUMMYFUNCTION("""COMPUTED_VALUE"""),"SEM BAIA")</f>
        <v>SEM BAIA</v>
      </c>
      <c r="F513" s="5" t="str">
        <f>IFERROR(__xludf.DUMMYFUNCTION("""COMPUTED_VALUE"""),"NÃO")</f>
        <v>NÃO</v>
      </c>
      <c r="G513" s="5" t="str">
        <f>IFERROR(__xludf.DUMMYFUNCTION("""COMPUTED_VALUE"""),"NÃO")</f>
        <v>NÃO</v>
      </c>
      <c r="H513" s="5" t="str">
        <f>IFERROR(__xludf.DUMMYFUNCTION("""COMPUTED_VALUE"""),"NÃO PAVIMENTADA")</f>
        <v>NÃO PAVIMENTADA</v>
      </c>
      <c r="I513" s="6" t="str">
        <f>IFERROR(__xludf.DUMMYFUNCTION("""COMPUTED_VALUE"""),"-9.5651953")</f>
        <v>-9.5651953</v>
      </c>
      <c r="J513" s="6" t="str">
        <f>IFERROR(__xludf.DUMMYFUNCTION("""COMPUTED_VALUE"""),"-35.7502071 ")</f>
        <v>-35.7502071 </v>
      </c>
      <c r="K513" s="5" t="str">
        <f>IFERROR(__xludf.DUMMYFUNCTION("""COMPUTED_VALUE"""),"RUA DA CODEAL")</f>
        <v>RUA DA CODEAL</v>
      </c>
      <c r="L513" s="5" t="str">
        <f>IFERROR(__xludf.DUMMYFUNCTION("""COMPUTED_VALUE"""),"COLETORA")</f>
        <v>COLETORA</v>
      </c>
      <c r="M513" s="5" t="str">
        <f>IFERROR(__xludf.DUMMYFUNCTION("""COMPUTED_VALUE"""),"TABULEIRO DOS MARTINS")</f>
        <v>TABULEIRO DOS MARTINS</v>
      </c>
      <c r="N513" s="5" t="str">
        <f>IFERROR(__xludf.DUMMYFUNCTION("""COMPUTED_VALUE"""),"BAIRRO - CENTRO / CENTRO - BAIRRO")</f>
        <v>BAIRRO - CENTRO / CENTRO - BAIRRO</v>
      </c>
      <c r="O513" s="5" t="str">
        <f>IFERROR(__xludf.DUMMYFUNCTION("""COMPUTED_VALUE"""),"EM FRENTE A LUMINUS MODAS")</f>
        <v>EM FRENTE A LUMINUS MODAS</v>
      </c>
      <c r="P513" s="5" t="str">
        <f>IFERROR(__xludf.DUMMYFUNCTION("""COMPUTED_VALUE"""),"PRIORIDADE BAIXA")</f>
        <v>PRIORIDADE BAIXA</v>
      </c>
      <c r="Q513" s="5" t="str">
        <f>IFERROR(__xludf.DUMMYFUNCTION("""COMPUTED_VALUE"""),"READEQUAÇÃO DA CALÇADA COM ACESSIBILIDADE E BAIA.")</f>
        <v>READEQUAÇÃO DA CALÇADA COM ACESSIBILIDADE E BAIA.</v>
      </c>
      <c r="R513" s="5" t="str">
        <f>IFERROR(__xludf.DUMMYFUNCTION("""COMPUTED_VALUE"""),"NENHUMA DAS OPÇÕES")</f>
        <v>NENHUMA DAS OPÇÕES</v>
      </c>
      <c r="S513" s="5"/>
      <c r="T513" s="5"/>
      <c r="U513" s="5"/>
      <c r="V513" s="9" t="str">
        <f>IFERROR(__xludf.DUMMYFUNCTION("""COMPUTED_VALUE"""),"https://drive.google.com/uc?id=1-ltxnNoM2IKWBrBzsZGig0D2iIAsA3Jx")</f>
        <v>https://drive.google.com/uc?id=1-ltxnNoM2IKWBrBzsZGig0D2iIAsA3Jx</v>
      </c>
      <c r="W513" s="5" t="str">
        <f>IFERROR(__xludf.DUMMYFUNCTION("""COMPUTED_VALUE"""),"NÃO")</f>
        <v>NÃO</v>
      </c>
      <c r="X513" s="5" t="str">
        <f>IFERROR(__xludf.DUMMYFUNCTION("""COMPUTED_VALUE"""),"NÃO SE APLICA")</f>
        <v>NÃO SE APLICA</v>
      </c>
    </row>
    <row r="514" hidden="1">
      <c r="A514" s="5">
        <f>IFERROR(__xludf.DUMMYFUNCTION("""COMPUTED_VALUE"""),7.0)</f>
        <v>7</v>
      </c>
      <c r="B514" s="5" t="str">
        <f>IFERROR(__xludf.DUMMYFUNCTION("""COMPUTED_VALUE"""),"TM040")</f>
        <v>TM040</v>
      </c>
      <c r="C514" s="5" t="str">
        <f>IFERROR(__xludf.DUMMYFUNCTION("""COMPUTED_VALUE"""),"NÃO POSSUI")</f>
        <v>NÃO POSSUI</v>
      </c>
      <c r="D514" s="5" t="str">
        <f>IFERROR(__xludf.DUMMYFUNCTION("""COMPUTED_VALUE"""),"COM SUPORTE")</f>
        <v>COM SUPORTE</v>
      </c>
      <c r="E514" s="5" t="str">
        <f>IFERROR(__xludf.DUMMYFUNCTION("""COMPUTED_VALUE"""),"SEM BAIA")</f>
        <v>SEM BAIA</v>
      </c>
      <c r="F514" s="5" t="str">
        <f>IFERROR(__xludf.DUMMYFUNCTION("""COMPUTED_VALUE"""),"NÃO")</f>
        <v>NÃO</v>
      </c>
      <c r="G514" s="5" t="str">
        <f>IFERROR(__xludf.DUMMYFUNCTION("""COMPUTED_VALUE"""),"NÃO")</f>
        <v>NÃO</v>
      </c>
      <c r="H514" s="5" t="str">
        <f>IFERROR(__xludf.DUMMYFUNCTION("""COMPUTED_VALUE"""),"NÃO PAVIMENTADA")</f>
        <v>NÃO PAVIMENTADA</v>
      </c>
      <c r="I514" s="6" t="str">
        <f>IFERROR(__xludf.DUMMYFUNCTION("""COMPUTED_VALUE"""),"-9.5647544")</f>
        <v>-9.5647544</v>
      </c>
      <c r="J514" s="6" t="str">
        <f>IFERROR(__xludf.DUMMYFUNCTION("""COMPUTED_VALUE"""),"-35.7529863 ")</f>
        <v>-35.7529863 </v>
      </c>
      <c r="K514" s="5" t="str">
        <f>IFERROR(__xludf.DUMMYFUNCTION("""COMPUTED_VALUE"""),"RUA DA CODEAL")</f>
        <v>RUA DA CODEAL</v>
      </c>
      <c r="L514" s="5" t="str">
        <f>IFERROR(__xludf.DUMMYFUNCTION("""COMPUTED_VALUE"""),"COLETORA")</f>
        <v>COLETORA</v>
      </c>
      <c r="M514" s="5" t="str">
        <f>IFERROR(__xludf.DUMMYFUNCTION("""COMPUTED_VALUE"""),"TABULEIRO DOS MARTINS")</f>
        <v>TABULEIRO DOS MARTINS</v>
      </c>
      <c r="N514" s="5" t="str">
        <f>IFERROR(__xludf.DUMMYFUNCTION("""COMPUTED_VALUE"""),"BAIRRO - CENTRO / CENTRO - BAIRRO")</f>
        <v>BAIRRO - CENTRO / CENTRO - BAIRRO</v>
      </c>
      <c r="O514" s="5" t="str">
        <f>IFERROR(__xludf.DUMMYFUNCTION("""COMPUTED_VALUE"""),"EM FRENTE A ASSEMBLEIA DE DEUS")</f>
        <v>EM FRENTE A ASSEMBLEIA DE DEUS</v>
      </c>
      <c r="P514" s="5" t="str">
        <f>IFERROR(__xludf.DUMMYFUNCTION("""COMPUTED_VALUE"""),"PRIORIDADE BAIXA")</f>
        <v>PRIORIDADE BAIXA</v>
      </c>
      <c r="Q514" s="5" t="str">
        <f>IFERROR(__xludf.DUMMYFUNCTION("""COMPUTED_VALUE"""),"READEQUAÇÃO DA CALÇADA COM ACESSIBILIDADE E BAIA.")</f>
        <v>READEQUAÇÃO DA CALÇADA COM ACESSIBILIDADE E BAIA.</v>
      </c>
      <c r="R514" s="5" t="str">
        <f>IFERROR(__xludf.DUMMYFUNCTION("""COMPUTED_VALUE"""),"NENHUMA DAS OPÇÕES")</f>
        <v>NENHUMA DAS OPÇÕES</v>
      </c>
      <c r="S514" s="5"/>
      <c r="T514" s="5"/>
      <c r="U514" s="5"/>
      <c r="V514" s="9" t="str">
        <f>IFERROR(__xludf.DUMMYFUNCTION("""COMPUTED_VALUE"""),"https://drive.google.com/uc?id=1cHrB-Kc50n---AAN5JZC2O22UNfnBpKX")</f>
        <v>https://drive.google.com/uc?id=1cHrB-Kc50n---AAN5JZC2O22UNfnBpKX</v>
      </c>
      <c r="W514" s="5" t="str">
        <f>IFERROR(__xludf.DUMMYFUNCTION("""COMPUTED_VALUE"""),"NÃO")</f>
        <v>NÃO</v>
      </c>
      <c r="X514" s="5" t="str">
        <f>IFERROR(__xludf.DUMMYFUNCTION("""COMPUTED_VALUE"""),"NÃO SE APLICA")</f>
        <v>NÃO SE APLICA</v>
      </c>
    </row>
    <row r="515" hidden="1">
      <c r="A515" s="5">
        <f>IFERROR(__xludf.DUMMYFUNCTION("""COMPUTED_VALUE"""),7.0)</f>
        <v>7</v>
      </c>
      <c r="B515" s="5" t="str">
        <f>IFERROR(__xludf.DUMMYFUNCTION("""COMPUTED_VALUE"""),"TM041")</f>
        <v>TM041</v>
      </c>
      <c r="C515" s="5" t="str">
        <f>IFERROR(__xludf.DUMMYFUNCTION("""COMPUTED_VALUE"""),"NÃO POSSUI")</f>
        <v>NÃO POSSUI</v>
      </c>
      <c r="D515" s="5" t="str">
        <f>IFERROR(__xludf.DUMMYFUNCTION("""COMPUTED_VALUE"""),"SEM PLACA")</f>
        <v>SEM PLACA</v>
      </c>
      <c r="E515" s="5" t="str">
        <f>IFERROR(__xludf.DUMMYFUNCTION("""COMPUTED_VALUE"""),"SEM BAIA")</f>
        <v>SEM BAIA</v>
      </c>
      <c r="F515" s="5" t="str">
        <f>IFERROR(__xludf.DUMMYFUNCTION("""COMPUTED_VALUE"""),"NÃO")</f>
        <v>NÃO</v>
      </c>
      <c r="G515" s="5" t="str">
        <f>IFERROR(__xludf.DUMMYFUNCTION("""COMPUTED_VALUE"""),"NÃO")</f>
        <v>NÃO</v>
      </c>
      <c r="H515" s="5" t="str">
        <f>IFERROR(__xludf.DUMMYFUNCTION("""COMPUTED_VALUE"""),"PAVIMENTADA")</f>
        <v>PAVIMENTADA</v>
      </c>
      <c r="I515" s="6" t="str">
        <f>IFERROR(__xludf.DUMMYFUNCTION("""COMPUTED_VALUE"""),"-9.5644956")</f>
        <v>-9.5644956</v>
      </c>
      <c r="J515" s="6" t="str">
        <f>IFERROR(__xludf.DUMMYFUNCTION("""COMPUTED_VALUE"""),"-35.7549778     ")</f>
        <v>-35.7549778     </v>
      </c>
      <c r="K515" s="5" t="str">
        <f>IFERROR(__xludf.DUMMYFUNCTION("""COMPUTED_VALUE"""),"RUA DA CODEAL")</f>
        <v>RUA DA CODEAL</v>
      </c>
      <c r="L515" s="5" t="str">
        <f>IFERROR(__xludf.DUMMYFUNCTION("""COMPUTED_VALUE"""),"COLETORA")</f>
        <v>COLETORA</v>
      </c>
      <c r="M515" s="5" t="str">
        <f>IFERROR(__xludf.DUMMYFUNCTION("""COMPUTED_VALUE"""),"TABULEIRO DOS MARTINS")</f>
        <v>TABULEIRO DOS MARTINS</v>
      </c>
      <c r="N515" s="5" t="str">
        <f>IFERROR(__xludf.DUMMYFUNCTION("""COMPUTED_VALUE"""),"BAIRRO - CENTRO / CENTRO - BAIRRO")</f>
        <v>BAIRRO - CENTRO / CENTRO - BAIRRO</v>
      </c>
      <c r="O515" s="5" t="str">
        <f>IFERROR(__xludf.DUMMYFUNCTION("""COMPUTED_VALUE"""),"EM FRENTE A BARBEARIA AQUARIUS")</f>
        <v>EM FRENTE A BARBEARIA AQUARIUS</v>
      </c>
      <c r="P515" s="5" t="str">
        <f>IFERROR(__xludf.DUMMYFUNCTION("""COMPUTED_VALUE"""),"PRIORIDADE BAIXA")</f>
        <v>PRIORIDADE BAIXA</v>
      </c>
      <c r="Q515" s="5" t="str">
        <f>IFERROR(__xludf.DUMMYFUNCTION("""COMPUTED_VALUE"""),"READEQUAÇÃO DA CALÇADA COM ACESSIBILIDADE E BAIA.")</f>
        <v>READEQUAÇÃO DA CALÇADA COM ACESSIBILIDADE E BAIA.</v>
      </c>
      <c r="R515" s="5" t="str">
        <f>IFERROR(__xludf.DUMMYFUNCTION("""COMPUTED_VALUE"""),"NENHUMA DAS OPÇÕES")</f>
        <v>NENHUMA DAS OPÇÕES</v>
      </c>
      <c r="S515" s="5"/>
      <c r="T515" s="5"/>
      <c r="U515" s="5"/>
      <c r="V515" s="9" t="str">
        <f>IFERROR(__xludf.DUMMYFUNCTION("""COMPUTED_VALUE"""),"https://drive.google.com/uc?id=1heh8jMo4OW-xv2TnMKpplye7pAfw61fR")</f>
        <v>https://drive.google.com/uc?id=1heh8jMo4OW-xv2TnMKpplye7pAfw61fR</v>
      </c>
      <c r="W515" s="5" t="str">
        <f>IFERROR(__xludf.DUMMYFUNCTION("""COMPUTED_VALUE"""),"NÃO")</f>
        <v>NÃO</v>
      </c>
      <c r="X515" s="5" t="str">
        <f>IFERROR(__xludf.DUMMYFUNCTION("""COMPUTED_VALUE"""),"NÃO SE APLICA")</f>
        <v>NÃO SE APLICA</v>
      </c>
    </row>
    <row r="516">
      <c r="A516" s="5">
        <f>IFERROR(__xludf.DUMMYFUNCTION("""COMPUTED_VALUE"""),7.0)</f>
        <v>7</v>
      </c>
      <c r="B516" s="5" t="str">
        <f>IFERROR(__xludf.DUMMYFUNCTION("""COMPUTED_VALUE"""),"TM042")</f>
        <v>TM042</v>
      </c>
      <c r="C516" s="5" t="str">
        <f>IFERROR(__xludf.DUMMYFUNCTION("""COMPUTED_VALUE"""),"ABRIGO CONCRETO")</f>
        <v>ABRIGO CONCRETO</v>
      </c>
      <c r="D516" s="5" t="str">
        <f>IFERROR(__xludf.DUMMYFUNCTION("""COMPUTED_VALUE"""),"SEM PLACA")</f>
        <v>SEM PLACA</v>
      </c>
      <c r="E516" s="5" t="str">
        <f>IFERROR(__xludf.DUMMYFUNCTION("""COMPUTED_VALUE"""),"SEM BAIA")</f>
        <v>SEM BAIA</v>
      </c>
      <c r="F516" s="5" t="str">
        <f>IFERROR(__xludf.DUMMYFUNCTION("""COMPUTED_VALUE"""),"NÃO")</f>
        <v>NÃO</v>
      </c>
      <c r="G516" s="5" t="str">
        <f>IFERROR(__xludf.DUMMYFUNCTION("""COMPUTED_VALUE"""),"NÃO")</f>
        <v>NÃO</v>
      </c>
      <c r="H516" s="5" t="str">
        <f>IFERROR(__xludf.DUMMYFUNCTION("""COMPUTED_VALUE"""),"NÃO PAVIMENTADA")</f>
        <v>NÃO PAVIMENTADA</v>
      </c>
      <c r="I516" s="6" t="str">
        <f>IFERROR(__xludf.DUMMYFUNCTION("""COMPUTED_VALUE"""),"-9.5639522")</f>
        <v>-9.5639522</v>
      </c>
      <c r="J516" s="6" t="str">
        <f>IFERROR(__xludf.DUMMYFUNCTION("""COMPUTED_VALUE"""),"-35.7560259 ")</f>
        <v>-35.7560259 </v>
      </c>
      <c r="K516" s="5" t="str">
        <f>IFERROR(__xludf.DUMMYFUNCTION("""COMPUTED_VALUE"""),"RUA DA CODEAL")</f>
        <v>RUA DA CODEAL</v>
      </c>
      <c r="L516" s="5" t="str">
        <f>IFERROR(__xludf.DUMMYFUNCTION("""COMPUTED_VALUE"""),"COLETORA")</f>
        <v>COLETORA</v>
      </c>
      <c r="M516" s="5" t="str">
        <f>IFERROR(__xludf.DUMMYFUNCTION("""COMPUTED_VALUE"""),"TABULEIRO DOS MARTINS")</f>
        <v>TABULEIRO DOS MARTINS</v>
      </c>
      <c r="N516" s="5" t="str">
        <f>IFERROR(__xludf.DUMMYFUNCTION("""COMPUTED_VALUE"""),"BAIRRO - CENTRO / CENTRO - BAIRRO")</f>
        <v>BAIRRO - CENTRO / CENTRO - BAIRRO</v>
      </c>
      <c r="O516" s="5" t="str">
        <f>IFERROR(__xludf.DUMMYFUNCTION("""COMPUTED_VALUE"""),"EM FRENTE AO CAMPINHO DE FUTEBOL")</f>
        <v>EM FRENTE AO CAMPINHO DE FUTEBOL</v>
      </c>
      <c r="P516" s="5" t="str">
        <f>IFERROR(__xludf.DUMMYFUNCTION("""COMPUTED_VALUE"""),"PRIORIDADE BAIXA")</f>
        <v>PRIORIDADE BAIXA</v>
      </c>
      <c r="Q516" s="5" t="str">
        <f>IFERROR(__xludf.DUMMYFUNCTION("""COMPUTED_VALUE"""),"READEQUAÇÃO DA CALÇADA COM ACESSIBILIDADE E BAIA.")</f>
        <v>READEQUAÇÃO DA CALÇADA COM ACESSIBILIDADE E BAIA.</v>
      </c>
      <c r="R516" s="5" t="str">
        <f>IFERROR(__xludf.DUMMYFUNCTION("""COMPUTED_VALUE"""),"SUBSTITUIR ABRIGO")</f>
        <v>SUBSTITUIR ABRIGO</v>
      </c>
      <c r="S516" s="5"/>
      <c r="T516" s="5"/>
      <c r="U516" s="5"/>
      <c r="V516" s="9" t="str">
        <f>IFERROR(__xludf.DUMMYFUNCTION("""COMPUTED_VALUE"""),"https://drive.google.com/uc?id=1mOWwfbbYoU1C8FKAyAehqm8ZA7iRRGQK")</f>
        <v>https://drive.google.com/uc?id=1mOWwfbbYoU1C8FKAyAehqm8ZA7iRRGQK</v>
      </c>
      <c r="W516" s="5" t="str">
        <f>IFERROR(__xludf.DUMMYFUNCTION("""COMPUTED_VALUE"""),"NÃO")</f>
        <v>NÃO</v>
      </c>
      <c r="X516" s="5" t="str">
        <f>IFERROR(__xludf.DUMMYFUNCTION("""COMPUTED_VALUE"""),"NÃO SE APLICA")</f>
        <v>NÃO SE APLICA</v>
      </c>
    </row>
    <row r="517" hidden="1">
      <c r="A517" s="5">
        <f>IFERROR(__xludf.DUMMYFUNCTION("""COMPUTED_VALUE"""),7.0)</f>
        <v>7</v>
      </c>
      <c r="B517" s="5" t="str">
        <f>IFERROR(__xludf.DUMMYFUNCTION("""COMPUTED_VALUE"""),"TM043")</f>
        <v>TM043</v>
      </c>
      <c r="C517" s="5" t="str">
        <f>IFERROR(__xludf.DUMMYFUNCTION("""COMPUTED_VALUE"""),"NÃO POSSUI")</f>
        <v>NÃO POSSUI</v>
      </c>
      <c r="D517" s="5" t="str">
        <f>IFERROR(__xludf.DUMMYFUNCTION("""COMPUTED_VALUE"""),"SEM PLACA")</f>
        <v>SEM PLACA</v>
      </c>
      <c r="E517" s="5" t="str">
        <f>IFERROR(__xludf.DUMMYFUNCTION("""COMPUTED_VALUE"""),"SEM BAIA")</f>
        <v>SEM BAIA</v>
      </c>
      <c r="F517" s="5" t="str">
        <f>IFERROR(__xludf.DUMMYFUNCTION("""COMPUTED_VALUE"""),"NÃO")</f>
        <v>NÃO</v>
      </c>
      <c r="G517" s="5" t="str">
        <f>IFERROR(__xludf.DUMMYFUNCTION("""COMPUTED_VALUE"""),"NÃO")</f>
        <v>NÃO</v>
      </c>
      <c r="H517" s="5" t="str">
        <f>IFERROR(__xludf.DUMMYFUNCTION("""COMPUTED_VALUE"""),"PAVIMENTADA COM AVARIAS")</f>
        <v>PAVIMENTADA COM AVARIAS</v>
      </c>
      <c r="I517" s="6" t="str">
        <f>IFERROR(__xludf.DUMMYFUNCTION("""COMPUTED_VALUE"""),"-9.5620002")</f>
        <v>-9.5620002</v>
      </c>
      <c r="J517" s="6" t="str">
        <f>IFERROR(__xludf.DUMMYFUNCTION("""COMPUTED_VALUE"""),"-35.7575084")</f>
        <v>-35.7575084</v>
      </c>
      <c r="K517" s="5" t="str">
        <f>IFERROR(__xludf.DUMMYFUNCTION("""COMPUTED_VALUE"""),"RUA DA CODEAL")</f>
        <v>RUA DA CODEAL</v>
      </c>
      <c r="L517" s="5" t="str">
        <f>IFERROR(__xludf.DUMMYFUNCTION("""COMPUTED_VALUE"""),"COLETORA")</f>
        <v>COLETORA</v>
      </c>
      <c r="M517" s="5" t="str">
        <f>IFERROR(__xludf.DUMMYFUNCTION("""COMPUTED_VALUE"""),"TABULEIRO DOS MARTINS")</f>
        <v>TABULEIRO DOS MARTINS</v>
      </c>
      <c r="N517" s="5" t="str">
        <f>IFERROR(__xludf.DUMMYFUNCTION("""COMPUTED_VALUE"""),"BAIRRO - CENTRO / CENTRO - BAIRRO")</f>
        <v>BAIRRO - CENTRO / CENTRO - BAIRRO</v>
      </c>
      <c r="O517" s="5" t="str">
        <f>IFERROR(__xludf.DUMMYFUNCTION("""COMPUTED_VALUE"""),"EM FRENTE A PRACINHA")</f>
        <v>EM FRENTE A PRACINHA</v>
      </c>
      <c r="P517" s="5" t="str">
        <f>IFERROR(__xludf.DUMMYFUNCTION("""COMPUTED_VALUE"""),"PRIORIDADE BAIXA")</f>
        <v>PRIORIDADE BAIXA</v>
      </c>
      <c r="Q517" s="5" t="str">
        <f>IFERROR(__xludf.DUMMYFUNCTION("""COMPUTED_VALUE"""),"READEQUAÇÃO DA CALÇADA COM ACESSIBILIDADE E BAIA.")</f>
        <v>READEQUAÇÃO DA CALÇADA COM ACESSIBILIDADE E BAIA.</v>
      </c>
      <c r="R517" s="5" t="str">
        <f>IFERROR(__xludf.DUMMYFUNCTION("""COMPUTED_VALUE"""),"NENHUMA DAS OPÇÕES")</f>
        <v>NENHUMA DAS OPÇÕES</v>
      </c>
      <c r="S517" s="5"/>
      <c r="T517" s="5"/>
      <c r="U517" s="5"/>
      <c r="V517" s="9" t="str">
        <f>IFERROR(__xludf.DUMMYFUNCTION("""COMPUTED_VALUE"""),"https://drive.google.com/uc?id=1rQ5iADcw3vvk5v550m1W1eyaiNMJFnuO")</f>
        <v>https://drive.google.com/uc?id=1rQ5iADcw3vvk5v550m1W1eyaiNMJFnuO</v>
      </c>
      <c r="W517" s="5" t="str">
        <f>IFERROR(__xludf.DUMMYFUNCTION("""COMPUTED_VALUE"""),"NÃO")</f>
        <v>NÃO</v>
      </c>
      <c r="X517" s="5" t="str">
        <f>IFERROR(__xludf.DUMMYFUNCTION("""COMPUTED_VALUE"""),"NÃO SE APLICA")</f>
        <v>NÃO SE APLICA</v>
      </c>
    </row>
    <row r="518">
      <c r="A518" s="5">
        <f>IFERROR(__xludf.DUMMYFUNCTION("""COMPUTED_VALUE"""),7.0)</f>
        <v>7</v>
      </c>
      <c r="B518" s="5" t="str">
        <f>IFERROR(__xludf.DUMMYFUNCTION("""COMPUTED_VALUE"""),"TM044")</f>
        <v>TM044</v>
      </c>
      <c r="C518" s="5" t="str">
        <f>IFERROR(__xludf.DUMMYFUNCTION("""COMPUTED_VALUE"""),"ABRIGO CONCRETO")</f>
        <v>ABRIGO CONCRETO</v>
      </c>
      <c r="D518" s="5" t="str">
        <f>IFERROR(__xludf.DUMMYFUNCTION("""COMPUTED_VALUE"""),"SEM PLACA")</f>
        <v>SEM PLACA</v>
      </c>
      <c r="E518" s="5" t="str">
        <f>IFERROR(__xludf.DUMMYFUNCTION("""COMPUTED_VALUE"""),"SEM BAIA")</f>
        <v>SEM BAIA</v>
      </c>
      <c r="F518" s="5" t="str">
        <f>IFERROR(__xludf.DUMMYFUNCTION("""COMPUTED_VALUE"""),"NÃO")</f>
        <v>NÃO</v>
      </c>
      <c r="G518" s="5" t="str">
        <f>IFERROR(__xludf.DUMMYFUNCTION("""COMPUTED_VALUE"""),"NÃO")</f>
        <v>NÃO</v>
      </c>
      <c r="H518" s="5" t="str">
        <f>IFERROR(__xludf.DUMMYFUNCTION("""COMPUTED_VALUE"""),"PAVIMENTADA")</f>
        <v>PAVIMENTADA</v>
      </c>
      <c r="I518" s="6" t="str">
        <f>IFERROR(__xludf.DUMMYFUNCTION("""COMPUTED_VALUE"""),"-9.5653574")</f>
        <v>-9.5653574</v>
      </c>
      <c r="J518" s="6" t="str">
        <f>IFERROR(__xludf.DUMMYFUNCTION("""COMPUTED_VALUE"""),"-35.7471647")</f>
        <v>-35.7471647</v>
      </c>
      <c r="K518" s="5" t="str">
        <f>IFERROR(__xludf.DUMMYFUNCTION("""COMPUTED_VALUE"""),"EST. DES. CARLOS GUSMÃO")</f>
        <v>EST. DES. CARLOS GUSMÃO</v>
      </c>
      <c r="L518" s="5" t="str">
        <f>IFERROR(__xludf.DUMMYFUNCTION("""COMPUTED_VALUE"""),"COLETORA")</f>
        <v>COLETORA</v>
      </c>
      <c r="M518" s="5" t="str">
        <f>IFERROR(__xludf.DUMMYFUNCTION("""COMPUTED_VALUE"""),"TABULEIRO DOS MARTINS")</f>
        <v>TABULEIRO DOS MARTINS</v>
      </c>
      <c r="N518" s="5" t="str">
        <f>IFERROR(__xludf.DUMMYFUNCTION("""COMPUTED_VALUE"""),"BAIRRO - CENTRO / CENTRO - BAIRRO")</f>
        <v>BAIRRO - CENTRO / CENTRO - BAIRRO</v>
      </c>
      <c r="O518" s="5" t="str">
        <f>IFERROR(__xludf.DUMMYFUNCTION("""COMPUTED_VALUE"""),"EM FRENTE AO RESTAURANTE KITEMPERO")</f>
        <v>EM FRENTE AO RESTAURANTE KITEMPERO</v>
      </c>
      <c r="P518" s="5" t="str">
        <f>IFERROR(__xludf.DUMMYFUNCTION("""COMPUTED_VALUE"""),"PRIORIDADE BAIXA")</f>
        <v>PRIORIDADE BAIXA</v>
      </c>
      <c r="Q518" s="5" t="str">
        <f>IFERROR(__xludf.DUMMYFUNCTION("""COMPUTED_VALUE"""),"READEQUAÇÃO DA CALÇADA COM ACESSIBILIDADE E BAIA.")</f>
        <v>READEQUAÇÃO DA CALÇADA COM ACESSIBILIDADE E BAIA.</v>
      </c>
      <c r="R518" s="5" t="str">
        <f>IFERROR(__xludf.DUMMYFUNCTION("""COMPUTED_VALUE"""),"SUBSTITUIR ABRIGO")</f>
        <v>SUBSTITUIR ABRIGO</v>
      </c>
      <c r="S518" s="5"/>
      <c r="T518" s="5"/>
      <c r="U518" s="5"/>
      <c r="V518" s="9" t="str">
        <f>IFERROR(__xludf.DUMMYFUNCTION("""COMPUTED_VALUE"""),"https://drive.google.com/uc?id=1mlMnyC1n44Y0pidc_7A8NF16_9F5TVcT")</f>
        <v>https://drive.google.com/uc?id=1mlMnyC1n44Y0pidc_7A8NF16_9F5TVcT</v>
      </c>
      <c r="W518" s="5" t="str">
        <f>IFERROR(__xludf.DUMMYFUNCTION("""COMPUTED_VALUE"""),"NÃO")</f>
        <v>NÃO</v>
      </c>
      <c r="X518" s="5" t="str">
        <f>IFERROR(__xludf.DUMMYFUNCTION("""COMPUTED_VALUE"""),"NÃO SE APLICA")</f>
        <v>NÃO SE APLICA</v>
      </c>
    </row>
    <row r="519" ht="15.0" customHeight="1">
      <c r="A519" s="5">
        <f>IFERROR(__xludf.DUMMYFUNCTION("""COMPUTED_VALUE"""),7.0)</f>
        <v>7</v>
      </c>
      <c r="B519" s="5" t="str">
        <f>IFERROR(__xludf.DUMMYFUNCTION("""COMPUTED_VALUE"""),"TM045")</f>
        <v>TM045</v>
      </c>
      <c r="C519" s="5" t="str">
        <f>IFERROR(__xludf.DUMMYFUNCTION("""COMPUTED_VALUE"""),"ABRIGO CONCRETO")</f>
        <v>ABRIGO CONCRETO</v>
      </c>
      <c r="D519" s="5" t="str">
        <f>IFERROR(__xludf.DUMMYFUNCTION("""COMPUTED_VALUE"""),"SEM PLACA")</f>
        <v>SEM PLACA</v>
      </c>
      <c r="E519" s="5" t="str">
        <f>IFERROR(__xludf.DUMMYFUNCTION("""COMPUTED_VALUE"""),"BAIA PINTADA")</f>
        <v>BAIA PINTADA</v>
      </c>
      <c r="F519" s="5" t="str">
        <f>IFERROR(__xludf.DUMMYFUNCTION("""COMPUTED_VALUE"""),"NÃO")</f>
        <v>NÃO</v>
      </c>
      <c r="G519" s="5" t="str">
        <f>IFERROR(__xludf.DUMMYFUNCTION("""COMPUTED_VALUE"""),"NÃO")</f>
        <v>NÃO</v>
      </c>
      <c r="H519" s="5" t="str">
        <f>IFERROR(__xludf.DUMMYFUNCTION("""COMPUTED_VALUE"""),"PAVIMENTADA")</f>
        <v>PAVIMENTADA</v>
      </c>
      <c r="I519" s="6" t="str">
        <f>IFERROR(__xludf.DUMMYFUNCTION("""COMPUTED_VALUE"""),"-9.5706116")</f>
        <v>-9.5706116</v>
      </c>
      <c r="J519" s="6" t="str">
        <f>IFERROR(__xludf.DUMMYFUNCTION("""COMPUTED_VALUE"""),"-35.7499722")</f>
        <v>-35.7499722</v>
      </c>
      <c r="K519" s="5" t="str">
        <f>IFERROR(__xludf.DUMMYFUNCTION("""COMPUTED_VALUE"""),"R. EMANOEL OMENA DE FARIAS")</f>
        <v>R. EMANOEL OMENA DE FARIAS</v>
      </c>
      <c r="L519" s="5" t="str">
        <f>IFERROR(__xludf.DUMMYFUNCTION("""COMPUTED_VALUE"""),"COLETORA")</f>
        <v>COLETORA</v>
      </c>
      <c r="M519" s="5" t="str">
        <f>IFERROR(__xludf.DUMMYFUNCTION("""COMPUTED_VALUE"""),"TABULEIRO DOS MARTINS")</f>
        <v>TABULEIRO DOS MARTINS</v>
      </c>
      <c r="N519" s="5" t="str">
        <f>IFERROR(__xludf.DUMMYFUNCTION("""COMPUTED_VALUE"""),"BAIRRO - CENTRO")</f>
        <v>BAIRRO - CENTRO</v>
      </c>
      <c r="O519" s="5" t="str">
        <f>IFERROR(__xludf.DUMMYFUNCTION("""COMPUTED_VALUE"""),"M FRENTE A JR AUTO CENTER")</f>
        <v>M FRENTE A JR AUTO CENTER</v>
      </c>
      <c r="P519" s="5" t="str">
        <f>IFERROR(__xludf.DUMMYFUNCTION("""COMPUTED_VALUE"""),"PRIORIDADE BAIXA")</f>
        <v>PRIORIDADE BAIXA</v>
      </c>
      <c r="Q519" s="5" t="str">
        <f>IFERROR(__xludf.DUMMYFUNCTION("""COMPUTED_VALUE"""),"READEQUAÇÃO DA CALÇADA COM ACESSIBILIDADE E BAIA.")</f>
        <v>READEQUAÇÃO DA CALÇADA COM ACESSIBILIDADE E BAIA.</v>
      </c>
      <c r="R519" s="5" t="str">
        <f>IFERROR(__xludf.DUMMYFUNCTION("""COMPUTED_VALUE"""),"SUBSTITUIR ABRIGO")</f>
        <v>SUBSTITUIR ABRIGO</v>
      </c>
      <c r="S519" s="5"/>
      <c r="T519" s="5"/>
      <c r="U519" s="5"/>
      <c r="V519" s="9" t="str">
        <f>IFERROR(__xludf.DUMMYFUNCTION("""COMPUTED_VALUE"""),"https://drive.google.com/uc?id=1SuYcBYiiTnNGCfdcuvYxsivqGP3WIIXE")</f>
        <v>https://drive.google.com/uc?id=1SuYcBYiiTnNGCfdcuvYxsivqGP3WIIXE</v>
      </c>
      <c r="W519" s="5" t="str">
        <f>IFERROR(__xludf.DUMMYFUNCTION("""COMPUTED_VALUE"""),"NÃO")</f>
        <v>NÃO</v>
      </c>
      <c r="X519" s="5" t="str">
        <f>IFERROR(__xludf.DUMMYFUNCTION("""COMPUTED_VALUE"""),"NÃO SE APLICA")</f>
        <v>NÃO SE APLICA</v>
      </c>
    </row>
    <row r="520">
      <c r="A520" s="5">
        <f>IFERROR(__xludf.DUMMYFUNCTION("""COMPUTED_VALUE"""),7.0)</f>
        <v>7</v>
      </c>
      <c r="B520" s="5" t="str">
        <f>IFERROR(__xludf.DUMMYFUNCTION("""COMPUTED_VALUE"""),"TM046")</f>
        <v>TM046</v>
      </c>
      <c r="C520" s="5" t="str">
        <f>IFERROR(__xludf.DUMMYFUNCTION("""COMPUTED_VALUE"""),"ABRIGO CONCRETO")</f>
        <v>ABRIGO CONCRETO</v>
      </c>
      <c r="D520" s="5" t="str">
        <f>IFERROR(__xludf.DUMMYFUNCTION("""COMPUTED_VALUE"""),"SEM PLACA")</f>
        <v>SEM PLACA</v>
      </c>
      <c r="E520" s="5" t="str">
        <f>IFERROR(__xludf.DUMMYFUNCTION("""COMPUTED_VALUE"""),"SEM BAIA")</f>
        <v>SEM BAIA</v>
      </c>
      <c r="F520" s="5" t="str">
        <f>IFERROR(__xludf.DUMMYFUNCTION("""COMPUTED_VALUE"""),"NÃO")</f>
        <v>NÃO</v>
      </c>
      <c r="G520" s="5" t="str">
        <f>IFERROR(__xludf.DUMMYFUNCTION("""COMPUTED_VALUE"""),"NÃO")</f>
        <v>NÃO</v>
      </c>
      <c r="H520" s="5" t="str">
        <f>IFERROR(__xludf.DUMMYFUNCTION("""COMPUTED_VALUE"""),"PAVIMENTADA COM AVARIAS")</f>
        <v>PAVIMENTADA COM AVARIAS</v>
      </c>
      <c r="I520" s="6" t="str">
        <f>IFERROR(__xludf.DUMMYFUNCTION("""COMPUTED_VALUE"""),"-9.5689264")</f>
        <v>-9.5689264</v>
      </c>
      <c r="J520" s="6" t="str">
        <f>IFERROR(__xludf.DUMMYFUNCTION("""COMPUTED_VALUE"""),"-35.7491094  ")</f>
        <v>-35.7491094  </v>
      </c>
      <c r="K520" s="5" t="str">
        <f>IFERROR(__xludf.DUMMYFUNCTION("""COMPUTED_VALUE"""),"EST. DES. CARLOS GUSMÃO")</f>
        <v>EST. DES. CARLOS GUSMÃO</v>
      </c>
      <c r="L520" s="5" t="str">
        <f>IFERROR(__xludf.DUMMYFUNCTION("""COMPUTED_VALUE"""),"COLETORA")</f>
        <v>COLETORA</v>
      </c>
      <c r="M520" s="5" t="str">
        <f>IFERROR(__xludf.DUMMYFUNCTION("""COMPUTED_VALUE"""),"TABULEIRO DOS MARTINS")</f>
        <v>TABULEIRO DOS MARTINS</v>
      </c>
      <c r="N520" s="5" t="str">
        <f>IFERROR(__xludf.DUMMYFUNCTION("""COMPUTED_VALUE"""),"BAIRRO - CENTRO")</f>
        <v>BAIRRO - CENTRO</v>
      </c>
      <c r="O520" s="5" t="str">
        <f>IFERROR(__xludf.DUMMYFUNCTION("""COMPUTED_VALUE"""),"EM FRENTE A QUALITY PIZZAS")</f>
        <v>EM FRENTE A QUALITY PIZZAS</v>
      </c>
      <c r="P520" s="5" t="str">
        <f>IFERROR(__xludf.DUMMYFUNCTION("""COMPUTED_VALUE"""),"PRIORIDADE BAIXA")</f>
        <v>PRIORIDADE BAIXA</v>
      </c>
      <c r="Q520" s="5" t="str">
        <f>IFERROR(__xludf.DUMMYFUNCTION("""COMPUTED_VALUE"""),"READEQUAÇÃO DA CALÇADA COM ACESSIBILIDADE E BAIA.")</f>
        <v>READEQUAÇÃO DA CALÇADA COM ACESSIBILIDADE E BAIA.</v>
      </c>
      <c r="R520" s="5" t="str">
        <f>IFERROR(__xludf.DUMMYFUNCTION("""COMPUTED_VALUE"""),"SUBSTITUIR ABRIGO")</f>
        <v>SUBSTITUIR ABRIGO</v>
      </c>
      <c r="S520" s="5"/>
      <c r="T520" s="5"/>
      <c r="U520" s="5"/>
      <c r="V520" s="9" t="str">
        <f>IFERROR(__xludf.DUMMYFUNCTION("""COMPUTED_VALUE"""),"https://drive.google.com/uc?id=1OTin8onRqeftLk97YVZeezmvqufy76XO")</f>
        <v>https://drive.google.com/uc?id=1OTin8onRqeftLk97YVZeezmvqufy76XO</v>
      </c>
      <c r="W520" s="5" t="str">
        <f>IFERROR(__xludf.DUMMYFUNCTION("""COMPUTED_VALUE"""),"NÃO")</f>
        <v>NÃO</v>
      </c>
      <c r="X520" s="5" t="str">
        <f>IFERROR(__xludf.DUMMYFUNCTION("""COMPUTED_VALUE"""),"NÃO SE APLICA")</f>
        <v>NÃO SE APLICA</v>
      </c>
    </row>
    <row r="521" hidden="1">
      <c r="A521" s="5">
        <f>IFERROR(__xludf.DUMMYFUNCTION("""COMPUTED_VALUE"""),7.0)</f>
        <v>7</v>
      </c>
      <c r="B521" s="5" t="str">
        <f>IFERROR(__xludf.DUMMYFUNCTION("""COMPUTED_VALUE"""),"TM047")</f>
        <v>TM047</v>
      </c>
      <c r="C521" s="5" t="str">
        <f>IFERROR(__xludf.DUMMYFUNCTION("""COMPUTED_VALUE"""),"NÃO POSSUI")</f>
        <v>NÃO POSSUI</v>
      </c>
      <c r="D521" s="5" t="str">
        <f>IFERROR(__xludf.DUMMYFUNCTION("""COMPUTED_VALUE"""),"FIXADA EM POSTE")</f>
        <v>FIXADA EM POSTE</v>
      </c>
      <c r="E521" s="5" t="str">
        <f>IFERROR(__xludf.DUMMYFUNCTION("""COMPUTED_VALUE"""),"SEM BAIA")</f>
        <v>SEM BAIA</v>
      </c>
      <c r="F521" s="5" t="str">
        <f>IFERROR(__xludf.DUMMYFUNCTION("""COMPUTED_VALUE"""),"NÃO")</f>
        <v>NÃO</v>
      </c>
      <c r="G521" s="5" t="str">
        <f>IFERROR(__xludf.DUMMYFUNCTION("""COMPUTED_VALUE"""),"NÃO")</f>
        <v>NÃO</v>
      </c>
      <c r="H521" s="5" t="str">
        <f>IFERROR(__xludf.DUMMYFUNCTION("""COMPUTED_VALUE"""),"PAVIMENTADA")</f>
        <v>PAVIMENTADA</v>
      </c>
      <c r="I521" s="6" t="str">
        <f>IFERROR(__xludf.DUMMYFUNCTION("""COMPUTED_VALUE"""),"-9.58058")</f>
        <v>-9.58058</v>
      </c>
      <c r="J521" s="6" t="str">
        <f>IFERROR(__xludf.DUMMYFUNCTION("""COMPUTED_VALUE"""),"-35.77463  ")</f>
        <v>-35.77463  </v>
      </c>
      <c r="K521" s="5" t="str">
        <f>IFERROR(__xludf.DUMMYFUNCTION("""COMPUTED_VALUE"""),"RUA OSMAN LOUREIRO")</f>
        <v>RUA OSMAN LOUREIRO</v>
      </c>
      <c r="L521" s="5" t="str">
        <f>IFERROR(__xludf.DUMMYFUNCTION("""COMPUTED_VALUE"""),"LOCAL")</f>
        <v>LOCAL</v>
      </c>
      <c r="M521" s="5" t="str">
        <f>IFERROR(__xludf.DUMMYFUNCTION("""COMPUTED_VALUE"""),"TABULEIRO DOS MARTINS")</f>
        <v>TABULEIRO DOS MARTINS</v>
      </c>
      <c r="N521" s="5" t="str">
        <f>IFERROR(__xludf.DUMMYFUNCTION("""COMPUTED_VALUE"""),"BAIRRO - CENTRO")</f>
        <v>BAIRRO - CENTRO</v>
      </c>
      <c r="O521" s="5" t="str">
        <f>IFERROR(__xludf.DUMMYFUNCTION("""COMPUTED_VALUE"""),"EM FRENTE A IGREJA CATÓLICA")</f>
        <v>EM FRENTE A IGREJA CATÓLICA</v>
      </c>
      <c r="P521" s="5" t="str">
        <f>IFERROR(__xludf.DUMMYFUNCTION("""COMPUTED_VALUE"""),"PRIORIDADE BAIXA")</f>
        <v>PRIORIDADE BAIXA</v>
      </c>
      <c r="Q521" s="5" t="str">
        <f>IFERROR(__xludf.DUMMYFUNCTION("""COMPUTED_VALUE"""),"READEQUAÇÃO DA CALÇADA COM ACESSIBILIDADE E BAIA.")</f>
        <v>READEQUAÇÃO DA CALÇADA COM ACESSIBILIDADE E BAIA.</v>
      </c>
      <c r="R521" s="5" t="str">
        <f>IFERROR(__xludf.DUMMYFUNCTION("""COMPUTED_VALUE"""),"NENHUMA DAS OPÇÕES")</f>
        <v>NENHUMA DAS OPÇÕES</v>
      </c>
      <c r="S521" s="5"/>
      <c r="T521" s="5"/>
      <c r="U521" s="5"/>
      <c r="V521" s="9" t="str">
        <f>IFERROR(__xludf.DUMMYFUNCTION("""COMPUTED_VALUE"""),"https://drive.google.com/uc?id=14eCboM3gKlmzvsVyESuvKaoqNVs-BeCG")</f>
        <v>https://drive.google.com/uc?id=14eCboM3gKlmzvsVyESuvKaoqNVs-BeCG</v>
      </c>
      <c r="W521" s="5" t="str">
        <f>IFERROR(__xludf.DUMMYFUNCTION("""COMPUTED_VALUE"""),"NÃO")</f>
        <v>NÃO</v>
      </c>
      <c r="X521" s="5" t="str">
        <f>IFERROR(__xludf.DUMMYFUNCTION("""COMPUTED_VALUE"""),"NÃO SE APLICA")</f>
        <v>NÃO SE APLICA</v>
      </c>
    </row>
    <row r="522" hidden="1">
      <c r="A522" s="5">
        <f>IFERROR(__xludf.DUMMYFUNCTION("""COMPUTED_VALUE"""),7.0)</f>
        <v>7</v>
      </c>
      <c r="B522" s="5" t="str">
        <f>IFERROR(__xludf.DUMMYFUNCTION("""COMPUTED_VALUE"""),"TM048")</f>
        <v>TM048</v>
      </c>
      <c r="C522" s="5" t="str">
        <f>IFERROR(__xludf.DUMMYFUNCTION("""COMPUTED_VALUE"""),"NÃO POSSUI")</f>
        <v>NÃO POSSUI</v>
      </c>
      <c r="D522" s="5" t="str">
        <f>IFERROR(__xludf.DUMMYFUNCTION("""COMPUTED_VALUE"""),"COM SUPORTE")</f>
        <v>COM SUPORTE</v>
      </c>
      <c r="E522" s="5" t="str">
        <f>IFERROR(__xludf.DUMMYFUNCTION("""COMPUTED_VALUE"""),"SEM BAIA")</f>
        <v>SEM BAIA</v>
      </c>
      <c r="F522" s="5" t="str">
        <f>IFERROR(__xludf.DUMMYFUNCTION("""COMPUTED_VALUE"""),"NÃO")</f>
        <v>NÃO</v>
      </c>
      <c r="G522" s="5" t="str">
        <f>IFERROR(__xludf.DUMMYFUNCTION("""COMPUTED_VALUE"""),"NÃO")</f>
        <v>NÃO</v>
      </c>
      <c r="H522" s="5" t="str">
        <f>IFERROR(__xludf.DUMMYFUNCTION("""COMPUTED_VALUE"""),"PAVIMENTADA")</f>
        <v>PAVIMENTADA</v>
      </c>
      <c r="I522" s="6" t="str">
        <f>IFERROR(__xludf.DUMMYFUNCTION("""COMPUTED_VALUE"""),"-9.5702379")</f>
        <v>-9.5702379</v>
      </c>
      <c r="J522" s="6" t="str">
        <f>IFERROR(__xludf.DUMMYFUNCTION("""COMPUTED_VALUE"""),"-35.7496606  ")</f>
        <v>-35.7496606  </v>
      </c>
      <c r="K522" s="5" t="str">
        <f>IFERROR(__xludf.DUMMYFUNCTION("""COMPUTED_VALUE"""),"EST. DES. CARLOS GUSMÃO")</f>
        <v>EST. DES. CARLOS GUSMÃO</v>
      </c>
      <c r="L522" s="5" t="str">
        <f>IFERROR(__xludf.DUMMYFUNCTION("""COMPUTED_VALUE"""),"COLETORA")</f>
        <v>COLETORA</v>
      </c>
      <c r="M522" s="5" t="str">
        <f>IFERROR(__xludf.DUMMYFUNCTION("""COMPUTED_VALUE"""),"TABULEIRO DOS MARTINS")</f>
        <v>TABULEIRO DOS MARTINS</v>
      </c>
      <c r="N522" s="5" t="str">
        <f>IFERROR(__xludf.DUMMYFUNCTION("""COMPUTED_VALUE"""),"CENTRO - BAIRRO")</f>
        <v>CENTRO - BAIRRO</v>
      </c>
      <c r="O522" s="5" t="str">
        <f>IFERROR(__xludf.DUMMYFUNCTION("""COMPUTED_VALUE"""),"EM FRENTE A CLAUDIO INOX")</f>
        <v>EM FRENTE A CLAUDIO INOX</v>
      </c>
      <c r="P522" s="5" t="str">
        <f>IFERROR(__xludf.DUMMYFUNCTION("""COMPUTED_VALUE"""),"PRIORIDADE BAIXA")</f>
        <v>PRIORIDADE BAIXA</v>
      </c>
      <c r="Q522" s="5" t="str">
        <f>IFERROR(__xludf.DUMMYFUNCTION("""COMPUTED_VALUE"""),"READEQUAÇÃO DA CALÇADA COM ACESSIBILIDADE E BAIA.")</f>
        <v>READEQUAÇÃO DA CALÇADA COM ACESSIBILIDADE E BAIA.</v>
      </c>
      <c r="R522" s="5" t="str">
        <f>IFERROR(__xludf.DUMMYFUNCTION("""COMPUTED_VALUE"""),"NENHUMA DAS OPÇÕES")</f>
        <v>NENHUMA DAS OPÇÕES</v>
      </c>
      <c r="S522" s="5"/>
      <c r="T522" s="5"/>
      <c r="U522" s="5"/>
      <c r="V522" s="9" t="str">
        <f>IFERROR(__xludf.DUMMYFUNCTION("""COMPUTED_VALUE"""),"https://drive.google.com/uc?id=1MTxdZbgihZZdDvJ_61xg58FoyWLLojQe")</f>
        <v>https://drive.google.com/uc?id=1MTxdZbgihZZdDvJ_61xg58FoyWLLojQe</v>
      </c>
      <c r="W522" s="5" t="str">
        <f>IFERROR(__xludf.DUMMYFUNCTION("""COMPUTED_VALUE"""),"NÃO")</f>
        <v>NÃO</v>
      </c>
      <c r="X522" s="5" t="str">
        <f>IFERROR(__xludf.DUMMYFUNCTION("""COMPUTED_VALUE"""),"NÃO SE APLICA")</f>
        <v>NÃO SE APLICA</v>
      </c>
    </row>
    <row r="523" hidden="1">
      <c r="A523" s="5">
        <f>IFERROR(__xludf.DUMMYFUNCTION("""COMPUTED_VALUE"""),7.0)</f>
        <v>7</v>
      </c>
      <c r="B523" s="5" t="str">
        <f>IFERROR(__xludf.DUMMYFUNCTION("""COMPUTED_VALUE"""),"TM049")</f>
        <v>TM049</v>
      </c>
      <c r="C523" s="5" t="str">
        <f>IFERROR(__xludf.DUMMYFUNCTION("""COMPUTED_VALUE"""),"NÃO POSSUI")</f>
        <v>NÃO POSSUI</v>
      </c>
      <c r="D523" s="5" t="str">
        <f>IFERROR(__xludf.DUMMYFUNCTION("""COMPUTED_VALUE"""),"COM SUPORTE")</f>
        <v>COM SUPORTE</v>
      </c>
      <c r="E523" s="5" t="str">
        <f>IFERROR(__xludf.DUMMYFUNCTION("""COMPUTED_VALUE"""),"SEM BAIA")</f>
        <v>SEM BAIA</v>
      </c>
      <c r="F523" s="5" t="str">
        <f>IFERROR(__xludf.DUMMYFUNCTION("""COMPUTED_VALUE"""),"NÃO")</f>
        <v>NÃO</v>
      </c>
      <c r="G523" s="5" t="str">
        <f>IFERROR(__xludf.DUMMYFUNCTION("""COMPUTED_VALUE"""),"NÃO")</f>
        <v>NÃO</v>
      </c>
      <c r="H523" s="5" t="str">
        <f>IFERROR(__xludf.DUMMYFUNCTION("""COMPUTED_VALUE"""),"PAVIMENTADA")</f>
        <v>PAVIMENTADA</v>
      </c>
      <c r="I523" s="6" t="str">
        <f>IFERROR(__xludf.DUMMYFUNCTION("""COMPUTED_VALUE"""),"-9.568945")</f>
        <v>-9.568945</v>
      </c>
      <c r="J523" s="6" t="str">
        <f>IFERROR(__xludf.DUMMYFUNCTION("""COMPUTED_VALUE"""),"-35.7489783    ")</f>
        <v>-35.7489783    </v>
      </c>
      <c r="K523" s="5" t="str">
        <f>IFERROR(__xludf.DUMMYFUNCTION("""COMPUTED_VALUE"""),"EST. DES. CARLOS GUSMÃO")</f>
        <v>EST. DES. CARLOS GUSMÃO</v>
      </c>
      <c r="L523" s="5" t="str">
        <f>IFERROR(__xludf.DUMMYFUNCTION("""COMPUTED_VALUE"""),"COLETORA")</f>
        <v>COLETORA</v>
      </c>
      <c r="M523" s="5" t="str">
        <f>IFERROR(__xludf.DUMMYFUNCTION("""COMPUTED_VALUE"""),"TABULEIRO DOS MARTINS")</f>
        <v>TABULEIRO DOS MARTINS</v>
      </c>
      <c r="N523" s="5" t="str">
        <f>IFERROR(__xludf.DUMMYFUNCTION("""COMPUTED_VALUE"""),"CENTRO - BAIRRO")</f>
        <v>CENTRO - BAIRRO</v>
      </c>
      <c r="O523" s="5" t="str">
        <f>IFERROR(__xludf.DUMMYFUNCTION("""COMPUTED_VALUE"""),"EM FRENTE A QUALITY PIZZAS")</f>
        <v>EM FRENTE A QUALITY PIZZAS</v>
      </c>
      <c r="P523" s="5" t="str">
        <f>IFERROR(__xludf.DUMMYFUNCTION("""COMPUTED_VALUE"""),"PRIORIDADE BAIXA")</f>
        <v>PRIORIDADE BAIXA</v>
      </c>
      <c r="Q523" s="5" t="str">
        <f>IFERROR(__xludf.DUMMYFUNCTION("""COMPUTED_VALUE"""),"READEQUAÇÃO DA CALÇADA COM ACESSIBILIDADE E BAIA.")</f>
        <v>READEQUAÇÃO DA CALÇADA COM ACESSIBILIDADE E BAIA.</v>
      </c>
      <c r="R523" s="5" t="str">
        <f>IFERROR(__xludf.DUMMYFUNCTION("""COMPUTED_VALUE"""),"IMPLANTAR ABRIGO")</f>
        <v>IMPLANTAR ABRIGO</v>
      </c>
      <c r="S523" s="5"/>
      <c r="T523" s="5"/>
      <c r="U523" s="5"/>
      <c r="V523" s="9" t="str">
        <f>IFERROR(__xludf.DUMMYFUNCTION("""COMPUTED_VALUE"""),"https://drive.google.com/uc?id=1cu4lvMOS-b2bQQ634K0eJvCjJniGni9o")</f>
        <v>https://drive.google.com/uc?id=1cu4lvMOS-b2bQQ634K0eJvCjJniGni9o</v>
      </c>
      <c r="W523" s="5" t="str">
        <f>IFERROR(__xludf.DUMMYFUNCTION("""COMPUTED_VALUE"""),"NÃO")</f>
        <v>NÃO</v>
      </c>
      <c r="X523" s="5" t="str">
        <f>IFERROR(__xludf.DUMMYFUNCTION("""COMPUTED_VALUE"""),"NÃO SE APLICA")</f>
        <v>NÃO SE APLICA</v>
      </c>
    </row>
    <row r="524" hidden="1">
      <c r="A524" s="5">
        <f>IFERROR(__xludf.DUMMYFUNCTION("""COMPUTED_VALUE"""),7.0)</f>
        <v>7</v>
      </c>
      <c r="B524" s="5" t="str">
        <f>IFERROR(__xludf.DUMMYFUNCTION("""COMPUTED_VALUE"""),"TM050")</f>
        <v>TM050</v>
      </c>
      <c r="C524" s="5" t="str">
        <f>IFERROR(__xludf.DUMMYFUNCTION("""COMPUTED_VALUE"""),"NÃO POSSUI")</f>
        <v>NÃO POSSUI</v>
      </c>
      <c r="D524" s="5" t="str">
        <f>IFERROR(__xludf.DUMMYFUNCTION("""COMPUTED_VALUE"""),"COM SUPORTE")</f>
        <v>COM SUPORTE</v>
      </c>
      <c r="E524" s="5" t="str">
        <f>IFERROR(__xludf.DUMMYFUNCTION("""COMPUTED_VALUE"""),"SEM BAIA")</f>
        <v>SEM BAIA</v>
      </c>
      <c r="F524" s="5" t="str">
        <f>IFERROR(__xludf.DUMMYFUNCTION("""COMPUTED_VALUE"""),"NÃO")</f>
        <v>NÃO</v>
      </c>
      <c r="G524" s="5" t="str">
        <f>IFERROR(__xludf.DUMMYFUNCTION("""COMPUTED_VALUE"""),"NÃO")</f>
        <v>NÃO</v>
      </c>
      <c r="H524" s="5" t="str">
        <f>IFERROR(__xludf.DUMMYFUNCTION("""COMPUTED_VALUE"""),"PAVIMENTADA")</f>
        <v>PAVIMENTADA</v>
      </c>
      <c r="I524" s="6" t="str">
        <f>IFERROR(__xludf.DUMMYFUNCTION("""COMPUTED_VALUE"""),"-9.5636196")</f>
        <v>-9.5636196</v>
      </c>
      <c r="J524" s="6" t="str">
        <f>IFERROR(__xludf.DUMMYFUNCTION("""COMPUTED_VALUE"""),"-35.7461070")</f>
        <v>-35.7461070</v>
      </c>
      <c r="K524" s="5" t="str">
        <f>IFERROR(__xludf.DUMMYFUNCTION("""COMPUTED_VALUE"""),"AV. JORN. TOBIAS GRANJA")</f>
        <v>AV. JORN. TOBIAS GRANJA</v>
      </c>
      <c r="L524" s="5" t="str">
        <f>IFERROR(__xludf.DUMMYFUNCTION("""COMPUTED_VALUE"""),"COLETORA")</f>
        <v>COLETORA</v>
      </c>
      <c r="M524" s="5" t="str">
        <f>IFERROR(__xludf.DUMMYFUNCTION("""COMPUTED_VALUE"""),"TABULEIRO DOS MARTINS")</f>
        <v>TABULEIRO DOS MARTINS</v>
      </c>
      <c r="N524" s="5" t="str">
        <f>IFERROR(__xludf.DUMMYFUNCTION("""COMPUTED_VALUE"""),"BAIRRO - CENTRO / CENTRO - BAIRRO")</f>
        <v>BAIRRO - CENTRO / CENTRO - BAIRRO</v>
      </c>
      <c r="O524" s="5" t="str">
        <f>IFERROR(__xludf.DUMMYFUNCTION("""COMPUTED_VALUE"""),"APÓS LM EMPILHADEIRAS")</f>
        <v>APÓS LM EMPILHADEIRAS</v>
      </c>
      <c r="P524" s="5" t="str">
        <f>IFERROR(__xludf.DUMMYFUNCTION("""COMPUTED_VALUE"""),"PRIORIDADE BAIXA")</f>
        <v>PRIORIDADE BAIXA</v>
      </c>
      <c r="Q524" s="5" t="str">
        <f>IFERROR(__xludf.DUMMYFUNCTION("""COMPUTED_VALUE"""),"READEQUAÇÃO DA CALÇADA COM ACESSIBILIDADE E BAIA.")</f>
        <v>READEQUAÇÃO DA CALÇADA COM ACESSIBILIDADE E BAIA.</v>
      </c>
      <c r="R524" s="5" t="str">
        <f>IFERROR(__xludf.DUMMYFUNCTION("""COMPUTED_VALUE"""),"NENHUMA DAS OPÇÕES")</f>
        <v>NENHUMA DAS OPÇÕES</v>
      </c>
      <c r="S524" s="5"/>
      <c r="T524" s="5"/>
      <c r="U524" s="5"/>
      <c r="V524" s="9" t="str">
        <f>IFERROR(__xludf.DUMMYFUNCTION("""COMPUTED_VALUE"""),"https://drive.google.com/uc?id=1utZxMwXo9acoXmYpIwWoqA6YHh-ErVHq")</f>
        <v>https://drive.google.com/uc?id=1utZxMwXo9acoXmYpIwWoqA6YHh-ErVHq</v>
      </c>
      <c r="W524" s="5" t="str">
        <f>IFERROR(__xludf.DUMMYFUNCTION("""COMPUTED_VALUE"""),"NÃO")</f>
        <v>NÃO</v>
      </c>
      <c r="X524" s="5" t="str">
        <f>IFERROR(__xludf.DUMMYFUNCTION("""COMPUTED_VALUE"""),"NÃO SE APLICA")</f>
        <v>NÃO SE APLICA</v>
      </c>
    </row>
    <row r="525">
      <c r="A525" s="5">
        <f>IFERROR(__xludf.DUMMYFUNCTION("""COMPUTED_VALUE"""),7.0)</f>
        <v>7</v>
      </c>
      <c r="B525" s="5" t="str">
        <f>IFERROR(__xludf.DUMMYFUNCTION("""COMPUTED_VALUE"""),"TM051")</f>
        <v>TM051</v>
      </c>
      <c r="C525" s="5" t="str">
        <f>IFERROR(__xludf.DUMMYFUNCTION("""COMPUTED_VALUE"""),"ABRIGO METÁLICO PEQUENO PORTE")</f>
        <v>ABRIGO METÁLICO PEQUENO PORTE</v>
      </c>
      <c r="D525" s="5" t="str">
        <f>IFERROR(__xludf.DUMMYFUNCTION("""COMPUTED_VALUE"""),"SEM PLACA")</f>
        <v>SEM PLACA</v>
      </c>
      <c r="E525" s="5" t="str">
        <f>IFERROR(__xludf.DUMMYFUNCTION("""COMPUTED_VALUE"""),"SEM BAIA")</f>
        <v>SEM BAIA</v>
      </c>
      <c r="F525" s="5" t="str">
        <f>IFERROR(__xludf.DUMMYFUNCTION("""COMPUTED_VALUE"""),"NÃO")</f>
        <v>NÃO</v>
      </c>
      <c r="G525" s="5" t="str">
        <f>IFERROR(__xludf.DUMMYFUNCTION("""COMPUTED_VALUE"""),"NÃO")</f>
        <v>NÃO</v>
      </c>
      <c r="H525" s="5" t="str">
        <f>IFERROR(__xludf.DUMMYFUNCTION("""COMPUTED_VALUE"""),"NÃO PAVIMENTADA")</f>
        <v>NÃO PAVIMENTADA</v>
      </c>
      <c r="I525" s="6" t="str">
        <f>IFERROR(__xludf.DUMMYFUNCTION("""COMPUTED_VALUE"""),"-9.57843")</f>
        <v>-9.57843</v>
      </c>
      <c r="J525" s="6" t="str">
        <f>IFERROR(__xludf.DUMMYFUNCTION("""COMPUTED_VALUE"""),"-35.77164")</f>
        <v>-35.77164</v>
      </c>
      <c r="K525" s="5" t="str">
        <f>IFERROR(__xludf.DUMMYFUNCTION("""COMPUTED_VALUE"""),"PRAÇA IRMÃ SUZANA")</f>
        <v>PRAÇA IRMÃ SUZANA</v>
      </c>
      <c r="L525" s="5" t="str">
        <f>IFERROR(__xludf.DUMMYFUNCTION("""COMPUTED_VALUE"""),"COLETORA")</f>
        <v>COLETORA</v>
      </c>
      <c r="M525" s="5" t="str">
        <f>IFERROR(__xludf.DUMMYFUNCTION("""COMPUTED_VALUE"""),"TABULEIRO DOS MARTINS")</f>
        <v>TABULEIRO DOS MARTINS</v>
      </c>
      <c r="N525" s="5" t="str">
        <f>IFERROR(__xludf.DUMMYFUNCTION("""COMPUTED_VALUE"""),"BAIRRO - CENTRO")</f>
        <v>BAIRRO - CENTRO</v>
      </c>
      <c r="O525" s="5" t="str">
        <f>IFERROR(__xludf.DUMMYFUNCTION("""COMPUTED_VALUE"""),"EM FRENTE A CAIXA D’ÁGUA")</f>
        <v>EM FRENTE A CAIXA D’ÁGUA</v>
      </c>
      <c r="P525" s="5" t="str">
        <f>IFERROR(__xludf.DUMMYFUNCTION("""COMPUTED_VALUE"""),"PRIORIDADE MÉDIA")</f>
        <v>PRIORIDADE MÉDIA</v>
      </c>
      <c r="Q525" s="5" t="str">
        <f>IFERROR(__xludf.DUMMYFUNCTION("""COMPUTED_VALUE"""),"READEQUAÇÃO DA CALÇADA COM ACESSIBILIDADE E BAIA.")</f>
        <v>READEQUAÇÃO DA CALÇADA COM ACESSIBILIDADE E BAIA.</v>
      </c>
      <c r="R525" s="5" t="str">
        <f>IFERROR(__xludf.DUMMYFUNCTION("""COMPUTED_VALUE"""),"NENHUMA DAS OPÇÕES")</f>
        <v>NENHUMA DAS OPÇÕES</v>
      </c>
      <c r="S525" s="5"/>
      <c r="T525" s="5"/>
      <c r="U525" s="5"/>
      <c r="V525" s="9" t="str">
        <f>IFERROR(__xludf.DUMMYFUNCTION("""COMPUTED_VALUE"""),"https://drive.google.com/uc?id=1epSwqbTCqU6l0xloJxcpG33i4n5UaYpw")</f>
        <v>https://drive.google.com/uc?id=1epSwqbTCqU6l0xloJxcpG33i4n5UaYpw</v>
      </c>
      <c r="W525" s="5" t="str">
        <f>IFERROR(__xludf.DUMMYFUNCTION("""COMPUTED_VALUE"""),"NÃO")</f>
        <v>NÃO</v>
      </c>
      <c r="X525" s="5" t="str">
        <f>IFERROR(__xludf.DUMMYFUNCTION("""COMPUTED_VALUE"""),"SIM")</f>
        <v>SIM</v>
      </c>
    </row>
    <row r="526" hidden="1">
      <c r="A526" s="5">
        <f>IFERROR(__xludf.DUMMYFUNCTION("""COMPUTED_VALUE"""),7.0)</f>
        <v>7</v>
      </c>
      <c r="B526" s="5" t="str">
        <f>IFERROR(__xludf.DUMMYFUNCTION("""COMPUTED_VALUE"""),"TM052")</f>
        <v>TM052</v>
      </c>
      <c r="C526" s="5" t="str">
        <f>IFERROR(__xludf.DUMMYFUNCTION("""COMPUTED_VALUE"""),"NÃO POSSUI")</f>
        <v>NÃO POSSUI</v>
      </c>
      <c r="D526" s="5" t="str">
        <f>IFERROR(__xludf.DUMMYFUNCTION("""COMPUTED_VALUE"""),"FIXADA EM POSTE")</f>
        <v>FIXADA EM POSTE</v>
      </c>
      <c r="E526" s="5" t="str">
        <f>IFERROR(__xludf.DUMMYFUNCTION("""COMPUTED_VALUE"""),"SEM BAIA")</f>
        <v>SEM BAIA</v>
      </c>
      <c r="F526" s="5" t="str">
        <f>IFERROR(__xludf.DUMMYFUNCTION("""COMPUTED_VALUE"""),"NÃO")</f>
        <v>NÃO</v>
      </c>
      <c r="G526" s="5" t="str">
        <f>IFERROR(__xludf.DUMMYFUNCTION("""COMPUTED_VALUE"""),"NÃO")</f>
        <v>NÃO</v>
      </c>
      <c r="H526" s="5" t="str">
        <f>IFERROR(__xludf.DUMMYFUNCTION("""COMPUTED_VALUE"""),"PAVIMENTADA")</f>
        <v>PAVIMENTADA</v>
      </c>
      <c r="I526" s="6" t="str">
        <f>IFERROR(__xludf.DUMMYFUNCTION("""COMPUTED_VALUE"""),"-9.57955")</f>
        <v>-9.57955</v>
      </c>
      <c r="J526" s="6" t="str">
        <f>IFERROR(__xludf.DUMMYFUNCTION("""COMPUTED_VALUE"""),"-35.77274")</f>
        <v>-35.77274</v>
      </c>
      <c r="K526" s="5" t="str">
        <f>IFERROR(__xludf.DUMMYFUNCTION("""COMPUTED_VALUE"""),"RUA SETE DE SETEMBRO")</f>
        <v>RUA SETE DE SETEMBRO</v>
      </c>
      <c r="L526" s="5" t="str">
        <f>IFERROR(__xludf.DUMMYFUNCTION("""COMPUTED_VALUE"""),"COLETORA")</f>
        <v>COLETORA</v>
      </c>
      <c r="M526" s="5" t="str">
        <f>IFERROR(__xludf.DUMMYFUNCTION("""COMPUTED_VALUE"""),"TABULEIRO DOS MARTINS")</f>
        <v>TABULEIRO DOS MARTINS</v>
      </c>
      <c r="N526" s="5" t="str">
        <f>IFERROR(__xludf.DUMMYFUNCTION("""COMPUTED_VALUE"""),"BAIRRO - CENTRO")</f>
        <v>BAIRRO - CENTRO</v>
      </c>
      <c r="O526" s="5" t="str">
        <f>IFERROR(__xludf.DUMMYFUNCTION("""COMPUTED_VALUE"""),"EM FRENTE A IGREJA CATÓLICA")</f>
        <v>EM FRENTE A IGREJA CATÓLICA</v>
      </c>
      <c r="P526" s="5" t="str">
        <f>IFERROR(__xludf.DUMMYFUNCTION("""COMPUTED_VALUE"""),"PRIORIDADE BAIXA")</f>
        <v>PRIORIDADE BAIXA</v>
      </c>
      <c r="Q526" s="5" t="str">
        <f>IFERROR(__xludf.DUMMYFUNCTION("""COMPUTED_VALUE"""),"READEQUAÇÃO DA CALÇADA COM ACESSIBILIDADE E BAIA.")</f>
        <v>READEQUAÇÃO DA CALÇADA COM ACESSIBILIDADE E BAIA.</v>
      </c>
      <c r="R526" s="5" t="str">
        <f>IFERROR(__xludf.DUMMYFUNCTION("""COMPUTED_VALUE"""),"NENHUMA DAS OPÇÕES")</f>
        <v>NENHUMA DAS OPÇÕES</v>
      </c>
      <c r="S526" s="5"/>
      <c r="T526" s="5"/>
      <c r="U526" s="5"/>
      <c r="V526" s="9" t="str">
        <f>IFERROR(__xludf.DUMMYFUNCTION("""COMPUTED_VALUE"""),"https://drive.google.com/uc?id=1TxnL4U-FEn1tQsXEF4I7v7Wieglqo6hi")</f>
        <v>https://drive.google.com/uc?id=1TxnL4U-FEn1tQsXEF4I7v7Wieglqo6hi</v>
      </c>
      <c r="W526" s="5" t="str">
        <f>IFERROR(__xludf.DUMMYFUNCTION("""COMPUTED_VALUE"""),"NÃO")</f>
        <v>NÃO</v>
      </c>
      <c r="X526" s="5" t="str">
        <f>IFERROR(__xludf.DUMMYFUNCTION("""COMPUTED_VALUE"""),"NÃO SE APLICA")</f>
        <v>NÃO SE APLICA</v>
      </c>
    </row>
    <row r="527" hidden="1">
      <c r="A527" s="5">
        <f>IFERROR(__xludf.DUMMYFUNCTION("""COMPUTED_VALUE"""),7.0)</f>
        <v>7</v>
      </c>
      <c r="B527" s="5" t="str">
        <f>IFERROR(__xludf.DUMMYFUNCTION("""COMPUTED_VALUE"""),"TM053")</f>
        <v>TM053</v>
      </c>
      <c r="C527" s="5" t="str">
        <f>IFERROR(__xludf.DUMMYFUNCTION("""COMPUTED_VALUE"""),"NÃO POSSUI")</f>
        <v>NÃO POSSUI</v>
      </c>
      <c r="D527" s="5" t="str">
        <f>IFERROR(__xludf.DUMMYFUNCTION("""COMPUTED_VALUE"""),"SEM PLACA")</f>
        <v>SEM PLACA</v>
      </c>
      <c r="E527" s="5" t="str">
        <f>IFERROR(__xludf.DUMMYFUNCTION("""COMPUTED_VALUE"""),"SEM BAIA")</f>
        <v>SEM BAIA</v>
      </c>
      <c r="F527" s="5" t="str">
        <f>IFERROR(__xludf.DUMMYFUNCTION("""COMPUTED_VALUE"""),"NÃO")</f>
        <v>NÃO</v>
      </c>
      <c r="G527" s="5" t="str">
        <f>IFERROR(__xludf.DUMMYFUNCTION("""COMPUTED_VALUE"""),"NÃO")</f>
        <v>NÃO</v>
      </c>
      <c r="H527" s="5" t="str">
        <f>IFERROR(__xludf.DUMMYFUNCTION("""COMPUTED_VALUE"""),"PAVIMENTADA COM AVARIAS")</f>
        <v>PAVIMENTADA COM AVARIAS</v>
      </c>
      <c r="I527" s="6" t="str">
        <f>IFERROR(__xludf.DUMMYFUNCTION("""COMPUTED_VALUE"""),"-9.57709")</f>
        <v>-9.57709</v>
      </c>
      <c r="J527" s="6" t="str">
        <f>IFERROR(__xludf.DUMMYFUNCTION("""COMPUTED_VALUE"""),"-35.77851")</f>
        <v>-35.77851</v>
      </c>
      <c r="K527" s="5" t="str">
        <f>IFERROR(__xludf.DUMMYFUNCTION("""COMPUTED_VALUE"""),"RUA FIRMO CORREIA DE ARAUJO")</f>
        <v>RUA FIRMO CORREIA DE ARAUJO</v>
      </c>
      <c r="L527" s="5" t="str">
        <f>IFERROR(__xludf.DUMMYFUNCTION("""COMPUTED_VALUE"""),"COLETORA")</f>
        <v>COLETORA</v>
      </c>
      <c r="M527" s="5" t="str">
        <f>IFERROR(__xludf.DUMMYFUNCTION("""COMPUTED_VALUE"""),"TABULEIRO DOS MARTINS")</f>
        <v>TABULEIRO DOS MARTINS</v>
      </c>
      <c r="N527" s="5" t="str">
        <f>IFERROR(__xludf.DUMMYFUNCTION("""COMPUTED_VALUE"""),"BAIRRO - CENTRO")</f>
        <v>BAIRRO - CENTRO</v>
      </c>
      <c r="O527" s="5" t="str">
        <f>IFERROR(__xludf.DUMMYFUNCTION("""COMPUTED_VALUE"""),"EM FRENTE A SAPATARIA")</f>
        <v>EM FRENTE A SAPATARIA</v>
      </c>
      <c r="P527" s="5" t="str">
        <f>IFERROR(__xludf.DUMMYFUNCTION("""COMPUTED_VALUE"""),"URGENTE")</f>
        <v>URGENTE</v>
      </c>
      <c r="Q527" s="5" t="str">
        <f>IFERROR(__xludf.DUMMYFUNCTION("""COMPUTED_VALUE"""),"READEQUAÇÃO DA CALÇADA COM ACESSIBILIDADE E BAIA.")</f>
        <v>READEQUAÇÃO DA CALÇADA COM ACESSIBILIDADE E BAIA.</v>
      </c>
      <c r="R527" s="5" t="str">
        <f>IFERROR(__xludf.DUMMYFUNCTION("""COMPUTED_VALUE"""),"NENHUMA DAS OPÇÕES")</f>
        <v>NENHUMA DAS OPÇÕES</v>
      </c>
      <c r="S527" s="5"/>
      <c r="T527" s="5"/>
      <c r="U527" s="5"/>
      <c r="V527" s="9" t="str">
        <f>IFERROR(__xludf.DUMMYFUNCTION("""COMPUTED_VALUE"""),"https://drive.google.com/uc?id=1GMSr6v_60jAWVujyu0Cjc1xfu-p-eDVY")</f>
        <v>https://drive.google.com/uc?id=1GMSr6v_60jAWVujyu0Cjc1xfu-p-eDVY</v>
      </c>
      <c r="W527" s="5" t="str">
        <f>IFERROR(__xludf.DUMMYFUNCTION("""COMPUTED_VALUE"""),"NÃO")</f>
        <v>NÃO</v>
      </c>
      <c r="X527" s="5" t="str">
        <f>IFERROR(__xludf.DUMMYFUNCTION("""COMPUTED_VALUE"""),"NÃO SE APLICA")</f>
        <v>NÃO SE APLICA</v>
      </c>
    </row>
    <row r="528" hidden="1">
      <c r="A528" s="5">
        <f>IFERROR(__xludf.DUMMYFUNCTION("""COMPUTED_VALUE"""),7.0)</f>
        <v>7</v>
      </c>
      <c r="B528" s="5" t="str">
        <f>IFERROR(__xludf.DUMMYFUNCTION("""COMPUTED_VALUE"""),"TM054")</f>
        <v>TM054</v>
      </c>
      <c r="C528" s="5" t="str">
        <f>IFERROR(__xludf.DUMMYFUNCTION("""COMPUTED_VALUE"""),"NÃO POSSUI")</f>
        <v>NÃO POSSUI</v>
      </c>
      <c r="D528" s="5" t="str">
        <f>IFERROR(__xludf.DUMMYFUNCTION("""COMPUTED_VALUE"""),"COM SUPORTE")</f>
        <v>COM SUPORTE</v>
      </c>
      <c r="E528" s="5" t="str">
        <f>IFERROR(__xludf.DUMMYFUNCTION("""COMPUTED_VALUE"""),"SEM BAIA")</f>
        <v>SEM BAIA</v>
      </c>
      <c r="F528" s="5" t="str">
        <f>IFERROR(__xludf.DUMMYFUNCTION("""COMPUTED_VALUE"""),"NÃO")</f>
        <v>NÃO</v>
      </c>
      <c r="G528" s="5" t="str">
        <f>IFERROR(__xludf.DUMMYFUNCTION("""COMPUTED_VALUE"""),"NÃO")</f>
        <v>NÃO</v>
      </c>
      <c r="H528" s="5" t="str">
        <f>IFERROR(__xludf.DUMMYFUNCTION("""COMPUTED_VALUE"""),"NÃO PAVIMENTADA")</f>
        <v>NÃO PAVIMENTADA</v>
      </c>
      <c r="I528" s="6" t="str">
        <f>IFERROR(__xludf.DUMMYFUNCTION("""COMPUTED_VALUE"""),"-9.563237")</f>
        <v>-9.563237</v>
      </c>
      <c r="J528" s="6" t="str">
        <f>IFERROR(__xludf.DUMMYFUNCTION("""COMPUTED_VALUE"""),"-35.771592")</f>
        <v>-35.771592</v>
      </c>
      <c r="K528" s="5" t="str">
        <f>IFERROR(__xludf.DUMMYFUNCTION("""COMPUTED_VALUE"""),"AV. MENINO MARCELO")</f>
        <v>AV. MENINO MARCELO</v>
      </c>
      <c r="L528" s="5" t="str">
        <f>IFERROR(__xludf.DUMMYFUNCTION("""COMPUTED_VALUE"""),"ARTERIAL ")</f>
        <v>ARTERIAL </v>
      </c>
      <c r="M528" s="5" t="str">
        <f>IFERROR(__xludf.DUMMYFUNCTION("""COMPUTED_VALUE"""),"TABULEIRO DOS MARTINS")</f>
        <v>TABULEIRO DOS MARTINS</v>
      </c>
      <c r="N528" s="5" t="str">
        <f>IFERROR(__xludf.DUMMYFUNCTION("""COMPUTED_VALUE"""),"BAIRRO - CENTRO / CENTRO - BAIRRO")</f>
        <v>BAIRRO - CENTRO / CENTRO - BAIRRO</v>
      </c>
      <c r="O528" s="5" t="str">
        <f>IFERROR(__xludf.DUMMYFUNCTION("""COMPUTED_VALUE"""),"EM FRENTE A MARCIO AUTO PEÇAS")</f>
        <v>EM FRENTE A MARCIO AUTO PEÇAS</v>
      </c>
      <c r="P528" s="5" t="str">
        <f>IFERROR(__xludf.DUMMYFUNCTION("""COMPUTED_VALUE"""),"PRIORIDADE MÉDIA")</f>
        <v>PRIORIDADE MÉDIA</v>
      </c>
      <c r="Q528" s="5" t="str">
        <f>IFERROR(__xludf.DUMMYFUNCTION("""COMPUTED_VALUE"""),"ADEQUAR CALÇADA, PINTURA DE BAÍA NO ASFALTO.")</f>
        <v>ADEQUAR CALÇADA, PINTURA DE BAÍA NO ASFALTO.</v>
      </c>
      <c r="R528" s="5" t="str">
        <f>IFERROR(__xludf.DUMMYFUNCTION("""COMPUTED_VALUE"""),"NENHUMA DAS OPÇÕES")</f>
        <v>NENHUMA DAS OPÇÕES</v>
      </c>
      <c r="S528" s="5"/>
      <c r="T528" s="5"/>
      <c r="U528" s="5"/>
      <c r="V528" s="9" t="str">
        <f>IFERROR(__xludf.DUMMYFUNCTION("""COMPUTED_VALUE"""),"https://drive.google.com/uc?id=1xIMbcaPwWQHnQrd4SDJvJZekA9Ktay3o")</f>
        <v>https://drive.google.com/uc?id=1xIMbcaPwWQHnQrd4SDJvJZekA9Ktay3o</v>
      </c>
      <c r="W528" s="5" t="str">
        <f>IFERROR(__xludf.DUMMYFUNCTION("""COMPUTED_VALUE"""),"NÃO")</f>
        <v>NÃO</v>
      </c>
      <c r="X528" s="5" t="str">
        <f>IFERROR(__xludf.DUMMYFUNCTION("""COMPUTED_VALUE"""),"NÃO SE APLICA")</f>
        <v>NÃO SE APLICA</v>
      </c>
    </row>
    <row r="529" ht="18.0" hidden="1" customHeight="1">
      <c r="A529" s="5">
        <f>IFERROR(__xludf.DUMMYFUNCTION("""COMPUTED_VALUE"""),7.0)</f>
        <v>7</v>
      </c>
      <c r="B529" s="5" t="str">
        <f>IFERROR(__xludf.DUMMYFUNCTION("""COMPUTED_VALUE"""),"TM055")</f>
        <v>TM055</v>
      </c>
      <c r="C529" s="5" t="str">
        <f>IFERROR(__xludf.DUMMYFUNCTION("""COMPUTED_VALUE"""),"NÃO POSSUI")</f>
        <v>NÃO POSSUI</v>
      </c>
      <c r="D529" s="5" t="str">
        <f>IFERROR(__xludf.DUMMYFUNCTION("""COMPUTED_VALUE"""),"SEM PLACA")</f>
        <v>SEM PLACA</v>
      </c>
      <c r="E529" s="5" t="str">
        <f>IFERROR(__xludf.DUMMYFUNCTION("""COMPUTED_VALUE"""),"SEM BAIA")</f>
        <v>SEM BAIA</v>
      </c>
      <c r="F529" s="5" t="str">
        <f>IFERROR(__xludf.DUMMYFUNCTION("""COMPUTED_VALUE"""),"NÃO")</f>
        <v>NÃO</v>
      </c>
      <c r="G529" s="5" t="str">
        <f>IFERROR(__xludf.DUMMYFUNCTION("""COMPUTED_VALUE"""),"NÃO")</f>
        <v>NÃO</v>
      </c>
      <c r="H529" s="5" t="str">
        <f>IFERROR(__xludf.DUMMYFUNCTION("""COMPUTED_VALUE"""),"NÃO PAVIMENTADA")</f>
        <v>NÃO PAVIMENTADA</v>
      </c>
      <c r="I529" s="6" t="str">
        <f>IFERROR(__xludf.DUMMYFUNCTION("""COMPUTED_VALUE"""),"-9.56128")</f>
        <v>-9.56128</v>
      </c>
      <c r="J529" s="6" t="str">
        <f>IFERROR(__xludf.DUMMYFUNCTION("""COMPUTED_VALUE"""),"-35.76784")</f>
        <v>-35.76784</v>
      </c>
      <c r="K529" s="5" t="str">
        <f>IFERROR(__xludf.DUMMYFUNCTION("""COMPUTED_VALUE"""),"AV. MENINO MARCELO")</f>
        <v>AV. MENINO MARCELO</v>
      </c>
      <c r="L529" s="5" t="str">
        <f>IFERROR(__xludf.DUMMYFUNCTION("""COMPUTED_VALUE"""),"ARTERIAL ")</f>
        <v>ARTERIAL </v>
      </c>
      <c r="M529" s="5" t="str">
        <f>IFERROR(__xludf.DUMMYFUNCTION("""COMPUTED_VALUE"""),"TABULEIRO DOS MARTINS")</f>
        <v>TABULEIRO DOS MARTINS</v>
      </c>
      <c r="N529" s="5" t="str">
        <f>IFERROR(__xludf.DUMMYFUNCTION("""COMPUTED_VALUE"""),"BAIRRO - CENTRO / CENTRO - BAIRRO")</f>
        <v>BAIRRO - CENTRO / CENTRO - BAIRRO</v>
      </c>
      <c r="O529" s="5" t="str">
        <f>IFERROR(__xludf.DUMMYFUNCTION("""COMPUTED_VALUE"""),"DO LADO OPOSTO AO POSTO VIA EXPRESSA")</f>
        <v>DO LADO OPOSTO AO POSTO VIA EXPRESSA</v>
      </c>
      <c r="P529" s="5" t="str">
        <f>IFERROR(__xludf.DUMMYFUNCTION("""COMPUTED_VALUE"""),"URGENTE")</f>
        <v>URGENTE</v>
      </c>
      <c r="Q529" s="5" t="str">
        <f>IFERROR(__xludf.DUMMYFUNCTION("""COMPUTED_VALUE"""),"ADEQUAR CALÇADA, PINTURA DE BAÍA NO ASFALTO.")</f>
        <v>ADEQUAR CALÇADA, PINTURA DE BAÍA NO ASFALTO.</v>
      </c>
      <c r="R529" s="5" t="str">
        <f>IFERROR(__xludf.DUMMYFUNCTION("""COMPUTED_VALUE"""),"NENHUMA DAS OPÇÕES")</f>
        <v>NENHUMA DAS OPÇÕES</v>
      </c>
      <c r="S529" s="5"/>
      <c r="T529" s="5"/>
      <c r="U529" s="5"/>
      <c r="V529" s="9" t="str">
        <f>IFERROR(__xludf.DUMMYFUNCTION("""COMPUTED_VALUE"""),"https://drive.google.com/uc?id=11Jy_afnitY5MiuHKs7mPCNEmXjH4voPP")</f>
        <v>https://drive.google.com/uc?id=11Jy_afnitY5MiuHKs7mPCNEmXjH4voPP</v>
      </c>
      <c r="W529" s="5" t="str">
        <f>IFERROR(__xludf.DUMMYFUNCTION("""COMPUTED_VALUE"""),"NÃO")</f>
        <v>NÃO</v>
      </c>
      <c r="X529" s="5" t="str">
        <f>IFERROR(__xludf.DUMMYFUNCTION("""COMPUTED_VALUE"""),"NÃO SE APLICA")</f>
        <v>NÃO SE APLICA</v>
      </c>
    </row>
    <row r="530" hidden="1">
      <c r="A530" s="5">
        <f>IFERROR(__xludf.DUMMYFUNCTION("""COMPUTED_VALUE"""),7.0)</f>
        <v>7</v>
      </c>
      <c r="B530" s="5" t="str">
        <f>IFERROR(__xludf.DUMMYFUNCTION("""COMPUTED_VALUE"""),"TM056")</f>
        <v>TM056</v>
      </c>
      <c r="C530" s="5" t="str">
        <f>IFERROR(__xludf.DUMMYFUNCTION("""COMPUTED_VALUE"""),"NÃO POSSUI")</f>
        <v>NÃO POSSUI</v>
      </c>
      <c r="D530" s="5" t="str">
        <f>IFERROR(__xludf.DUMMYFUNCTION("""COMPUTED_VALUE"""),"COM SUPORTE")</f>
        <v>COM SUPORTE</v>
      </c>
      <c r="E530" s="5" t="str">
        <f>IFERROR(__xludf.DUMMYFUNCTION("""COMPUTED_VALUE"""),"SEM BAIA")</f>
        <v>SEM BAIA</v>
      </c>
      <c r="F530" s="5" t="str">
        <f>IFERROR(__xludf.DUMMYFUNCTION("""COMPUTED_VALUE"""),"NÃO")</f>
        <v>NÃO</v>
      </c>
      <c r="G530" s="5" t="str">
        <f>IFERROR(__xludf.DUMMYFUNCTION("""COMPUTED_VALUE"""),"NÃO")</f>
        <v>NÃO</v>
      </c>
      <c r="H530" s="5" t="str">
        <f>IFERROR(__xludf.DUMMYFUNCTION("""COMPUTED_VALUE"""),"NÃO PAVIMENTADA")</f>
        <v>NÃO PAVIMENTADA</v>
      </c>
      <c r="I530" s="6" t="str">
        <f>IFERROR(__xludf.DUMMYFUNCTION("""COMPUTED_VALUE"""),"-9.560148")</f>
        <v>-9.560148</v>
      </c>
      <c r="J530" s="6" t="str">
        <f>IFERROR(__xludf.DUMMYFUNCTION("""COMPUTED_VALUE"""),"-35.765353")</f>
        <v>-35.765353</v>
      </c>
      <c r="K530" s="5" t="str">
        <f>IFERROR(__xludf.DUMMYFUNCTION("""COMPUTED_VALUE"""),"AV. MENINO MARCELO")</f>
        <v>AV. MENINO MARCELO</v>
      </c>
      <c r="L530" s="5" t="str">
        <f>IFERROR(__xludf.DUMMYFUNCTION("""COMPUTED_VALUE"""),"ARTERIAL ")</f>
        <v>ARTERIAL </v>
      </c>
      <c r="M530" s="5" t="str">
        <f>IFERROR(__xludf.DUMMYFUNCTION("""COMPUTED_VALUE"""),"TABULEIRO DOS MARTINS")</f>
        <v>TABULEIRO DOS MARTINS</v>
      </c>
      <c r="N530" s="5" t="str">
        <f>IFERROR(__xludf.DUMMYFUNCTION("""COMPUTED_VALUE"""),"BAIRRO - CENTRO / CENTRO - BAIRRO")</f>
        <v>BAIRRO - CENTRO / CENTRO - BAIRRO</v>
      </c>
      <c r="O530" s="5" t="str">
        <f>IFERROR(__xludf.DUMMYFUNCTION("""COMPUTED_VALUE"""),"EM FRENTE A MULTIFORROS PVC")</f>
        <v>EM FRENTE A MULTIFORROS PVC</v>
      </c>
      <c r="P530" s="5" t="str">
        <f>IFERROR(__xludf.DUMMYFUNCTION("""COMPUTED_VALUE"""),"PRIORIDADE MÉDIA")</f>
        <v>PRIORIDADE MÉDIA</v>
      </c>
      <c r="Q530" s="5" t="str">
        <f>IFERROR(__xludf.DUMMYFUNCTION("""COMPUTED_VALUE"""),"ADEQUAR CALÇADA, PINTURA DE BAÍA NO ASFALTO.")</f>
        <v>ADEQUAR CALÇADA, PINTURA DE BAÍA NO ASFALTO.</v>
      </c>
      <c r="R530" s="5" t="str">
        <f>IFERROR(__xludf.DUMMYFUNCTION("""COMPUTED_VALUE"""),"NENHUMA DAS OPÇÕES")</f>
        <v>NENHUMA DAS OPÇÕES</v>
      </c>
      <c r="S530" s="5"/>
      <c r="T530" s="5"/>
      <c r="U530" s="5"/>
      <c r="V530" s="9" t="str">
        <f>IFERROR(__xludf.DUMMYFUNCTION("""COMPUTED_VALUE"""),"https://drive.google.com/uc?id=1x43wmMDzR9RAzn5z9N0N1WsqL-Yo2UBt")</f>
        <v>https://drive.google.com/uc?id=1x43wmMDzR9RAzn5z9N0N1WsqL-Yo2UBt</v>
      </c>
      <c r="W530" s="5" t="str">
        <f>IFERROR(__xludf.DUMMYFUNCTION("""COMPUTED_VALUE"""),"NÃO")</f>
        <v>NÃO</v>
      </c>
      <c r="X530" s="5" t="str">
        <f>IFERROR(__xludf.DUMMYFUNCTION("""COMPUTED_VALUE"""),"NÃO SE APLICA")</f>
        <v>NÃO SE APLICA</v>
      </c>
    </row>
    <row r="531" ht="19.5" hidden="1" customHeight="1">
      <c r="A531" s="5">
        <f>IFERROR(__xludf.DUMMYFUNCTION("""COMPUTED_VALUE"""),7.0)</f>
        <v>7</v>
      </c>
      <c r="B531" s="5" t="str">
        <f>IFERROR(__xludf.DUMMYFUNCTION("""COMPUTED_VALUE"""),"TM057")</f>
        <v>TM057</v>
      </c>
      <c r="C531" s="5" t="str">
        <f>IFERROR(__xludf.DUMMYFUNCTION("""COMPUTED_VALUE"""),"NÃO POSSUI")</f>
        <v>NÃO POSSUI</v>
      </c>
      <c r="D531" s="5" t="str">
        <f>IFERROR(__xludf.DUMMYFUNCTION("""COMPUTED_VALUE"""),"SEM PLACA")</f>
        <v>SEM PLACA</v>
      </c>
      <c r="E531" s="5" t="str">
        <f>IFERROR(__xludf.DUMMYFUNCTION("""COMPUTED_VALUE"""),"SEM BAIA")</f>
        <v>SEM BAIA</v>
      </c>
      <c r="F531" s="5" t="str">
        <f>IFERROR(__xludf.DUMMYFUNCTION("""COMPUTED_VALUE"""),"NÃO")</f>
        <v>NÃO</v>
      </c>
      <c r="G531" s="5" t="str">
        <f>IFERROR(__xludf.DUMMYFUNCTION("""COMPUTED_VALUE"""),"NÃO")</f>
        <v>NÃO</v>
      </c>
      <c r="H531" s="5" t="str">
        <f>IFERROR(__xludf.DUMMYFUNCTION("""COMPUTED_VALUE"""),"NÃO PAVIMENTADA")</f>
        <v>NÃO PAVIMENTADA</v>
      </c>
      <c r="I531" s="6" t="str">
        <f>IFERROR(__xludf.DUMMYFUNCTION("""COMPUTED_VALUE"""),"-9.5692591")</f>
        <v>-9.5692591</v>
      </c>
      <c r="J531" s="6" t="str">
        <f>IFERROR(__xludf.DUMMYFUNCTION("""COMPUTED_VALUE""")," -35.7501661    ")</f>
        <v> -35.7501661    </v>
      </c>
      <c r="K531" s="5" t="str">
        <f>IFERROR(__xludf.DUMMYFUNCTION("""COMPUTED_VALUE"""),"RUA JACI MELO")</f>
        <v>RUA JACI MELO</v>
      </c>
      <c r="L531" s="5" t="str">
        <f>IFERROR(__xludf.DUMMYFUNCTION("""COMPUTED_VALUE"""),"LOCAL")</f>
        <v>LOCAL</v>
      </c>
      <c r="M531" s="5" t="str">
        <f>IFERROR(__xludf.DUMMYFUNCTION("""COMPUTED_VALUE"""),"TABULEIRO DOS MARTINS")</f>
        <v>TABULEIRO DOS MARTINS</v>
      </c>
      <c r="N531" s="5" t="str">
        <f>IFERROR(__xludf.DUMMYFUNCTION("""COMPUTED_VALUE"""),"BAIRRO - CENTRO / CENTRO - BAIRRO")</f>
        <v>BAIRRO - CENTRO / CENTRO - BAIRRO</v>
      </c>
      <c r="O531" s="5" t="str">
        <f>IFERROR(__xludf.DUMMYFUNCTION("""COMPUTED_VALUE"""),"PRÓXIMO A AUTO PINTURA JCAR")</f>
        <v>PRÓXIMO A AUTO PINTURA JCAR</v>
      </c>
      <c r="P531" s="5" t="str">
        <f>IFERROR(__xludf.DUMMYFUNCTION("""COMPUTED_VALUE"""),"PRIORIDADE BAIXA")</f>
        <v>PRIORIDADE BAIXA</v>
      </c>
      <c r="Q531" s="5" t="str">
        <f>IFERROR(__xludf.DUMMYFUNCTION("""COMPUTED_VALUE""")," PINTURA DE BAÍA NO ASFALTO.")</f>
        <v> PINTURA DE BAÍA NO ASFALTO.</v>
      </c>
      <c r="R531" s="5" t="str">
        <f>IFERROR(__xludf.DUMMYFUNCTION("""COMPUTED_VALUE"""),"IMPLANTAR ABRIGO")</f>
        <v>IMPLANTAR ABRIGO</v>
      </c>
      <c r="S531" s="5"/>
      <c r="T531" s="5"/>
      <c r="U531" s="5"/>
      <c r="V531" s="9" t="str">
        <f>IFERROR(__xludf.DUMMYFUNCTION("""COMPUTED_VALUE"""),"https://drive.google.com/uc?id=1DEMtRNR8JDi-3obTKwxw-xnI46dI4Hj5")</f>
        <v>https://drive.google.com/uc?id=1DEMtRNR8JDi-3obTKwxw-xnI46dI4Hj5</v>
      </c>
      <c r="W531" s="5" t="str">
        <f>IFERROR(__xludf.DUMMYFUNCTION("""COMPUTED_VALUE"""),"NÃO")</f>
        <v>NÃO</v>
      </c>
      <c r="X531" s="5" t="str">
        <f>IFERROR(__xludf.DUMMYFUNCTION("""COMPUTED_VALUE"""),"NÃO SE APLICA")</f>
        <v>NÃO SE APLICA</v>
      </c>
    </row>
    <row r="532" hidden="1">
      <c r="A532" s="5">
        <f>IFERROR(__xludf.DUMMYFUNCTION("""COMPUTED_VALUE"""),7.0)</f>
        <v>7</v>
      </c>
      <c r="B532" s="5" t="str">
        <f>IFERROR(__xludf.DUMMYFUNCTION("""COMPUTED_VALUE"""),"TM058")</f>
        <v>TM058</v>
      </c>
      <c r="C532" s="5" t="str">
        <f>IFERROR(__xludf.DUMMYFUNCTION("""COMPUTED_VALUE"""),"NÃO POSSUI")</f>
        <v>NÃO POSSUI</v>
      </c>
      <c r="D532" s="5" t="str">
        <f>IFERROR(__xludf.DUMMYFUNCTION("""COMPUTED_VALUE"""),"SEM PLACA")</f>
        <v>SEM PLACA</v>
      </c>
      <c r="E532" s="5" t="str">
        <f>IFERROR(__xludf.DUMMYFUNCTION("""COMPUTED_VALUE"""),"SEM BAIA")</f>
        <v>SEM BAIA</v>
      </c>
      <c r="F532" s="5" t="str">
        <f>IFERROR(__xludf.DUMMYFUNCTION("""COMPUTED_VALUE"""),"NÃO")</f>
        <v>NÃO</v>
      </c>
      <c r="G532" s="5" t="str">
        <f>IFERROR(__xludf.DUMMYFUNCTION("""COMPUTED_VALUE"""),"NÃO")</f>
        <v>NÃO</v>
      </c>
      <c r="H532" s="5" t="str">
        <f>IFERROR(__xludf.DUMMYFUNCTION("""COMPUTED_VALUE"""),"NÃO PAVIMENTADA")</f>
        <v>NÃO PAVIMENTADA</v>
      </c>
      <c r="I532" s="6" t="str">
        <f>IFERROR(__xludf.DUMMYFUNCTION("""COMPUTED_VALUE"""),"-9.569320")</f>
        <v>-9.569320</v>
      </c>
      <c r="J532" s="6" t="str">
        <f>IFERROR(__xludf.DUMMYFUNCTION("""COMPUTED_VALUE"""),"-35.750116")</f>
        <v>-35.750116</v>
      </c>
      <c r="K532" s="5" t="str">
        <f>IFERROR(__xludf.DUMMYFUNCTION("""COMPUTED_VALUE"""),"RUA JACI MELO")</f>
        <v>RUA JACI MELO</v>
      </c>
      <c r="L532" s="5" t="str">
        <f>IFERROR(__xludf.DUMMYFUNCTION("""COMPUTED_VALUE"""),"LOCAL")</f>
        <v>LOCAL</v>
      </c>
      <c r="M532" s="5" t="str">
        <f>IFERROR(__xludf.DUMMYFUNCTION("""COMPUTED_VALUE"""),"TABULEIRO DOS MARTINS")</f>
        <v>TABULEIRO DOS MARTINS</v>
      </c>
      <c r="N532" s="5" t="str">
        <f>IFERROR(__xludf.DUMMYFUNCTION("""COMPUTED_VALUE"""),"BAIRRO - CENTRO")</f>
        <v>BAIRRO - CENTRO</v>
      </c>
      <c r="O532" s="5" t="str">
        <f>IFERROR(__xludf.DUMMYFUNCTION("""COMPUTED_VALUE"""),"PRÓXIMO A AUTO PINTURA JCAR")</f>
        <v>PRÓXIMO A AUTO PINTURA JCAR</v>
      </c>
      <c r="P532" s="5" t="str">
        <f>IFERROR(__xludf.DUMMYFUNCTION("""COMPUTED_VALUE"""),"PRIORIDADE BAIXA")</f>
        <v>PRIORIDADE BAIXA</v>
      </c>
      <c r="Q532" s="5" t="str">
        <f>IFERROR(__xludf.DUMMYFUNCTION("""COMPUTED_VALUE"""),"READEQUAÇÃO DE CALÇADA COM ACESSIBILIDADE E PINTURA DE BAÍA NO ASFALTO")</f>
        <v>READEQUAÇÃO DE CALÇADA COM ACESSIBILIDADE E PINTURA DE BAÍA NO ASFALTO</v>
      </c>
      <c r="R532" s="5" t="str">
        <f>IFERROR(__xludf.DUMMYFUNCTION("""COMPUTED_VALUE"""),"NENHUMA DAS OPÇÕES")</f>
        <v>NENHUMA DAS OPÇÕES</v>
      </c>
      <c r="S532" s="5"/>
      <c r="T532" s="5"/>
      <c r="U532" s="5"/>
      <c r="V532" s="9" t="str">
        <f>IFERROR(__xludf.DUMMYFUNCTION("""COMPUTED_VALUE"""),"https://drive.google.com/uc?id=1d5mPSWHMEZxC8SugHkXzmbHmsfSFOT6o")</f>
        <v>https://drive.google.com/uc?id=1d5mPSWHMEZxC8SugHkXzmbHmsfSFOT6o</v>
      </c>
      <c r="W532" s="5" t="str">
        <f>IFERROR(__xludf.DUMMYFUNCTION("""COMPUTED_VALUE"""),"NÃO")</f>
        <v>NÃO</v>
      </c>
      <c r="X532" s="5" t="str">
        <f>IFERROR(__xludf.DUMMYFUNCTION("""COMPUTED_VALUE"""),"NÃO SE APLICA")</f>
        <v>NÃO SE APLICA</v>
      </c>
    </row>
    <row r="533" ht="20.25" customHeight="1">
      <c r="A533" s="5">
        <f>IFERROR(__xludf.DUMMYFUNCTION("""COMPUTED_VALUE"""),7.0)</f>
        <v>7</v>
      </c>
      <c r="B533" s="5" t="str">
        <f>IFERROR(__xludf.DUMMYFUNCTION("""COMPUTED_VALUE"""),"TM059")</f>
        <v>TM059</v>
      </c>
      <c r="C533" s="5" t="str">
        <f>IFERROR(__xludf.DUMMYFUNCTION("""COMPUTED_VALUE"""),"ABRIGO CONCRETO")</f>
        <v>ABRIGO CONCRETO</v>
      </c>
      <c r="D533" s="5" t="str">
        <f>IFERROR(__xludf.DUMMYFUNCTION("""COMPUTED_VALUE"""),"SEM PLACA")</f>
        <v>SEM PLACA</v>
      </c>
      <c r="E533" s="5" t="str">
        <f>IFERROR(__xludf.DUMMYFUNCTION("""COMPUTED_VALUE"""),"SEM BAIA")</f>
        <v>SEM BAIA</v>
      </c>
      <c r="F533" s="5" t="str">
        <f>IFERROR(__xludf.DUMMYFUNCTION("""COMPUTED_VALUE"""),"NÃO")</f>
        <v>NÃO</v>
      </c>
      <c r="G533" s="5" t="str">
        <f>IFERROR(__xludf.DUMMYFUNCTION("""COMPUTED_VALUE"""),"NÃO")</f>
        <v>NÃO</v>
      </c>
      <c r="H533" s="5" t="str">
        <f>IFERROR(__xludf.DUMMYFUNCTION("""COMPUTED_VALUE"""),"PAVIMENTADA")</f>
        <v>PAVIMENTADA</v>
      </c>
      <c r="I533" s="6" t="str">
        <f>IFERROR(__xludf.DUMMYFUNCTION("""COMPUTED_VALUE"""),"-9.5691829")</f>
        <v>-9.5691829</v>
      </c>
      <c r="J533" s="6" t="str">
        <f>IFERROR(__xludf.DUMMYFUNCTION("""COMPUTED_VALUE"""),"-35.7523107
")</f>
        <v>-35.7523107
</v>
      </c>
      <c r="K533" s="5" t="str">
        <f>IFERROR(__xludf.DUMMYFUNCTION("""COMPUTED_VALUE"""),"R.CEL. PEDRO PIERRE BRAGA")</f>
        <v>R.CEL. PEDRO PIERRE BRAGA</v>
      </c>
      <c r="L533" s="5" t="str">
        <f>IFERROR(__xludf.DUMMYFUNCTION("""COMPUTED_VALUE"""),"LOCAL")</f>
        <v>LOCAL</v>
      </c>
      <c r="M533" s="5" t="str">
        <f>IFERROR(__xludf.DUMMYFUNCTION("""COMPUTED_VALUE"""),"TABULEIRO DOS MARTINS")</f>
        <v>TABULEIRO DOS MARTINS</v>
      </c>
      <c r="N533" s="5" t="str">
        <f>IFERROR(__xludf.DUMMYFUNCTION("""COMPUTED_VALUE"""),"CENTRO - BAIRRO")</f>
        <v>CENTRO - BAIRRO</v>
      </c>
      <c r="O533" s="5" t="str">
        <f>IFERROR(__xludf.DUMMYFUNCTION("""COMPUTED_VALUE"""),"PRAÇA RICARDO LESSA")</f>
        <v>PRAÇA RICARDO LESSA</v>
      </c>
      <c r="P533" s="5" t="str">
        <f>IFERROR(__xludf.DUMMYFUNCTION("""COMPUTED_VALUE"""),"PRIORIDADE BAIXA")</f>
        <v>PRIORIDADE BAIXA</v>
      </c>
      <c r="Q533" s="5" t="str">
        <f>IFERROR(__xludf.DUMMYFUNCTION("""COMPUTED_VALUE"""),"ABRIGO DANIFICADO - REBOCO, PINTURA E ASSENTO DANIFICADO, NECESSÁRIO FAZER LIMPEZA DA COBERTA.")</f>
        <v>ABRIGO DANIFICADO - REBOCO, PINTURA E ASSENTO DANIFICADO, NECESSÁRIO FAZER LIMPEZA DA COBERTA.</v>
      </c>
      <c r="R533" s="5" t="str">
        <f>IFERROR(__xludf.DUMMYFUNCTION("""COMPUTED_VALUE"""),"SUBSTITUIR ABRIGO")</f>
        <v>SUBSTITUIR ABRIGO</v>
      </c>
      <c r="S533" s="5"/>
      <c r="T533" s="5"/>
      <c r="U533" s="5"/>
      <c r="V533" s="9" t="str">
        <f>IFERROR(__xludf.DUMMYFUNCTION("""COMPUTED_VALUE"""),"https://drive.google.com/uc?id=1Ot-JXteFk-jhmbqB95t2zOrCrGxHm1FY")</f>
        <v>https://drive.google.com/uc?id=1Ot-JXteFk-jhmbqB95t2zOrCrGxHm1FY</v>
      </c>
      <c r="W533" s="5" t="str">
        <f>IFERROR(__xludf.DUMMYFUNCTION("""COMPUTED_VALUE"""),"NÃO")</f>
        <v>NÃO</v>
      </c>
      <c r="X533" s="5" t="str">
        <f>IFERROR(__xludf.DUMMYFUNCTION("""COMPUTED_VALUE"""),"NÃO SE APLICA")</f>
        <v>NÃO SE APLICA</v>
      </c>
    </row>
    <row r="534" ht="18.75" customHeight="1">
      <c r="A534" s="5">
        <f>IFERROR(__xludf.DUMMYFUNCTION("""COMPUTED_VALUE"""),7.0)</f>
        <v>7</v>
      </c>
      <c r="B534" s="5" t="str">
        <f>IFERROR(__xludf.DUMMYFUNCTION("""COMPUTED_VALUE"""),"TM060")</f>
        <v>TM060</v>
      </c>
      <c r="C534" s="5" t="str">
        <f>IFERROR(__xludf.DUMMYFUNCTION("""COMPUTED_VALUE"""),"ABRIGO CONCRETO")</f>
        <v>ABRIGO CONCRETO</v>
      </c>
      <c r="D534" s="5" t="str">
        <f>IFERROR(__xludf.DUMMYFUNCTION("""COMPUTED_VALUE"""),"SEM PLACA")</f>
        <v>SEM PLACA</v>
      </c>
      <c r="E534" s="5" t="str">
        <f>IFERROR(__xludf.DUMMYFUNCTION("""COMPUTED_VALUE"""),"SEM BAIA")</f>
        <v>SEM BAIA</v>
      </c>
      <c r="F534" s="5" t="str">
        <f>IFERROR(__xludf.DUMMYFUNCTION("""COMPUTED_VALUE"""),"NÃO")</f>
        <v>NÃO</v>
      </c>
      <c r="G534" s="5" t="str">
        <f>IFERROR(__xludf.DUMMYFUNCTION("""COMPUTED_VALUE"""),"NÃO")</f>
        <v>NÃO</v>
      </c>
      <c r="H534" s="5" t="str">
        <f>IFERROR(__xludf.DUMMYFUNCTION("""COMPUTED_VALUE"""),"PAVIMENTADA")</f>
        <v>PAVIMENTADA</v>
      </c>
      <c r="I534" s="6" t="str">
        <f>IFERROR(__xludf.DUMMYFUNCTION("""COMPUTED_VALUE"""),"-9.5692603")</f>
        <v>-9.5692603</v>
      </c>
      <c r="J534" s="6" t="str">
        <f>IFERROR(__xludf.DUMMYFUNCTION("""COMPUTED_VALUE"""),"-35.7522934")</f>
        <v>-35.7522934</v>
      </c>
      <c r="K534" s="5" t="str">
        <f>IFERROR(__xludf.DUMMYFUNCTION("""COMPUTED_VALUE"""),"R.CEL. PEDRO PIERRE BRAGA")</f>
        <v>R.CEL. PEDRO PIERRE BRAGA</v>
      </c>
      <c r="L534" s="5" t="str">
        <f>IFERROR(__xludf.DUMMYFUNCTION("""COMPUTED_VALUE"""),"LOCAL")</f>
        <v>LOCAL</v>
      </c>
      <c r="M534" s="5" t="str">
        <f>IFERROR(__xludf.DUMMYFUNCTION("""COMPUTED_VALUE"""),"TABULEIRO DOS MARTINS")</f>
        <v>TABULEIRO DOS MARTINS</v>
      </c>
      <c r="N534" s="5" t="str">
        <f>IFERROR(__xludf.DUMMYFUNCTION("""COMPUTED_VALUE"""),"BAIRRO - CENTRO")</f>
        <v>BAIRRO - CENTRO</v>
      </c>
      <c r="O534" s="5" t="str">
        <f>IFERROR(__xludf.DUMMYFUNCTION("""COMPUTED_VALUE"""),"EM FRENTE A PRAÇA RICARDO LESSA")</f>
        <v>EM FRENTE A PRAÇA RICARDO LESSA</v>
      </c>
      <c r="P534" s="5" t="str">
        <f>IFERROR(__xludf.DUMMYFUNCTION("""COMPUTED_VALUE"""),"PRIORIDADE BAIXA")</f>
        <v>PRIORIDADE BAIXA</v>
      </c>
      <c r="Q534" s="5" t="str">
        <f>IFERROR(__xludf.DUMMYFUNCTION("""COMPUTED_VALUE"""),"ABRIGO DANIFICADO - REBOCO, PINTURA E ASSENTO DANIFICADO, NECESSÁRIO FAZER LIMPEZA DA COBERTA.")</f>
        <v>ABRIGO DANIFICADO - REBOCO, PINTURA E ASSENTO DANIFICADO, NECESSÁRIO FAZER LIMPEZA DA COBERTA.</v>
      </c>
      <c r="R534" s="5" t="str">
        <f>IFERROR(__xludf.DUMMYFUNCTION("""COMPUTED_VALUE"""),"SUBSTITUIR ABRIGO")</f>
        <v>SUBSTITUIR ABRIGO</v>
      </c>
      <c r="S534" s="5"/>
      <c r="T534" s="5"/>
      <c r="U534" s="5"/>
      <c r="V534" s="9" t="str">
        <f>IFERROR(__xludf.DUMMYFUNCTION("""COMPUTED_VALUE"""),"https://drive.google.com/uc?id=12sPcFPc7rqzvrJmIPafkHLw4PrCu9hBm")</f>
        <v>https://drive.google.com/uc?id=12sPcFPc7rqzvrJmIPafkHLw4PrCu9hBm</v>
      </c>
      <c r="W534" s="5" t="str">
        <f>IFERROR(__xludf.DUMMYFUNCTION("""COMPUTED_VALUE"""),"NÃO")</f>
        <v>NÃO</v>
      </c>
      <c r="X534" s="5" t="str">
        <f>IFERROR(__xludf.DUMMYFUNCTION("""COMPUTED_VALUE"""),"NÃO SE APLICA")</f>
        <v>NÃO SE APLICA</v>
      </c>
    </row>
    <row r="535">
      <c r="A535" s="5">
        <f>IFERROR(__xludf.DUMMYFUNCTION("""COMPUTED_VALUE"""),7.0)</f>
        <v>7</v>
      </c>
      <c r="B535" s="5" t="str">
        <f>IFERROR(__xludf.DUMMYFUNCTION("""COMPUTED_VALUE"""),"TM061")</f>
        <v>TM061</v>
      </c>
      <c r="C535" s="5" t="str">
        <f>IFERROR(__xludf.DUMMYFUNCTION("""COMPUTED_VALUE"""),"ABRIGO METÁLICO MÉDIO PORTE")</f>
        <v>ABRIGO METÁLICO MÉDIO PORTE</v>
      </c>
      <c r="D535" s="5" t="str">
        <f>IFERROR(__xludf.DUMMYFUNCTION("""COMPUTED_VALUE"""),"SEM PLACA")</f>
        <v>SEM PLACA</v>
      </c>
      <c r="E535" s="5" t="str">
        <f>IFERROR(__xludf.DUMMYFUNCTION("""COMPUTED_VALUE"""),"SEM BAIA")</f>
        <v>SEM BAIA</v>
      </c>
      <c r="F535" s="5" t="str">
        <f>IFERROR(__xludf.DUMMYFUNCTION("""COMPUTED_VALUE"""),"NÃO")</f>
        <v>NÃO</v>
      </c>
      <c r="G535" s="5" t="str">
        <f>IFERROR(__xludf.DUMMYFUNCTION("""COMPUTED_VALUE"""),"NÃO")</f>
        <v>NÃO</v>
      </c>
      <c r="H535" s="5" t="str">
        <f>IFERROR(__xludf.DUMMYFUNCTION("""COMPUTED_VALUE"""),"PAVIMENTADA")</f>
        <v>PAVIMENTADA</v>
      </c>
      <c r="I535" s="6" t="str">
        <f>IFERROR(__xludf.DUMMYFUNCTION("""COMPUTED_VALUE"""),"-9.570982")</f>
        <v>-9.570982</v>
      </c>
      <c r="J535" s="6" t="str">
        <f>IFERROR(__xludf.DUMMYFUNCTION("""COMPUTED_VALUE"""),"-35.754997")</f>
        <v>-35.754997</v>
      </c>
      <c r="K535" s="5" t="str">
        <f>IFERROR(__xludf.DUMMYFUNCTION("""COMPUTED_VALUE"""),"AV. BETEL")</f>
        <v>AV. BETEL</v>
      </c>
      <c r="L535" s="5" t="str">
        <f>IFERROR(__xludf.DUMMYFUNCTION("""COMPUTED_VALUE"""),"COLETORA")</f>
        <v>COLETORA</v>
      </c>
      <c r="M535" s="5" t="str">
        <f>IFERROR(__xludf.DUMMYFUNCTION("""COMPUTED_VALUE"""),"TABULEIRO DOS MARTINS")</f>
        <v>TABULEIRO DOS MARTINS</v>
      </c>
      <c r="N535" s="5" t="str">
        <f>IFERROR(__xludf.DUMMYFUNCTION("""COMPUTED_VALUE"""),"BAIRRO - CENTRO")</f>
        <v>BAIRRO - CENTRO</v>
      </c>
      <c r="O535" s="5" t="str">
        <f>IFERROR(__xludf.DUMMYFUNCTION("""COMPUTED_VALUE"""),"EM FRENTE A UBS GALBA NOVAES")</f>
        <v>EM FRENTE A UBS GALBA NOVAES</v>
      </c>
      <c r="P535" s="5" t="str">
        <f>IFERROR(__xludf.DUMMYFUNCTION("""COMPUTED_VALUE"""),"PRIORIDADE BAIXA")</f>
        <v>PRIORIDADE BAIXA</v>
      </c>
      <c r="Q535" s="5" t="str">
        <f>IFERROR(__xludf.DUMMYFUNCTION("""COMPUTED_VALUE"""),"PINTURA DA ESTRUTURA.")</f>
        <v>PINTURA DA ESTRUTURA.</v>
      </c>
      <c r="R535" s="5" t="str">
        <f>IFERROR(__xludf.DUMMYFUNCTION("""COMPUTED_VALUE"""),"NENHUMA DAS OPÇÕES")</f>
        <v>NENHUMA DAS OPÇÕES</v>
      </c>
      <c r="S535" s="5"/>
      <c r="T535" s="5"/>
      <c r="U535" s="5"/>
      <c r="V535" s="9" t="str">
        <f>IFERROR(__xludf.DUMMYFUNCTION("""COMPUTED_VALUE"""),"https://drive.google.com/uc?id=1eDTEXj9MXe9a8pGwTNRI5yPtRki_CxTP")</f>
        <v>https://drive.google.com/uc?id=1eDTEXj9MXe9a8pGwTNRI5yPtRki_CxTP</v>
      </c>
      <c r="W535" s="5" t="str">
        <f>IFERROR(__xludf.DUMMYFUNCTION("""COMPUTED_VALUE"""),"NÃO")</f>
        <v>NÃO</v>
      </c>
      <c r="X535" s="5" t="str">
        <f>IFERROR(__xludf.DUMMYFUNCTION("""COMPUTED_VALUE"""),"NÃO")</f>
        <v>NÃO</v>
      </c>
    </row>
    <row r="536" hidden="1">
      <c r="A536" s="5">
        <f>IFERROR(__xludf.DUMMYFUNCTION("""COMPUTED_VALUE"""),7.0)</f>
        <v>7</v>
      </c>
      <c r="B536" s="5" t="str">
        <f>IFERROR(__xludf.DUMMYFUNCTION("""COMPUTED_VALUE"""),"TM062")</f>
        <v>TM062</v>
      </c>
      <c r="C536" s="5" t="str">
        <f>IFERROR(__xludf.DUMMYFUNCTION("""COMPUTED_VALUE"""),"NÃO POSSUI")</f>
        <v>NÃO POSSUI</v>
      </c>
      <c r="D536" s="5" t="str">
        <f>IFERROR(__xludf.DUMMYFUNCTION("""COMPUTED_VALUE"""),"SEM PLACA")</f>
        <v>SEM PLACA</v>
      </c>
      <c r="E536" s="5" t="str">
        <f>IFERROR(__xludf.DUMMYFUNCTION("""COMPUTED_VALUE"""),"SEM BAIA")</f>
        <v>SEM BAIA</v>
      </c>
      <c r="F536" s="5" t="str">
        <f>IFERROR(__xludf.DUMMYFUNCTION("""COMPUTED_VALUE"""),"NÃO")</f>
        <v>NÃO</v>
      </c>
      <c r="G536" s="5" t="str">
        <f>IFERROR(__xludf.DUMMYFUNCTION("""COMPUTED_VALUE"""),"NÃO")</f>
        <v>NÃO</v>
      </c>
      <c r="H536" s="5" t="str">
        <f>IFERROR(__xludf.DUMMYFUNCTION("""COMPUTED_VALUE"""),"NÃO PAVIMENTADA")</f>
        <v>NÃO PAVIMENTADA</v>
      </c>
      <c r="I536" s="6" t="str">
        <f>IFERROR(__xludf.DUMMYFUNCTION("""COMPUTED_VALUE"""),"-9.570402")</f>
        <v>-9.570402</v>
      </c>
      <c r="J536" s="6" t="str">
        <f>IFERROR(__xludf.DUMMYFUNCTION("""COMPUTED_VALUE"""),"-35.756921")</f>
        <v>-35.756921</v>
      </c>
      <c r="K536" s="5" t="str">
        <f>IFERROR(__xludf.DUMMYFUNCTION("""COMPUTED_VALUE"""),"AV. OSVALDO RAMOS")</f>
        <v>AV. OSVALDO RAMOS</v>
      </c>
      <c r="L536" s="5" t="str">
        <f>IFERROR(__xludf.DUMMYFUNCTION("""COMPUTED_VALUE"""),"LOCAL")</f>
        <v>LOCAL</v>
      </c>
      <c r="M536" s="5" t="str">
        <f>IFERROR(__xludf.DUMMYFUNCTION("""COMPUTED_VALUE"""),"TABULEIRO DOS MARTINS")</f>
        <v>TABULEIRO DOS MARTINS</v>
      </c>
      <c r="N536" s="5" t="str">
        <f>IFERROR(__xludf.DUMMYFUNCTION("""COMPUTED_VALUE"""),"BAIRRO - CENTRO")</f>
        <v>BAIRRO - CENTRO</v>
      </c>
      <c r="O536" s="5" t="str">
        <f>IFERROR(__xludf.DUMMYFUNCTION("""COMPUTED_VALUE"""),"EM FRENTE A CARGA E DESCARGA DA ENCONTRO DO SOL HOME CENTER")</f>
        <v>EM FRENTE A CARGA E DESCARGA DA ENCONTRO DO SOL HOME CENTER</v>
      </c>
      <c r="P536" s="5" t="str">
        <f>IFERROR(__xludf.DUMMYFUNCTION("""COMPUTED_VALUE"""),"PRIORIDADE BAIXA")</f>
        <v>PRIORIDADE BAIXA</v>
      </c>
      <c r="Q536" s="5" t="str">
        <f>IFERROR(__xludf.DUMMYFUNCTION("""COMPUTED_VALUE"""),"READEQUAÇÃO DE CALÇADA COM ACESSIBILIDADE E PINTURA DE BAÍA NO ASFALTO")</f>
        <v>READEQUAÇÃO DE CALÇADA COM ACESSIBILIDADE E PINTURA DE BAÍA NO ASFALTO</v>
      </c>
      <c r="R536" s="5" t="str">
        <f>IFERROR(__xludf.DUMMYFUNCTION("""COMPUTED_VALUE"""),"NENHUMA DAS OPÇÕES")</f>
        <v>NENHUMA DAS OPÇÕES</v>
      </c>
      <c r="S536" s="5"/>
      <c r="T536" s="5"/>
      <c r="U536" s="5"/>
      <c r="V536" s="9" t="str">
        <f>IFERROR(__xludf.DUMMYFUNCTION("""COMPUTED_VALUE"""),"https://drive.google.com/uc?id=1f0bvxky3JTF1ucNm3UYeCJxeTed4z0ZD")</f>
        <v>https://drive.google.com/uc?id=1f0bvxky3JTF1ucNm3UYeCJxeTed4z0ZD</v>
      </c>
      <c r="W536" s="5" t="str">
        <f>IFERROR(__xludf.DUMMYFUNCTION("""COMPUTED_VALUE"""),"NÃO")</f>
        <v>NÃO</v>
      </c>
      <c r="X536" s="5" t="str">
        <f>IFERROR(__xludf.DUMMYFUNCTION("""COMPUTED_VALUE"""),"NÃO SE APLICA")</f>
        <v>NÃO SE APLICA</v>
      </c>
    </row>
    <row r="537">
      <c r="A537" s="5">
        <f>IFERROR(__xludf.DUMMYFUNCTION("""COMPUTED_VALUE"""),7.0)</f>
        <v>7</v>
      </c>
      <c r="B537" s="5" t="str">
        <f>IFERROR(__xludf.DUMMYFUNCTION("""COMPUTED_VALUE"""),"TM063")</f>
        <v>TM063</v>
      </c>
      <c r="C537" s="5" t="str">
        <f>IFERROR(__xludf.DUMMYFUNCTION("""COMPUTED_VALUE"""),"ABRIGO CONCRETO")</f>
        <v>ABRIGO CONCRETO</v>
      </c>
      <c r="D537" s="5" t="str">
        <f>IFERROR(__xludf.DUMMYFUNCTION("""COMPUTED_VALUE"""),"SEM PLACA")</f>
        <v>SEM PLACA</v>
      </c>
      <c r="E537" s="5" t="str">
        <f>IFERROR(__xludf.DUMMYFUNCTION("""COMPUTED_VALUE"""),"SEM BAIA")</f>
        <v>SEM BAIA</v>
      </c>
      <c r="F537" s="5" t="str">
        <f>IFERROR(__xludf.DUMMYFUNCTION("""COMPUTED_VALUE"""),"NÃO")</f>
        <v>NÃO</v>
      </c>
      <c r="G537" s="5" t="str">
        <f>IFERROR(__xludf.DUMMYFUNCTION("""COMPUTED_VALUE"""),"NÃO")</f>
        <v>NÃO</v>
      </c>
      <c r="H537" s="5" t="str">
        <f>IFERROR(__xludf.DUMMYFUNCTION("""COMPUTED_VALUE"""),"PAVIMENTADA COM AVARIAS")</f>
        <v>PAVIMENTADA COM AVARIAS</v>
      </c>
      <c r="I537" s="6" t="str">
        <f>IFERROR(__xludf.DUMMYFUNCTION("""COMPUTED_VALUE"""),"-9.570904")</f>
        <v>-9.570904</v>
      </c>
      <c r="J537" s="6" t="str">
        <f>IFERROR(__xludf.DUMMYFUNCTION("""COMPUTED_VALUE"""),"-35.758516")</f>
        <v>-35.758516</v>
      </c>
      <c r="K537" s="5" t="str">
        <f>IFERROR(__xludf.DUMMYFUNCTION("""COMPUTED_VALUE"""),"AV. DER. DÁRIO MARSÍGLIA")</f>
        <v>AV. DER. DÁRIO MARSÍGLIA</v>
      </c>
      <c r="L537" s="5" t="str">
        <f>IFERROR(__xludf.DUMMYFUNCTION("""COMPUTED_VALUE"""),"COLETORA")</f>
        <v>COLETORA</v>
      </c>
      <c r="M537" s="5" t="str">
        <f>IFERROR(__xludf.DUMMYFUNCTION("""COMPUTED_VALUE"""),"TABULEIRO DOS MARTINS")</f>
        <v>TABULEIRO DOS MARTINS</v>
      </c>
      <c r="N537" s="5" t="str">
        <f>IFERROR(__xludf.DUMMYFUNCTION("""COMPUTED_VALUE"""),"BAIRRO - CENTRO")</f>
        <v>BAIRRO - CENTRO</v>
      </c>
      <c r="O537" s="5" t="str">
        <f>IFERROR(__xludf.DUMMYFUNCTION("""COMPUTED_VALUE"""),"APÓS A SOARES ODONTOLOGIA")</f>
        <v>APÓS A SOARES ODONTOLOGIA</v>
      </c>
      <c r="P537" s="5" t="str">
        <f>IFERROR(__xludf.DUMMYFUNCTION("""COMPUTED_VALUE"""),"PRIORIDADE BAIXA")</f>
        <v>PRIORIDADE BAIXA</v>
      </c>
      <c r="Q537" s="5" t="str">
        <f>IFERROR(__xludf.DUMMYFUNCTION("""COMPUTED_VALUE"""),"ABRIGO DANIFICADO - REBOCO, PINTURA E ASSENTO DANIFICADO,  NECESSÁRIO FAZER LIMPEZA DA COBERTA.")</f>
        <v>ABRIGO DANIFICADO - REBOCO, PINTURA E ASSENTO DANIFICADO,  NECESSÁRIO FAZER LIMPEZA DA COBERTA.</v>
      </c>
      <c r="R537" s="5" t="str">
        <f>IFERROR(__xludf.DUMMYFUNCTION("""COMPUTED_VALUE"""),"SUBSTITUIR ABRIGO")</f>
        <v>SUBSTITUIR ABRIGO</v>
      </c>
      <c r="S537" s="5"/>
      <c r="T537" s="5"/>
      <c r="U537" s="5"/>
      <c r="V537" s="9" t="str">
        <f>IFERROR(__xludf.DUMMYFUNCTION("""COMPUTED_VALUE"""),"https://drive.google.com/uc?id=16gQW4J57AafSwe1A4RSQ3fSvuKTNAsgW")</f>
        <v>https://drive.google.com/uc?id=16gQW4J57AafSwe1A4RSQ3fSvuKTNAsgW</v>
      </c>
      <c r="W537" s="5" t="str">
        <f>IFERROR(__xludf.DUMMYFUNCTION("""COMPUTED_VALUE"""),"NÃO")</f>
        <v>NÃO</v>
      </c>
      <c r="X537" s="5" t="str">
        <f>IFERROR(__xludf.DUMMYFUNCTION("""COMPUTED_VALUE"""),"NÃO SE APLICA")</f>
        <v>NÃO SE APLICA</v>
      </c>
    </row>
    <row r="538">
      <c r="A538" s="5">
        <f>IFERROR(__xludf.DUMMYFUNCTION("""COMPUTED_VALUE"""),7.0)</f>
        <v>7</v>
      </c>
      <c r="B538" s="5" t="str">
        <f>IFERROR(__xludf.DUMMYFUNCTION("""COMPUTED_VALUE"""),"TM064")</f>
        <v>TM064</v>
      </c>
      <c r="C538" s="5" t="str">
        <f>IFERROR(__xludf.DUMMYFUNCTION("""COMPUTED_VALUE"""),"ABRIGO METÁLICO PEQUENO PORTE")</f>
        <v>ABRIGO METÁLICO PEQUENO PORTE</v>
      </c>
      <c r="D538" s="5" t="str">
        <f>IFERROR(__xludf.DUMMYFUNCTION("""COMPUTED_VALUE"""),"SEM PLACA")</f>
        <v>SEM PLACA</v>
      </c>
      <c r="E538" s="5" t="str">
        <f>IFERROR(__xludf.DUMMYFUNCTION("""COMPUTED_VALUE"""),"SEM BAIA")</f>
        <v>SEM BAIA</v>
      </c>
      <c r="F538" s="5" t="str">
        <f>IFERROR(__xludf.DUMMYFUNCTION("""COMPUTED_VALUE"""),"NÃO")</f>
        <v>NÃO</v>
      </c>
      <c r="G538" s="5" t="str">
        <f>IFERROR(__xludf.DUMMYFUNCTION("""COMPUTED_VALUE"""),"NÃO")</f>
        <v>NÃO</v>
      </c>
      <c r="H538" s="5" t="str">
        <f>IFERROR(__xludf.DUMMYFUNCTION("""COMPUTED_VALUE"""),"PAVIMENTADA")</f>
        <v>PAVIMENTADA</v>
      </c>
      <c r="I538" s="6" t="str">
        <f>IFERROR(__xludf.DUMMYFUNCTION("""COMPUTED_VALUE"""),"-9.5732439")</f>
        <v>-9.5732439</v>
      </c>
      <c r="J538" s="6" t="str">
        <f>IFERROR(__xludf.DUMMYFUNCTION("""COMPUTED_VALUE"""),"-35.7616814  ")</f>
        <v>-35.7616814  </v>
      </c>
      <c r="K538" s="5" t="str">
        <f>IFERROR(__xludf.DUMMYFUNCTION("""COMPUTED_VALUE"""),"AV. DER. DÁRIO MARSÍGLIA")</f>
        <v>AV. DER. DÁRIO MARSÍGLIA</v>
      </c>
      <c r="L538" s="5" t="str">
        <f>IFERROR(__xludf.DUMMYFUNCTION("""COMPUTED_VALUE"""),"COLETORA")</f>
        <v>COLETORA</v>
      </c>
      <c r="M538" s="5" t="str">
        <f>IFERROR(__xludf.DUMMYFUNCTION("""COMPUTED_VALUE"""),"TABULEIRO DOS MARTINS")</f>
        <v>TABULEIRO DOS MARTINS</v>
      </c>
      <c r="N538" s="5" t="str">
        <f>IFERROR(__xludf.DUMMYFUNCTION("""COMPUTED_VALUE"""),"BAIRRO - CENTRO")</f>
        <v>BAIRRO - CENTRO</v>
      </c>
      <c r="O538" s="5" t="str">
        <f>IFERROR(__xludf.DUMMYFUNCTION("""COMPUTED_VALUE"""),"EM FRENTE A JUJUBA KIDS")</f>
        <v>EM FRENTE A JUJUBA KIDS</v>
      </c>
      <c r="P538" s="5" t="str">
        <f>IFERROR(__xludf.DUMMYFUNCTION("""COMPUTED_VALUE"""),"PRIORIDADE BAIXA")</f>
        <v>PRIORIDADE BAIXA</v>
      </c>
      <c r="Q538" s="5" t="str">
        <f>IFERROR(__xludf.DUMMYFUNCTION("""COMPUTED_VALUE"""),"LIMPEZA DA COBERTA, READEQUAÇÃO DE CALÇADA COM ACESSIBILIDADE E PINTURA DE BAÍA NO ASFALTO.")</f>
        <v>LIMPEZA DA COBERTA, READEQUAÇÃO DE CALÇADA COM ACESSIBILIDADE E PINTURA DE BAÍA NO ASFALTO.</v>
      </c>
      <c r="R538" s="5" t="str">
        <f>IFERROR(__xludf.DUMMYFUNCTION("""COMPUTED_VALUE"""),"NENHUMA DAS OPÇÕES")</f>
        <v>NENHUMA DAS OPÇÕES</v>
      </c>
      <c r="S538" s="5"/>
      <c r="T538" s="5"/>
      <c r="U538" s="5"/>
      <c r="V538" s="9" t="str">
        <f>IFERROR(__xludf.DUMMYFUNCTION("""COMPUTED_VALUE"""),"https://drive.google.com/uc?id=1xAsmoDywwjACiglT_I2H7q9p-roZHr98")</f>
        <v>https://drive.google.com/uc?id=1xAsmoDywwjACiglT_I2H7q9p-roZHr98</v>
      </c>
      <c r="W538" s="5" t="str">
        <f>IFERROR(__xludf.DUMMYFUNCTION("""COMPUTED_VALUE"""),"NÃO")</f>
        <v>NÃO</v>
      </c>
      <c r="X538" s="5" t="str">
        <f>IFERROR(__xludf.DUMMYFUNCTION("""COMPUTED_VALUE"""),"SIM")</f>
        <v>SIM</v>
      </c>
    </row>
    <row r="539">
      <c r="A539" s="5">
        <f>IFERROR(__xludf.DUMMYFUNCTION("""COMPUTED_VALUE"""),7.0)</f>
        <v>7</v>
      </c>
      <c r="B539" s="5" t="str">
        <f>IFERROR(__xludf.DUMMYFUNCTION("""COMPUTED_VALUE"""),"TM065")</f>
        <v>TM065</v>
      </c>
      <c r="C539" s="5" t="str">
        <f>IFERROR(__xludf.DUMMYFUNCTION("""COMPUTED_VALUE"""),"ABRIGO METÁLICO PEQUENO PORTE")</f>
        <v>ABRIGO METÁLICO PEQUENO PORTE</v>
      </c>
      <c r="D539" s="5" t="str">
        <f>IFERROR(__xludf.DUMMYFUNCTION("""COMPUTED_VALUE"""),"SEM PLACA")</f>
        <v>SEM PLACA</v>
      </c>
      <c r="E539" s="5" t="str">
        <f>IFERROR(__xludf.DUMMYFUNCTION("""COMPUTED_VALUE"""),"SEM BAIA")</f>
        <v>SEM BAIA</v>
      </c>
      <c r="F539" s="5" t="str">
        <f>IFERROR(__xludf.DUMMYFUNCTION("""COMPUTED_VALUE"""),"NÃO")</f>
        <v>NÃO</v>
      </c>
      <c r="G539" s="5" t="str">
        <f>IFERROR(__xludf.DUMMYFUNCTION("""COMPUTED_VALUE"""),"NÃO")</f>
        <v>NÃO</v>
      </c>
      <c r="H539" s="5" t="str">
        <f>IFERROR(__xludf.DUMMYFUNCTION("""COMPUTED_VALUE"""),"PAVIMENTADA")</f>
        <v>PAVIMENTADA</v>
      </c>
      <c r="I539" s="6" t="str">
        <f>IFERROR(__xludf.DUMMYFUNCTION("""COMPUTED_VALUE"""),"-9.5748793")</f>
        <v>-9.5748793</v>
      </c>
      <c r="J539" s="6" t="str">
        <f>IFERROR(__xludf.DUMMYFUNCTION("""COMPUTED_VALUE"""),"-35.7638828")</f>
        <v>-35.7638828</v>
      </c>
      <c r="K539" s="5" t="str">
        <f>IFERROR(__xludf.DUMMYFUNCTION("""COMPUTED_VALUE"""),"AV. DER. DÁRIO MARSÍGLIA")</f>
        <v>AV. DER. DÁRIO MARSÍGLIA</v>
      </c>
      <c r="L539" s="5" t="str">
        <f>IFERROR(__xludf.DUMMYFUNCTION("""COMPUTED_VALUE"""),"COLETORA")</f>
        <v>COLETORA</v>
      </c>
      <c r="M539" s="5" t="str">
        <f>IFERROR(__xludf.DUMMYFUNCTION("""COMPUTED_VALUE"""),"TABULEIRO DOS MARTINS")</f>
        <v>TABULEIRO DOS MARTINS</v>
      </c>
      <c r="N539" s="5" t="str">
        <f>IFERROR(__xludf.DUMMYFUNCTION("""COMPUTED_VALUE"""),"BAIRRO - CENTRO")</f>
        <v>BAIRRO - CENTRO</v>
      </c>
      <c r="O539" s="5" t="str">
        <f>IFERROR(__xludf.DUMMYFUNCTION("""COMPUTED_VALUE"""),"EM FRENTE A LOJA DE ROUPAS")</f>
        <v>EM FRENTE A LOJA DE ROUPAS</v>
      </c>
      <c r="P539" s="5" t="str">
        <f>IFERROR(__xludf.DUMMYFUNCTION("""COMPUTED_VALUE"""),"PRIORIDADE BAIXA")</f>
        <v>PRIORIDADE BAIXA</v>
      </c>
      <c r="Q539" s="5" t="str">
        <f>IFERROR(__xludf.DUMMYFUNCTION("""COMPUTED_VALUE"""),"LIMPEZA DA COBERTA, READEQUAÇÃO DE CALÇADA COM ACESSIBILIDADE E PINTURA DE BAÍA NO ASFALTO.")</f>
        <v>LIMPEZA DA COBERTA, READEQUAÇÃO DE CALÇADA COM ACESSIBILIDADE E PINTURA DE BAÍA NO ASFALTO.</v>
      </c>
      <c r="R539" s="5" t="str">
        <f>IFERROR(__xludf.DUMMYFUNCTION("""COMPUTED_VALUE"""),"NENHUMA DAS OPÇÕES")</f>
        <v>NENHUMA DAS OPÇÕES</v>
      </c>
      <c r="S539" s="5"/>
      <c r="T539" s="5"/>
      <c r="U539" s="5"/>
      <c r="V539" s="9" t="str">
        <f>IFERROR(__xludf.DUMMYFUNCTION("""COMPUTED_VALUE"""),"https://drive.google.com/uc?id=1A07Y3PdKN1MZqouIYCaAwxRsi6NQIKgR")</f>
        <v>https://drive.google.com/uc?id=1A07Y3PdKN1MZqouIYCaAwxRsi6NQIKgR</v>
      </c>
      <c r="W539" s="5" t="str">
        <f>IFERROR(__xludf.DUMMYFUNCTION("""COMPUTED_VALUE"""),"NÃO")</f>
        <v>NÃO</v>
      </c>
      <c r="X539" s="5" t="str">
        <f>IFERROR(__xludf.DUMMYFUNCTION("""COMPUTED_VALUE"""),"SIM")</f>
        <v>SIM</v>
      </c>
    </row>
    <row r="540" ht="18.75" customHeight="1">
      <c r="A540" s="5">
        <f>IFERROR(__xludf.DUMMYFUNCTION("""COMPUTED_VALUE"""),7.0)</f>
        <v>7</v>
      </c>
      <c r="B540" s="5" t="str">
        <f>IFERROR(__xludf.DUMMYFUNCTION("""COMPUTED_VALUE"""),"TM066")</f>
        <v>TM066</v>
      </c>
      <c r="C540" s="5" t="str">
        <f>IFERROR(__xludf.DUMMYFUNCTION("""COMPUTED_VALUE"""),"ABRIGO CONCRETO")</f>
        <v>ABRIGO CONCRETO</v>
      </c>
      <c r="D540" s="5" t="str">
        <f>IFERROR(__xludf.DUMMYFUNCTION("""COMPUTED_VALUE"""),"SEM PLACA")</f>
        <v>SEM PLACA</v>
      </c>
      <c r="E540" s="5" t="str">
        <f>IFERROR(__xludf.DUMMYFUNCTION("""COMPUTED_VALUE"""),"SEM BAIA")</f>
        <v>SEM BAIA</v>
      </c>
      <c r="F540" s="5" t="str">
        <f>IFERROR(__xludf.DUMMYFUNCTION("""COMPUTED_VALUE"""),"NÃO")</f>
        <v>NÃO</v>
      </c>
      <c r="G540" s="5" t="str">
        <f>IFERROR(__xludf.DUMMYFUNCTION("""COMPUTED_VALUE"""),"NÃO")</f>
        <v>NÃO</v>
      </c>
      <c r="H540" s="5" t="str">
        <f>IFERROR(__xludf.DUMMYFUNCTION("""COMPUTED_VALUE"""),"PAVIMENTADA COM AVARIAS")</f>
        <v>PAVIMENTADA COM AVARIAS</v>
      </c>
      <c r="I540" s="6" t="str">
        <f>IFERROR(__xludf.DUMMYFUNCTION("""COMPUTED_VALUE"""),"-9.5763454")</f>
        <v>-9.5763454</v>
      </c>
      <c r="J540" s="6" t="str">
        <f>IFERROR(__xludf.DUMMYFUNCTION("""COMPUTED_VALUE"""),"-35.765921     ")</f>
        <v>-35.765921     </v>
      </c>
      <c r="K540" s="5" t="str">
        <f>IFERROR(__xludf.DUMMYFUNCTION("""COMPUTED_VALUE"""),"AV. DER. DÁRIO MARSÍGLIA")</f>
        <v>AV. DER. DÁRIO MARSÍGLIA</v>
      </c>
      <c r="L540" s="5" t="str">
        <f>IFERROR(__xludf.DUMMYFUNCTION("""COMPUTED_VALUE"""),"COLETORA")</f>
        <v>COLETORA</v>
      </c>
      <c r="M540" s="5" t="str">
        <f>IFERROR(__xludf.DUMMYFUNCTION("""COMPUTED_VALUE"""),"TABULEIRO DOS MARTINS")</f>
        <v>TABULEIRO DOS MARTINS</v>
      </c>
      <c r="N540" s="5" t="str">
        <f>IFERROR(__xludf.DUMMYFUNCTION("""COMPUTED_VALUE"""),"BAIRRO - CENTRO / CENTRO - BAIRRO")</f>
        <v>BAIRRO - CENTRO / CENTRO - BAIRRO</v>
      </c>
      <c r="O540" s="5" t="str">
        <f>IFERROR(__xludf.DUMMYFUNCTION("""COMPUTED_VALUE"""),"EM FRENTE A CMEI CASA DA AMIZADE")</f>
        <v>EM FRENTE A CMEI CASA DA AMIZADE</v>
      </c>
      <c r="P540" s="5" t="str">
        <f>IFERROR(__xludf.DUMMYFUNCTION("""COMPUTED_VALUE"""),"PRIORIDADE BAIXA")</f>
        <v>PRIORIDADE BAIXA</v>
      </c>
      <c r="Q540" s="5" t="str">
        <f>IFERROR(__xludf.DUMMYFUNCTION("""COMPUTED_VALUE"""),"ABRIGO DANIFICADO - REBOCO, PINTURA E ASSENTO DANIFICADO,  NECESSÁRIO FAZER LIMPEZA DA COBERTA.
PINTURA DA SINALIZAÇÃO DA BAÍA NO ASFALTO, READEQUAÇÃO DE CALÇADA COM ACESSIBILIDADE.
")</f>
        <v>ABRIGO DANIFICADO - REBOCO, PINTURA E ASSENTO DANIFICADO,  NECESSÁRIO FAZER LIMPEZA DA COBERTA.
PINTURA DA SINALIZAÇÃO DA BAÍA NO ASFALTO, READEQUAÇÃO DE CALÇADA COM ACESSIBILIDADE.
</v>
      </c>
      <c r="R540" s="5" t="str">
        <f>IFERROR(__xludf.DUMMYFUNCTION("""COMPUTED_VALUE"""),"SUBSTITUIR ABRIGO")</f>
        <v>SUBSTITUIR ABRIGO</v>
      </c>
      <c r="S540" s="5"/>
      <c r="T540" s="5"/>
      <c r="U540" s="5"/>
      <c r="V540" s="9" t="str">
        <f>IFERROR(__xludf.DUMMYFUNCTION("""COMPUTED_VALUE"""),"https://drive.google.com/uc?id=1QeXS-xyrC3QKFS9YmTX9Ihl1igratYcF")</f>
        <v>https://drive.google.com/uc?id=1QeXS-xyrC3QKFS9YmTX9Ihl1igratYcF</v>
      </c>
      <c r="W540" s="5" t="str">
        <f>IFERROR(__xludf.DUMMYFUNCTION("""COMPUTED_VALUE"""),"NÃO")</f>
        <v>NÃO</v>
      </c>
      <c r="X540" s="5" t="str">
        <f>IFERROR(__xludf.DUMMYFUNCTION("""COMPUTED_VALUE"""),"NÃO SE APLICA")</f>
        <v>NÃO SE APLICA</v>
      </c>
    </row>
    <row r="541" ht="19.5" hidden="1" customHeight="1">
      <c r="A541" s="5">
        <f>IFERROR(__xludf.DUMMYFUNCTION("""COMPUTED_VALUE"""),7.0)</f>
        <v>7</v>
      </c>
      <c r="B541" s="5" t="str">
        <f>IFERROR(__xludf.DUMMYFUNCTION("""COMPUTED_VALUE"""),"TM067")</f>
        <v>TM067</v>
      </c>
      <c r="C541" s="5" t="str">
        <f>IFERROR(__xludf.DUMMYFUNCTION("""COMPUTED_VALUE"""),"NÃO POSSUI")</f>
        <v>NÃO POSSUI</v>
      </c>
      <c r="D541" s="5" t="str">
        <f>IFERROR(__xludf.DUMMYFUNCTION("""COMPUTED_VALUE"""),"COM SUPORTE")</f>
        <v>COM SUPORTE</v>
      </c>
      <c r="E541" s="5" t="str">
        <f>IFERROR(__xludf.DUMMYFUNCTION("""COMPUTED_VALUE"""),"SEM BAIA")</f>
        <v>SEM BAIA</v>
      </c>
      <c r="F541" s="5" t="str">
        <f>IFERROR(__xludf.DUMMYFUNCTION("""COMPUTED_VALUE"""),"NÃO")</f>
        <v>NÃO</v>
      </c>
      <c r="G541" s="5" t="str">
        <f>IFERROR(__xludf.DUMMYFUNCTION("""COMPUTED_VALUE"""),"NÃO")</f>
        <v>NÃO</v>
      </c>
      <c r="H541" s="5" t="str">
        <f>IFERROR(__xludf.DUMMYFUNCTION("""COMPUTED_VALUE"""),"PAVIMENTADA COM AVARIAS")</f>
        <v>PAVIMENTADA COM AVARIAS</v>
      </c>
      <c r="I541" s="6" t="str">
        <f>IFERROR(__xludf.DUMMYFUNCTION("""COMPUTED_VALUE"""),"-9.576581")</f>
        <v>-9.576581</v>
      </c>
      <c r="J541" s="6" t="str">
        <f>IFERROR(__xludf.DUMMYFUNCTION("""COMPUTED_VALUE"""),"-35.768344
")</f>
        <v>-35.768344
</v>
      </c>
      <c r="K541" s="5" t="str">
        <f>IFERROR(__xludf.DUMMYFUNCTION("""COMPUTED_VALUE"""),"RUA JOÃO LINS CALHEIROS")</f>
        <v>RUA JOÃO LINS CALHEIROS</v>
      </c>
      <c r="L541" s="5" t="str">
        <f>IFERROR(__xludf.DUMMYFUNCTION("""COMPUTED_VALUE"""),"LOCAL")</f>
        <v>LOCAL</v>
      </c>
      <c r="M541" s="5" t="str">
        <f>IFERROR(__xludf.DUMMYFUNCTION("""COMPUTED_VALUE"""),"TABULEIRO DOS MARTINS")</f>
        <v>TABULEIRO DOS MARTINS</v>
      </c>
      <c r="N541" s="5" t="str">
        <f>IFERROR(__xludf.DUMMYFUNCTION("""COMPUTED_VALUE"""),"CENTRO - BAIRRO")</f>
        <v>CENTRO - BAIRRO</v>
      </c>
      <c r="O541" s="5" t="str">
        <f>IFERROR(__xludf.DUMMYFUNCTION("""COMPUTED_VALUE"""),"EM FRENTE A CASA 350")</f>
        <v>EM FRENTE A CASA 350</v>
      </c>
      <c r="P541" s="5" t="str">
        <f>IFERROR(__xludf.DUMMYFUNCTION("""COMPUTED_VALUE"""),"PRIORIDADE BAIXA")</f>
        <v>PRIORIDADE BAIXA</v>
      </c>
      <c r="Q541" s="5" t="str">
        <f>IFERROR(__xludf.DUMMYFUNCTION("""COMPUTED_VALUE"""),"READEQUAÇÃO DE CALÇADA COM ACESSIBILIDADE E PINTURA DE BAÍA NO ASFALTO.")</f>
        <v>READEQUAÇÃO DE CALÇADA COM ACESSIBILIDADE E PINTURA DE BAÍA NO ASFALTO.</v>
      </c>
      <c r="R541" s="5" t="str">
        <f>IFERROR(__xludf.DUMMYFUNCTION("""COMPUTED_VALUE"""),"IMPLANTAR ABRIGO")</f>
        <v>IMPLANTAR ABRIGO</v>
      </c>
      <c r="S541" s="5"/>
      <c r="T541" s="5"/>
      <c r="U541" s="5"/>
      <c r="V541" s="9" t="str">
        <f>IFERROR(__xludf.DUMMYFUNCTION("""COMPUTED_VALUE"""),"https://drive.google.com/uc?id=1DoFy1Qj_djoqXfCEBdrfjz-macSpGxTq")</f>
        <v>https://drive.google.com/uc?id=1DoFy1Qj_djoqXfCEBdrfjz-macSpGxTq</v>
      </c>
      <c r="W541" s="5" t="str">
        <f>IFERROR(__xludf.DUMMYFUNCTION("""COMPUTED_VALUE"""),"NÃO")</f>
        <v>NÃO</v>
      </c>
      <c r="X541" s="5" t="str">
        <f>IFERROR(__xludf.DUMMYFUNCTION("""COMPUTED_VALUE"""),"NÃO SE APLICA")</f>
        <v>NÃO SE APLICA</v>
      </c>
    </row>
    <row r="542">
      <c r="A542" s="5">
        <f>IFERROR(__xludf.DUMMYFUNCTION("""COMPUTED_VALUE"""),7.0)</f>
        <v>7</v>
      </c>
      <c r="B542" s="5" t="str">
        <f>IFERROR(__xludf.DUMMYFUNCTION("""COMPUTED_VALUE"""),"TM068")</f>
        <v>TM068</v>
      </c>
      <c r="C542" s="5" t="str">
        <f>IFERROR(__xludf.DUMMYFUNCTION("""COMPUTED_VALUE"""),"ABRIGO METÁLICO PEQUENO PORTE")</f>
        <v>ABRIGO METÁLICO PEQUENO PORTE</v>
      </c>
      <c r="D542" s="5" t="str">
        <f>IFERROR(__xludf.DUMMYFUNCTION("""COMPUTED_VALUE"""),"SEM PLACA")</f>
        <v>SEM PLACA</v>
      </c>
      <c r="E542" s="5" t="str">
        <f>IFERROR(__xludf.DUMMYFUNCTION("""COMPUTED_VALUE"""),"SEM BAIA")</f>
        <v>SEM BAIA</v>
      </c>
      <c r="F542" s="5" t="str">
        <f>IFERROR(__xludf.DUMMYFUNCTION("""COMPUTED_VALUE"""),"NÃO")</f>
        <v>NÃO</v>
      </c>
      <c r="G542" s="5" t="str">
        <f>IFERROR(__xludf.DUMMYFUNCTION("""COMPUTED_VALUE"""),"NÃO")</f>
        <v>NÃO</v>
      </c>
      <c r="H542" s="5" t="str">
        <f>IFERROR(__xludf.DUMMYFUNCTION("""COMPUTED_VALUE"""),"PAVIMENTADA COM AVARIAS")</f>
        <v>PAVIMENTADA COM AVARIAS</v>
      </c>
      <c r="I542" s="6" t="str">
        <f>IFERROR(__xludf.DUMMYFUNCTION("""COMPUTED_VALUE"""),"-9.578225")</f>
        <v>-9.578225</v>
      </c>
      <c r="J542" s="6" t="str">
        <f>IFERROR(__xludf.DUMMYFUNCTION("""COMPUTED_VALUE"""),"-35.768330 ")</f>
        <v>-35.768330 </v>
      </c>
      <c r="K542" s="5" t="str">
        <f>IFERROR(__xludf.DUMMYFUNCTION("""COMPUTED_VALUE"""),"AV. DER. DÁRIO MARSÍGLIA")</f>
        <v>AV. DER. DÁRIO MARSÍGLIA</v>
      </c>
      <c r="L542" s="5" t="str">
        <f>IFERROR(__xludf.DUMMYFUNCTION("""COMPUTED_VALUE"""),"COLETORA")</f>
        <v>COLETORA</v>
      </c>
      <c r="M542" s="5" t="str">
        <f>IFERROR(__xludf.DUMMYFUNCTION("""COMPUTED_VALUE"""),"TABULEIRO DOS MARTINS")</f>
        <v>TABULEIRO DOS MARTINS</v>
      </c>
      <c r="N542" s="5" t="str">
        <f>IFERROR(__xludf.DUMMYFUNCTION("""COMPUTED_VALUE"""),"CENTRO - BAIRRO")</f>
        <v>CENTRO - BAIRRO</v>
      </c>
      <c r="O542" s="5" t="str">
        <f>IFERROR(__xludf.DUMMYFUNCTION("""COMPUTED_VALUE"""),"EM FRENTE A PAPELARIA")</f>
        <v>EM FRENTE A PAPELARIA</v>
      </c>
      <c r="P542" s="5" t="str">
        <f>IFERROR(__xludf.DUMMYFUNCTION("""COMPUTED_VALUE"""),"PRIORIDADE BAIXA")</f>
        <v>PRIORIDADE BAIXA</v>
      </c>
      <c r="Q542" s="5" t="str">
        <f>IFERROR(__xludf.DUMMYFUNCTION("""COMPUTED_VALUE"""),"READEQUAÇÃO DE CALÇADA COM ACESSIBILIDADE E PINTURA DE BAÍA NO ASFALTO.")</f>
        <v>READEQUAÇÃO DE CALÇADA COM ACESSIBILIDADE E PINTURA DE BAÍA NO ASFALTO.</v>
      </c>
      <c r="R542" s="5" t="str">
        <f>IFERROR(__xludf.DUMMYFUNCTION("""COMPUTED_VALUE"""),"NENHUMA DAS OPÇÕES")</f>
        <v>NENHUMA DAS OPÇÕES</v>
      </c>
      <c r="S542" s="5"/>
      <c r="T542" s="5"/>
      <c r="U542" s="5"/>
      <c r="V542" s="9" t="str">
        <f>IFERROR(__xludf.DUMMYFUNCTION("""COMPUTED_VALUE"""),"https://drive.google.com/uc?id=1y4_3vyGO94zwBhQXx8odYeZwp3GGyv8T")</f>
        <v>https://drive.google.com/uc?id=1y4_3vyGO94zwBhQXx8odYeZwp3GGyv8T</v>
      </c>
      <c r="W542" s="5" t="str">
        <f>IFERROR(__xludf.DUMMYFUNCTION("""COMPUTED_VALUE"""),"NÃO")</f>
        <v>NÃO</v>
      </c>
      <c r="X542" s="5" t="str">
        <f>IFERROR(__xludf.DUMMYFUNCTION("""COMPUTED_VALUE"""),"SIM")</f>
        <v>SIM</v>
      </c>
    </row>
    <row r="543" hidden="1">
      <c r="A543" s="5">
        <f>IFERROR(__xludf.DUMMYFUNCTION("""COMPUTED_VALUE"""),7.0)</f>
        <v>7</v>
      </c>
      <c r="B543" s="5" t="str">
        <f>IFERROR(__xludf.DUMMYFUNCTION("""COMPUTED_VALUE"""),"TM069")</f>
        <v>TM069</v>
      </c>
      <c r="C543" s="5" t="str">
        <f>IFERROR(__xludf.DUMMYFUNCTION("""COMPUTED_VALUE"""),"NÃO POSSUI")</f>
        <v>NÃO POSSUI</v>
      </c>
      <c r="D543" s="5" t="str">
        <f>IFERROR(__xludf.DUMMYFUNCTION("""COMPUTED_VALUE"""),"FIXADA EM POSTE")</f>
        <v>FIXADA EM POSTE</v>
      </c>
      <c r="E543" s="5" t="str">
        <f>IFERROR(__xludf.DUMMYFUNCTION("""COMPUTED_VALUE"""),"SEM BAIA")</f>
        <v>SEM BAIA</v>
      </c>
      <c r="F543" s="5" t="str">
        <f>IFERROR(__xludf.DUMMYFUNCTION("""COMPUTED_VALUE"""),"NÃO")</f>
        <v>NÃO</v>
      </c>
      <c r="G543" s="5" t="str">
        <f>IFERROR(__xludf.DUMMYFUNCTION("""COMPUTED_VALUE"""),"NÃO")</f>
        <v>NÃO</v>
      </c>
      <c r="H543" s="5" t="str">
        <f>IFERROR(__xludf.DUMMYFUNCTION("""COMPUTED_VALUE"""),"PAVIMENTADA COM AVARIAS")</f>
        <v>PAVIMENTADA COM AVARIAS</v>
      </c>
      <c r="I543" s="6" t="str">
        <f>IFERROR(__xludf.DUMMYFUNCTION("""COMPUTED_VALUE"""),"-9.576436")</f>
        <v>-9.576436</v>
      </c>
      <c r="J543" s="6" t="str">
        <f>IFERROR(__xludf.DUMMYFUNCTION("""COMPUTED_VALUE"""),"-35.7659309")</f>
        <v>-35.7659309</v>
      </c>
      <c r="K543" s="5" t="str">
        <f>IFERROR(__xludf.DUMMYFUNCTION("""COMPUTED_VALUE"""),"AV. DER. DÁRIO MARSÍGLIA")</f>
        <v>AV. DER. DÁRIO MARSÍGLIA</v>
      </c>
      <c r="L543" s="5" t="str">
        <f>IFERROR(__xludf.DUMMYFUNCTION("""COMPUTED_VALUE"""),"COLETORA")</f>
        <v>COLETORA</v>
      </c>
      <c r="M543" s="5" t="str">
        <f>IFERROR(__xludf.DUMMYFUNCTION("""COMPUTED_VALUE"""),"TABULEIRO DOS MARTINS")</f>
        <v>TABULEIRO DOS MARTINS</v>
      </c>
      <c r="N543" s="5" t="str">
        <f>IFERROR(__xludf.DUMMYFUNCTION("""COMPUTED_VALUE"""),"CENTRO - BAIRRO")</f>
        <v>CENTRO - BAIRRO</v>
      </c>
      <c r="O543" s="5" t="str">
        <f>IFERROR(__xludf.DUMMYFUNCTION("""COMPUTED_VALUE"""),"EM FRENTE A CMEI CASA DA AMIZADE")</f>
        <v>EM FRENTE A CMEI CASA DA AMIZADE</v>
      </c>
      <c r="P543" s="5" t="str">
        <f>IFERROR(__xludf.DUMMYFUNCTION("""COMPUTED_VALUE"""),"PRIORIDADE BAIXA")</f>
        <v>PRIORIDADE BAIXA</v>
      </c>
      <c r="Q543" s="5" t="str">
        <f>IFERROR(__xludf.DUMMYFUNCTION("""COMPUTED_VALUE"""),"READEQUAÇÃO DE CALÇADA COM ACESSIBILIDADE E PINTURA DE BAÍA NO ASFALTO.")</f>
        <v>READEQUAÇÃO DE CALÇADA COM ACESSIBILIDADE E PINTURA DE BAÍA NO ASFALTO.</v>
      </c>
      <c r="R543" s="5" t="str">
        <f>IFERROR(__xludf.DUMMYFUNCTION("""COMPUTED_VALUE"""),"NENHUMA DAS OPÇÕES")</f>
        <v>NENHUMA DAS OPÇÕES</v>
      </c>
      <c r="S543" s="5"/>
      <c r="T543" s="5"/>
      <c r="U543" s="5"/>
      <c r="V543" s="9" t="str">
        <f>IFERROR(__xludf.DUMMYFUNCTION("""COMPUTED_VALUE"""),"https://drive.google.com/uc?id=1FJMbFLLhsols4MnT4bgHTICfoT_ycXR1")</f>
        <v>https://drive.google.com/uc?id=1FJMbFLLhsols4MnT4bgHTICfoT_ycXR1</v>
      </c>
      <c r="W543" s="5" t="str">
        <f>IFERROR(__xludf.DUMMYFUNCTION("""COMPUTED_VALUE"""),"NÃO")</f>
        <v>NÃO</v>
      </c>
      <c r="X543" s="5" t="str">
        <f>IFERROR(__xludf.DUMMYFUNCTION("""COMPUTED_VALUE"""),"NÃO SE APLICA")</f>
        <v>NÃO SE APLICA</v>
      </c>
    </row>
    <row r="544" hidden="1">
      <c r="A544" s="5">
        <f>IFERROR(__xludf.DUMMYFUNCTION("""COMPUTED_VALUE"""),7.0)</f>
        <v>7</v>
      </c>
      <c r="B544" s="5" t="str">
        <f>IFERROR(__xludf.DUMMYFUNCTION("""COMPUTED_VALUE"""),"TM070")</f>
        <v>TM070</v>
      </c>
      <c r="C544" s="5" t="str">
        <f>IFERROR(__xludf.DUMMYFUNCTION("""COMPUTED_VALUE"""),"NÃO POSSUI")</f>
        <v>NÃO POSSUI</v>
      </c>
      <c r="D544" s="5" t="str">
        <f>IFERROR(__xludf.DUMMYFUNCTION("""COMPUTED_VALUE"""),"FIXADA EM POSTE")</f>
        <v>FIXADA EM POSTE</v>
      </c>
      <c r="E544" s="5" t="str">
        <f>IFERROR(__xludf.DUMMYFUNCTION("""COMPUTED_VALUE"""),"SEM BAIA")</f>
        <v>SEM BAIA</v>
      </c>
      <c r="F544" s="5" t="str">
        <f>IFERROR(__xludf.DUMMYFUNCTION("""COMPUTED_VALUE"""),"NÃO")</f>
        <v>NÃO</v>
      </c>
      <c r="G544" s="5" t="str">
        <f>IFERROR(__xludf.DUMMYFUNCTION("""COMPUTED_VALUE"""),"NÃO")</f>
        <v>NÃO</v>
      </c>
      <c r="H544" s="5" t="str">
        <f>IFERROR(__xludf.DUMMYFUNCTION("""COMPUTED_VALUE"""),"NÃO PAVIMENTADA")</f>
        <v>NÃO PAVIMENTADA</v>
      </c>
      <c r="I544" s="6" t="str">
        <f>IFERROR(__xludf.DUMMYFUNCTION("""COMPUTED_VALUE"""),"-9.574759")</f>
        <v>-9.574759</v>
      </c>
      <c r="J544" s="6" t="str">
        <f>IFERROR(__xludf.DUMMYFUNCTION("""COMPUTED_VALUE"""),"-35.763597")</f>
        <v>-35.763597</v>
      </c>
      <c r="K544" s="5" t="str">
        <f>IFERROR(__xludf.DUMMYFUNCTION("""COMPUTED_VALUE"""),"AV. DER. DÁRIO MARSÍGLIA")</f>
        <v>AV. DER. DÁRIO MARSÍGLIA</v>
      </c>
      <c r="L544" s="5" t="str">
        <f>IFERROR(__xludf.DUMMYFUNCTION("""COMPUTED_VALUE"""),"COLETORA")</f>
        <v>COLETORA</v>
      </c>
      <c r="M544" s="5" t="str">
        <f>IFERROR(__xludf.DUMMYFUNCTION("""COMPUTED_VALUE"""),"TABULEIRO DOS MARTINS")</f>
        <v>TABULEIRO DOS MARTINS</v>
      </c>
      <c r="N544" s="5" t="str">
        <f>IFERROR(__xludf.DUMMYFUNCTION("""COMPUTED_VALUE"""),"CENTRO - BAIRRO")</f>
        <v>CENTRO - BAIRRO</v>
      </c>
      <c r="O544" s="5" t="str">
        <f>IFERROR(__xludf.DUMMYFUNCTION("""COMPUTED_VALUE"""),"EM FRENTE A CASA 536")</f>
        <v>EM FRENTE A CASA 536</v>
      </c>
      <c r="P544" s="5" t="str">
        <f>IFERROR(__xludf.DUMMYFUNCTION("""COMPUTED_VALUE"""),"PRIORIDADE BAIXA")</f>
        <v>PRIORIDADE BAIXA</v>
      </c>
      <c r="Q544" s="5" t="str">
        <f>IFERROR(__xludf.DUMMYFUNCTION("""COMPUTED_VALUE"""),"READEQUAÇÃO DE CALÇADA COM ACESSIBILIDADE E PINTURA DE BAÍA NO ASFALTO.")</f>
        <v>READEQUAÇÃO DE CALÇADA COM ACESSIBILIDADE E PINTURA DE BAÍA NO ASFALTO.</v>
      </c>
      <c r="R544" s="5" t="str">
        <f>IFERROR(__xludf.DUMMYFUNCTION("""COMPUTED_VALUE"""),"NENHUMA DAS OPÇÕES")</f>
        <v>NENHUMA DAS OPÇÕES</v>
      </c>
      <c r="S544" s="5"/>
      <c r="T544" s="5"/>
      <c r="U544" s="5"/>
      <c r="V544" s="9" t="str">
        <f>IFERROR(__xludf.DUMMYFUNCTION("""COMPUTED_VALUE"""),"https://drive.google.com/uc?id=1zBzG94oLVtRlKLB0KeVoi-VQJ8DIpU3p")</f>
        <v>https://drive.google.com/uc?id=1zBzG94oLVtRlKLB0KeVoi-VQJ8DIpU3p</v>
      </c>
      <c r="W544" s="5" t="str">
        <f>IFERROR(__xludf.DUMMYFUNCTION("""COMPUTED_VALUE"""),"NÃO")</f>
        <v>NÃO</v>
      </c>
      <c r="X544" s="5" t="str">
        <f>IFERROR(__xludf.DUMMYFUNCTION("""COMPUTED_VALUE"""),"NÃO SE APLICA")</f>
        <v>NÃO SE APLICA</v>
      </c>
    </row>
    <row r="545" hidden="1">
      <c r="A545" s="5">
        <f>IFERROR(__xludf.DUMMYFUNCTION("""COMPUTED_VALUE"""),7.0)</f>
        <v>7</v>
      </c>
      <c r="B545" s="5" t="str">
        <f>IFERROR(__xludf.DUMMYFUNCTION("""COMPUTED_VALUE"""),"TM071")</f>
        <v>TM071</v>
      </c>
      <c r="C545" s="5" t="str">
        <f>IFERROR(__xludf.DUMMYFUNCTION("""COMPUTED_VALUE"""),"NÃO POSSUI")</f>
        <v>NÃO POSSUI</v>
      </c>
      <c r="D545" s="5" t="str">
        <f>IFERROR(__xludf.DUMMYFUNCTION("""COMPUTED_VALUE"""),"FIXADA EM POSTE")</f>
        <v>FIXADA EM POSTE</v>
      </c>
      <c r="E545" s="5" t="str">
        <f>IFERROR(__xludf.DUMMYFUNCTION("""COMPUTED_VALUE"""),"SEM BAIA")</f>
        <v>SEM BAIA</v>
      </c>
      <c r="F545" s="5" t="str">
        <f>IFERROR(__xludf.DUMMYFUNCTION("""COMPUTED_VALUE"""),"NÃO")</f>
        <v>NÃO</v>
      </c>
      <c r="G545" s="5" t="str">
        <f>IFERROR(__xludf.DUMMYFUNCTION("""COMPUTED_VALUE"""),"NÃO")</f>
        <v>NÃO</v>
      </c>
      <c r="H545" s="5" t="str">
        <f>IFERROR(__xludf.DUMMYFUNCTION("""COMPUTED_VALUE"""),"PAVIMENTADA COM AVARIAS")</f>
        <v>PAVIMENTADA COM AVARIAS</v>
      </c>
      <c r="I545" s="6" t="str">
        <f>IFERROR(__xludf.DUMMYFUNCTION("""COMPUTED_VALUE"""),"-9.573358")</f>
        <v>-9.573358</v>
      </c>
      <c r="J545" s="6" t="str">
        <f>IFERROR(__xludf.DUMMYFUNCTION("""COMPUTED_VALUE""")," -35.761832
")</f>
        <v> -35.761832
</v>
      </c>
      <c r="K545" s="5" t="str">
        <f>IFERROR(__xludf.DUMMYFUNCTION("""COMPUTED_VALUE"""),"AV. DER. DÁRIO MARSÍGLIA")</f>
        <v>AV. DER. DÁRIO MARSÍGLIA</v>
      </c>
      <c r="L545" s="5" t="str">
        <f>IFERROR(__xludf.DUMMYFUNCTION("""COMPUTED_VALUE"""),"COLETORA")</f>
        <v>COLETORA</v>
      </c>
      <c r="M545" s="5" t="str">
        <f>IFERROR(__xludf.DUMMYFUNCTION("""COMPUTED_VALUE"""),"TABULEIRO DOS MARTINS")</f>
        <v>TABULEIRO DOS MARTINS</v>
      </c>
      <c r="N545" s="5" t="str">
        <f>IFERROR(__xludf.DUMMYFUNCTION("""COMPUTED_VALUE"""),"CENTRO - BAIRRO")</f>
        <v>CENTRO - BAIRRO</v>
      </c>
      <c r="O545" s="5" t="str">
        <f>IFERROR(__xludf.DUMMYFUNCTION("""COMPUTED_VALUE"""),"EM FRENTE A IGREJA PENTENCOSTAL")</f>
        <v>EM FRENTE A IGREJA PENTENCOSTAL</v>
      </c>
      <c r="P545" s="5" t="str">
        <f>IFERROR(__xludf.DUMMYFUNCTION("""COMPUTED_VALUE"""),"PRIORIDADE BAIXA")</f>
        <v>PRIORIDADE BAIXA</v>
      </c>
      <c r="Q545" s="5" t="str">
        <f>IFERROR(__xludf.DUMMYFUNCTION("""COMPUTED_VALUE"""),"READEQUAÇÃO DE CALÇADA COM ACESSIBILIDADE E PINTURA DE BAÍA NO ASFALTO.")</f>
        <v>READEQUAÇÃO DE CALÇADA COM ACESSIBILIDADE E PINTURA DE BAÍA NO ASFALTO.</v>
      </c>
      <c r="R545" s="5" t="str">
        <f>IFERROR(__xludf.DUMMYFUNCTION("""COMPUTED_VALUE"""),"NENHUMA DAS OPÇÕES")</f>
        <v>NENHUMA DAS OPÇÕES</v>
      </c>
      <c r="S545" s="5"/>
      <c r="T545" s="5"/>
      <c r="U545" s="5"/>
      <c r="V545" s="9" t="str">
        <f>IFERROR(__xludf.DUMMYFUNCTION("""COMPUTED_VALUE"""),"https://drive.google.com/uc?id=1rGZX1FIHo0zHTa8Y5APaDfA6MP4vOXtY")</f>
        <v>https://drive.google.com/uc?id=1rGZX1FIHo0zHTa8Y5APaDfA6MP4vOXtY</v>
      </c>
      <c r="W545" s="5" t="str">
        <f>IFERROR(__xludf.DUMMYFUNCTION("""COMPUTED_VALUE"""),"NÃO")</f>
        <v>NÃO</v>
      </c>
      <c r="X545" s="5" t="str">
        <f>IFERROR(__xludf.DUMMYFUNCTION("""COMPUTED_VALUE"""),"NÃO SE APLICA")</f>
        <v>NÃO SE APLICA</v>
      </c>
    </row>
    <row r="546" hidden="1">
      <c r="A546" s="5">
        <f>IFERROR(__xludf.DUMMYFUNCTION("""COMPUTED_VALUE"""),7.0)</f>
        <v>7</v>
      </c>
      <c r="B546" s="5" t="str">
        <f>IFERROR(__xludf.DUMMYFUNCTION("""COMPUTED_VALUE"""),"TM072")</f>
        <v>TM072</v>
      </c>
      <c r="C546" s="5" t="str">
        <f>IFERROR(__xludf.DUMMYFUNCTION("""COMPUTED_VALUE"""),"NÃO POSSUI")</f>
        <v>NÃO POSSUI</v>
      </c>
      <c r="D546" s="5" t="str">
        <f>IFERROR(__xludf.DUMMYFUNCTION("""COMPUTED_VALUE"""),"COM SUPORTE")</f>
        <v>COM SUPORTE</v>
      </c>
      <c r="E546" s="5" t="str">
        <f>IFERROR(__xludf.DUMMYFUNCTION("""COMPUTED_VALUE"""),"SEM BAIA")</f>
        <v>SEM BAIA</v>
      </c>
      <c r="F546" s="5" t="str">
        <f>IFERROR(__xludf.DUMMYFUNCTION("""COMPUTED_VALUE"""),"NÃO")</f>
        <v>NÃO</v>
      </c>
      <c r="G546" s="5" t="str">
        <f>IFERROR(__xludf.DUMMYFUNCTION("""COMPUTED_VALUE"""),"NÃO")</f>
        <v>NÃO</v>
      </c>
      <c r="H546" s="5" t="str">
        <f>IFERROR(__xludf.DUMMYFUNCTION("""COMPUTED_VALUE"""),"NÃO PAVIMENTADA")</f>
        <v>NÃO PAVIMENTADA</v>
      </c>
      <c r="I546" s="6" t="str">
        <f>IFERROR(__xludf.DUMMYFUNCTION("""COMPUTED_VALUE"""),"-9.590262")</f>
        <v>-9.590262</v>
      </c>
      <c r="J546" s="6" t="str">
        <f>IFERROR(__xludf.DUMMYFUNCTION("""COMPUTED_VALUE"""),"-35.762762
")</f>
        <v>-35.762762
</v>
      </c>
      <c r="K546" s="5" t="str">
        <f>IFERROR(__xludf.DUMMYFUNCTION("""COMPUTED_VALUE"""),"VENIDA SEBASTIÃO CORREIA DA ROCHA")</f>
        <v>VENIDA SEBASTIÃO CORREIA DA ROCHA</v>
      </c>
      <c r="L546" s="5" t="str">
        <f>IFERROR(__xludf.DUMMYFUNCTION("""COMPUTED_VALUE"""),"COLETORA")</f>
        <v>COLETORA</v>
      </c>
      <c r="M546" s="5" t="str">
        <f>IFERROR(__xludf.DUMMYFUNCTION("""COMPUTED_VALUE"""),"TABULEIRO DOS MARTINS")</f>
        <v>TABULEIRO DOS MARTINS</v>
      </c>
      <c r="N546" s="5" t="str">
        <f>IFERROR(__xludf.DUMMYFUNCTION("""COMPUTED_VALUE"""),"CENTRO - BAIRRO")</f>
        <v>CENTRO - BAIRRO</v>
      </c>
      <c r="O546" s="5" t="str">
        <f>IFERROR(__xludf.DUMMYFUNCTION("""COMPUTED_VALUE"""),"EM FRENTE AO RESIDENCIAL MATA DAS ANDORINHAS")</f>
        <v>EM FRENTE AO RESIDENCIAL MATA DAS ANDORINHAS</v>
      </c>
      <c r="P546" s="5" t="str">
        <f>IFERROR(__xludf.DUMMYFUNCTION("""COMPUTED_VALUE"""),"PRIORIDADE BAIXA")</f>
        <v>PRIORIDADE BAIXA</v>
      </c>
      <c r="Q546" s="5" t="str">
        <f>IFERROR(__xludf.DUMMYFUNCTION("""COMPUTED_VALUE"""),"READEQUAÇÃO DE CALÇADA COM ACESSIBILIDADE E PINTURA DE BAÍA NO ASFALTO.")</f>
        <v>READEQUAÇÃO DE CALÇADA COM ACESSIBILIDADE E PINTURA DE BAÍA NO ASFALTO.</v>
      </c>
      <c r="R546" s="5" t="str">
        <f>IFERROR(__xludf.DUMMYFUNCTION("""COMPUTED_VALUE"""),"NENHUMA DAS OPÇÕES")</f>
        <v>NENHUMA DAS OPÇÕES</v>
      </c>
      <c r="S546" s="5"/>
      <c r="T546" s="5"/>
      <c r="U546" s="5"/>
      <c r="V546" s="9" t="str">
        <f>IFERROR(__xludf.DUMMYFUNCTION("""COMPUTED_VALUE"""),"https://drive.google.com/uc?id=1ToJAxldXKYH023DT2ssDIzgYtNmihFdH")</f>
        <v>https://drive.google.com/uc?id=1ToJAxldXKYH023DT2ssDIzgYtNmihFdH</v>
      </c>
      <c r="W546" s="5" t="str">
        <f>IFERROR(__xludf.DUMMYFUNCTION("""COMPUTED_VALUE"""),"NÃO")</f>
        <v>NÃO</v>
      </c>
      <c r="X546" s="5" t="str">
        <f>IFERROR(__xludf.DUMMYFUNCTION("""COMPUTED_VALUE"""),"NÃO SE APLICA")</f>
        <v>NÃO SE APLICA</v>
      </c>
    </row>
    <row r="547" ht="19.5" hidden="1" customHeight="1">
      <c r="A547" s="5">
        <f>IFERROR(__xludf.DUMMYFUNCTION("""COMPUTED_VALUE"""),7.0)</f>
        <v>7</v>
      </c>
      <c r="B547" s="5" t="str">
        <f>IFERROR(__xludf.DUMMYFUNCTION("""COMPUTED_VALUE"""),"TM073")</f>
        <v>TM073</v>
      </c>
      <c r="C547" s="5" t="str">
        <f>IFERROR(__xludf.DUMMYFUNCTION("""COMPUTED_VALUE"""),"NÃO POSSUI")</f>
        <v>NÃO POSSUI</v>
      </c>
      <c r="D547" s="5" t="str">
        <f>IFERROR(__xludf.DUMMYFUNCTION("""COMPUTED_VALUE"""),"SEM PLACA")</f>
        <v>SEM PLACA</v>
      </c>
      <c r="E547" s="5" t="str">
        <f>IFERROR(__xludf.DUMMYFUNCTION("""COMPUTED_VALUE"""),"SEM BAIA")</f>
        <v>SEM BAIA</v>
      </c>
      <c r="F547" s="5" t="str">
        <f>IFERROR(__xludf.DUMMYFUNCTION("""COMPUTED_VALUE"""),"NÃO")</f>
        <v>NÃO</v>
      </c>
      <c r="G547" s="5" t="str">
        <f>IFERROR(__xludf.DUMMYFUNCTION("""COMPUTED_VALUE"""),"NÃO")</f>
        <v>NÃO</v>
      </c>
      <c r="H547" s="5" t="str">
        <f>IFERROR(__xludf.DUMMYFUNCTION("""COMPUTED_VALUE"""),"PAVIMENTADA COM AVARIAS")</f>
        <v>PAVIMENTADA COM AVARIAS</v>
      </c>
      <c r="I547" s="6" t="str">
        <f>IFERROR(__xludf.DUMMYFUNCTION("""COMPUTED_VALUE"""),"-9.570036")</f>
        <v>-9.570036</v>
      </c>
      <c r="J547" s="6" t="str">
        <f>IFERROR(__xludf.DUMMYFUNCTION("""COMPUTED_VALUE"""),"-35.757207")</f>
        <v>-35.757207</v>
      </c>
      <c r="K547" s="5" t="str">
        <f>IFERROR(__xludf.DUMMYFUNCTION("""COMPUTED_VALUE"""),"AV. DER. DÁRIO MARSÍGLIA")</f>
        <v>AV. DER. DÁRIO MARSÍGLIA</v>
      </c>
      <c r="L547" s="5" t="str">
        <f>IFERROR(__xludf.DUMMYFUNCTION("""COMPUTED_VALUE"""),"COLETORA")</f>
        <v>COLETORA</v>
      </c>
      <c r="M547" s="5" t="str">
        <f>IFERROR(__xludf.DUMMYFUNCTION("""COMPUTED_VALUE"""),"TABULEIRO DOS MARTINS")</f>
        <v>TABULEIRO DOS MARTINS</v>
      </c>
      <c r="N547" s="5" t="str">
        <f>IFERROR(__xludf.DUMMYFUNCTION("""COMPUTED_VALUE"""),"CENTRO - BAIRRO")</f>
        <v>CENTRO - BAIRRO</v>
      </c>
      <c r="O547" s="5" t="str">
        <f>IFERROR(__xludf.DUMMYFUNCTION("""COMPUTED_VALUE"""),"EM FRENTE A SPACE INFORMÁTICA")</f>
        <v>EM FRENTE A SPACE INFORMÁTICA</v>
      </c>
      <c r="P547" s="5" t="str">
        <f>IFERROR(__xludf.DUMMYFUNCTION("""COMPUTED_VALUE"""),"PRIORIDADE ALTA")</f>
        <v>PRIORIDADE ALTA</v>
      </c>
      <c r="Q547" s="5" t="str">
        <f>IFERROR(__xludf.DUMMYFUNCTION("""COMPUTED_VALUE"""),"READEQUAÇÃO DE CALÇADA COM ACESSIBILIDADE E PINTURA DE BAÍA NO ASFALTO.")</f>
        <v>READEQUAÇÃO DE CALÇADA COM ACESSIBILIDADE E PINTURA DE BAÍA NO ASFALTO.</v>
      </c>
      <c r="R547" s="5" t="str">
        <f>IFERROR(__xludf.DUMMYFUNCTION("""COMPUTED_VALUE"""),"NENHUMA DAS OPÇÕES")</f>
        <v>NENHUMA DAS OPÇÕES</v>
      </c>
      <c r="S547" s="5"/>
      <c r="T547" s="5"/>
      <c r="U547" s="5"/>
      <c r="V547" s="9" t="str">
        <f>IFERROR(__xludf.DUMMYFUNCTION("""COMPUTED_VALUE"""),"https://drive.google.com/uc?id=1HBgMafLkOJONydJSXMxex6GI9ow8525n")</f>
        <v>https://drive.google.com/uc?id=1HBgMafLkOJONydJSXMxex6GI9ow8525n</v>
      </c>
      <c r="W547" s="5" t="str">
        <f>IFERROR(__xludf.DUMMYFUNCTION("""COMPUTED_VALUE"""),"NÃO")</f>
        <v>NÃO</v>
      </c>
      <c r="X547" s="5" t="str">
        <f>IFERROR(__xludf.DUMMYFUNCTION("""COMPUTED_VALUE"""),"NÃO SE APLICA")</f>
        <v>NÃO SE APLICA</v>
      </c>
    </row>
    <row r="548" hidden="1">
      <c r="A548" s="5">
        <f>IFERROR(__xludf.DUMMYFUNCTION("""COMPUTED_VALUE"""),7.0)</f>
        <v>7</v>
      </c>
      <c r="B548" s="5" t="str">
        <f>IFERROR(__xludf.DUMMYFUNCTION("""COMPUTED_VALUE"""),"TM074")</f>
        <v>TM074</v>
      </c>
      <c r="C548" s="5" t="str">
        <f>IFERROR(__xludf.DUMMYFUNCTION("""COMPUTED_VALUE"""),"NÃO POSSUI")</f>
        <v>NÃO POSSUI</v>
      </c>
      <c r="D548" s="5" t="str">
        <f>IFERROR(__xludf.DUMMYFUNCTION("""COMPUTED_VALUE"""),"COM SUPORTE")</f>
        <v>COM SUPORTE</v>
      </c>
      <c r="E548" s="5" t="str">
        <f>IFERROR(__xludf.DUMMYFUNCTION("""COMPUTED_VALUE"""),"SEM BAIA")</f>
        <v>SEM BAIA</v>
      </c>
      <c r="F548" s="5" t="str">
        <f>IFERROR(__xludf.DUMMYFUNCTION("""COMPUTED_VALUE"""),"NÃO")</f>
        <v>NÃO</v>
      </c>
      <c r="G548" s="5" t="str">
        <f>IFERROR(__xludf.DUMMYFUNCTION("""COMPUTED_VALUE"""),"NÃO")</f>
        <v>NÃO</v>
      </c>
      <c r="H548" s="5" t="str">
        <f>IFERROR(__xludf.DUMMYFUNCTION("""COMPUTED_VALUE"""),"NÃO PAVIMENTADA")</f>
        <v>NÃO PAVIMENTADA</v>
      </c>
      <c r="I548" s="6" t="str">
        <f>IFERROR(__xludf.DUMMYFUNCTION("""COMPUTED_VALUE"""),"-9.5680504")</f>
        <v>-9.5680504</v>
      </c>
      <c r="J548" s="6" t="str">
        <f>IFERROR(__xludf.DUMMYFUNCTION("""COMPUTED_VALUE"""),"-35.7544865  ")</f>
        <v>-35.7544865  </v>
      </c>
      <c r="K548" s="5" t="str">
        <f>IFERROR(__xludf.DUMMYFUNCTION("""COMPUTED_VALUE"""),"AV. DER. DÁRIO MARSÍGLIA")</f>
        <v>AV. DER. DÁRIO MARSÍGLIA</v>
      </c>
      <c r="L548" s="5" t="str">
        <f>IFERROR(__xludf.DUMMYFUNCTION("""COMPUTED_VALUE"""),"COLETORA")</f>
        <v>COLETORA</v>
      </c>
      <c r="M548" s="5" t="str">
        <f>IFERROR(__xludf.DUMMYFUNCTION("""COMPUTED_VALUE"""),"TABULEIRO DOS MARTINS")</f>
        <v>TABULEIRO DOS MARTINS</v>
      </c>
      <c r="N548" s="5" t="str">
        <f>IFERROR(__xludf.DUMMYFUNCTION("""COMPUTED_VALUE"""),"CENTRO - BAIRRO")</f>
        <v>CENTRO - BAIRRO</v>
      </c>
      <c r="O548" s="5" t="str">
        <f>IFERROR(__xludf.DUMMYFUNCTION("""COMPUTED_VALUE"""),"EM FRENTE A SAN MOTOS")</f>
        <v>EM FRENTE A SAN MOTOS</v>
      </c>
      <c r="P548" s="5" t="str">
        <f>IFERROR(__xludf.DUMMYFUNCTION("""COMPUTED_VALUE"""),"PRIORIDADE MÉDIA")</f>
        <v>PRIORIDADE MÉDIA</v>
      </c>
      <c r="Q548" s="5" t="str">
        <f>IFERROR(__xludf.DUMMYFUNCTION("""COMPUTED_VALUE"""),"LIMPEZA DA VEGETAÇÃO, READEQUAÇÃO DE CALÇADA COM ACESSIBILIDADE E PINTURA DE BAÍA NO ASFALTO.")</f>
        <v>LIMPEZA DA VEGETAÇÃO, READEQUAÇÃO DE CALÇADA COM ACESSIBILIDADE E PINTURA DE BAÍA NO ASFALTO.</v>
      </c>
      <c r="R548" s="5" t="str">
        <f>IFERROR(__xludf.DUMMYFUNCTION("""COMPUTED_VALUE"""),"NENHUMA DAS OPÇÕES")</f>
        <v>NENHUMA DAS OPÇÕES</v>
      </c>
      <c r="S548" s="5"/>
      <c r="T548" s="5"/>
      <c r="U548" s="5"/>
      <c r="V548" s="9" t="str">
        <f>IFERROR(__xludf.DUMMYFUNCTION("""COMPUTED_VALUE"""),"https://drive.google.com/uc?id=17JBpAvI5ohF7GRZOSI1fLxSfHeijwvZp")</f>
        <v>https://drive.google.com/uc?id=17JBpAvI5ohF7GRZOSI1fLxSfHeijwvZp</v>
      </c>
      <c r="W548" s="5" t="str">
        <f>IFERROR(__xludf.DUMMYFUNCTION("""COMPUTED_VALUE"""),"NÃO")</f>
        <v>NÃO</v>
      </c>
      <c r="X548" s="5" t="str">
        <f>IFERROR(__xludf.DUMMYFUNCTION("""COMPUTED_VALUE"""),"NÃO SE APLICA")</f>
        <v>NÃO SE APLICA</v>
      </c>
    </row>
    <row r="549" hidden="1">
      <c r="A549" s="5">
        <f>IFERROR(__xludf.DUMMYFUNCTION("""COMPUTED_VALUE"""),7.0)</f>
        <v>7</v>
      </c>
      <c r="B549" s="5" t="str">
        <f>IFERROR(__xludf.DUMMYFUNCTION("""COMPUTED_VALUE"""),"TM075")</f>
        <v>TM075</v>
      </c>
      <c r="C549" s="5" t="str">
        <f>IFERROR(__xludf.DUMMYFUNCTION("""COMPUTED_VALUE"""),"NÃO POSSUI")</f>
        <v>NÃO POSSUI</v>
      </c>
      <c r="D549" s="5" t="str">
        <f>IFERROR(__xludf.DUMMYFUNCTION("""COMPUTED_VALUE"""),"FIXADA EM POSTE")</f>
        <v>FIXADA EM POSTE</v>
      </c>
      <c r="E549" s="5" t="str">
        <f>IFERROR(__xludf.DUMMYFUNCTION("""COMPUTED_VALUE"""),"SEM BAIA")</f>
        <v>SEM BAIA</v>
      </c>
      <c r="F549" s="5" t="str">
        <f>IFERROR(__xludf.DUMMYFUNCTION("""COMPUTED_VALUE"""),"NÃO")</f>
        <v>NÃO</v>
      </c>
      <c r="G549" s="5" t="str">
        <f>IFERROR(__xludf.DUMMYFUNCTION("""COMPUTED_VALUE"""),"NÃO")</f>
        <v>NÃO</v>
      </c>
      <c r="H549" s="5" t="str">
        <f>IFERROR(__xludf.DUMMYFUNCTION("""COMPUTED_VALUE"""),"PAVIMENTADA COM AVARIAS")</f>
        <v>PAVIMENTADA COM AVARIAS</v>
      </c>
      <c r="I549" s="6" t="str">
        <f>IFERROR(__xludf.DUMMYFUNCTION("""COMPUTED_VALUE"""),"-9.568019")</f>
        <v>-9.568019</v>
      </c>
      <c r="J549" s="6" t="str">
        <f>IFERROR(__xludf.DUMMYFUNCTION("""COMPUTED_VALUE"""),"-35.754618")</f>
        <v>-35.754618</v>
      </c>
      <c r="K549" s="5" t="str">
        <f>IFERROR(__xludf.DUMMYFUNCTION("""COMPUTED_VALUE"""),"AV. DER. DÁRIO MARSÍGLIA")</f>
        <v>AV. DER. DÁRIO MARSÍGLIA</v>
      </c>
      <c r="L549" s="5" t="str">
        <f>IFERROR(__xludf.DUMMYFUNCTION("""COMPUTED_VALUE"""),"COLETORA")</f>
        <v>COLETORA</v>
      </c>
      <c r="M549" s="5" t="str">
        <f>IFERROR(__xludf.DUMMYFUNCTION("""COMPUTED_VALUE"""),"TABULEIRO DOS MARTINS")</f>
        <v>TABULEIRO DOS MARTINS</v>
      </c>
      <c r="N549" s="5" t="str">
        <f>IFERROR(__xludf.DUMMYFUNCTION("""COMPUTED_VALUE"""),"BAIRRO - CENTRO")</f>
        <v>BAIRRO - CENTRO</v>
      </c>
      <c r="O549" s="5" t="str">
        <f>IFERROR(__xludf.DUMMYFUNCTION("""COMPUTED_VALUE"""),"EM FRENTE A CASA 06")</f>
        <v>EM FRENTE A CASA 06</v>
      </c>
      <c r="P549" s="5" t="str">
        <f>IFERROR(__xludf.DUMMYFUNCTION("""COMPUTED_VALUE"""),"PRIORIDADE BAIXA")</f>
        <v>PRIORIDADE BAIXA</v>
      </c>
      <c r="Q549" s="5" t="str">
        <f>IFERROR(__xludf.DUMMYFUNCTION("""COMPUTED_VALUE"""),"READEQUAÇÃO DE CALÇADA COM ACESSIBILIDADE E PINTURA DE BAÍA NO ASFALTO.")</f>
        <v>READEQUAÇÃO DE CALÇADA COM ACESSIBILIDADE E PINTURA DE BAÍA NO ASFALTO.</v>
      </c>
      <c r="R549" s="5" t="str">
        <f>IFERROR(__xludf.DUMMYFUNCTION("""COMPUTED_VALUE"""),"NENHUMA DAS OPÇÕES")</f>
        <v>NENHUMA DAS OPÇÕES</v>
      </c>
      <c r="S549" s="5"/>
      <c r="T549" s="5"/>
      <c r="U549" s="5"/>
      <c r="V549" s="9" t="str">
        <f>IFERROR(__xludf.DUMMYFUNCTION("""COMPUTED_VALUE"""),"https://drive.google.com/uc?id=1dC3p9jfvxhf4MpJiW7GYnEwBs3A1y0Ak")</f>
        <v>https://drive.google.com/uc?id=1dC3p9jfvxhf4MpJiW7GYnEwBs3A1y0Ak</v>
      </c>
      <c r="W549" s="5" t="str">
        <f>IFERROR(__xludf.DUMMYFUNCTION("""COMPUTED_VALUE"""),"NÃO")</f>
        <v>NÃO</v>
      </c>
      <c r="X549" s="5" t="str">
        <f>IFERROR(__xludf.DUMMYFUNCTION("""COMPUTED_VALUE"""),"NÃO SE APLICA")</f>
        <v>NÃO SE APLICA</v>
      </c>
    </row>
    <row r="550" hidden="1">
      <c r="A550" s="5">
        <f>IFERROR(__xludf.DUMMYFUNCTION("""COMPUTED_VALUE"""),7.0)</f>
        <v>7</v>
      </c>
      <c r="B550" s="5" t="str">
        <f>IFERROR(__xludf.DUMMYFUNCTION("""COMPUTED_VALUE"""),"TM076")</f>
        <v>TM076</v>
      </c>
      <c r="C550" s="5" t="str">
        <f>IFERROR(__xludf.DUMMYFUNCTION("""COMPUTED_VALUE"""),"NÃO POSSUI")</f>
        <v>NÃO POSSUI</v>
      </c>
      <c r="D550" s="5" t="str">
        <f>IFERROR(__xludf.DUMMYFUNCTION("""COMPUTED_VALUE"""),"SEM PLACA")</f>
        <v>SEM PLACA</v>
      </c>
      <c r="E550" s="5" t="str">
        <f>IFERROR(__xludf.DUMMYFUNCTION("""COMPUTED_VALUE"""),"SEM BAIA")</f>
        <v>SEM BAIA</v>
      </c>
      <c r="F550" s="5" t="str">
        <f>IFERROR(__xludf.DUMMYFUNCTION("""COMPUTED_VALUE"""),"NÃO")</f>
        <v>NÃO</v>
      </c>
      <c r="G550" s="5" t="str">
        <f>IFERROR(__xludf.DUMMYFUNCTION("""COMPUTED_VALUE"""),"NÃO")</f>
        <v>NÃO</v>
      </c>
      <c r="H550" s="5" t="str">
        <f>IFERROR(__xludf.DUMMYFUNCTION("""COMPUTED_VALUE"""),"PAVIMENTADA COM AVARIAS")</f>
        <v>PAVIMENTADA COM AVARIAS</v>
      </c>
      <c r="I550" s="6" t="str">
        <f>IFERROR(__xludf.DUMMYFUNCTION("""COMPUTED_VALUE"""),"-9.5699742")</f>
        <v>-9.5699742</v>
      </c>
      <c r="J550" s="6" t="str">
        <f>IFERROR(__xludf.DUMMYFUNCTION("""COMPUTED_VALUE"""),"-35.7571764  ")</f>
        <v>-35.7571764  </v>
      </c>
      <c r="K550" s="5" t="str">
        <f>IFERROR(__xludf.DUMMYFUNCTION("""COMPUTED_VALUE"""),"AV. DER. DÁRIO MARSÍGLIA ")</f>
        <v>AV. DER. DÁRIO MARSÍGLIA </v>
      </c>
      <c r="L550" s="5" t="str">
        <f>IFERROR(__xludf.DUMMYFUNCTION("""COMPUTED_VALUE"""),"COLETORA")</f>
        <v>COLETORA</v>
      </c>
      <c r="M550" s="5" t="str">
        <f>IFERROR(__xludf.DUMMYFUNCTION("""COMPUTED_VALUE"""),"TABULEIRO DOS MARTINS")</f>
        <v>TABULEIRO DOS MARTINS</v>
      </c>
      <c r="N550" s="5" t="str">
        <f>IFERROR(__xludf.DUMMYFUNCTION("""COMPUTED_VALUE"""),"BAIRRO - CENTRO")</f>
        <v>BAIRRO - CENTRO</v>
      </c>
      <c r="O550" s="5" t="str">
        <f>IFERROR(__xludf.DUMMYFUNCTION("""COMPUTED_VALUE"""),"EM FRENTE A MICHELLY CABELOS")</f>
        <v>EM FRENTE A MICHELLY CABELOS</v>
      </c>
      <c r="P550" s="5" t="str">
        <f>IFERROR(__xludf.DUMMYFUNCTION("""COMPUTED_VALUE"""),"URGENTE")</f>
        <v>URGENTE</v>
      </c>
      <c r="Q550" s="5" t="str">
        <f>IFERROR(__xludf.DUMMYFUNCTION("""COMPUTED_VALUE"""),"READEQUAÇÃO DE CALÇADA COM ACESSIBILIDADE E PINTURA DE BAÍA NO ASFALTO.")</f>
        <v>READEQUAÇÃO DE CALÇADA COM ACESSIBILIDADE E PINTURA DE BAÍA NO ASFALTO.</v>
      </c>
      <c r="R550" s="5" t="str">
        <f>IFERROR(__xludf.DUMMYFUNCTION("""COMPUTED_VALUE"""),"NENHUMA DAS OPÇÕES")</f>
        <v>NENHUMA DAS OPÇÕES</v>
      </c>
      <c r="S550" s="5"/>
      <c r="T550" s="5"/>
      <c r="U550" s="5"/>
      <c r="V550" s="9" t="str">
        <f>IFERROR(__xludf.DUMMYFUNCTION("""COMPUTED_VALUE"""),"https://drive.google.com/uc?id=1JQ5eBa4NV5HY5qOTsx_XhfN2xVRFTknO")</f>
        <v>https://drive.google.com/uc?id=1JQ5eBa4NV5HY5qOTsx_XhfN2xVRFTknO</v>
      </c>
      <c r="W550" s="5" t="str">
        <f>IFERROR(__xludf.DUMMYFUNCTION("""COMPUTED_VALUE"""),"NÃO")</f>
        <v>NÃO</v>
      </c>
      <c r="X550" s="5" t="str">
        <f>IFERROR(__xludf.DUMMYFUNCTION("""COMPUTED_VALUE"""),"NÃO SE APLICA")</f>
        <v>NÃO SE APLICA</v>
      </c>
    </row>
    <row r="551" hidden="1">
      <c r="A551" s="5">
        <f>IFERROR(__xludf.DUMMYFUNCTION("""COMPUTED_VALUE"""),7.0)</f>
        <v>7</v>
      </c>
      <c r="B551" s="5" t="str">
        <f>IFERROR(__xludf.DUMMYFUNCTION("""COMPUTED_VALUE"""),"TM077")</f>
        <v>TM077</v>
      </c>
      <c r="C551" s="5" t="str">
        <f>IFERROR(__xludf.DUMMYFUNCTION("""COMPUTED_VALUE"""),"NÃO POSSUI")</f>
        <v>NÃO POSSUI</v>
      </c>
      <c r="D551" s="5" t="str">
        <f>IFERROR(__xludf.DUMMYFUNCTION("""COMPUTED_VALUE"""),"SEM PLACA")</f>
        <v>SEM PLACA</v>
      </c>
      <c r="E551" s="5" t="str">
        <f>IFERROR(__xludf.DUMMYFUNCTION("""COMPUTED_VALUE"""),"SEM BAIA")</f>
        <v>SEM BAIA</v>
      </c>
      <c r="F551" s="5" t="str">
        <f>IFERROR(__xludf.DUMMYFUNCTION("""COMPUTED_VALUE"""),"NÃO")</f>
        <v>NÃO</v>
      </c>
      <c r="G551" s="5" t="str">
        <f>IFERROR(__xludf.DUMMYFUNCTION("""COMPUTED_VALUE"""),"NÃO")</f>
        <v>NÃO</v>
      </c>
      <c r="H551" s="5" t="str">
        <f>IFERROR(__xludf.DUMMYFUNCTION("""COMPUTED_VALUE"""),"PAVIMENTADA COM AVARIAS")</f>
        <v>PAVIMENTADA COM AVARIAS</v>
      </c>
      <c r="I551" s="6" t="str">
        <f>IFERROR(__xludf.DUMMYFUNCTION("""COMPUTED_VALUE"""),"-9.5870352")</f>
        <v>-9.5870352</v>
      </c>
      <c r="J551" s="6" t="str">
        <f>IFERROR(__xludf.DUMMYFUNCTION("""COMPUTED_VALUE"""),"-35.7688355")</f>
        <v>-35.7688355</v>
      </c>
      <c r="K551" s="5" t="str">
        <f>IFERROR(__xludf.DUMMYFUNCTION("""COMPUTED_VALUE"""),"RUA SANTA LUZIA")</f>
        <v>RUA SANTA LUZIA</v>
      </c>
      <c r="L551" s="5" t="str">
        <f>IFERROR(__xludf.DUMMYFUNCTION("""COMPUTED_VALUE"""),"COLETORA")</f>
        <v>COLETORA</v>
      </c>
      <c r="M551" s="5" t="str">
        <f>IFERROR(__xludf.DUMMYFUNCTION("""COMPUTED_VALUE"""),"TABULEIRO DOS MARTINS")</f>
        <v>TABULEIRO DOS MARTINS</v>
      </c>
      <c r="N551" s="5"/>
      <c r="O551" s="5" t="str">
        <f>IFERROR(__xludf.DUMMYFUNCTION("""COMPUTED_VALUE"""),"EM FRENTE A AZEVEDO CONSTRUÇÕES")</f>
        <v>EM FRENTE A AZEVEDO CONSTRUÇÕES</v>
      </c>
      <c r="P551" s="5" t="str">
        <f>IFERROR(__xludf.DUMMYFUNCTION("""COMPUTED_VALUE"""),"URGENTE")</f>
        <v>URGENTE</v>
      </c>
      <c r="Q551" s="5" t="str">
        <f>IFERROR(__xludf.DUMMYFUNCTION("""COMPUTED_VALUE"""),"READEQUAÇÃO DE CALÇADA COM ACESSIBILIDADE E PINTURA DE BAÍA NO ASFALTO.")</f>
        <v>READEQUAÇÃO DE CALÇADA COM ACESSIBILIDADE E PINTURA DE BAÍA NO ASFALTO.</v>
      </c>
      <c r="R551" s="5" t="str">
        <f>IFERROR(__xludf.DUMMYFUNCTION("""COMPUTED_VALUE"""),"NENHUMA DAS OPÇÕES")</f>
        <v>NENHUMA DAS OPÇÕES</v>
      </c>
      <c r="S551" s="5"/>
      <c r="T551" s="5"/>
      <c r="U551" s="5"/>
      <c r="V551" s="9" t="str">
        <f>IFERROR(__xludf.DUMMYFUNCTION("""COMPUTED_VALUE"""),"https://drive.google.com/uc?id=1A2eVIu-eeJxVXizyxFhyhTehewahs0Uu")</f>
        <v>https://drive.google.com/uc?id=1A2eVIu-eeJxVXizyxFhyhTehewahs0Uu</v>
      </c>
      <c r="W551" s="5" t="str">
        <f>IFERROR(__xludf.DUMMYFUNCTION("""COMPUTED_VALUE"""),"NÃO")</f>
        <v>NÃO</v>
      </c>
      <c r="X551" s="5" t="str">
        <f>IFERROR(__xludf.DUMMYFUNCTION("""COMPUTED_VALUE"""),"NÃO SE APLICA")</f>
        <v>NÃO SE APLICA</v>
      </c>
    </row>
    <row r="552" hidden="1">
      <c r="A552" s="5">
        <f>IFERROR(__xludf.DUMMYFUNCTION("""COMPUTED_VALUE"""),7.0)</f>
        <v>7</v>
      </c>
      <c r="B552" s="5" t="str">
        <f>IFERROR(__xludf.DUMMYFUNCTION("""COMPUTED_VALUE"""),"TM078")</f>
        <v>TM078</v>
      </c>
      <c r="C552" s="5" t="str">
        <f>IFERROR(__xludf.DUMMYFUNCTION("""COMPUTED_VALUE"""),"NÃO POSSUI")</f>
        <v>NÃO POSSUI</v>
      </c>
      <c r="D552" s="5" t="str">
        <f>IFERROR(__xludf.DUMMYFUNCTION("""COMPUTED_VALUE"""),"COM SUPORTE")</f>
        <v>COM SUPORTE</v>
      </c>
      <c r="E552" s="5" t="str">
        <f>IFERROR(__xludf.DUMMYFUNCTION("""COMPUTED_VALUE"""),"SEM BAIA")</f>
        <v>SEM BAIA</v>
      </c>
      <c r="F552" s="5" t="str">
        <f>IFERROR(__xludf.DUMMYFUNCTION("""COMPUTED_VALUE"""),"NÃO")</f>
        <v>NÃO</v>
      </c>
      <c r="G552" s="5" t="str">
        <f>IFERROR(__xludf.DUMMYFUNCTION("""COMPUTED_VALUE"""),"NÃO")</f>
        <v>NÃO</v>
      </c>
      <c r="H552" s="5" t="str">
        <f>IFERROR(__xludf.DUMMYFUNCTION("""COMPUTED_VALUE"""),"PAVIMENTADA COM AVARIAS")</f>
        <v>PAVIMENTADA COM AVARIAS</v>
      </c>
      <c r="I552" s="6" t="str">
        <f>IFERROR(__xludf.DUMMYFUNCTION("""COMPUTED_VALUE"""),"-9.5886766")</f>
        <v>-9.5886766</v>
      </c>
      <c r="J552" s="6" t="str">
        <f>IFERROR(__xludf.DUMMYFUNCTION("""COMPUTED_VALUE"""),"-35.7677242 ")</f>
        <v>-35.7677242 </v>
      </c>
      <c r="K552" s="5" t="str">
        <f>IFERROR(__xludf.DUMMYFUNCTION("""COMPUTED_VALUE"""),"R. DR. JOSÉ AFFONSO DE FARIAS MELO")</f>
        <v>R. DR. JOSÉ AFFONSO DE FARIAS MELO</v>
      </c>
      <c r="L552" s="5" t="str">
        <f>IFERROR(__xludf.DUMMYFUNCTION("""COMPUTED_VALUE"""),"LOCAL")</f>
        <v>LOCAL</v>
      </c>
      <c r="M552" s="5" t="str">
        <f>IFERROR(__xludf.DUMMYFUNCTION("""COMPUTED_VALUE"""),"TABULEIRO DOS MARTINS")</f>
        <v>TABULEIRO DOS MARTINS</v>
      </c>
      <c r="N552" s="5"/>
      <c r="O552" s="5" t="str">
        <f>IFERROR(__xludf.DUMMYFUNCTION("""COMPUTED_VALUE"""),"EM FRENTE A IGREJA")</f>
        <v>EM FRENTE A IGREJA</v>
      </c>
      <c r="P552" s="5" t="str">
        <f>IFERROR(__xludf.DUMMYFUNCTION("""COMPUTED_VALUE"""),"PRIORIDADE BAIXA")</f>
        <v>PRIORIDADE BAIXA</v>
      </c>
      <c r="Q552" s="5" t="str">
        <f>IFERROR(__xludf.DUMMYFUNCTION("""COMPUTED_VALUE"""),"READEQUAÇÃO DE CALÇADA COM ACESSIBILIDADE E PINTURA DE BAÍA NO ASFALTO.")</f>
        <v>READEQUAÇÃO DE CALÇADA COM ACESSIBILIDADE E PINTURA DE BAÍA NO ASFALTO.</v>
      </c>
      <c r="R552" s="5" t="str">
        <f>IFERROR(__xludf.DUMMYFUNCTION("""COMPUTED_VALUE"""),"NENHUMA DAS OPÇÕES")</f>
        <v>NENHUMA DAS OPÇÕES</v>
      </c>
      <c r="S552" s="5"/>
      <c r="T552" s="5"/>
      <c r="U552" s="5"/>
      <c r="V552" s="9" t="str">
        <f>IFERROR(__xludf.DUMMYFUNCTION("""COMPUTED_VALUE"""),"https://drive.google.com/uc?id=1ek2wVwiMrOmbzPI1Qu-ihCzFpNcPrGCd")</f>
        <v>https://drive.google.com/uc?id=1ek2wVwiMrOmbzPI1Qu-ihCzFpNcPrGCd</v>
      </c>
      <c r="W552" s="5" t="str">
        <f>IFERROR(__xludf.DUMMYFUNCTION("""COMPUTED_VALUE"""),"NÃO")</f>
        <v>NÃO</v>
      </c>
      <c r="X552" s="5" t="str">
        <f>IFERROR(__xludf.DUMMYFUNCTION("""COMPUTED_VALUE"""),"NÃO SE APLICA")</f>
        <v>NÃO SE APLICA</v>
      </c>
    </row>
    <row r="553" hidden="1">
      <c r="A553" s="5">
        <f>IFERROR(__xludf.DUMMYFUNCTION("""COMPUTED_VALUE"""),7.0)</f>
        <v>7</v>
      </c>
      <c r="B553" s="5" t="str">
        <f>IFERROR(__xludf.DUMMYFUNCTION("""COMPUTED_VALUE"""),"TM079")</f>
        <v>TM079</v>
      </c>
      <c r="C553" s="5" t="str">
        <f>IFERROR(__xludf.DUMMYFUNCTION("""COMPUTED_VALUE"""),"NÃO POSSUI")</f>
        <v>NÃO POSSUI</v>
      </c>
      <c r="D553" s="5" t="str">
        <f>IFERROR(__xludf.DUMMYFUNCTION("""COMPUTED_VALUE"""),"SEM PLACA")</f>
        <v>SEM PLACA</v>
      </c>
      <c r="E553" s="5" t="str">
        <f>IFERROR(__xludf.DUMMYFUNCTION("""COMPUTED_VALUE"""),"SEM BAIA")</f>
        <v>SEM BAIA</v>
      </c>
      <c r="F553" s="5" t="str">
        <f>IFERROR(__xludf.DUMMYFUNCTION("""COMPUTED_VALUE"""),"NÃO")</f>
        <v>NÃO</v>
      </c>
      <c r="G553" s="5" t="str">
        <f>IFERROR(__xludf.DUMMYFUNCTION("""COMPUTED_VALUE"""),"NÃO")</f>
        <v>NÃO</v>
      </c>
      <c r="H553" s="5" t="str">
        <f>IFERROR(__xludf.DUMMYFUNCTION("""COMPUTED_VALUE"""),"PAVIMENTADA COM AVARIAS")</f>
        <v>PAVIMENTADA COM AVARIAS</v>
      </c>
      <c r="I553" s="6" t="str">
        <f>IFERROR(__xludf.DUMMYFUNCTION("""COMPUTED_VALUE"""),"-9.5920415")</f>
        <v>-9.5920415</v>
      </c>
      <c r="J553" s="6" t="str">
        <f>IFERROR(__xludf.DUMMYFUNCTION("""COMPUTED_VALUE"""),"-35.7673854")</f>
        <v>-35.7673854</v>
      </c>
      <c r="K553" s="5" t="str">
        <f>IFERROR(__xludf.DUMMYFUNCTION("""COMPUTED_VALUE"""),"TRAVESSA DA FLORESTA")</f>
        <v>TRAVESSA DA FLORESTA</v>
      </c>
      <c r="L553" s="5" t="str">
        <f>IFERROR(__xludf.DUMMYFUNCTION("""COMPUTED_VALUE"""),"LOCAL")</f>
        <v>LOCAL</v>
      </c>
      <c r="M553" s="5" t="str">
        <f>IFERROR(__xludf.DUMMYFUNCTION("""COMPUTED_VALUE"""),"TABULEIRO DOS MARTINS")</f>
        <v>TABULEIRO DOS MARTINS</v>
      </c>
      <c r="N553" s="5"/>
      <c r="O553" s="5" t="str">
        <f>IFERROR(__xludf.DUMMYFUNCTION("""COMPUTED_VALUE"""),"EM FRENTE A ROMILDO MOTOS")</f>
        <v>EM FRENTE A ROMILDO MOTOS</v>
      </c>
      <c r="P553" s="5" t="str">
        <f>IFERROR(__xludf.DUMMYFUNCTION("""COMPUTED_VALUE"""),"URGENTE")</f>
        <v>URGENTE</v>
      </c>
      <c r="Q553" s="5" t="str">
        <f>IFERROR(__xludf.DUMMYFUNCTION("""COMPUTED_VALUE"""),"READEQUAÇÃO DE CALÇADA COM ACESSIBILIDADE E PINTURA DE BAÍA NO ASFALTO.")</f>
        <v>READEQUAÇÃO DE CALÇADA COM ACESSIBILIDADE E PINTURA DE BAÍA NO ASFALTO.</v>
      </c>
      <c r="R553" s="5" t="str">
        <f>IFERROR(__xludf.DUMMYFUNCTION("""COMPUTED_VALUE"""),"NENHUMA DAS OPÇÕES")</f>
        <v>NENHUMA DAS OPÇÕES</v>
      </c>
      <c r="S553" s="5"/>
      <c r="T553" s="5"/>
      <c r="U553" s="5"/>
      <c r="V553" s="9" t="str">
        <f>IFERROR(__xludf.DUMMYFUNCTION("""COMPUTED_VALUE"""),"https://drive.google.com/uc?id=1QzWTe_FfneLSaqa5TpZVtVRrUV6cJtJO")</f>
        <v>https://drive.google.com/uc?id=1QzWTe_FfneLSaqa5TpZVtVRrUV6cJtJO</v>
      </c>
      <c r="W553" s="5" t="str">
        <f>IFERROR(__xludf.DUMMYFUNCTION("""COMPUTED_VALUE"""),"NÃO")</f>
        <v>NÃO</v>
      </c>
      <c r="X553" s="5" t="str">
        <f>IFERROR(__xludf.DUMMYFUNCTION("""COMPUTED_VALUE"""),"NÃO SE APLICA")</f>
        <v>NÃO SE APLICA</v>
      </c>
    </row>
    <row r="554" ht="17.25" customHeight="1">
      <c r="A554" s="5">
        <f>IFERROR(__xludf.DUMMYFUNCTION("""COMPUTED_VALUE"""),7.0)</f>
        <v>7</v>
      </c>
      <c r="B554" s="5" t="str">
        <f>IFERROR(__xludf.DUMMYFUNCTION("""COMPUTED_VALUE"""),"TM080")</f>
        <v>TM080</v>
      </c>
      <c r="C554" s="5" t="str">
        <f>IFERROR(__xludf.DUMMYFUNCTION("""COMPUTED_VALUE"""),"ABRIGO CONCRETO")</f>
        <v>ABRIGO CONCRETO</v>
      </c>
      <c r="D554" s="5" t="str">
        <f>IFERROR(__xludf.DUMMYFUNCTION("""COMPUTED_VALUE"""),"SEM PLACA")</f>
        <v>SEM PLACA</v>
      </c>
      <c r="E554" s="5" t="str">
        <f>IFERROR(__xludf.DUMMYFUNCTION("""COMPUTED_VALUE"""),"SEM BAIA")</f>
        <v>SEM BAIA</v>
      </c>
      <c r="F554" s="5" t="str">
        <f>IFERROR(__xludf.DUMMYFUNCTION("""COMPUTED_VALUE"""),"NÃO")</f>
        <v>NÃO</v>
      </c>
      <c r="G554" s="5" t="str">
        <f>IFERROR(__xludf.DUMMYFUNCTION("""COMPUTED_VALUE"""),"NÃO")</f>
        <v>NÃO</v>
      </c>
      <c r="H554" s="5" t="str">
        <f>IFERROR(__xludf.DUMMYFUNCTION("""COMPUTED_VALUE"""),"PAVIMENTADA COM AVARIAS")</f>
        <v>PAVIMENTADA COM AVARIAS</v>
      </c>
      <c r="I554" s="6" t="str">
        <f>IFERROR(__xludf.DUMMYFUNCTION("""COMPUTED_VALUE"""),"-9.594725")</f>
        <v>-9.594725</v>
      </c>
      <c r="J554" s="6" t="str">
        <f>IFERROR(__xludf.DUMMYFUNCTION("""COMPUTED_VALUE""")," -35.767864")</f>
        <v> -35.767864</v>
      </c>
      <c r="K554" s="5" t="str">
        <f>IFERROR(__xludf.DUMMYFUNCTION("""COMPUTED_VALUE"""),"TRAVESSA DA FLORESTA")</f>
        <v>TRAVESSA DA FLORESTA</v>
      </c>
      <c r="L554" s="5" t="str">
        <f>IFERROR(__xludf.DUMMYFUNCTION("""COMPUTED_VALUE"""),"LOCAL")</f>
        <v>LOCAL</v>
      </c>
      <c r="M554" s="5" t="str">
        <f>IFERROR(__xludf.DUMMYFUNCTION("""COMPUTED_VALUE"""),"TABULEIRO DOS MARTINS")</f>
        <v>TABULEIRO DOS MARTINS</v>
      </c>
      <c r="N554" s="5"/>
      <c r="O554" s="5" t="str">
        <f>IFERROR(__xludf.DUMMYFUNCTION("""COMPUTED_VALUE"""),"AO LADO DO AUTO POSTO JARDIM DAS ACÁCIAS III")</f>
        <v>AO LADO DO AUTO POSTO JARDIM DAS ACÁCIAS III</v>
      </c>
      <c r="P554" s="5" t="str">
        <f>IFERROR(__xludf.DUMMYFUNCTION("""COMPUTED_VALUE"""),"PRIORIDADE ALTA")</f>
        <v>PRIORIDADE ALTA</v>
      </c>
      <c r="Q554" s="5" t="str">
        <f>IFERROR(__xludf.DUMMYFUNCTION("""COMPUTED_VALUE"""),"ABRIGO DANIFICADO - REBOCO, PINTURA E ASSENTO DANIFICADO,  NECESSÁRIO FAZER LIMPEZA DA COBERTA.
PINTURA DA SINALIZAÇÃO DA BAÍA NO ASFALTO, READEQUAÇÃO DE CALÇADA COM ACESSIBILIDADE
")</f>
        <v>ABRIGO DANIFICADO - REBOCO, PINTURA E ASSENTO DANIFICADO,  NECESSÁRIO FAZER LIMPEZA DA COBERTA.
PINTURA DA SINALIZAÇÃO DA BAÍA NO ASFALTO, READEQUAÇÃO DE CALÇADA COM ACESSIBILIDADE
</v>
      </c>
      <c r="R554" s="5" t="str">
        <f>IFERROR(__xludf.DUMMYFUNCTION("""COMPUTED_VALUE"""),"SUBSTITUIR ABRIGO")</f>
        <v>SUBSTITUIR ABRIGO</v>
      </c>
      <c r="S554" s="5"/>
      <c r="T554" s="5"/>
      <c r="U554" s="5"/>
      <c r="V554" s="9" t="str">
        <f>IFERROR(__xludf.DUMMYFUNCTION("""COMPUTED_VALUE"""),"https://drive.google.com/uc?id=1MifrvC3d24GtW_cHluVqEEKE7-Wt720D")</f>
        <v>https://drive.google.com/uc?id=1MifrvC3d24GtW_cHluVqEEKE7-Wt720D</v>
      </c>
      <c r="W554" s="5" t="str">
        <f>IFERROR(__xludf.DUMMYFUNCTION("""COMPUTED_VALUE"""),"NÃO")</f>
        <v>NÃO</v>
      </c>
      <c r="X554" s="5" t="str">
        <f>IFERROR(__xludf.DUMMYFUNCTION("""COMPUTED_VALUE"""),"NÃO SE APLICA")</f>
        <v>NÃO SE APLICA</v>
      </c>
    </row>
    <row r="555">
      <c r="A555" s="5">
        <f>IFERROR(__xludf.DUMMYFUNCTION("""COMPUTED_VALUE"""),7.0)</f>
        <v>7</v>
      </c>
      <c r="B555" s="5" t="str">
        <f>IFERROR(__xludf.DUMMYFUNCTION("""COMPUTED_VALUE"""),"TM081")</f>
        <v>TM081</v>
      </c>
      <c r="C555" s="5" t="str">
        <f>IFERROR(__xludf.DUMMYFUNCTION("""COMPUTED_VALUE"""),"ABRIGO CONCRETO")</f>
        <v>ABRIGO CONCRETO</v>
      </c>
      <c r="D555" s="5" t="str">
        <f>IFERROR(__xludf.DUMMYFUNCTION("""COMPUTED_VALUE"""),"SEM PLACA")</f>
        <v>SEM PLACA</v>
      </c>
      <c r="E555" s="5" t="str">
        <f>IFERROR(__xludf.DUMMYFUNCTION("""COMPUTED_VALUE"""),"SEM BAIA")</f>
        <v>SEM BAIA</v>
      </c>
      <c r="F555" s="5" t="str">
        <f>IFERROR(__xludf.DUMMYFUNCTION("""COMPUTED_VALUE"""),"NÃO")</f>
        <v>NÃO</v>
      </c>
      <c r="G555" s="5" t="str">
        <f>IFERROR(__xludf.DUMMYFUNCTION("""COMPUTED_VALUE"""),"NÃO")</f>
        <v>NÃO</v>
      </c>
      <c r="H555" s="5" t="str">
        <f>IFERROR(__xludf.DUMMYFUNCTION("""COMPUTED_VALUE"""),"PAVIMENTADA COM AVARIAS")</f>
        <v>PAVIMENTADA COM AVARIAS</v>
      </c>
      <c r="I555" s="6" t="str">
        <f>IFERROR(__xludf.DUMMYFUNCTION("""COMPUTED_VALUE"""),"-9.5975081")</f>
        <v>-9.5975081</v>
      </c>
      <c r="J555" s="6" t="str">
        <f>IFERROR(__xludf.DUMMYFUNCTION("""COMPUTED_VALUE"""),"-35.768008  ")</f>
        <v>-35.768008  </v>
      </c>
      <c r="K555" s="5" t="str">
        <f>IFERROR(__xludf.DUMMYFUNCTION("""COMPUTED_VALUE"""),"R. GILBERTO VIEIRA LEITE")</f>
        <v>R. GILBERTO VIEIRA LEITE</v>
      </c>
      <c r="L555" s="5" t="str">
        <f>IFERROR(__xludf.DUMMYFUNCTION("""COMPUTED_VALUE"""),"LOCAL")</f>
        <v>LOCAL</v>
      </c>
      <c r="M555" s="5" t="str">
        <f>IFERROR(__xludf.DUMMYFUNCTION("""COMPUTED_VALUE"""),"TABULEIRO DOS MARTINS")</f>
        <v>TABULEIRO DOS MARTINS</v>
      </c>
      <c r="N555" s="5"/>
      <c r="O555" s="5" t="str">
        <f>IFERROR(__xludf.DUMMYFUNCTION("""COMPUTED_VALUE"""),"AO LADO DA PANIFICAÇÃO")</f>
        <v>AO LADO DA PANIFICAÇÃO</v>
      </c>
      <c r="P555" s="5" t="str">
        <f>IFERROR(__xludf.DUMMYFUNCTION("""COMPUTED_VALUE"""),"PRIORIDADE BAIXA")</f>
        <v>PRIORIDADE BAIXA</v>
      </c>
      <c r="Q555" s="5" t="str">
        <f>IFERROR(__xludf.DUMMYFUNCTION("""COMPUTED_VALUE"""),"READEQUAÇÃO DE CALÇADA COM ACESSIBILIDADE E PINTURA DE BAÍA NO ASFALTO,LIMPEZA DE VEGETAÇÃO SELVAGEM CRESCENTE.")</f>
        <v>READEQUAÇÃO DE CALÇADA COM ACESSIBILIDADE E PINTURA DE BAÍA NO ASFALTO,LIMPEZA DE VEGETAÇÃO SELVAGEM CRESCENTE.</v>
      </c>
      <c r="R555" s="5" t="str">
        <f>IFERROR(__xludf.DUMMYFUNCTION("""COMPUTED_VALUE"""),"SUBSTITUIR ABRIGO")</f>
        <v>SUBSTITUIR ABRIGO</v>
      </c>
      <c r="S555" s="5"/>
      <c r="T555" s="5"/>
      <c r="U555" s="5"/>
      <c r="V555" s="9" t="str">
        <f>IFERROR(__xludf.DUMMYFUNCTION("""COMPUTED_VALUE"""),"https://drive.google.com/uc?id=1ePht0w5HlgLh9V1d7Qc-78PUiyxVvJ35")</f>
        <v>https://drive.google.com/uc?id=1ePht0w5HlgLh9V1d7Qc-78PUiyxVvJ35</v>
      </c>
      <c r="W555" s="5" t="str">
        <f>IFERROR(__xludf.DUMMYFUNCTION("""COMPUTED_VALUE"""),"NÃO")</f>
        <v>NÃO</v>
      </c>
      <c r="X555" s="5" t="str">
        <f>IFERROR(__xludf.DUMMYFUNCTION("""COMPUTED_VALUE"""),"NÃO SE APLICA")</f>
        <v>NÃO SE APLICA</v>
      </c>
    </row>
    <row r="556" hidden="1">
      <c r="A556" s="5">
        <f>IFERROR(__xludf.DUMMYFUNCTION("""COMPUTED_VALUE"""),7.0)</f>
        <v>7</v>
      </c>
      <c r="B556" s="5" t="str">
        <f>IFERROR(__xludf.DUMMYFUNCTION("""COMPUTED_VALUE"""),"TM082")</f>
        <v>TM082</v>
      </c>
      <c r="C556" s="5" t="str">
        <f>IFERROR(__xludf.DUMMYFUNCTION("""COMPUTED_VALUE"""),"NÃO POSSUI")</f>
        <v>NÃO POSSUI</v>
      </c>
      <c r="D556" s="5" t="str">
        <f>IFERROR(__xludf.DUMMYFUNCTION("""COMPUTED_VALUE"""),"COM SUPORTE")</f>
        <v>COM SUPORTE</v>
      </c>
      <c r="E556" s="5" t="str">
        <f>IFERROR(__xludf.DUMMYFUNCTION("""COMPUTED_VALUE"""),"SEM BAIA")</f>
        <v>SEM BAIA</v>
      </c>
      <c r="F556" s="5" t="str">
        <f>IFERROR(__xludf.DUMMYFUNCTION("""COMPUTED_VALUE"""),"NÃO")</f>
        <v>NÃO</v>
      </c>
      <c r="G556" s="5" t="str">
        <f>IFERROR(__xludf.DUMMYFUNCTION("""COMPUTED_VALUE"""),"NÃO")</f>
        <v>NÃO</v>
      </c>
      <c r="H556" s="5" t="str">
        <f>IFERROR(__xludf.DUMMYFUNCTION("""COMPUTED_VALUE"""),"PAVIMENTADA COM AVARIAS")</f>
        <v>PAVIMENTADA COM AVARIAS</v>
      </c>
      <c r="I556" s="6" t="str">
        <f>IFERROR(__xludf.DUMMYFUNCTION("""COMPUTED_VALUE"""),"-9.5974062")</f>
        <v>-9.5974062</v>
      </c>
      <c r="J556" s="6" t="str">
        <f>IFERROR(__xludf.DUMMYFUNCTION("""COMPUTED_VALUE"""),"-35.767707    
")</f>
        <v>-35.767707    
</v>
      </c>
      <c r="K556" s="5" t="str">
        <f>IFERROR(__xludf.DUMMYFUNCTION("""COMPUTED_VALUE"""),"R. GILBERTO VIEIRA LEITE")</f>
        <v>R. GILBERTO VIEIRA LEITE</v>
      </c>
      <c r="L556" s="5" t="str">
        <f>IFERROR(__xludf.DUMMYFUNCTION("""COMPUTED_VALUE"""),"LOCAL")</f>
        <v>LOCAL</v>
      </c>
      <c r="M556" s="5" t="str">
        <f>IFERROR(__xludf.DUMMYFUNCTION("""COMPUTED_VALUE"""),"TABULEIRO DOS MARTINS")</f>
        <v>TABULEIRO DOS MARTINS</v>
      </c>
      <c r="N556" s="5"/>
      <c r="O556" s="5" t="str">
        <f>IFERROR(__xludf.DUMMYFUNCTION("""COMPUTED_VALUE"""),"LADO OPOSTO DA PANIFICAÇÃO")</f>
        <v>LADO OPOSTO DA PANIFICAÇÃO</v>
      </c>
      <c r="P556" s="5" t="str">
        <f>IFERROR(__xludf.DUMMYFUNCTION("""COMPUTED_VALUE"""),"PRIORIDADE BAIXA")</f>
        <v>PRIORIDADE BAIXA</v>
      </c>
      <c r="Q556" s="5" t="str">
        <f>IFERROR(__xludf.DUMMYFUNCTION("""COMPUTED_VALUE"""),"READEQUAÇÃO DE CALÇADA COM ACESSIBILIDADE E PINTURA DE BAÍA NO ASFALTO.")</f>
        <v>READEQUAÇÃO DE CALÇADA COM ACESSIBILIDADE E PINTURA DE BAÍA NO ASFALTO.</v>
      </c>
      <c r="R556" s="5" t="str">
        <f>IFERROR(__xludf.DUMMYFUNCTION("""COMPUTED_VALUE"""),"NENHUMA DAS OPÇÕES")</f>
        <v>NENHUMA DAS OPÇÕES</v>
      </c>
      <c r="S556" s="5"/>
      <c r="T556" s="5"/>
      <c r="U556" s="5"/>
      <c r="V556" s="9" t="str">
        <f>IFERROR(__xludf.DUMMYFUNCTION("""COMPUTED_VALUE"""),"https://drive.google.com/uc?id=1NxiiKmPzFAO7ZZul-0FqOgwREfWektH_")</f>
        <v>https://drive.google.com/uc?id=1NxiiKmPzFAO7ZZul-0FqOgwREfWektH_</v>
      </c>
      <c r="W556" s="5" t="str">
        <f>IFERROR(__xludf.DUMMYFUNCTION("""COMPUTED_VALUE"""),"NÃO")</f>
        <v>NÃO</v>
      </c>
      <c r="X556" s="5" t="str">
        <f>IFERROR(__xludf.DUMMYFUNCTION("""COMPUTED_VALUE"""),"NÃO SE APLICA")</f>
        <v>NÃO SE APLICA</v>
      </c>
    </row>
    <row r="557" ht="17.25" hidden="1" customHeight="1">
      <c r="A557" s="5">
        <f>IFERROR(__xludf.DUMMYFUNCTION("""COMPUTED_VALUE"""),7.0)</f>
        <v>7</v>
      </c>
      <c r="B557" s="5" t="str">
        <f>IFERROR(__xludf.DUMMYFUNCTION("""COMPUTED_VALUE"""),"TM083")</f>
        <v>TM083</v>
      </c>
      <c r="C557" s="5" t="str">
        <f>IFERROR(__xludf.DUMMYFUNCTION("""COMPUTED_VALUE"""),"NÃO POSSUI")</f>
        <v>NÃO POSSUI</v>
      </c>
      <c r="D557" s="5" t="str">
        <f>IFERROR(__xludf.DUMMYFUNCTION("""COMPUTED_VALUE"""),"SEM PLACA")</f>
        <v>SEM PLACA</v>
      </c>
      <c r="E557" s="5" t="str">
        <f>IFERROR(__xludf.DUMMYFUNCTION("""COMPUTED_VALUE"""),"SEM BAIA")</f>
        <v>SEM BAIA</v>
      </c>
      <c r="F557" s="5" t="str">
        <f>IFERROR(__xludf.DUMMYFUNCTION("""COMPUTED_VALUE"""),"NÃO")</f>
        <v>NÃO</v>
      </c>
      <c r="G557" s="5" t="str">
        <f>IFERROR(__xludf.DUMMYFUNCTION("""COMPUTED_VALUE"""),"NÃO")</f>
        <v>NÃO</v>
      </c>
      <c r="H557" s="5" t="str">
        <f>IFERROR(__xludf.DUMMYFUNCTION("""COMPUTED_VALUE"""),"PAVIMENTADA COM AVARIAS")</f>
        <v>PAVIMENTADA COM AVARIAS</v>
      </c>
      <c r="I557" s="6" t="str">
        <f>IFERROR(__xludf.DUMMYFUNCTION("""COMPUTED_VALUE"""),"-9.5965806")</f>
        <v>-9.5965806</v>
      </c>
      <c r="J557" s="6" t="str">
        <f>IFERROR(__xludf.DUMMYFUNCTION("""COMPUTED_VALUE"""),"-35.7673876")</f>
        <v>-35.7673876</v>
      </c>
      <c r="K557" s="5" t="str">
        <f>IFERROR(__xludf.DUMMYFUNCTION("""COMPUTED_VALUE"""),"TRAVESSA DA FLORESTA")</f>
        <v>TRAVESSA DA FLORESTA</v>
      </c>
      <c r="L557" s="5" t="str">
        <f>IFERROR(__xludf.DUMMYFUNCTION("""COMPUTED_VALUE"""),"LOCAL")</f>
        <v>LOCAL</v>
      </c>
      <c r="M557" s="5" t="str">
        <f>IFERROR(__xludf.DUMMYFUNCTION("""COMPUTED_VALUE"""),"TABULEIRO DOS MARTINS")</f>
        <v>TABULEIRO DOS MARTINS</v>
      </c>
      <c r="N557" s="5"/>
      <c r="O557" s="5" t="str">
        <f>IFERROR(__xludf.DUMMYFUNCTION("""COMPUTED_VALUE"""),"EM FRENTE A CASA 13")</f>
        <v>EM FRENTE A CASA 13</v>
      </c>
      <c r="P557" s="5" t="str">
        <f>IFERROR(__xludf.DUMMYFUNCTION("""COMPUTED_VALUE"""),"PRIORIDADE ALTA")</f>
        <v>PRIORIDADE ALTA</v>
      </c>
      <c r="Q557" s="5" t="str">
        <f>IFERROR(__xludf.DUMMYFUNCTION("""COMPUTED_VALUE"""),"READEQUAÇÃO DA CALÇADA COM ACESSIBILIDADE")</f>
        <v>READEQUAÇÃO DA CALÇADA COM ACESSIBILIDADE</v>
      </c>
      <c r="R557" s="5" t="str">
        <f>IFERROR(__xludf.DUMMYFUNCTION("""COMPUTED_VALUE"""),"NENHUMA DAS OPÇÕES")</f>
        <v>NENHUMA DAS OPÇÕES</v>
      </c>
      <c r="S557" s="5"/>
      <c r="T557" s="5"/>
      <c r="U557" s="5"/>
      <c r="V557" s="9" t="str">
        <f>IFERROR(__xludf.DUMMYFUNCTION("""COMPUTED_VALUE"""),"https://drive.google.com/uc?id=18KlqHjKbZgvdKWyQZIjtHavmA8BX-TtQ")</f>
        <v>https://drive.google.com/uc?id=18KlqHjKbZgvdKWyQZIjtHavmA8BX-TtQ</v>
      </c>
      <c r="W557" s="5" t="str">
        <f>IFERROR(__xludf.DUMMYFUNCTION("""COMPUTED_VALUE"""),"NÃO")</f>
        <v>NÃO</v>
      </c>
      <c r="X557" s="5" t="str">
        <f>IFERROR(__xludf.DUMMYFUNCTION("""COMPUTED_VALUE"""),"NÃO SE APLICA")</f>
        <v>NÃO SE APLICA</v>
      </c>
    </row>
    <row r="558" hidden="1">
      <c r="A558" s="5">
        <f>IFERROR(__xludf.DUMMYFUNCTION("""COMPUTED_VALUE"""),7.0)</f>
        <v>7</v>
      </c>
      <c r="B558" s="5" t="str">
        <f>IFERROR(__xludf.DUMMYFUNCTION("""COMPUTED_VALUE"""),"TM084")</f>
        <v>TM084</v>
      </c>
      <c r="C558" s="5" t="str">
        <f>IFERROR(__xludf.DUMMYFUNCTION("""COMPUTED_VALUE"""),"NÃO POSSUI")</f>
        <v>NÃO POSSUI</v>
      </c>
      <c r="D558" s="5" t="str">
        <f>IFERROR(__xludf.DUMMYFUNCTION("""COMPUTED_VALUE"""),"COM SUPORTE")</f>
        <v>COM SUPORTE</v>
      </c>
      <c r="E558" s="5" t="str">
        <f>IFERROR(__xludf.DUMMYFUNCTION("""COMPUTED_VALUE"""),"SEM BAIA")</f>
        <v>SEM BAIA</v>
      </c>
      <c r="F558" s="5" t="str">
        <f>IFERROR(__xludf.DUMMYFUNCTION("""COMPUTED_VALUE"""),"NÃO")</f>
        <v>NÃO</v>
      </c>
      <c r="G558" s="5" t="str">
        <f>IFERROR(__xludf.DUMMYFUNCTION("""COMPUTED_VALUE"""),"NÃO")</f>
        <v>NÃO</v>
      </c>
      <c r="H558" s="5" t="str">
        <f>IFERROR(__xludf.DUMMYFUNCTION("""COMPUTED_VALUE"""),"PAVIMENTADA COM AVARIAS")</f>
        <v>PAVIMENTADA COM AVARIAS</v>
      </c>
      <c r="I558" s="6" t="str">
        <f>IFERROR(__xludf.DUMMYFUNCTION("""COMPUTED_VALUE"""),"-9.5950699")</f>
        <v>-9.5950699</v>
      </c>
      <c r="J558" s="6" t="str">
        <f>IFERROR(__xludf.DUMMYFUNCTION("""COMPUTED_VALUE"""),"-35.7677336        ")</f>
        <v>-35.7677336        </v>
      </c>
      <c r="K558" s="5" t="str">
        <f>IFERROR(__xludf.DUMMYFUNCTION("""COMPUTED_VALUE"""),"TRAVESSA DA FLORESTA")</f>
        <v>TRAVESSA DA FLORESTA</v>
      </c>
      <c r="L558" s="5" t="str">
        <f>IFERROR(__xludf.DUMMYFUNCTION("""COMPUTED_VALUE"""),"LOCAL")</f>
        <v>LOCAL</v>
      </c>
      <c r="M558" s="5" t="str">
        <f>IFERROR(__xludf.DUMMYFUNCTION("""COMPUTED_VALUE"""),"TABULEIRO DOS MARTINS")</f>
        <v>TABULEIRO DOS MARTINS</v>
      </c>
      <c r="N558" s="5"/>
      <c r="O558" s="5" t="str">
        <f>IFERROR(__xludf.DUMMYFUNCTION("""COMPUTED_VALUE"""),"LADO OPOSTO DO AUTO POSTO JARDIM DAS ACÁCIAS III")</f>
        <v>LADO OPOSTO DO AUTO POSTO JARDIM DAS ACÁCIAS III</v>
      </c>
      <c r="P558" s="5" t="str">
        <f>IFERROR(__xludf.DUMMYFUNCTION("""COMPUTED_VALUE"""),"PRIORIDADE BAIXA")</f>
        <v>PRIORIDADE BAIXA</v>
      </c>
      <c r="Q558" s="5" t="str">
        <f>IFERROR(__xludf.DUMMYFUNCTION("""COMPUTED_VALUE"""),"READEQUAÇÃO DE CALÇADA COM ACESSIBILIDADE E PINTURA DE BAÍA NO ASFALTO.")</f>
        <v>READEQUAÇÃO DE CALÇADA COM ACESSIBILIDADE E PINTURA DE BAÍA NO ASFALTO.</v>
      </c>
      <c r="R558" s="5" t="str">
        <f>IFERROR(__xludf.DUMMYFUNCTION("""COMPUTED_VALUE"""),"NENHUMA DAS OPÇÕES")</f>
        <v>NENHUMA DAS OPÇÕES</v>
      </c>
      <c r="S558" s="5"/>
      <c r="T558" s="5"/>
      <c r="U558" s="5"/>
      <c r="V558" s="9" t="str">
        <f>IFERROR(__xludf.DUMMYFUNCTION("""COMPUTED_VALUE"""),"https://drive.google.com/uc?id=1UYEZYtUuHBthVjFK4vUNZUw49DTe3lgO")</f>
        <v>https://drive.google.com/uc?id=1UYEZYtUuHBthVjFK4vUNZUw49DTe3lgO</v>
      </c>
      <c r="W558" s="5" t="str">
        <f>IFERROR(__xludf.DUMMYFUNCTION("""COMPUTED_VALUE"""),"NÃO")</f>
        <v>NÃO</v>
      </c>
      <c r="X558" s="5" t="str">
        <f>IFERROR(__xludf.DUMMYFUNCTION("""COMPUTED_VALUE"""),"NÃO SE APLICA")</f>
        <v>NÃO SE APLICA</v>
      </c>
    </row>
    <row r="559" ht="18.75" hidden="1" customHeight="1">
      <c r="A559" s="5">
        <f>IFERROR(__xludf.DUMMYFUNCTION("""COMPUTED_VALUE"""),7.0)</f>
        <v>7</v>
      </c>
      <c r="B559" s="5" t="str">
        <f>IFERROR(__xludf.DUMMYFUNCTION("""COMPUTED_VALUE"""),"TM085")</f>
        <v>TM085</v>
      </c>
      <c r="C559" s="5" t="str">
        <f>IFERROR(__xludf.DUMMYFUNCTION("""COMPUTED_VALUE"""),"NÃO POSSUI")</f>
        <v>NÃO POSSUI</v>
      </c>
      <c r="D559" s="5" t="str">
        <f>IFERROR(__xludf.DUMMYFUNCTION("""COMPUTED_VALUE"""),"SEM PLACA")</f>
        <v>SEM PLACA</v>
      </c>
      <c r="E559" s="5" t="str">
        <f>IFERROR(__xludf.DUMMYFUNCTION("""COMPUTED_VALUE"""),"SEM BAIA")</f>
        <v>SEM BAIA</v>
      </c>
      <c r="F559" s="5" t="str">
        <f>IFERROR(__xludf.DUMMYFUNCTION("""COMPUTED_VALUE"""),"NÃO")</f>
        <v>NÃO</v>
      </c>
      <c r="G559" s="5" t="str">
        <f>IFERROR(__xludf.DUMMYFUNCTION("""COMPUTED_VALUE"""),"NÃO")</f>
        <v>NÃO</v>
      </c>
      <c r="H559" s="5" t="str">
        <f>IFERROR(__xludf.DUMMYFUNCTION("""COMPUTED_VALUE"""),"PAVIMENTADA COM AVARIAS")</f>
        <v>PAVIMENTADA COM AVARIAS</v>
      </c>
      <c r="I559" s="6" t="str">
        <f>IFERROR(__xludf.DUMMYFUNCTION("""COMPUTED_VALUE"""),"-9.5914115")</f>
        <v>-9.5914115</v>
      </c>
      <c r="J559" s="6" t="str">
        <f>IFERROR(__xludf.DUMMYFUNCTION("""COMPUTED_VALUE"""),"-35.7669477  ")</f>
        <v>-35.7669477  </v>
      </c>
      <c r="K559" s="5" t="str">
        <f>IFERROR(__xludf.DUMMYFUNCTION("""COMPUTED_VALUE"""),"TRAVESSA DA FLORESTA")</f>
        <v>TRAVESSA DA FLORESTA</v>
      </c>
      <c r="L559" s="5" t="str">
        <f>IFERROR(__xludf.DUMMYFUNCTION("""COMPUTED_VALUE"""),"LOCAL")</f>
        <v>LOCAL</v>
      </c>
      <c r="M559" s="5" t="str">
        <f>IFERROR(__xludf.DUMMYFUNCTION("""COMPUTED_VALUE"""),"TABULEIRO DOS MARTINS")</f>
        <v>TABULEIRO DOS MARTINS</v>
      </c>
      <c r="N559" s="5"/>
      <c r="O559" s="5" t="str">
        <f>IFERROR(__xludf.DUMMYFUNCTION("""COMPUTED_VALUE"""),"EM FRENTE A RB MÓVEIS")</f>
        <v>EM FRENTE A RB MÓVEIS</v>
      </c>
      <c r="P559" s="5" t="str">
        <f>IFERROR(__xludf.DUMMYFUNCTION("""COMPUTED_VALUE"""),"PRIORIDADE BAIXA")</f>
        <v>PRIORIDADE BAIXA</v>
      </c>
      <c r="Q559" s="5" t="str">
        <f>IFERROR(__xludf.DUMMYFUNCTION("""COMPUTED_VALUE"""),"READEQUAÇÃO DA CALÇADA COM ACESSIBILIDADE")</f>
        <v>READEQUAÇÃO DA CALÇADA COM ACESSIBILIDADE</v>
      </c>
      <c r="R559" s="5" t="str">
        <f>IFERROR(__xludf.DUMMYFUNCTION("""COMPUTED_VALUE"""),"NENHUMA DAS OPÇÕES")</f>
        <v>NENHUMA DAS OPÇÕES</v>
      </c>
      <c r="S559" s="5"/>
      <c r="T559" s="5"/>
      <c r="U559" s="5"/>
      <c r="V559" s="9" t="str">
        <f>IFERROR(__xludf.DUMMYFUNCTION("""COMPUTED_VALUE"""),"https://drive.google.com/uc?id=1m5iZmNOvduxMZtByQC6FrU72k_6IE5qE")</f>
        <v>https://drive.google.com/uc?id=1m5iZmNOvduxMZtByQC6FrU72k_6IE5qE</v>
      </c>
      <c r="W559" s="5" t="str">
        <f>IFERROR(__xludf.DUMMYFUNCTION("""COMPUTED_VALUE"""),"NÃO")</f>
        <v>NÃO</v>
      </c>
      <c r="X559" s="5" t="str">
        <f>IFERROR(__xludf.DUMMYFUNCTION("""COMPUTED_VALUE"""),"NÃO SE APLICA")</f>
        <v>NÃO SE APLICA</v>
      </c>
    </row>
    <row r="560" hidden="1">
      <c r="A560" s="5">
        <f>IFERROR(__xludf.DUMMYFUNCTION("""COMPUTED_VALUE"""),7.0)</f>
        <v>7</v>
      </c>
      <c r="B560" s="5" t="str">
        <f>IFERROR(__xludf.DUMMYFUNCTION("""COMPUTED_VALUE"""),"TM086")</f>
        <v>TM086</v>
      </c>
      <c r="C560" s="5" t="str">
        <f>IFERROR(__xludf.DUMMYFUNCTION("""COMPUTED_VALUE"""),"NÃO POSSUI")</f>
        <v>NÃO POSSUI</v>
      </c>
      <c r="D560" s="5" t="str">
        <f>IFERROR(__xludf.DUMMYFUNCTION("""COMPUTED_VALUE"""),"SEM PLACA")</f>
        <v>SEM PLACA</v>
      </c>
      <c r="E560" s="5" t="str">
        <f>IFERROR(__xludf.DUMMYFUNCTION("""COMPUTED_VALUE"""),"SEM BAIA")</f>
        <v>SEM BAIA</v>
      </c>
      <c r="F560" s="5" t="str">
        <f>IFERROR(__xludf.DUMMYFUNCTION("""COMPUTED_VALUE"""),"NÃO")</f>
        <v>NÃO</v>
      </c>
      <c r="G560" s="5" t="str">
        <f>IFERROR(__xludf.DUMMYFUNCTION("""COMPUTED_VALUE"""),"NÃO")</f>
        <v>NÃO</v>
      </c>
      <c r="H560" s="5" t="str">
        <f>IFERROR(__xludf.DUMMYFUNCTION("""COMPUTED_VALUE"""),"PAVIMENTADA COM AVARIAS")</f>
        <v>PAVIMENTADA COM AVARIAS</v>
      </c>
      <c r="I560" s="6" t="str">
        <f>IFERROR(__xludf.DUMMYFUNCTION("""COMPUTED_VALUE"""),"-9.5887347")</f>
        <v>-9.5887347</v>
      </c>
      <c r="J560" s="6" t="str">
        <f>IFERROR(__xludf.DUMMYFUNCTION("""COMPUTED_VALUE"""),"-35.7676311   ")</f>
        <v>-35.7676311   </v>
      </c>
      <c r="K560" s="5" t="str">
        <f>IFERROR(__xludf.DUMMYFUNCTION("""COMPUTED_VALUE"""),"R. DR. JOSÉ AFFONSO DE FARIAS MELO")</f>
        <v>R. DR. JOSÉ AFFONSO DE FARIAS MELO</v>
      </c>
      <c r="L560" s="5" t="str">
        <f>IFERROR(__xludf.DUMMYFUNCTION("""COMPUTED_VALUE"""),"LOCAL")</f>
        <v>LOCAL</v>
      </c>
      <c r="M560" s="5" t="str">
        <f>IFERROR(__xludf.DUMMYFUNCTION("""COMPUTED_VALUE"""),"TABULEIRO DOS MARTINS")</f>
        <v>TABULEIRO DOS MARTINS</v>
      </c>
      <c r="N560" s="5"/>
      <c r="O560" s="5" t="str">
        <f>IFERROR(__xludf.DUMMYFUNCTION("""COMPUTED_VALUE"""),"EM FRENTE A CIDA ELETRÔNICA")</f>
        <v>EM FRENTE A CIDA ELETRÔNICA</v>
      </c>
      <c r="P560" s="5" t="str">
        <f>IFERROR(__xludf.DUMMYFUNCTION("""COMPUTED_VALUE"""),"PRIORIDADE BAIXA")</f>
        <v>PRIORIDADE BAIXA</v>
      </c>
      <c r="Q560" s="5" t="str">
        <f>IFERROR(__xludf.DUMMYFUNCTION("""COMPUTED_VALUE"""),"READEQUAÇÃO DA CALÇADA COM ACESSIBILIDADE")</f>
        <v>READEQUAÇÃO DA CALÇADA COM ACESSIBILIDADE</v>
      </c>
      <c r="R560" s="5" t="str">
        <f>IFERROR(__xludf.DUMMYFUNCTION("""COMPUTED_VALUE"""),"NENHUMA DAS OPÇÕES")</f>
        <v>NENHUMA DAS OPÇÕES</v>
      </c>
      <c r="S560" s="5"/>
      <c r="T560" s="5"/>
      <c r="U560" s="5"/>
      <c r="V560" s="9" t="str">
        <f>IFERROR(__xludf.DUMMYFUNCTION("""COMPUTED_VALUE"""),"https://drive.google.com/uc?id=1EIsHGcy8Zwkzl8yP9iH4a1PR9d1BqJ6q")</f>
        <v>https://drive.google.com/uc?id=1EIsHGcy8Zwkzl8yP9iH4a1PR9d1BqJ6q</v>
      </c>
      <c r="W560" s="5" t="str">
        <f>IFERROR(__xludf.DUMMYFUNCTION("""COMPUTED_VALUE"""),"NÃO")</f>
        <v>NÃO</v>
      </c>
      <c r="X560" s="5" t="str">
        <f>IFERROR(__xludf.DUMMYFUNCTION("""COMPUTED_VALUE"""),"NÃO SE APLICA")</f>
        <v>NÃO SE APLICA</v>
      </c>
    </row>
    <row r="561">
      <c r="A561" s="5">
        <f>IFERROR(__xludf.DUMMYFUNCTION("""COMPUTED_VALUE"""),7.0)</f>
        <v>7</v>
      </c>
      <c r="B561" s="5" t="str">
        <f>IFERROR(__xludf.DUMMYFUNCTION("""COMPUTED_VALUE"""),"TM087")</f>
        <v>TM087</v>
      </c>
      <c r="C561" s="5" t="str">
        <f>IFERROR(__xludf.DUMMYFUNCTION("""COMPUTED_VALUE"""),"ABRIGO CONCRETO")</f>
        <v>ABRIGO CONCRETO</v>
      </c>
      <c r="D561" s="5" t="str">
        <f>IFERROR(__xludf.DUMMYFUNCTION("""COMPUTED_VALUE"""),"SEM PLACA")</f>
        <v>SEM PLACA</v>
      </c>
      <c r="E561" s="5" t="str">
        <f>IFERROR(__xludf.DUMMYFUNCTION("""COMPUTED_VALUE"""),"SEM BAIA")</f>
        <v>SEM BAIA</v>
      </c>
      <c r="F561" s="5" t="str">
        <f>IFERROR(__xludf.DUMMYFUNCTION("""COMPUTED_VALUE"""),"NÃO")</f>
        <v>NÃO</v>
      </c>
      <c r="G561" s="5" t="str">
        <f>IFERROR(__xludf.DUMMYFUNCTION("""COMPUTED_VALUE"""),"NÃO")</f>
        <v>NÃO</v>
      </c>
      <c r="H561" s="5" t="str">
        <f>IFERROR(__xludf.DUMMYFUNCTION("""COMPUTED_VALUE"""),"PAVIMENTADA COM AVARIAS")</f>
        <v>PAVIMENTADA COM AVARIAS</v>
      </c>
      <c r="I561" s="6" t="str">
        <f>IFERROR(__xludf.DUMMYFUNCTION("""COMPUTED_VALUE"""),"-9.587083")</f>
        <v>-9.587083</v>
      </c>
      <c r="J561" s="6" t="str">
        <f>IFERROR(__xludf.DUMMYFUNCTION("""COMPUTED_VALUE"""),"-35.768615    ")</f>
        <v>-35.768615    </v>
      </c>
      <c r="K561" s="5" t="str">
        <f>IFERROR(__xludf.DUMMYFUNCTION("""COMPUTED_VALUE"""),"RUA SANTA LUZIA")</f>
        <v>RUA SANTA LUZIA</v>
      </c>
      <c r="L561" s="5" t="str">
        <f>IFERROR(__xludf.DUMMYFUNCTION("""COMPUTED_VALUE"""),"COLETORA")</f>
        <v>COLETORA</v>
      </c>
      <c r="M561" s="5" t="str">
        <f>IFERROR(__xludf.DUMMYFUNCTION("""COMPUTED_VALUE"""),"TABULEIRO DOS MARTINS")</f>
        <v>TABULEIRO DOS MARTINS</v>
      </c>
      <c r="N561" s="5"/>
      <c r="O561" s="5" t="str">
        <f>IFERROR(__xludf.DUMMYFUNCTION("""COMPUTED_VALUE"""),"EM FRENTE A CASA TELES")</f>
        <v>EM FRENTE A CASA TELES</v>
      </c>
      <c r="P561" s="5" t="str">
        <f>IFERROR(__xludf.DUMMYFUNCTION("""COMPUTED_VALUE"""),"PRIORIDADE BAIXA")</f>
        <v>PRIORIDADE BAIXA</v>
      </c>
      <c r="Q561" s="5" t="str">
        <f>IFERROR(__xludf.DUMMYFUNCTION("""COMPUTED_VALUE"""),"READEQUAÇÃO DE CALÇADA COM ACESSIBILIDADE E PINTURA DE BAÍA NO ASFALTO.")</f>
        <v>READEQUAÇÃO DE CALÇADA COM ACESSIBILIDADE E PINTURA DE BAÍA NO ASFALTO.</v>
      </c>
      <c r="R561" s="5" t="str">
        <f>IFERROR(__xludf.DUMMYFUNCTION("""COMPUTED_VALUE"""),"SUBSTITUIR ABRIGO")</f>
        <v>SUBSTITUIR ABRIGO</v>
      </c>
      <c r="S561" s="5"/>
      <c r="T561" s="5"/>
      <c r="U561" s="5"/>
      <c r="V561" s="9" t="str">
        <f>IFERROR(__xludf.DUMMYFUNCTION("""COMPUTED_VALUE"""),"https://drive.google.com/uc?id=1k6oZyX657n9tnuc_g9NgGG1yVS3760Mc")</f>
        <v>https://drive.google.com/uc?id=1k6oZyX657n9tnuc_g9NgGG1yVS3760Mc</v>
      </c>
      <c r="W561" s="5" t="str">
        <f>IFERROR(__xludf.DUMMYFUNCTION("""COMPUTED_VALUE"""),"NÃO")</f>
        <v>NÃO</v>
      </c>
      <c r="X561" s="5" t="str">
        <f>IFERROR(__xludf.DUMMYFUNCTION("""COMPUTED_VALUE"""),"NÃO SE APLICA")</f>
        <v>NÃO SE APLICA</v>
      </c>
    </row>
    <row r="562" ht="17.25" hidden="1" customHeight="1">
      <c r="A562" s="5">
        <f>IFERROR(__xludf.DUMMYFUNCTION("""COMPUTED_VALUE"""),7.0)</f>
        <v>7</v>
      </c>
      <c r="B562" s="5" t="str">
        <f>IFERROR(__xludf.DUMMYFUNCTION("""COMPUTED_VALUE"""),"TM088")</f>
        <v>TM088</v>
      </c>
      <c r="C562" s="5" t="str">
        <f>IFERROR(__xludf.DUMMYFUNCTION("""COMPUTED_VALUE"""),"NÃO POSSUI")</f>
        <v>NÃO POSSUI</v>
      </c>
      <c r="D562" s="5" t="str">
        <f>IFERROR(__xludf.DUMMYFUNCTION("""COMPUTED_VALUE"""),"COM SUPORTE")</f>
        <v>COM SUPORTE</v>
      </c>
      <c r="E562" s="5" t="str">
        <f>IFERROR(__xludf.DUMMYFUNCTION("""COMPUTED_VALUE"""),"SEM BAIA")</f>
        <v>SEM BAIA</v>
      </c>
      <c r="F562" s="5" t="str">
        <f>IFERROR(__xludf.DUMMYFUNCTION("""COMPUTED_VALUE"""),"NÃO")</f>
        <v>NÃO</v>
      </c>
      <c r="G562" s="5" t="str">
        <f>IFERROR(__xludf.DUMMYFUNCTION("""COMPUTED_VALUE"""),"NÃO")</f>
        <v>NÃO</v>
      </c>
      <c r="H562" s="5" t="str">
        <f>IFERROR(__xludf.DUMMYFUNCTION("""COMPUTED_VALUE"""),"PAVIMENTADA COM AVARIAS")</f>
        <v>PAVIMENTADA COM AVARIAS</v>
      </c>
      <c r="I562" s="6" t="str">
        <f>IFERROR(__xludf.DUMMYFUNCTION("""COMPUTED_VALUE"""),"-9.5865845")</f>
        <v>-9.5865845</v>
      </c>
      <c r="J562" s="6" t="str">
        <f>IFERROR(__xludf.DUMMYFUNCTION("""COMPUTED_VALUE"""),"-35.7711489  ")</f>
        <v>-35.7711489  </v>
      </c>
      <c r="K562" s="5" t="str">
        <f>IFERROR(__xludf.DUMMYFUNCTION("""COMPUTED_VALUE"""),"RUA SANTA LUZIA")</f>
        <v>RUA SANTA LUZIA</v>
      </c>
      <c r="L562" s="5" t="str">
        <f>IFERROR(__xludf.DUMMYFUNCTION("""COMPUTED_VALUE"""),"COLETORA")</f>
        <v>COLETORA</v>
      </c>
      <c r="M562" s="5" t="str">
        <f>IFERROR(__xludf.DUMMYFUNCTION("""COMPUTED_VALUE"""),"TABULEIRO DOS MARTINS")</f>
        <v>TABULEIRO DOS MARTINS</v>
      </c>
      <c r="N562" s="5"/>
      <c r="O562" s="5" t="str">
        <f>IFERROR(__xludf.DUMMYFUNCTION("""COMPUTED_VALUE"""),"EM FRENTE A PC ELETRO")</f>
        <v>EM FRENTE A PC ELETRO</v>
      </c>
      <c r="P562" s="5" t="str">
        <f>IFERROR(__xludf.DUMMYFUNCTION("""COMPUTED_VALUE"""),"PRIORIDADE ALTA")</f>
        <v>PRIORIDADE ALTA</v>
      </c>
      <c r="Q562" s="5" t="str">
        <f>IFERROR(__xludf.DUMMYFUNCTION("""COMPUTED_VALUE"""),"READEQUAÇÃO DE CALÇADA COM ACESSIBILIDADE E PINTURA DE BAÍA NO ASFALTO.")</f>
        <v>READEQUAÇÃO DE CALÇADA COM ACESSIBILIDADE E PINTURA DE BAÍA NO ASFALTO.</v>
      </c>
      <c r="R562" s="5" t="str">
        <f>IFERROR(__xludf.DUMMYFUNCTION("""COMPUTED_VALUE"""),"NENHUMA DAS OPÇÕES")</f>
        <v>NENHUMA DAS OPÇÕES</v>
      </c>
      <c r="S562" s="5"/>
      <c r="T562" s="5"/>
      <c r="U562" s="5"/>
      <c r="V562" s="9" t="str">
        <f>IFERROR(__xludf.DUMMYFUNCTION("""COMPUTED_VALUE"""),"https://drive.google.com/uc?id=1V7sxJApfcwurZkZXVYx8PgWNMuZxX3_C")</f>
        <v>https://drive.google.com/uc?id=1V7sxJApfcwurZkZXVYx8PgWNMuZxX3_C</v>
      </c>
      <c r="W562" s="5" t="str">
        <f>IFERROR(__xludf.DUMMYFUNCTION("""COMPUTED_VALUE"""),"NÃO")</f>
        <v>NÃO</v>
      </c>
      <c r="X562" s="5" t="str">
        <f>IFERROR(__xludf.DUMMYFUNCTION("""COMPUTED_VALUE"""),"NÃO SE APLICA")</f>
        <v>NÃO SE APLICA</v>
      </c>
    </row>
    <row r="563" hidden="1">
      <c r="A563" s="5">
        <f>IFERROR(__xludf.DUMMYFUNCTION("""COMPUTED_VALUE"""),7.0)</f>
        <v>7</v>
      </c>
      <c r="B563" s="5" t="str">
        <f>IFERROR(__xludf.DUMMYFUNCTION("""COMPUTED_VALUE"""),"TM089")</f>
        <v>TM089</v>
      </c>
      <c r="C563" s="5" t="str">
        <f>IFERROR(__xludf.DUMMYFUNCTION("""COMPUTED_VALUE"""),"NÃO POSSUI")</f>
        <v>NÃO POSSUI</v>
      </c>
      <c r="D563" s="5" t="str">
        <f>IFERROR(__xludf.DUMMYFUNCTION("""COMPUTED_VALUE"""),"SEM PLACA")</f>
        <v>SEM PLACA</v>
      </c>
      <c r="E563" s="5" t="str">
        <f>IFERROR(__xludf.DUMMYFUNCTION("""COMPUTED_VALUE"""),"SEM BAIA")</f>
        <v>SEM BAIA</v>
      </c>
      <c r="F563" s="5" t="str">
        <f>IFERROR(__xludf.DUMMYFUNCTION("""COMPUTED_VALUE"""),"NÃO")</f>
        <v>NÃO</v>
      </c>
      <c r="G563" s="5" t="str">
        <f>IFERROR(__xludf.DUMMYFUNCTION("""COMPUTED_VALUE"""),"NÃO")</f>
        <v>NÃO</v>
      </c>
      <c r="H563" s="5" t="str">
        <f>IFERROR(__xludf.DUMMYFUNCTION("""COMPUTED_VALUE"""),"PAVIMENTADA COM AVARIAS")</f>
        <v>PAVIMENTADA COM AVARIAS</v>
      </c>
      <c r="I563" s="6" t="str">
        <f>IFERROR(__xludf.DUMMYFUNCTION("""COMPUTED_VALUE"""),"-9.5832919")</f>
        <v>-9.5832919</v>
      </c>
      <c r="J563" s="6" t="str">
        <f>IFERROR(__xludf.DUMMYFUNCTION("""COMPUTED_VALUE"""),"-35.7735763  ")</f>
        <v>-35.7735763  </v>
      </c>
      <c r="K563" s="5" t="str">
        <f>IFERROR(__xludf.DUMMYFUNCTION("""COMPUTED_VALUE"""),"AV. GEN. WALFRIDO JERÔNIMO DA ROCHA")</f>
        <v>AV. GEN. WALFRIDO JERÔNIMO DA ROCHA</v>
      </c>
      <c r="L563" s="5" t="str">
        <f>IFERROR(__xludf.DUMMYFUNCTION("""COMPUTED_VALUE"""),"LOCAL")</f>
        <v>LOCAL</v>
      </c>
      <c r="M563" s="5" t="str">
        <f>IFERROR(__xludf.DUMMYFUNCTION("""COMPUTED_VALUE"""),"TABULEIRO DOS MARTINS")</f>
        <v>TABULEIRO DOS MARTINS</v>
      </c>
      <c r="N563" s="5"/>
      <c r="O563" s="5" t="str">
        <f>IFERROR(__xludf.DUMMYFUNCTION("""COMPUTED_VALUE"""),"EM FRENTE O Escola Professor Margarez Maria Santos Lacet")</f>
        <v>EM FRENTE O Escola Professor Margarez Maria Santos Lacet</v>
      </c>
      <c r="P563" s="5" t="str">
        <f>IFERROR(__xludf.DUMMYFUNCTION("""COMPUTED_VALUE"""),"PRIORIDADE BAIXA")</f>
        <v>PRIORIDADE BAIXA</v>
      </c>
      <c r="Q563" s="5" t="str">
        <f>IFERROR(__xludf.DUMMYFUNCTION("""COMPUTED_VALUE"""),"READEQUAÇÃO DA CALÇADA COM ACESSIBILIDADE")</f>
        <v>READEQUAÇÃO DA CALÇADA COM ACESSIBILIDADE</v>
      </c>
      <c r="R563" s="5" t="str">
        <f>IFERROR(__xludf.DUMMYFUNCTION("""COMPUTED_VALUE"""),"NENHUMA DAS OPÇÕES")</f>
        <v>NENHUMA DAS OPÇÕES</v>
      </c>
      <c r="S563" s="5"/>
      <c r="T563" s="5"/>
      <c r="U563" s="5"/>
      <c r="V563" s="9" t="str">
        <f>IFERROR(__xludf.DUMMYFUNCTION("""COMPUTED_VALUE"""),"https://drive.google.com/uc?id=1MbHn2A0WX9vyRShdtIY7pC1EXzEWR6Ov")</f>
        <v>https://drive.google.com/uc?id=1MbHn2A0WX9vyRShdtIY7pC1EXzEWR6Ov</v>
      </c>
      <c r="W563" s="5" t="str">
        <f>IFERROR(__xludf.DUMMYFUNCTION("""COMPUTED_VALUE"""),"NÃO")</f>
        <v>NÃO</v>
      </c>
      <c r="X563" s="5" t="str">
        <f>IFERROR(__xludf.DUMMYFUNCTION("""COMPUTED_VALUE"""),"NÃO SE APLICA")</f>
        <v>NÃO SE APLICA</v>
      </c>
    </row>
    <row r="564" ht="18.75" hidden="1" customHeight="1">
      <c r="A564" s="5">
        <f>IFERROR(__xludf.DUMMYFUNCTION("""COMPUTED_VALUE"""),7.0)</f>
        <v>7</v>
      </c>
      <c r="B564" s="5" t="str">
        <f>IFERROR(__xludf.DUMMYFUNCTION("""COMPUTED_VALUE"""),"TM090")</f>
        <v>TM090</v>
      </c>
      <c r="C564" s="5" t="str">
        <f>IFERROR(__xludf.DUMMYFUNCTION("""COMPUTED_VALUE"""),"NÃO POSSUI")</f>
        <v>NÃO POSSUI</v>
      </c>
      <c r="D564" s="5" t="str">
        <f>IFERROR(__xludf.DUMMYFUNCTION("""COMPUTED_VALUE"""),"COM SUPORTE")</f>
        <v>COM SUPORTE</v>
      </c>
      <c r="E564" s="5" t="str">
        <f>IFERROR(__xludf.DUMMYFUNCTION("""COMPUTED_VALUE"""),"SEM BAIA")</f>
        <v>SEM BAIA</v>
      </c>
      <c r="F564" s="5" t="str">
        <f>IFERROR(__xludf.DUMMYFUNCTION("""COMPUTED_VALUE"""),"NÃO")</f>
        <v>NÃO</v>
      </c>
      <c r="G564" s="5" t="str">
        <f>IFERROR(__xludf.DUMMYFUNCTION("""COMPUTED_VALUE"""),"NÃO")</f>
        <v>NÃO</v>
      </c>
      <c r="H564" s="5" t="str">
        <f>IFERROR(__xludf.DUMMYFUNCTION("""COMPUTED_VALUE"""),"PAVIMENTADA")</f>
        <v>PAVIMENTADA</v>
      </c>
      <c r="I564" s="6" t="str">
        <f>IFERROR(__xludf.DUMMYFUNCTION("""COMPUTED_VALUE"""),"-9.590233")</f>
        <v>-9.590233</v>
      </c>
      <c r="J564" s="6" t="str">
        <f>IFERROR(__xludf.DUMMYFUNCTION("""COMPUTED_VALUE""")," -35.762901
")</f>
        <v> -35.762901
</v>
      </c>
      <c r="K564" s="5" t="str">
        <f>IFERROR(__xludf.DUMMYFUNCTION("""COMPUTED_VALUE"""),"AVENIDA SEBASTIÃO CORREIA  DA ROCHA")</f>
        <v>AVENIDA SEBASTIÃO CORREIA  DA ROCHA</v>
      </c>
      <c r="L564" s="5" t="str">
        <f>IFERROR(__xludf.DUMMYFUNCTION("""COMPUTED_VALUE"""),"COLETORA")</f>
        <v>COLETORA</v>
      </c>
      <c r="M564" s="5" t="str">
        <f>IFERROR(__xludf.DUMMYFUNCTION("""COMPUTED_VALUE"""),"TABULEIRO DOS MARTINS")</f>
        <v>TABULEIRO DOS MARTINS</v>
      </c>
      <c r="N564" s="5" t="str">
        <f>IFERROR(__xludf.DUMMYFUNCTION("""COMPUTED_VALUE"""),"BAIRRO - CENTRO")</f>
        <v>BAIRRO - CENTRO</v>
      </c>
      <c r="O564" s="5" t="str">
        <f>IFERROR(__xludf.DUMMYFUNCTION("""COMPUTED_VALUE"""),"EM FRENTE AO RESIDENCIAL MATA DAS ANDORINHAS")</f>
        <v>EM FRENTE AO RESIDENCIAL MATA DAS ANDORINHAS</v>
      </c>
      <c r="P564" s="5" t="str">
        <f>IFERROR(__xludf.DUMMYFUNCTION("""COMPUTED_VALUE"""),"PRIORIDADE BAIXA")</f>
        <v>PRIORIDADE BAIXA</v>
      </c>
      <c r="Q564" s="5" t="str">
        <f>IFERROR(__xludf.DUMMYFUNCTION("""COMPUTED_VALUE"""),"READEQUAÇÃO DE CALÇADA COM ACESSIBILIDADE E PINTURA DE BAÍA NO ASFALTO")</f>
        <v>READEQUAÇÃO DE CALÇADA COM ACESSIBILIDADE E PINTURA DE BAÍA NO ASFALTO</v>
      </c>
      <c r="R564" s="5" t="str">
        <f>IFERROR(__xludf.DUMMYFUNCTION("""COMPUTED_VALUE"""),"IMPLANTAR ABRIGO")</f>
        <v>IMPLANTAR ABRIGO</v>
      </c>
      <c r="S564" s="5"/>
      <c r="T564" s="5"/>
      <c r="U564" s="5"/>
      <c r="V564" s="9" t="str">
        <f>IFERROR(__xludf.DUMMYFUNCTION("""COMPUTED_VALUE"""),"https://drive.google.com/uc?id=1l4MAQUzr1bpITRs5pdxOlJPqym_PZ8uS")</f>
        <v>https://drive.google.com/uc?id=1l4MAQUzr1bpITRs5pdxOlJPqym_PZ8uS</v>
      </c>
      <c r="W564" s="5" t="str">
        <f>IFERROR(__xludf.DUMMYFUNCTION("""COMPUTED_VALUE"""),"NÃO")</f>
        <v>NÃO</v>
      </c>
      <c r="X564" s="5" t="str">
        <f>IFERROR(__xludf.DUMMYFUNCTION("""COMPUTED_VALUE"""),"NÃO SE APLICA")</f>
        <v>NÃO SE APLICA</v>
      </c>
    </row>
    <row r="565" hidden="1">
      <c r="A565" s="5">
        <f>IFERROR(__xludf.DUMMYFUNCTION("""COMPUTED_VALUE"""),7.0)</f>
        <v>7</v>
      </c>
      <c r="B565" s="5" t="str">
        <f>IFERROR(__xludf.DUMMYFUNCTION("""COMPUTED_VALUE"""),"TM091")</f>
        <v>TM091</v>
      </c>
      <c r="C565" s="5" t="str">
        <f>IFERROR(__xludf.DUMMYFUNCTION("""COMPUTED_VALUE"""),"NÃO POSSUI")</f>
        <v>NÃO POSSUI</v>
      </c>
      <c r="D565" s="5" t="str">
        <f>IFERROR(__xludf.DUMMYFUNCTION("""COMPUTED_VALUE"""),"COM SUPORTE")</f>
        <v>COM SUPORTE</v>
      </c>
      <c r="E565" s="5" t="str">
        <f>IFERROR(__xludf.DUMMYFUNCTION("""COMPUTED_VALUE"""),"SEM BAIA")</f>
        <v>SEM BAIA</v>
      </c>
      <c r="F565" s="5" t="str">
        <f>IFERROR(__xludf.DUMMYFUNCTION("""COMPUTED_VALUE"""),"NÃO")</f>
        <v>NÃO</v>
      </c>
      <c r="G565" s="5" t="str">
        <f>IFERROR(__xludf.DUMMYFUNCTION("""COMPUTED_VALUE"""),"NÃO")</f>
        <v>NÃO</v>
      </c>
      <c r="H565" s="5" t="str">
        <f>IFERROR(__xludf.DUMMYFUNCTION("""COMPUTED_VALUE"""),"PAVIMENTADA")</f>
        <v>PAVIMENTADA</v>
      </c>
      <c r="I565" s="6" t="str">
        <f>IFERROR(__xludf.DUMMYFUNCTION("""COMPUTED_VALUE"""),"-9.5869269")</f>
        <v>-9.5869269</v>
      </c>
      <c r="J565" s="6" t="str">
        <f>IFERROR(__xludf.DUMMYFUNCTION("""COMPUTED_VALUE"""),"-35.7632893  ")</f>
        <v>-35.7632893  </v>
      </c>
      <c r="K565" s="5" t="str">
        <f>IFERROR(__xludf.DUMMYFUNCTION("""COMPUTED_VALUE"""),"RUA SANTA LUZIA")</f>
        <v>RUA SANTA LUZIA</v>
      </c>
      <c r="L565" s="5" t="str">
        <f>IFERROR(__xludf.DUMMYFUNCTION("""COMPUTED_VALUE"""),"COLETORA")</f>
        <v>COLETORA</v>
      </c>
      <c r="M565" s="5" t="str">
        <f>IFERROR(__xludf.DUMMYFUNCTION("""COMPUTED_VALUE"""),"TABULEIRO DOS MARTINS")</f>
        <v>TABULEIRO DOS MARTINS</v>
      </c>
      <c r="N565" s="5" t="str">
        <f>IFERROR(__xludf.DUMMYFUNCTION("""COMPUTED_VALUE"""),"BAIRRO - CENTRO")</f>
        <v>BAIRRO - CENTRO</v>
      </c>
      <c r="O565" s="5" t="str">
        <f>IFERROR(__xludf.DUMMYFUNCTION("""COMPUTED_VALUE"""),"AO LADO DOS CORREIOS TABULEIRO")</f>
        <v>AO LADO DOS CORREIOS TABULEIRO</v>
      </c>
      <c r="P565" s="5" t="str">
        <f>IFERROR(__xludf.DUMMYFUNCTION("""COMPUTED_VALUE"""),"PRIORIDADE BAIXA")</f>
        <v>PRIORIDADE BAIXA</v>
      </c>
      <c r="Q565" s="5" t="str">
        <f>IFERROR(__xludf.DUMMYFUNCTION("""COMPUTED_VALUE"""),"READEQUAÇÃO DE CALÇADA COM ACESSIBILIDADE E PINTURA DE BAÍA NO ASFALTO.")</f>
        <v>READEQUAÇÃO DE CALÇADA COM ACESSIBILIDADE E PINTURA DE BAÍA NO ASFALTO.</v>
      </c>
      <c r="R565" s="5" t="str">
        <f>IFERROR(__xludf.DUMMYFUNCTION("""COMPUTED_VALUE"""),"NENHUMA DAS OPÇÕES")</f>
        <v>NENHUMA DAS OPÇÕES</v>
      </c>
      <c r="S565" s="5"/>
      <c r="T565" s="5"/>
      <c r="U565" s="5"/>
      <c r="V565" s="9" t="str">
        <f>IFERROR(__xludf.DUMMYFUNCTION("""COMPUTED_VALUE"""),"https://drive.google.com/uc?id=1lIeVlOw3vqQG0LFpZywlzYgmqG3DfbRj")</f>
        <v>https://drive.google.com/uc?id=1lIeVlOw3vqQG0LFpZywlzYgmqG3DfbRj</v>
      </c>
      <c r="W565" s="5" t="str">
        <f>IFERROR(__xludf.DUMMYFUNCTION("""COMPUTED_VALUE"""),"NÃO")</f>
        <v>NÃO</v>
      </c>
      <c r="X565" s="5" t="str">
        <f>IFERROR(__xludf.DUMMYFUNCTION("""COMPUTED_VALUE"""),"NÃO SE APLICA")</f>
        <v>NÃO SE APLICA</v>
      </c>
    </row>
    <row r="566" ht="17.25" hidden="1" customHeight="1">
      <c r="A566" s="5">
        <f>IFERROR(__xludf.DUMMYFUNCTION("""COMPUTED_VALUE"""),7.0)</f>
        <v>7</v>
      </c>
      <c r="B566" s="5" t="str">
        <f>IFERROR(__xludf.DUMMYFUNCTION("""COMPUTED_VALUE"""),"TM092")</f>
        <v>TM092</v>
      </c>
      <c r="C566" s="5" t="str">
        <f>IFERROR(__xludf.DUMMYFUNCTION("""COMPUTED_VALUE"""),"NÃO POSSUI")</f>
        <v>NÃO POSSUI</v>
      </c>
      <c r="D566" s="5" t="str">
        <f>IFERROR(__xludf.DUMMYFUNCTION("""COMPUTED_VALUE"""),"SEM PLACA")</f>
        <v>SEM PLACA</v>
      </c>
      <c r="E566" s="5" t="str">
        <f>IFERROR(__xludf.DUMMYFUNCTION("""COMPUTED_VALUE"""),"SEM BAIA")</f>
        <v>SEM BAIA</v>
      </c>
      <c r="F566" s="5" t="str">
        <f>IFERROR(__xludf.DUMMYFUNCTION("""COMPUTED_VALUE"""),"NÃO")</f>
        <v>NÃO</v>
      </c>
      <c r="G566" s="5" t="str">
        <f>IFERROR(__xludf.DUMMYFUNCTION("""COMPUTED_VALUE"""),"NÃO")</f>
        <v>NÃO</v>
      </c>
      <c r="H566" s="5" t="str">
        <f>IFERROR(__xludf.DUMMYFUNCTION("""COMPUTED_VALUE"""),"PAVIMENTADA")</f>
        <v>PAVIMENTADA</v>
      </c>
      <c r="I566" s="6" t="str">
        <f>IFERROR(__xludf.DUMMYFUNCTION("""COMPUTED_VALUE"""),"-9.587937")</f>
        <v>-9.587937</v>
      </c>
      <c r="J566" s="6" t="str">
        <f>IFERROR(__xludf.DUMMYFUNCTION("""COMPUTED_VALUE"""),"-35.763803    
")</f>
        <v>-35.763803    
</v>
      </c>
      <c r="K566" s="5" t="str">
        <f>IFERROR(__xludf.DUMMYFUNCTION("""COMPUTED_VALUE"""),"RUA LAGOA SECA,134
")</f>
        <v>RUA LAGOA SECA,134
</v>
      </c>
      <c r="L566" s="5" t="str">
        <f>IFERROR(__xludf.DUMMYFUNCTION("""COMPUTED_VALUE"""),"COLETORA")</f>
        <v>COLETORA</v>
      </c>
      <c r="M566" s="5" t="str">
        <f>IFERROR(__xludf.DUMMYFUNCTION("""COMPUTED_VALUE"""),"TABULEIRO DOS MARTINS")</f>
        <v>TABULEIRO DOS MARTINS</v>
      </c>
      <c r="N566" s="5" t="str">
        <f>IFERROR(__xludf.DUMMYFUNCTION("""COMPUTED_VALUE"""),"CENTRO - BAIRRO")</f>
        <v>CENTRO - BAIRRO</v>
      </c>
      <c r="O566" s="5" t="str">
        <f>IFERROR(__xludf.DUMMYFUNCTION("""COMPUTED_VALUE"""),"EM FRENTE A CASA 134")</f>
        <v>EM FRENTE A CASA 134</v>
      </c>
      <c r="P566" s="5" t="str">
        <f>IFERROR(__xludf.DUMMYFUNCTION("""COMPUTED_VALUE"""),"PRIORIDADE ALTA")</f>
        <v>PRIORIDADE ALTA</v>
      </c>
      <c r="Q566" s="5" t="str">
        <f>IFERROR(__xludf.DUMMYFUNCTION("""COMPUTED_VALUE"""),"READEQUAÇÃO DE CALÇADA COM ACESSIBILIDADE E PINTURA DE BAÍA NO ASFALTO.")</f>
        <v>READEQUAÇÃO DE CALÇADA COM ACESSIBILIDADE E PINTURA DE BAÍA NO ASFALTO.</v>
      </c>
      <c r="R566" s="5" t="str">
        <f>IFERROR(__xludf.DUMMYFUNCTION("""COMPUTED_VALUE"""),"NENHUMA DAS OPÇÕES")</f>
        <v>NENHUMA DAS OPÇÕES</v>
      </c>
      <c r="S566" s="5"/>
      <c r="T566" s="5"/>
      <c r="U566" s="5"/>
      <c r="V566" s="9" t="str">
        <f>IFERROR(__xludf.DUMMYFUNCTION("""COMPUTED_VALUE"""),"https://drive.google.com/uc?id=1erJw9SwMjQY1OJOxPznu2inbMdil80Xl")</f>
        <v>https://drive.google.com/uc?id=1erJw9SwMjQY1OJOxPznu2inbMdil80Xl</v>
      </c>
      <c r="W566" s="5" t="str">
        <f>IFERROR(__xludf.DUMMYFUNCTION("""COMPUTED_VALUE"""),"NÃO")</f>
        <v>NÃO</v>
      </c>
      <c r="X566" s="5" t="str">
        <f>IFERROR(__xludf.DUMMYFUNCTION("""COMPUTED_VALUE"""),"NÃO SE APLICA")</f>
        <v>NÃO SE APLICA</v>
      </c>
    </row>
    <row r="567">
      <c r="A567" s="5">
        <f>IFERROR(__xludf.DUMMYFUNCTION("""COMPUTED_VALUE"""),7.0)</f>
        <v>7</v>
      </c>
      <c r="B567" s="5" t="str">
        <f>IFERROR(__xludf.DUMMYFUNCTION("""COMPUTED_VALUE"""),"TM093")</f>
        <v>TM093</v>
      </c>
      <c r="C567" s="5" t="str">
        <f>IFERROR(__xludf.DUMMYFUNCTION("""COMPUTED_VALUE"""),"ABRIGO CONCRETO")</f>
        <v>ABRIGO CONCRETO</v>
      </c>
      <c r="D567" s="5" t="str">
        <f>IFERROR(__xludf.DUMMYFUNCTION("""COMPUTED_VALUE"""),"SEM PLACA")</f>
        <v>SEM PLACA</v>
      </c>
      <c r="E567" s="5" t="str">
        <f>IFERROR(__xludf.DUMMYFUNCTION("""COMPUTED_VALUE"""),"SEM BAIA")</f>
        <v>SEM BAIA</v>
      </c>
      <c r="F567" s="5" t="str">
        <f>IFERROR(__xludf.DUMMYFUNCTION("""COMPUTED_VALUE"""),"NÃO")</f>
        <v>NÃO</v>
      </c>
      <c r="G567" s="5" t="str">
        <f>IFERROR(__xludf.DUMMYFUNCTION("""COMPUTED_VALUE"""),"NÃO")</f>
        <v>NÃO</v>
      </c>
      <c r="H567" s="5" t="str">
        <f>IFERROR(__xludf.DUMMYFUNCTION("""COMPUTED_VALUE"""),"NÃO PAVIMENTADA")</f>
        <v>NÃO PAVIMENTADA</v>
      </c>
      <c r="I567" s="6" t="str">
        <f>IFERROR(__xludf.DUMMYFUNCTION("""COMPUTED_VALUE"""),"-9.591903")</f>
        <v>-9.591903</v>
      </c>
      <c r="J567" s="6" t="str">
        <f>IFERROR(__xludf.DUMMYFUNCTION("""COMPUTED_VALUE"""),"-35.761607
")</f>
        <v>-35.761607
</v>
      </c>
      <c r="K567" s="5" t="str">
        <f>IFERROR(__xludf.DUMMYFUNCTION("""COMPUTED_VALUE"""),"AVENIDA SEBASTIÃO CORREIA  DA ROCHA")</f>
        <v>AVENIDA SEBASTIÃO CORREIA  DA ROCHA</v>
      </c>
      <c r="L567" s="5" t="str">
        <f>IFERROR(__xludf.DUMMYFUNCTION("""COMPUTED_VALUE"""),"COLETORA")</f>
        <v>COLETORA</v>
      </c>
      <c r="M567" s="5" t="str">
        <f>IFERROR(__xludf.DUMMYFUNCTION("""COMPUTED_VALUE"""),"TABULEIRO DOS MARTINS")</f>
        <v>TABULEIRO DOS MARTINS</v>
      </c>
      <c r="N567" s="5" t="str">
        <f>IFERROR(__xludf.DUMMYFUNCTION("""COMPUTED_VALUE"""),"CENTRO - BAIRRO")</f>
        <v>CENTRO - BAIRRO</v>
      </c>
      <c r="O567" s="5" t="str">
        <f>IFERROR(__xludf.DUMMYFUNCTION("""COMPUTED_VALUE"""),"EM FRENTE A WFIT")</f>
        <v>EM FRENTE A WFIT</v>
      </c>
      <c r="P567" s="5" t="str">
        <f>IFERROR(__xludf.DUMMYFUNCTION("""COMPUTED_VALUE"""),"PRIORIDADE BAIXA")</f>
        <v>PRIORIDADE BAIXA</v>
      </c>
      <c r="Q567" s="5" t="str">
        <f>IFERROR(__xludf.DUMMYFUNCTION("""COMPUTED_VALUE"""),"READEQUAÇÃO DE CALÇADA COM ACESSIBILIDADE E PINTURA DE BAÍA NO ASFALTO.")</f>
        <v>READEQUAÇÃO DE CALÇADA COM ACESSIBILIDADE E PINTURA DE BAÍA NO ASFALTO.</v>
      </c>
      <c r="R567" s="5" t="str">
        <f>IFERROR(__xludf.DUMMYFUNCTION("""COMPUTED_VALUE"""),"SUBSTITUIR ABRIGO")</f>
        <v>SUBSTITUIR ABRIGO</v>
      </c>
      <c r="S567" s="5"/>
      <c r="T567" s="5"/>
      <c r="U567" s="5"/>
      <c r="V567" s="9" t="str">
        <f>IFERROR(__xludf.DUMMYFUNCTION("""COMPUTED_VALUE"""),"https://drive.google.com/uc?id=1evcxCQFRDIwwW2KqDjDyUjG15sQm1wIS")</f>
        <v>https://drive.google.com/uc?id=1evcxCQFRDIwwW2KqDjDyUjG15sQm1wIS</v>
      </c>
      <c r="W567" s="5" t="str">
        <f>IFERROR(__xludf.DUMMYFUNCTION("""COMPUTED_VALUE"""),"NÃO")</f>
        <v>NÃO</v>
      </c>
      <c r="X567" s="5" t="str">
        <f>IFERROR(__xludf.DUMMYFUNCTION("""COMPUTED_VALUE"""),"NÃO SE APLICA")</f>
        <v>NÃO SE APLICA</v>
      </c>
    </row>
    <row r="568" ht="19.5" customHeight="1">
      <c r="A568" s="5">
        <f>IFERROR(__xludf.DUMMYFUNCTION("""COMPUTED_VALUE"""),7.0)</f>
        <v>7</v>
      </c>
      <c r="B568" s="5" t="str">
        <f>IFERROR(__xludf.DUMMYFUNCTION("""COMPUTED_VALUE"""),"TM094")</f>
        <v>TM094</v>
      </c>
      <c r="C568" s="5" t="str">
        <f>IFERROR(__xludf.DUMMYFUNCTION("""COMPUTED_VALUE"""),"ABRIGO CONCRETO")</f>
        <v>ABRIGO CONCRETO</v>
      </c>
      <c r="D568" s="5" t="str">
        <f>IFERROR(__xludf.DUMMYFUNCTION("""COMPUTED_VALUE"""),"SEM PLACA")</f>
        <v>SEM PLACA</v>
      </c>
      <c r="E568" s="5" t="str">
        <f>IFERROR(__xludf.DUMMYFUNCTION("""COMPUTED_VALUE"""),"SEM BAIA")</f>
        <v>SEM BAIA</v>
      </c>
      <c r="F568" s="5" t="str">
        <f>IFERROR(__xludf.DUMMYFUNCTION("""COMPUTED_VALUE"""),"NÃO")</f>
        <v>NÃO</v>
      </c>
      <c r="G568" s="5" t="str">
        <f>IFERROR(__xludf.DUMMYFUNCTION("""COMPUTED_VALUE"""),"NÃO")</f>
        <v>NÃO</v>
      </c>
      <c r="H568" s="5" t="str">
        <f>IFERROR(__xludf.DUMMYFUNCTION("""COMPUTED_VALUE"""),"NÃO PAVIMENTADA")</f>
        <v>NÃO PAVIMENTADA</v>
      </c>
      <c r="I568" s="6" t="str">
        <f>IFERROR(__xludf.DUMMYFUNCTION("""COMPUTED_VALUE"""),"-9.592060")</f>
        <v>-9.592060</v>
      </c>
      <c r="J568" s="6" t="str">
        <f>IFERROR(__xludf.DUMMYFUNCTION("""COMPUTED_VALUE"""),"-35.761617")</f>
        <v>-35.761617</v>
      </c>
      <c r="K568" s="5" t="str">
        <f>IFERROR(__xludf.DUMMYFUNCTION("""COMPUTED_VALUE"""),"AVENIDA SEBASTIÃO CORREIA  DA ROCHA")</f>
        <v>AVENIDA SEBASTIÃO CORREIA  DA ROCHA</v>
      </c>
      <c r="L568" s="5" t="str">
        <f>IFERROR(__xludf.DUMMYFUNCTION("""COMPUTED_VALUE"""),"COLETORA")</f>
        <v>COLETORA</v>
      </c>
      <c r="M568" s="5" t="str">
        <f>IFERROR(__xludf.DUMMYFUNCTION("""COMPUTED_VALUE"""),"TABULEIRO DOS MARTINS")</f>
        <v>TABULEIRO DOS MARTINS</v>
      </c>
      <c r="N568" s="5" t="str">
        <f>IFERROR(__xludf.DUMMYFUNCTION("""COMPUTED_VALUE"""),"BAIRRO - CENTRO")</f>
        <v>BAIRRO - CENTRO</v>
      </c>
      <c r="O568" s="5" t="str">
        <f>IFERROR(__xludf.DUMMYFUNCTION("""COMPUTED_VALUE"""),"AO LADO DA WFIT")</f>
        <v>AO LADO DA WFIT</v>
      </c>
      <c r="P568" s="5" t="str">
        <f>IFERROR(__xludf.DUMMYFUNCTION("""COMPUTED_VALUE"""),"PRIORIDADE BAIXA")</f>
        <v>PRIORIDADE BAIXA</v>
      </c>
      <c r="Q568" s="5" t="str">
        <f>IFERROR(__xludf.DUMMYFUNCTION("""COMPUTED_VALUE"""),"READEQUAÇÃO DE CALÇADA COM ACESSIBILIDADE E PINTURA DE BAÍA NO ASFALTO.")</f>
        <v>READEQUAÇÃO DE CALÇADA COM ACESSIBILIDADE E PINTURA DE BAÍA NO ASFALTO.</v>
      </c>
      <c r="R568" s="5" t="str">
        <f>IFERROR(__xludf.DUMMYFUNCTION("""COMPUTED_VALUE"""),"SUBSTITUIR ABRIGO")</f>
        <v>SUBSTITUIR ABRIGO</v>
      </c>
      <c r="S568" s="5"/>
      <c r="T568" s="5"/>
      <c r="U568" s="5"/>
      <c r="V568" s="9" t="str">
        <f>IFERROR(__xludf.DUMMYFUNCTION("""COMPUTED_VALUE"""),"https://drive.google.com/uc?id=1ghta5i0k_Jr1aCkYyRE4lU899Mu-3L0N")</f>
        <v>https://drive.google.com/uc?id=1ghta5i0k_Jr1aCkYyRE4lU899Mu-3L0N</v>
      </c>
      <c r="W568" s="5" t="str">
        <f>IFERROR(__xludf.DUMMYFUNCTION("""COMPUTED_VALUE"""),"NÃO")</f>
        <v>NÃO</v>
      </c>
      <c r="X568" s="5" t="str">
        <f>IFERROR(__xludf.DUMMYFUNCTION("""COMPUTED_VALUE"""),"NÃO SE APLICA")</f>
        <v>NÃO SE APLICA</v>
      </c>
    </row>
    <row r="569" ht="17.25" hidden="1" customHeight="1">
      <c r="A569" s="5">
        <f>IFERROR(__xludf.DUMMYFUNCTION("""COMPUTED_VALUE"""),7.0)</f>
        <v>7</v>
      </c>
      <c r="B569" s="5" t="str">
        <f>IFERROR(__xludf.DUMMYFUNCTION("""COMPUTED_VALUE"""),"TM095")</f>
        <v>TM095</v>
      </c>
      <c r="C569" s="5" t="str">
        <f>IFERROR(__xludf.DUMMYFUNCTION("""COMPUTED_VALUE"""),"NÃO POSSUI")</f>
        <v>NÃO POSSUI</v>
      </c>
      <c r="D569" s="5" t="str">
        <f>IFERROR(__xludf.DUMMYFUNCTION("""COMPUTED_VALUE"""),"SEM PLACA")</f>
        <v>SEM PLACA</v>
      </c>
      <c r="E569" s="5" t="str">
        <f>IFERROR(__xludf.DUMMYFUNCTION("""COMPUTED_VALUE"""),"SEM BAIA")</f>
        <v>SEM BAIA</v>
      </c>
      <c r="F569" s="5" t="str">
        <f>IFERROR(__xludf.DUMMYFUNCTION("""COMPUTED_VALUE"""),"NÃO")</f>
        <v>NÃO</v>
      </c>
      <c r="G569" s="5" t="str">
        <f>IFERROR(__xludf.DUMMYFUNCTION("""COMPUTED_VALUE"""),"NÃO")</f>
        <v>NÃO</v>
      </c>
      <c r="H569" s="5" t="str">
        <f>IFERROR(__xludf.DUMMYFUNCTION("""COMPUTED_VALUE"""),"PAVIMENTADA")</f>
        <v>PAVIMENTADA</v>
      </c>
      <c r="I569" s="6" t="str">
        <f>IFERROR(__xludf.DUMMYFUNCTION("""COMPUTED_VALUE"""),"-9.580654")</f>
        <v>-9.580654</v>
      </c>
      <c r="J569" s="6" t="str">
        <f>IFERROR(__xludf.DUMMYFUNCTION("""COMPUTED_VALUE"""),"-35.773998
")</f>
        <v>-35.773998
</v>
      </c>
      <c r="K569" s="5" t="str">
        <f>IFERROR(__xludf.DUMMYFUNCTION("""COMPUTED_VALUE"""),"RUA SÃO PAULO")</f>
        <v>RUA SÃO PAULO</v>
      </c>
      <c r="L569" s="5" t="str">
        <f>IFERROR(__xludf.DUMMYFUNCTION("""COMPUTED_VALUE"""),"LOCAL")</f>
        <v>LOCAL</v>
      </c>
      <c r="M569" s="5" t="str">
        <f>IFERROR(__xludf.DUMMYFUNCTION("""COMPUTED_VALUE"""),"TABULEIRO DOS MARTINS")</f>
        <v>TABULEIRO DOS MARTINS</v>
      </c>
      <c r="N569" s="5" t="str">
        <f>IFERROR(__xludf.DUMMYFUNCTION("""COMPUTED_VALUE"""),"CENTRO - BAIRRO")</f>
        <v>CENTRO - BAIRRO</v>
      </c>
      <c r="O569" s="5" t="str">
        <f>IFERROR(__xludf.DUMMYFUNCTION("""COMPUTED_VALUE"""),"EM FRENTE A CEO CLÍNIC")</f>
        <v>EM FRENTE A CEO CLÍNIC</v>
      </c>
      <c r="P569" s="5" t="str">
        <f>IFERROR(__xludf.DUMMYFUNCTION("""COMPUTED_VALUE"""),"PRIORIDADE BAIXA")</f>
        <v>PRIORIDADE BAIXA</v>
      </c>
      <c r="Q569" s="5"/>
      <c r="R569" s="5" t="str">
        <f>IFERROR(__xludf.DUMMYFUNCTION("""COMPUTED_VALUE"""),"NENHUMA DAS OPÇÕES")</f>
        <v>NENHUMA DAS OPÇÕES</v>
      </c>
      <c r="S569" s="5"/>
      <c r="T569" s="5"/>
      <c r="U569" s="5"/>
      <c r="V569" s="9" t="str">
        <f>IFERROR(__xludf.DUMMYFUNCTION("""COMPUTED_VALUE"""),"https://drive.google.com/uc?id=139ghNhNKkZ2c1GSrIgGXNc_pHez2dUvJ")</f>
        <v>https://drive.google.com/uc?id=139ghNhNKkZ2c1GSrIgGXNc_pHez2dUvJ</v>
      </c>
      <c r="W569" s="5" t="str">
        <f>IFERROR(__xludf.DUMMYFUNCTION("""COMPUTED_VALUE"""),"NÃO")</f>
        <v>NÃO</v>
      </c>
      <c r="X569" s="5" t="str">
        <f>IFERROR(__xludf.DUMMYFUNCTION("""COMPUTED_VALUE"""),"NÃO SE APLICA")</f>
        <v>NÃO SE APLICA</v>
      </c>
    </row>
    <row r="570" hidden="1">
      <c r="A570" s="5">
        <f>IFERROR(__xludf.DUMMYFUNCTION("""COMPUTED_VALUE"""),7.0)</f>
        <v>7</v>
      </c>
      <c r="B570" s="5" t="str">
        <f>IFERROR(__xludf.DUMMYFUNCTION("""COMPUTED_VALUE"""),"TM096")</f>
        <v>TM096</v>
      </c>
      <c r="C570" s="5" t="str">
        <f>IFERROR(__xludf.DUMMYFUNCTION("""COMPUTED_VALUE"""),"NÃO POSSUI")</f>
        <v>NÃO POSSUI</v>
      </c>
      <c r="D570" s="5" t="str">
        <f>IFERROR(__xludf.DUMMYFUNCTION("""COMPUTED_VALUE"""),"FIXADA EM POSTE")</f>
        <v>FIXADA EM POSTE</v>
      </c>
      <c r="E570" s="5" t="str">
        <f>IFERROR(__xludf.DUMMYFUNCTION("""COMPUTED_VALUE"""),"SEM BAIA")</f>
        <v>SEM BAIA</v>
      </c>
      <c r="F570" s="5" t="str">
        <f>IFERROR(__xludf.DUMMYFUNCTION("""COMPUTED_VALUE"""),"NÃO")</f>
        <v>NÃO</v>
      </c>
      <c r="G570" s="5" t="str">
        <f>IFERROR(__xludf.DUMMYFUNCTION("""COMPUTED_VALUE"""),"NÃO")</f>
        <v>NÃO</v>
      </c>
      <c r="H570" s="5" t="str">
        <f>IFERROR(__xludf.DUMMYFUNCTION("""COMPUTED_VALUE"""),"PAVIMENTADA")</f>
        <v>PAVIMENTADA</v>
      </c>
      <c r="I570" s="6" t="str">
        <f>IFERROR(__xludf.DUMMYFUNCTION("""COMPUTED_VALUE"""),"-9.584509")</f>
        <v>-9.584509</v>
      </c>
      <c r="J570" s="6" t="str">
        <f>IFERROR(__xludf.DUMMYFUNCTION("""COMPUTED_VALUE"""),"-35.773123  ")</f>
        <v>-35.773123  </v>
      </c>
      <c r="K570" s="5" t="str">
        <f>IFERROR(__xludf.DUMMYFUNCTION("""COMPUTED_VALUE"""),"RUA GILBERTO VIEIRA LEITE")</f>
        <v>RUA GILBERTO VIEIRA LEITE</v>
      </c>
      <c r="L570" s="5" t="str">
        <f>IFERROR(__xludf.DUMMYFUNCTION("""COMPUTED_VALUE"""),"LOCAL")</f>
        <v>LOCAL</v>
      </c>
      <c r="M570" s="5" t="str">
        <f>IFERROR(__xludf.DUMMYFUNCTION("""COMPUTED_VALUE"""),"TABULEIRO DOS MARTINS")</f>
        <v>TABULEIRO DOS MARTINS</v>
      </c>
      <c r="N570" s="5"/>
      <c r="O570" s="5" t="str">
        <f>IFERROR(__xludf.DUMMYFUNCTION("""COMPUTED_VALUE"""),"AO LADO DA PORANGABA MÓVEIS")</f>
        <v>AO LADO DA PORANGABA MÓVEIS</v>
      </c>
      <c r="P570" s="5" t="str">
        <f>IFERROR(__xludf.DUMMYFUNCTION("""COMPUTED_VALUE"""),"PRIORIDADE BAIXA")</f>
        <v>PRIORIDADE BAIXA</v>
      </c>
      <c r="Q570" s="5" t="str">
        <f>IFERROR(__xludf.DUMMYFUNCTION("""COMPUTED_VALUE"""),"READEQUAÇÃO DE CALÇADA COM ACESSIBILIDADE E PINTURA DE BAÍA NO ASFALTO.")</f>
        <v>READEQUAÇÃO DE CALÇADA COM ACESSIBILIDADE E PINTURA DE BAÍA NO ASFALTO.</v>
      </c>
      <c r="R570" s="5" t="str">
        <f>IFERROR(__xludf.DUMMYFUNCTION("""COMPUTED_VALUE"""),"NENHUMA DAS OPÇÕES")</f>
        <v>NENHUMA DAS OPÇÕES</v>
      </c>
      <c r="S570" s="5"/>
      <c r="T570" s="5"/>
      <c r="U570" s="5"/>
      <c r="V570" s="9" t="str">
        <f>IFERROR(__xludf.DUMMYFUNCTION("""COMPUTED_VALUE"""),"https://drive.google.com/uc?id=1mDf6zWLc6xQFcVcFti_S4Y-GmZfVJhHo")</f>
        <v>https://drive.google.com/uc?id=1mDf6zWLc6xQFcVcFti_S4Y-GmZfVJhHo</v>
      </c>
      <c r="W570" s="5" t="str">
        <f>IFERROR(__xludf.DUMMYFUNCTION("""COMPUTED_VALUE"""),"NÃO")</f>
        <v>NÃO</v>
      </c>
      <c r="X570" s="5" t="str">
        <f>IFERROR(__xludf.DUMMYFUNCTION("""COMPUTED_VALUE"""),"NÃO SE APLICA")</f>
        <v>NÃO SE APLICA</v>
      </c>
    </row>
    <row r="571" ht="19.5" hidden="1" customHeight="1">
      <c r="A571" s="5">
        <f>IFERROR(__xludf.DUMMYFUNCTION("""COMPUTED_VALUE"""),7.0)</f>
        <v>7</v>
      </c>
      <c r="B571" s="5" t="str">
        <f>IFERROR(__xludf.DUMMYFUNCTION("""COMPUTED_VALUE"""),"TM097")</f>
        <v>TM097</v>
      </c>
      <c r="C571" s="5" t="str">
        <f>IFERROR(__xludf.DUMMYFUNCTION("""COMPUTED_VALUE"""),"NÃO POSSUI")</f>
        <v>NÃO POSSUI</v>
      </c>
      <c r="D571" s="5" t="str">
        <f>IFERROR(__xludf.DUMMYFUNCTION("""COMPUTED_VALUE"""),"COM SUPORTE")</f>
        <v>COM SUPORTE</v>
      </c>
      <c r="E571" s="5" t="str">
        <f>IFERROR(__xludf.DUMMYFUNCTION("""COMPUTED_VALUE"""),"SEM BAIA")</f>
        <v>SEM BAIA</v>
      </c>
      <c r="F571" s="5" t="str">
        <f>IFERROR(__xludf.DUMMYFUNCTION("""COMPUTED_VALUE"""),"NÃO")</f>
        <v>NÃO</v>
      </c>
      <c r="G571" s="5" t="str">
        <f>IFERROR(__xludf.DUMMYFUNCTION("""COMPUTED_VALUE"""),"NÃO")</f>
        <v>NÃO</v>
      </c>
      <c r="H571" s="5" t="str">
        <f>IFERROR(__xludf.DUMMYFUNCTION("""COMPUTED_VALUE"""),"PAVIMENTADA")</f>
        <v>PAVIMENTADA</v>
      </c>
      <c r="I571" s="6" t="str">
        <f>IFERROR(__xludf.DUMMYFUNCTION("""COMPUTED_VALUE"""),"-9.586423")</f>
        <v>-9.586423</v>
      </c>
      <c r="J571" s="6" t="str">
        <f>IFERROR(__xludf.DUMMYFUNCTION("""COMPUTED_VALUE"""),"-35.771807")</f>
        <v>-35.771807</v>
      </c>
      <c r="K571" s="5" t="str">
        <f>IFERROR(__xludf.DUMMYFUNCTION("""COMPUTED_VALUE"""),"RUA SANTA LUZIA")</f>
        <v>RUA SANTA LUZIA</v>
      </c>
      <c r="L571" s="5" t="str">
        <f>IFERROR(__xludf.DUMMYFUNCTION("""COMPUTED_VALUE"""),"COLETORA")</f>
        <v>COLETORA</v>
      </c>
      <c r="M571" s="5" t="str">
        <f>IFERROR(__xludf.DUMMYFUNCTION("""COMPUTED_VALUE"""),"TABULEIRO DOS MARTINS")</f>
        <v>TABULEIRO DOS MARTINS</v>
      </c>
      <c r="N571" s="5" t="str">
        <f>IFERROR(__xludf.DUMMYFUNCTION("""COMPUTED_VALUE"""),"BAIRRO - CENTRO")</f>
        <v>BAIRRO - CENTRO</v>
      </c>
      <c r="O571" s="5" t="str">
        <f>IFERROR(__xludf.DUMMYFUNCTION("""COMPUTED_VALUE"""),"EM FRENTE A CASA 25")</f>
        <v>EM FRENTE A CASA 25</v>
      </c>
      <c r="P571" s="5" t="str">
        <f>IFERROR(__xludf.DUMMYFUNCTION("""COMPUTED_VALUE"""),"PRIORIDADE ALTA")</f>
        <v>PRIORIDADE ALTA</v>
      </c>
      <c r="Q571" s="5" t="str">
        <f>IFERROR(__xludf.DUMMYFUNCTION("""COMPUTED_VALUE"""),"READEQUAÇÃO DE CALÇADA COM ACESSIBILIDADE E PINTURA DE BAÍA NO ASFALTO.")</f>
        <v>READEQUAÇÃO DE CALÇADA COM ACESSIBILIDADE E PINTURA DE BAÍA NO ASFALTO.</v>
      </c>
      <c r="R571" s="5" t="str">
        <f>IFERROR(__xludf.DUMMYFUNCTION("""COMPUTED_VALUE"""),"NENHUMA DAS OPÇÕES")</f>
        <v>NENHUMA DAS OPÇÕES</v>
      </c>
      <c r="S571" s="5"/>
      <c r="T571" s="5"/>
      <c r="U571" s="5"/>
      <c r="V571" s="9" t="str">
        <f>IFERROR(__xludf.DUMMYFUNCTION("""COMPUTED_VALUE"""),"https://drive.google.com/uc?id=1H3WfA5gvHNreuzfv_m-3WTM_epAT7dI3")</f>
        <v>https://drive.google.com/uc?id=1H3WfA5gvHNreuzfv_m-3WTM_epAT7dI3</v>
      </c>
      <c r="W571" s="5" t="str">
        <f>IFERROR(__xludf.DUMMYFUNCTION("""COMPUTED_VALUE"""),"NÃO")</f>
        <v>NÃO</v>
      </c>
      <c r="X571" s="5" t="str">
        <f>IFERROR(__xludf.DUMMYFUNCTION("""COMPUTED_VALUE"""),"NÃO SE APLICA")</f>
        <v>NÃO SE APLICA</v>
      </c>
    </row>
    <row r="572" ht="18.0" customHeight="1">
      <c r="A572" s="5">
        <f>IFERROR(__xludf.DUMMYFUNCTION("""COMPUTED_VALUE"""),7.0)</f>
        <v>7</v>
      </c>
      <c r="B572" s="5" t="str">
        <f>IFERROR(__xludf.DUMMYFUNCTION("""COMPUTED_VALUE"""),"TM098")</f>
        <v>TM098</v>
      </c>
      <c r="C572" s="5" t="str">
        <f>IFERROR(__xludf.DUMMYFUNCTION("""COMPUTED_VALUE"""),"ABRIGO METÁLICO PEQUENO PORTE")</f>
        <v>ABRIGO METÁLICO PEQUENO PORTE</v>
      </c>
      <c r="D572" s="5" t="str">
        <f>IFERROR(__xludf.DUMMYFUNCTION("""COMPUTED_VALUE"""),"SEM PLACA")</f>
        <v>SEM PLACA</v>
      </c>
      <c r="E572" s="5" t="str">
        <f>IFERROR(__xludf.DUMMYFUNCTION("""COMPUTED_VALUE"""),"SEM BAIA")</f>
        <v>SEM BAIA</v>
      </c>
      <c r="F572" s="5" t="str">
        <f>IFERROR(__xludf.DUMMYFUNCTION("""COMPUTED_VALUE"""),"NÃO")</f>
        <v>NÃO</v>
      </c>
      <c r="G572" s="5" t="str">
        <f>IFERROR(__xludf.DUMMYFUNCTION("""COMPUTED_VALUE"""),"NÃO")</f>
        <v>NÃO</v>
      </c>
      <c r="H572" s="5" t="str">
        <f>IFERROR(__xludf.DUMMYFUNCTION("""COMPUTED_VALUE"""),"PAVIMENTADA")</f>
        <v>PAVIMENTADA</v>
      </c>
      <c r="I572" s="6" t="str">
        <f>IFERROR(__xludf.DUMMYFUNCTION("""COMPUTED_VALUE"""),"-9.588497")</f>
        <v>-9.588497</v>
      </c>
      <c r="J572" s="6" t="str">
        <f>IFERROR(__xludf.DUMMYFUNCTION("""COMPUTED_VALUE"""),"-35.761652")</f>
        <v>-35.761652</v>
      </c>
      <c r="K572" s="5" t="str">
        <f>IFERROR(__xludf.DUMMYFUNCTION("""COMPUTED_VALUE"""),"AV. DURVAL DE GÓES MONTEIRO")</f>
        <v>AV. DURVAL DE GÓES MONTEIRO</v>
      </c>
      <c r="L572" s="5" t="str">
        <f>IFERROR(__xludf.DUMMYFUNCTION("""COMPUTED_VALUE"""),"ARTERIAL ")</f>
        <v>ARTERIAL </v>
      </c>
      <c r="M572" s="5" t="str">
        <f>IFERROR(__xludf.DUMMYFUNCTION("""COMPUTED_VALUE"""),"TABULEIRO DOS MARTINS")</f>
        <v>TABULEIRO DOS MARTINS</v>
      </c>
      <c r="N572" s="5" t="str">
        <f>IFERROR(__xludf.DUMMYFUNCTION("""COMPUTED_VALUE"""),"BAIRRO - CENTRO")</f>
        <v>BAIRRO - CENTRO</v>
      </c>
      <c r="O572" s="5" t="str">
        <f>IFERROR(__xludf.DUMMYFUNCTION("""COMPUTED_VALUE"""),"APÓS A USIFERTIL")</f>
        <v>APÓS A USIFERTIL</v>
      </c>
      <c r="P572" s="5" t="str">
        <f>IFERROR(__xludf.DUMMYFUNCTION("""COMPUTED_VALUE"""),"PRIORIDADE BAIXA")</f>
        <v>PRIORIDADE BAIXA</v>
      </c>
      <c r="Q572" s="5" t="str">
        <f>IFERROR(__xludf.DUMMYFUNCTION("""COMPUTED_VALUE"""),"READEQUAÇÃO DE CALÇADA COM ACESSIBILIDADE E PINTURA DE BAÍA NO ASFALTO.")</f>
        <v>READEQUAÇÃO DE CALÇADA COM ACESSIBILIDADE E PINTURA DE BAÍA NO ASFALTO.</v>
      </c>
      <c r="R572" s="5" t="str">
        <f>IFERROR(__xludf.DUMMYFUNCTION("""COMPUTED_VALUE"""),"NENHUMA DAS OPÇÕES")</f>
        <v>NENHUMA DAS OPÇÕES</v>
      </c>
      <c r="S572" s="5"/>
      <c r="T572" s="5"/>
      <c r="U572" s="5"/>
      <c r="V572" s="9" t="str">
        <f>IFERROR(__xludf.DUMMYFUNCTION("""COMPUTED_VALUE"""),"https://drive.google.com/uc?id=1iSPc1EUeUezitEZJJAfklN2DOUmuPOpM")</f>
        <v>https://drive.google.com/uc?id=1iSPc1EUeUezitEZJJAfklN2DOUmuPOpM</v>
      </c>
      <c r="W572" s="5" t="str">
        <f>IFERROR(__xludf.DUMMYFUNCTION("""COMPUTED_VALUE"""),"NÃO")</f>
        <v>NÃO</v>
      </c>
      <c r="X572" s="5" t="str">
        <f>IFERROR(__xludf.DUMMYFUNCTION("""COMPUTED_VALUE"""),"NÃO SE APLICA")</f>
        <v>NÃO SE APLICA</v>
      </c>
    </row>
    <row r="573">
      <c r="A573" s="5">
        <f>IFERROR(__xludf.DUMMYFUNCTION("""COMPUTED_VALUE"""),7.0)</f>
        <v>7</v>
      </c>
      <c r="B573" s="5" t="str">
        <f>IFERROR(__xludf.DUMMYFUNCTION("""COMPUTED_VALUE"""),"TM099")</f>
        <v>TM099</v>
      </c>
      <c r="C573" s="5" t="str">
        <f>IFERROR(__xludf.DUMMYFUNCTION("""COMPUTED_VALUE"""),"ABRIGO METÁLICO PEQUENO PORTE")</f>
        <v>ABRIGO METÁLICO PEQUENO PORTE</v>
      </c>
      <c r="D573" s="5" t="str">
        <f>IFERROR(__xludf.DUMMYFUNCTION("""COMPUTED_VALUE"""),"COM SUPORTE")</f>
        <v>COM SUPORTE</v>
      </c>
      <c r="E573" s="5" t="str">
        <f>IFERROR(__xludf.DUMMYFUNCTION("""COMPUTED_VALUE"""),"SEM BAIA")</f>
        <v>SEM BAIA</v>
      </c>
      <c r="F573" s="5" t="str">
        <f>IFERROR(__xludf.DUMMYFUNCTION("""COMPUTED_VALUE"""),"NÃO")</f>
        <v>NÃO</v>
      </c>
      <c r="G573" s="5" t="str">
        <f>IFERROR(__xludf.DUMMYFUNCTION("""COMPUTED_VALUE"""),"NÃO")</f>
        <v>NÃO</v>
      </c>
      <c r="H573" s="5" t="str">
        <f>IFERROR(__xludf.DUMMYFUNCTION("""COMPUTED_VALUE"""),"PAVIMENTADA")</f>
        <v>PAVIMENTADA</v>
      </c>
      <c r="I573" s="6" t="str">
        <f>IFERROR(__xludf.DUMMYFUNCTION("""COMPUTED_VALUE"""),"-9.582484")</f>
        <v>-9.582484</v>
      </c>
      <c r="J573" s="6" t="str">
        <f>IFERROR(__xludf.DUMMYFUNCTION("""COMPUTED_VALUE""")," -35.766088")</f>
        <v> -35.766088</v>
      </c>
      <c r="K573" s="5" t="str">
        <f>IFERROR(__xludf.DUMMYFUNCTION("""COMPUTED_VALUE"""),"AV. DURVAL DE GÓES MONTEIRO")</f>
        <v>AV. DURVAL DE GÓES MONTEIRO</v>
      </c>
      <c r="L573" s="5" t="str">
        <f>IFERROR(__xludf.DUMMYFUNCTION("""COMPUTED_VALUE"""),"ARTERIAL ")</f>
        <v>ARTERIAL </v>
      </c>
      <c r="M573" s="5" t="str">
        <f>IFERROR(__xludf.DUMMYFUNCTION("""COMPUTED_VALUE"""),"TABULEIRO DOS MARTINS")</f>
        <v>TABULEIRO DOS MARTINS</v>
      </c>
      <c r="N573" s="5" t="str">
        <f>IFERROR(__xludf.DUMMYFUNCTION("""COMPUTED_VALUE"""),"BAIRRO - CENTRO")</f>
        <v>BAIRRO - CENTRO</v>
      </c>
      <c r="O573" s="5" t="str">
        <f>IFERROR(__xludf.DUMMYFUNCTION("""COMPUTED_VALUE"""),"EM FRENTE À IGREJA MINISTÉRIO NOVA VIDA")</f>
        <v>EM FRENTE À IGREJA MINISTÉRIO NOVA VIDA</v>
      </c>
      <c r="P573" s="5" t="str">
        <f>IFERROR(__xludf.DUMMYFUNCTION("""COMPUTED_VALUE"""),"PRIORIDADE BAIXA")</f>
        <v>PRIORIDADE BAIXA</v>
      </c>
      <c r="Q573" s="5" t="str">
        <f>IFERROR(__xludf.DUMMYFUNCTION("""COMPUTED_VALUE"""),"READEQUAÇÃO DE CALÇADA COM ACESSIBILIDADE E PINTURA DE BAÍA NO ASFALTO.")</f>
        <v>READEQUAÇÃO DE CALÇADA COM ACESSIBILIDADE E PINTURA DE BAÍA NO ASFALTO.</v>
      </c>
      <c r="R573" s="5" t="str">
        <f>IFERROR(__xludf.DUMMYFUNCTION("""COMPUTED_VALUE"""),"SUBSTITUIR ABRIGO")</f>
        <v>SUBSTITUIR ABRIGO</v>
      </c>
      <c r="S573" s="5"/>
      <c r="T573" s="5"/>
      <c r="U573" s="5"/>
      <c r="V573" s="9" t="str">
        <f>IFERROR(__xludf.DUMMYFUNCTION("""COMPUTED_VALUE"""),"https://drive.google.com/uc?id=12_JEv_6VP1HbKzcrpi4xMLVdBXLxwC7h")</f>
        <v>https://drive.google.com/uc?id=12_JEv_6VP1HbKzcrpi4xMLVdBXLxwC7h</v>
      </c>
      <c r="W573" s="5" t="str">
        <f>IFERROR(__xludf.DUMMYFUNCTION("""COMPUTED_VALUE"""),"NÃO")</f>
        <v>NÃO</v>
      </c>
      <c r="X573" s="5" t="str">
        <f>IFERROR(__xludf.DUMMYFUNCTION("""COMPUTED_VALUE"""),"NÃO")</f>
        <v>NÃO</v>
      </c>
    </row>
    <row r="574" ht="18.75" customHeight="1">
      <c r="A574" s="5">
        <f>IFERROR(__xludf.DUMMYFUNCTION("""COMPUTED_VALUE"""),7.0)</f>
        <v>7</v>
      </c>
      <c r="B574" s="5" t="str">
        <f>IFERROR(__xludf.DUMMYFUNCTION("""COMPUTED_VALUE"""),"TM100")</f>
        <v>TM100</v>
      </c>
      <c r="C574" s="5" t="str">
        <f>IFERROR(__xludf.DUMMYFUNCTION("""COMPUTED_VALUE"""),"ABRIGO METÁLICO PEQUENO PORTE")</f>
        <v>ABRIGO METÁLICO PEQUENO PORTE</v>
      </c>
      <c r="D574" s="5" t="str">
        <f>IFERROR(__xludf.DUMMYFUNCTION("""COMPUTED_VALUE"""),"COM SUPORTE")</f>
        <v>COM SUPORTE</v>
      </c>
      <c r="E574" s="5" t="str">
        <f>IFERROR(__xludf.DUMMYFUNCTION("""COMPUTED_VALUE"""),"SEM BAIA")</f>
        <v>SEM BAIA</v>
      </c>
      <c r="F574" s="5" t="str">
        <f>IFERROR(__xludf.DUMMYFUNCTION("""COMPUTED_VALUE"""),"NÃO")</f>
        <v>NÃO</v>
      </c>
      <c r="G574" s="5" t="str">
        <f>IFERROR(__xludf.DUMMYFUNCTION("""COMPUTED_VALUE"""),"NÃO")</f>
        <v>NÃO</v>
      </c>
      <c r="H574" s="5" t="str">
        <f>IFERROR(__xludf.DUMMYFUNCTION("""COMPUTED_VALUE"""),"PAVIMENTADA")</f>
        <v>PAVIMENTADA</v>
      </c>
      <c r="I574" s="6" t="str">
        <f>IFERROR(__xludf.DUMMYFUNCTION("""COMPUTED_VALUE"""),"-9.582557")</f>
        <v>-9.582557</v>
      </c>
      <c r="J574" s="6" t="str">
        <f>IFERROR(__xludf.DUMMYFUNCTION("""COMPUTED_VALUE"""),"-35.765786")</f>
        <v>-35.765786</v>
      </c>
      <c r="K574" s="5" t="str">
        <f>IFERROR(__xludf.DUMMYFUNCTION("""COMPUTED_VALUE"""),"AV. DURVAL DE GÓES MONTEIRO")</f>
        <v>AV. DURVAL DE GÓES MONTEIRO</v>
      </c>
      <c r="L574" s="5" t="str">
        <f>IFERROR(__xludf.DUMMYFUNCTION("""COMPUTED_VALUE"""),"ARTERIAL ")</f>
        <v>ARTERIAL </v>
      </c>
      <c r="M574" s="5" t="str">
        <f>IFERROR(__xludf.DUMMYFUNCTION("""COMPUTED_VALUE"""),"TABULEIRO DOS MARTINS")</f>
        <v>TABULEIRO DOS MARTINS</v>
      </c>
      <c r="N574" s="5" t="str">
        <f>IFERROR(__xludf.DUMMYFUNCTION("""COMPUTED_VALUE"""),"CENTRO - BAIRRO")</f>
        <v>CENTRO - BAIRRO</v>
      </c>
      <c r="O574" s="5" t="str">
        <f>IFERROR(__xludf.DUMMYFUNCTION("""COMPUTED_VALUE"""),"EM FRENTE À DMTT")</f>
        <v>EM FRENTE À DMTT</v>
      </c>
      <c r="P574" s="5" t="str">
        <f>IFERROR(__xludf.DUMMYFUNCTION("""COMPUTED_VALUE"""),"PRIORIDADE BAIXA")</f>
        <v>PRIORIDADE BAIXA</v>
      </c>
      <c r="Q574" s="5" t="str">
        <f>IFERROR(__xludf.DUMMYFUNCTION("""COMPUTED_VALUE"""),"READEQUAÇÃO DE CALÇADA COM ACESSIBILIDADE E PINTURA DE BAÍA NO ASFALTO.")</f>
        <v>READEQUAÇÃO DE CALÇADA COM ACESSIBILIDADE E PINTURA DE BAÍA NO ASFALTO.</v>
      </c>
      <c r="R574" s="5" t="str">
        <f>IFERROR(__xludf.DUMMYFUNCTION("""COMPUTED_VALUE"""),"SUBSTITUIR ABRIGO")</f>
        <v>SUBSTITUIR ABRIGO</v>
      </c>
      <c r="S574" s="5"/>
      <c r="T574" s="5"/>
      <c r="U574" s="5"/>
      <c r="V574" s="9" t="str">
        <f>IFERROR(__xludf.DUMMYFUNCTION("""COMPUTED_VALUE"""),"https://drive.google.com/uc?id=1Ry1Ou6OZBz1ah53aLVWnfge_fLFS-99h")</f>
        <v>https://drive.google.com/uc?id=1Ry1Ou6OZBz1ah53aLVWnfge_fLFS-99h</v>
      </c>
      <c r="W574" s="5" t="str">
        <f>IFERROR(__xludf.DUMMYFUNCTION("""COMPUTED_VALUE"""),"NÃO")</f>
        <v>NÃO</v>
      </c>
      <c r="X574" s="5" t="str">
        <f>IFERROR(__xludf.DUMMYFUNCTION("""COMPUTED_VALUE"""),"SIM")</f>
        <v>SIM</v>
      </c>
    </row>
    <row r="575" ht="18.0" customHeight="1">
      <c r="A575" s="5">
        <f>IFERROR(__xludf.DUMMYFUNCTION("""COMPUTED_VALUE"""),7.0)</f>
        <v>7</v>
      </c>
      <c r="B575" s="5" t="str">
        <f>IFERROR(__xludf.DUMMYFUNCTION("""COMPUTED_VALUE"""),"TM101")</f>
        <v>TM101</v>
      </c>
      <c r="C575" s="5" t="str">
        <f>IFERROR(__xludf.DUMMYFUNCTION("""COMPUTED_VALUE"""),"ABRIGO METÁLICO PEQUENO PORTE")</f>
        <v>ABRIGO METÁLICO PEQUENO PORTE</v>
      </c>
      <c r="D575" s="5" t="str">
        <f>IFERROR(__xludf.DUMMYFUNCTION("""COMPUTED_VALUE"""),"COM SUPORTE")</f>
        <v>COM SUPORTE</v>
      </c>
      <c r="E575" s="5" t="str">
        <f>IFERROR(__xludf.DUMMYFUNCTION("""COMPUTED_VALUE"""),"SEM BAIA")</f>
        <v>SEM BAIA</v>
      </c>
      <c r="F575" s="5" t="str">
        <f>IFERROR(__xludf.DUMMYFUNCTION("""COMPUTED_VALUE"""),"NÃO")</f>
        <v>NÃO</v>
      </c>
      <c r="G575" s="5" t="str">
        <f>IFERROR(__xludf.DUMMYFUNCTION("""COMPUTED_VALUE"""),"NÃO")</f>
        <v>NÃO</v>
      </c>
      <c r="H575" s="5" t="str">
        <f>IFERROR(__xludf.DUMMYFUNCTION("""COMPUTED_VALUE"""),"PAVIMENTADA")</f>
        <v>PAVIMENTADA</v>
      </c>
      <c r="I575" s="6" t="str">
        <f>IFERROR(__xludf.DUMMYFUNCTION("""COMPUTED_VALUE"""),"-9.580161
")</f>
        <v>-9.580161
</v>
      </c>
      <c r="J575" s="6" t="str">
        <f>IFERROR(__xludf.DUMMYFUNCTION("""COMPUTED_VALUE"""),"-35.767816")</f>
        <v>-35.767816</v>
      </c>
      <c r="K575" s="5" t="str">
        <f>IFERROR(__xludf.DUMMYFUNCTION("""COMPUTED_VALUE"""),"AV. DURVAL DE GÓES MONTEIRO")</f>
        <v>AV. DURVAL DE GÓES MONTEIRO</v>
      </c>
      <c r="L575" s="5" t="str">
        <f>IFERROR(__xludf.DUMMYFUNCTION("""COMPUTED_VALUE"""),"ARTERIAL ")</f>
        <v>ARTERIAL </v>
      </c>
      <c r="M575" s="5" t="str">
        <f>IFERROR(__xludf.DUMMYFUNCTION("""COMPUTED_VALUE"""),"TABULEIRO DOS MARTINS")</f>
        <v>TABULEIRO DOS MARTINS</v>
      </c>
      <c r="N575" s="5" t="str">
        <f>IFERROR(__xludf.DUMMYFUNCTION("""COMPUTED_VALUE"""),"BAIRRO - CENTRO")</f>
        <v>BAIRRO - CENTRO</v>
      </c>
      <c r="O575" s="5" t="str">
        <f>IFERROR(__xludf.DUMMYFUNCTION("""COMPUTED_VALUE"""),"AO LADO DO BANCO DO BRASIL")</f>
        <v>AO LADO DO BANCO DO BRASIL</v>
      </c>
      <c r="P575" s="5" t="str">
        <f>IFERROR(__xludf.DUMMYFUNCTION("""COMPUTED_VALUE"""),"PRIORIDADE BAIXA")</f>
        <v>PRIORIDADE BAIXA</v>
      </c>
      <c r="Q575" s="5" t="str">
        <f>IFERROR(__xludf.DUMMYFUNCTION("""COMPUTED_VALUE"""),"READEQUAÇÃO DE CALÇADA COM ACESSIBILIDADE E PINTURA DE BAÍA NO ASFALTO.")</f>
        <v>READEQUAÇÃO DE CALÇADA COM ACESSIBILIDADE E PINTURA DE BAÍA NO ASFALTO.</v>
      </c>
      <c r="R575" s="5" t="str">
        <f>IFERROR(__xludf.DUMMYFUNCTION("""COMPUTED_VALUE"""),"SUBSTITUIR ABRIGO")</f>
        <v>SUBSTITUIR ABRIGO</v>
      </c>
      <c r="S575" s="5"/>
      <c r="T575" s="5"/>
      <c r="U575" s="5"/>
      <c r="V575" s="9" t="str">
        <f>IFERROR(__xludf.DUMMYFUNCTION("""COMPUTED_VALUE"""),"https://drive.google.com/uc?id=1HuAC4wn4oQ5YxPd1aOcCxYmCPvvT7KpO")</f>
        <v>https://drive.google.com/uc?id=1HuAC4wn4oQ5YxPd1aOcCxYmCPvvT7KpO</v>
      </c>
      <c r="W575" s="5" t="str">
        <f>IFERROR(__xludf.DUMMYFUNCTION("""COMPUTED_VALUE"""),"NÃO")</f>
        <v>NÃO</v>
      </c>
      <c r="X575" s="5" t="str">
        <f>IFERROR(__xludf.DUMMYFUNCTION("""COMPUTED_VALUE"""),"NÃO")</f>
        <v>NÃO</v>
      </c>
    </row>
    <row r="576" ht="18.0" customHeight="1">
      <c r="A576" s="5">
        <f>IFERROR(__xludf.DUMMYFUNCTION("""COMPUTED_VALUE"""),7.0)</f>
        <v>7</v>
      </c>
      <c r="B576" s="5" t="str">
        <f>IFERROR(__xludf.DUMMYFUNCTION("""COMPUTED_VALUE"""),"TM102")</f>
        <v>TM102</v>
      </c>
      <c r="C576" s="5" t="str">
        <f>IFERROR(__xludf.DUMMYFUNCTION("""COMPUTED_VALUE"""),"ABRIGO METÁLICO PEQUENO PORTE")</f>
        <v>ABRIGO METÁLICO PEQUENO PORTE</v>
      </c>
      <c r="D576" s="5" t="str">
        <f>IFERROR(__xludf.DUMMYFUNCTION("""COMPUTED_VALUE"""),"SEM PLACA")</f>
        <v>SEM PLACA</v>
      </c>
      <c r="E576" s="5" t="str">
        <f>IFERROR(__xludf.DUMMYFUNCTION("""COMPUTED_VALUE"""),"SEM BAIA")</f>
        <v>SEM BAIA</v>
      </c>
      <c r="F576" s="5" t="str">
        <f>IFERROR(__xludf.DUMMYFUNCTION("""COMPUTED_VALUE"""),"NÃO")</f>
        <v>NÃO</v>
      </c>
      <c r="G576" s="5" t="str">
        <f>IFERROR(__xludf.DUMMYFUNCTION("""COMPUTED_VALUE"""),"NÃO")</f>
        <v>NÃO</v>
      </c>
      <c r="H576" s="5" t="str">
        <f>IFERROR(__xludf.DUMMYFUNCTION("""COMPUTED_VALUE"""),"PAVIMENTADA")</f>
        <v>PAVIMENTADA</v>
      </c>
      <c r="I576" s="6" t="str">
        <f>IFERROR(__xludf.DUMMYFUNCTION("""COMPUTED_VALUE"""),"-9.579895
")</f>
        <v>-9.579895
</v>
      </c>
      <c r="J576" s="6" t="str">
        <f>IFERROR(__xludf.DUMMYFUNCTION("""COMPUTED_VALUE"""),"-35.767765")</f>
        <v>-35.767765</v>
      </c>
      <c r="K576" s="5" t="str">
        <f>IFERROR(__xludf.DUMMYFUNCTION("""COMPUTED_VALUE"""),"AV. DURVAL DE GÓES MONTEIRO")</f>
        <v>AV. DURVAL DE GÓES MONTEIRO</v>
      </c>
      <c r="L576" s="5" t="str">
        <f>IFERROR(__xludf.DUMMYFUNCTION("""COMPUTED_VALUE"""),"ARTERIAL ")</f>
        <v>ARTERIAL </v>
      </c>
      <c r="M576" s="5" t="str">
        <f>IFERROR(__xludf.DUMMYFUNCTION("""COMPUTED_VALUE"""),"TABULEIRO DOS MARTINS")</f>
        <v>TABULEIRO DOS MARTINS</v>
      </c>
      <c r="N576" s="5" t="str">
        <f>IFERROR(__xludf.DUMMYFUNCTION("""COMPUTED_VALUE"""),"CENTRO - BAIRRO")</f>
        <v>CENTRO - BAIRRO</v>
      </c>
      <c r="O576" s="5"/>
      <c r="P576" s="5" t="str">
        <f>IFERROR(__xludf.DUMMYFUNCTION("""COMPUTED_VALUE"""),"PRIORIDADE BAIXA")</f>
        <v>PRIORIDADE BAIXA</v>
      </c>
      <c r="Q576" s="5" t="str">
        <f>IFERROR(__xludf.DUMMYFUNCTION("""COMPUTED_VALUE"""),"READEQUAÇÃO DE CALÇADA COM ACESSIBILIDADE E PINTURA DE BAÍA NO ASFALTO.")</f>
        <v>READEQUAÇÃO DE CALÇADA COM ACESSIBILIDADE E PINTURA DE BAÍA NO ASFALTO.</v>
      </c>
      <c r="R576" s="5" t="str">
        <f>IFERROR(__xludf.DUMMYFUNCTION("""COMPUTED_VALUE"""),"SUBSTITUIR ABRIGO")</f>
        <v>SUBSTITUIR ABRIGO</v>
      </c>
      <c r="S576" s="5"/>
      <c r="T576" s="5"/>
      <c r="U576" s="5"/>
      <c r="V576" s="9" t="str">
        <f>IFERROR(__xludf.DUMMYFUNCTION("""COMPUTED_VALUE"""),"https://drive.google.com/uc?id=1i2LuQr65t6Ulq08B8ArcTbfieGqFKXo0")</f>
        <v>https://drive.google.com/uc?id=1i2LuQr65t6Ulq08B8ArcTbfieGqFKXo0</v>
      </c>
      <c r="W576" s="5" t="str">
        <f>IFERROR(__xludf.DUMMYFUNCTION("""COMPUTED_VALUE"""),"NÃO")</f>
        <v>NÃO</v>
      </c>
      <c r="X576" s="5" t="str">
        <f>IFERROR(__xludf.DUMMYFUNCTION("""COMPUTED_VALUE"""),"NÃO")</f>
        <v>NÃO</v>
      </c>
    </row>
    <row r="577">
      <c r="A577" s="5">
        <f>IFERROR(__xludf.DUMMYFUNCTION("""COMPUTED_VALUE"""),7.0)</f>
        <v>7</v>
      </c>
      <c r="B577" s="5" t="str">
        <f>IFERROR(__xludf.DUMMYFUNCTION("""COMPUTED_VALUE"""),"TM103")</f>
        <v>TM103</v>
      </c>
      <c r="C577" s="5" t="str">
        <f>IFERROR(__xludf.DUMMYFUNCTION("""COMPUTED_VALUE"""),"ABRIGO METÁLICO MÉDIO PORTE")</f>
        <v>ABRIGO METÁLICO MÉDIO PORTE</v>
      </c>
      <c r="D577" s="5" t="str">
        <f>IFERROR(__xludf.DUMMYFUNCTION("""COMPUTED_VALUE"""),"COM SUPORTE")</f>
        <v>COM SUPORTE</v>
      </c>
      <c r="E577" s="5" t="str">
        <f>IFERROR(__xludf.DUMMYFUNCTION("""COMPUTED_VALUE"""),"SEM BAIA")</f>
        <v>SEM BAIA</v>
      </c>
      <c r="F577" s="5" t="str">
        <f>IFERROR(__xludf.DUMMYFUNCTION("""COMPUTED_VALUE"""),"NÃO")</f>
        <v>NÃO</v>
      </c>
      <c r="G577" s="5" t="str">
        <f>IFERROR(__xludf.DUMMYFUNCTION("""COMPUTED_VALUE"""),"NÃO")</f>
        <v>NÃO</v>
      </c>
      <c r="H577" s="5" t="str">
        <f>IFERROR(__xludf.DUMMYFUNCTION("""COMPUTED_VALUE"""),"PAVIMENTADA")</f>
        <v>PAVIMENTADA</v>
      </c>
      <c r="I577" s="6" t="str">
        <f>IFERROR(__xludf.DUMMYFUNCTION("""COMPUTED_VALUE"""),"-9.577772")</f>
        <v>-9.577772</v>
      </c>
      <c r="J577" s="6" t="str">
        <f>IFERROR(__xludf.DUMMYFUNCTION("""COMPUTED_VALUE"""),"-35.769621")</f>
        <v>-35.769621</v>
      </c>
      <c r="K577" s="5" t="str">
        <f>IFERROR(__xludf.DUMMYFUNCTION("""COMPUTED_VALUE"""),"AV. DURVAL DE GÓES MONTEIRO")</f>
        <v>AV. DURVAL DE GÓES MONTEIRO</v>
      </c>
      <c r="L577" s="5" t="str">
        <f>IFERROR(__xludf.DUMMYFUNCTION("""COMPUTED_VALUE"""),"ARTERIAL ")</f>
        <v>ARTERIAL </v>
      </c>
      <c r="M577" s="5" t="str">
        <f>IFERROR(__xludf.DUMMYFUNCTION("""COMPUTED_VALUE"""),"TABULEIRO DOS MARTINS")</f>
        <v>TABULEIRO DOS MARTINS</v>
      </c>
      <c r="N577" s="5" t="str">
        <f>IFERROR(__xludf.DUMMYFUNCTION("""COMPUTED_VALUE"""),"BAIRRO - CENTRO")</f>
        <v>BAIRRO - CENTRO</v>
      </c>
      <c r="O577" s="5" t="str">
        <f>IFERROR(__xludf.DUMMYFUNCTION("""COMPUTED_VALUE"""),"AO LADO DO DINÂMICO JÚNIOR")</f>
        <v>AO LADO DO DINÂMICO JÚNIOR</v>
      </c>
      <c r="P577" s="5" t="str">
        <f>IFERROR(__xludf.DUMMYFUNCTION("""COMPUTED_VALUE"""),"PRIORIDADE BAIXA")</f>
        <v>PRIORIDADE BAIXA</v>
      </c>
      <c r="Q577" s="5" t="str">
        <f>IFERROR(__xludf.DUMMYFUNCTION("""COMPUTED_VALUE"""),"READEQUAÇÃO DE CALÇADA COM ACESSIBILIDADE E PINTURA DE BAÍA NO ASFALTO.")</f>
        <v>READEQUAÇÃO DE CALÇADA COM ACESSIBILIDADE E PINTURA DE BAÍA NO ASFALTO.</v>
      </c>
      <c r="R577" s="5" t="str">
        <f>IFERROR(__xludf.DUMMYFUNCTION("""COMPUTED_VALUE"""),"SUBSTITUIR ABRIGO")</f>
        <v>SUBSTITUIR ABRIGO</v>
      </c>
      <c r="S577" s="5"/>
      <c r="T577" s="5"/>
      <c r="U577" s="5"/>
      <c r="V577" s="9" t="str">
        <f>IFERROR(__xludf.DUMMYFUNCTION("""COMPUTED_VALUE"""),"https://drive.google.com/uc?id=1m0tVigt2yKhWBRDxa_JyyWAGVX_01NyI")</f>
        <v>https://drive.google.com/uc?id=1m0tVigt2yKhWBRDxa_JyyWAGVX_01NyI</v>
      </c>
      <c r="W577" s="5" t="str">
        <f>IFERROR(__xludf.DUMMYFUNCTION("""COMPUTED_VALUE"""),"NÃO")</f>
        <v>NÃO</v>
      </c>
      <c r="X577" s="5" t="str">
        <f>IFERROR(__xludf.DUMMYFUNCTION("""COMPUTED_VALUE"""),"NÃO")</f>
        <v>NÃO</v>
      </c>
    </row>
    <row r="578" ht="14.25" customHeight="1">
      <c r="A578" s="5">
        <f>IFERROR(__xludf.DUMMYFUNCTION("""COMPUTED_VALUE"""),7.0)</f>
        <v>7</v>
      </c>
      <c r="B578" s="5" t="str">
        <f>IFERROR(__xludf.DUMMYFUNCTION("""COMPUTED_VALUE"""),"TM104")</f>
        <v>TM104</v>
      </c>
      <c r="C578" s="5" t="str">
        <f>IFERROR(__xludf.DUMMYFUNCTION("""COMPUTED_VALUE"""),"ABRIGO METÁLICO MÉDIO PORTE")</f>
        <v>ABRIGO METÁLICO MÉDIO PORTE</v>
      </c>
      <c r="D578" s="5" t="str">
        <f>IFERROR(__xludf.DUMMYFUNCTION("""COMPUTED_VALUE"""),"SEM PLACA")</f>
        <v>SEM PLACA</v>
      </c>
      <c r="E578" s="5" t="str">
        <f>IFERROR(__xludf.DUMMYFUNCTION("""COMPUTED_VALUE"""),"SEM BAIA")</f>
        <v>SEM BAIA</v>
      </c>
      <c r="F578" s="5" t="str">
        <f>IFERROR(__xludf.DUMMYFUNCTION("""COMPUTED_VALUE"""),"NÃO")</f>
        <v>NÃO</v>
      </c>
      <c r="G578" s="5" t="str">
        <f>IFERROR(__xludf.DUMMYFUNCTION("""COMPUTED_VALUE"""),"NÃO")</f>
        <v>NÃO</v>
      </c>
      <c r="H578" s="5" t="str">
        <f>IFERROR(__xludf.DUMMYFUNCTION("""COMPUTED_VALUE"""),"PAVIMENTADA")</f>
        <v>PAVIMENTADA</v>
      </c>
      <c r="I578" s="6" t="str">
        <f>IFERROR(__xludf.DUMMYFUNCTION("""COMPUTED_VALUE"""),"-9.578100
")</f>
        <v>-9.578100
</v>
      </c>
      <c r="J578" s="6" t="str">
        <f>IFERROR(__xludf.DUMMYFUNCTION("""COMPUTED_VALUE"""),"-35.769100")</f>
        <v>-35.769100</v>
      </c>
      <c r="K578" s="5" t="str">
        <f>IFERROR(__xludf.DUMMYFUNCTION("""COMPUTED_VALUE"""),"AV. DURVAL DE GÓES MONTEIRO")</f>
        <v>AV. DURVAL DE GÓES MONTEIRO</v>
      </c>
      <c r="L578" s="5" t="str">
        <f>IFERROR(__xludf.DUMMYFUNCTION("""COMPUTED_VALUE"""),"ARTERIAL ")</f>
        <v>ARTERIAL </v>
      </c>
      <c r="M578" s="5" t="str">
        <f>IFERROR(__xludf.DUMMYFUNCTION("""COMPUTED_VALUE"""),"TABULEIRO DOS MARTINS")</f>
        <v>TABULEIRO DOS MARTINS</v>
      </c>
      <c r="N578" s="5" t="str">
        <f>IFERROR(__xludf.DUMMYFUNCTION("""COMPUTED_VALUE"""),"CENTRO - BAIRRO")</f>
        <v>CENTRO - BAIRRO</v>
      </c>
      <c r="O578" s="5" t="str">
        <f>IFERROR(__xludf.DUMMYFUNCTION("""COMPUTED_VALUE"""),"EM FRENTE AO EJÚNIOR")</f>
        <v>EM FRENTE AO EJÚNIOR</v>
      </c>
      <c r="P578" s="5" t="str">
        <f>IFERROR(__xludf.DUMMYFUNCTION("""COMPUTED_VALUE"""),"PRIORIDADE BAIXA")</f>
        <v>PRIORIDADE BAIXA</v>
      </c>
      <c r="Q578" s="5" t="str">
        <f>IFERROR(__xludf.DUMMYFUNCTION("""COMPUTED_VALUE"""),"READEQUAÇÃO DE CALÇADA COM ACESSIBILIDADE E PINTURA DE BAÍA NO ASFALTO.")</f>
        <v>READEQUAÇÃO DE CALÇADA COM ACESSIBILIDADE E PINTURA DE BAÍA NO ASFALTO.</v>
      </c>
      <c r="R578" s="5" t="str">
        <f>IFERROR(__xludf.DUMMYFUNCTION("""COMPUTED_VALUE"""),"SUBSTITUIR ABRIGO")</f>
        <v>SUBSTITUIR ABRIGO</v>
      </c>
      <c r="S578" s="5"/>
      <c r="T578" s="5"/>
      <c r="U578" s="5"/>
      <c r="V578" s="9" t="str">
        <f>IFERROR(__xludf.DUMMYFUNCTION("""COMPUTED_VALUE"""),"https://drive.google.com/uc?id=1ysZFgjQPJSE6z_6xQwSw8OokWTMuVXgs
")</f>
        <v>https://drive.google.com/uc?id=1ysZFgjQPJSE6z_6xQwSw8OokWTMuVXgs
</v>
      </c>
      <c r="W578" s="5" t="str">
        <f>IFERROR(__xludf.DUMMYFUNCTION("""COMPUTED_VALUE"""),"SIM")</f>
        <v>SIM</v>
      </c>
      <c r="X578" s="5" t="str">
        <f>IFERROR(__xludf.DUMMYFUNCTION("""COMPUTED_VALUE"""),"NÃO")</f>
        <v>NÃO</v>
      </c>
    </row>
    <row r="579" ht="20.25" customHeight="1">
      <c r="A579" s="5">
        <f>IFERROR(__xludf.DUMMYFUNCTION("""COMPUTED_VALUE"""),7.0)</f>
        <v>7</v>
      </c>
      <c r="B579" s="5" t="str">
        <f>IFERROR(__xludf.DUMMYFUNCTION("""COMPUTED_VALUE"""),"TM105")</f>
        <v>TM105</v>
      </c>
      <c r="C579" s="5" t="str">
        <f>IFERROR(__xludf.DUMMYFUNCTION("""COMPUTED_VALUE"""),"ABRIGO METÁLICO PEQUENO PORTE")</f>
        <v>ABRIGO METÁLICO PEQUENO PORTE</v>
      </c>
      <c r="D579" s="5" t="str">
        <f>IFERROR(__xludf.DUMMYFUNCTION("""COMPUTED_VALUE"""),"COM SUPORTE")</f>
        <v>COM SUPORTE</v>
      </c>
      <c r="E579" s="5" t="str">
        <f>IFERROR(__xludf.DUMMYFUNCTION("""COMPUTED_VALUE"""),"SEM BAIA")</f>
        <v>SEM BAIA</v>
      </c>
      <c r="F579" s="5" t="str">
        <f>IFERROR(__xludf.DUMMYFUNCTION("""COMPUTED_VALUE"""),"NÃO")</f>
        <v>NÃO</v>
      </c>
      <c r="G579" s="5" t="str">
        <f>IFERROR(__xludf.DUMMYFUNCTION("""COMPUTED_VALUE"""),"NÃO")</f>
        <v>NÃO</v>
      </c>
      <c r="H579" s="5" t="str">
        <f>IFERROR(__xludf.DUMMYFUNCTION("""COMPUTED_VALUE"""),"PAVIMENTADA")</f>
        <v>PAVIMENTADA</v>
      </c>
      <c r="I579" s="6" t="str">
        <f>IFERROR(__xludf.DUMMYFUNCTION("""COMPUTED_VALUE"""),"-9.574483
")</f>
        <v>-9.574483
</v>
      </c>
      <c r="J579" s="6" t="str">
        <f>IFERROR(__xludf.DUMMYFUNCTION("""COMPUTED_VALUE"""),"-35.771807")</f>
        <v>-35.771807</v>
      </c>
      <c r="K579" s="5" t="str">
        <f>IFERROR(__xludf.DUMMYFUNCTION("""COMPUTED_VALUE"""),"AV. DURVAL DE GÓES MONTEIRO")</f>
        <v>AV. DURVAL DE GÓES MONTEIRO</v>
      </c>
      <c r="L579" s="5" t="str">
        <f>IFERROR(__xludf.DUMMYFUNCTION("""COMPUTED_VALUE"""),"ARTERIAL ")</f>
        <v>ARTERIAL </v>
      </c>
      <c r="M579" s="5" t="str">
        <f>IFERROR(__xludf.DUMMYFUNCTION("""COMPUTED_VALUE"""),"TABULEIRO DOS MARTINS")</f>
        <v>TABULEIRO DOS MARTINS</v>
      </c>
      <c r="N579" s="5" t="str">
        <f>IFERROR(__xludf.DUMMYFUNCTION("""COMPUTED_VALUE"""),"CENTRO - BAIRRO")</f>
        <v>CENTRO - BAIRRO</v>
      </c>
      <c r="O579" s="5" t="str">
        <f>IFERROR(__xludf.DUMMYFUNCTION("""COMPUTED_VALUE"""),"EM FRENTE AO GILENO AUTO PEÇAS")</f>
        <v>EM FRENTE AO GILENO AUTO PEÇAS</v>
      </c>
      <c r="P579" s="5" t="str">
        <f>IFERROR(__xludf.DUMMYFUNCTION("""COMPUTED_VALUE"""),"PRIORIDADE BAIXA")</f>
        <v>PRIORIDADE BAIXA</v>
      </c>
      <c r="Q579" s="5" t="str">
        <f>IFERROR(__xludf.DUMMYFUNCTION("""COMPUTED_VALUE"""),"READEQUAÇÃO DE CALÇADA COM ACESSIBILIDADE E PINTURA DE BAÍA NO ASFALTO.")</f>
        <v>READEQUAÇÃO DE CALÇADA COM ACESSIBILIDADE E PINTURA DE BAÍA NO ASFALTO.</v>
      </c>
      <c r="R579" s="5" t="str">
        <f>IFERROR(__xludf.DUMMYFUNCTION("""COMPUTED_VALUE"""),"SUBSTITUIR ABRIGO")</f>
        <v>SUBSTITUIR ABRIGO</v>
      </c>
      <c r="S579" s="5"/>
      <c r="T579" s="5"/>
      <c r="U579" s="5"/>
      <c r="V579" s="9" t="str">
        <f>IFERROR(__xludf.DUMMYFUNCTION("""COMPUTED_VALUE"""),"https://drive.google.com/uc?id=1ZbmL7k7EjJXver0x-_5QK_kI3PeH6W-S")</f>
        <v>https://drive.google.com/uc?id=1ZbmL7k7EjJXver0x-_5QK_kI3PeH6W-S</v>
      </c>
      <c r="W579" s="5" t="str">
        <f>IFERROR(__xludf.DUMMYFUNCTION("""COMPUTED_VALUE"""),"NÃO")</f>
        <v>NÃO</v>
      </c>
      <c r="X579" s="5" t="str">
        <f>IFERROR(__xludf.DUMMYFUNCTION("""COMPUTED_VALUE"""),"SIM")</f>
        <v>SIM</v>
      </c>
    </row>
    <row r="580">
      <c r="A580" s="5">
        <f>IFERROR(__xludf.DUMMYFUNCTION("""COMPUTED_VALUE"""),7.0)</f>
        <v>7</v>
      </c>
      <c r="B580" s="5" t="str">
        <f>IFERROR(__xludf.DUMMYFUNCTION("""COMPUTED_VALUE"""),"TM106")</f>
        <v>TM106</v>
      </c>
      <c r="C580" s="5" t="str">
        <f>IFERROR(__xludf.DUMMYFUNCTION("""COMPUTED_VALUE"""),"ABRIGO PERSONALIZADO ")</f>
        <v>ABRIGO PERSONALIZADO </v>
      </c>
      <c r="D580" s="5" t="str">
        <f>IFERROR(__xludf.DUMMYFUNCTION("""COMPUTED_VALUE"""),"SEM PLACA")</f>
        <v>SEM PLACA</v>
      </c>
      <c r="E580" s="5" t="str">
        <f>IFERROR(__xludf.DUMMYFUNCTION("""COMPUTED_VALUE"""),"SEM BAIA")</f>
        <v>SEM BAIA</v>
      </c>
      <c r="F580" s="5" t="str">
        <f>IFERROR(__xludf.DUMMYFUNCTION("""COMPUTED_VALUE"""),"NÃO")</f>
        <v>NÃO</v>
      </c>
      <c r="G580" s="5" t="str">
        <f>IFERROR(__xludf.DUMMYFUNCTION("""COMPUTED_VALUE"""),"NÃO")</f>
        <v>NÃO</v>
      </c>
      <c r="H580" s="5" t="str">
        <f>IFERROR(__xludf.DUMMYFUNCTION("""COMPUTED_VALUE"""),"PAVIMENTADA")</f>
        <v>PAVIMENTADA</v>
      </c>
      <c r="I580" s="6" t="str">
        <f>IFERROR(__xludf.DUMMYFUNCTION("""COMPUTED_VALUE"""),"-9.573117")</f>
        <v>-9.573117</v>
      </c>
      <c r="J580" s="6" t="str">
        <f>IFERROR(__xludf.DUMMYFUNCTION("""COMPUTED_VALUE"""),"-35.773114")</f>
        <v>-35.773114</v>
      </c>
      <c r="K580" s="5" t="str">
        <f>IFERROR(__xludf.DUMMYFUNCTION("""COMPUTED_VALUE"""),"AV. DURVAL DE GÓES MONTEIRO")</f>
        <v>AV. DURVAL DE GÓES MONTEIRO</v>
      </c>
      <c r="L580" s="5" t="str">
        <f>IFERROR(__xludf.DUMMYFUNCTION("""COMPUTED_VALUE"""),"ARTERIAL ")</f>
        <v>ARTERIAL </v>
      </c>
      <c r="M580" s="5" t="str">
        <f>IFERROR(__xludf.DUMMYFUNCTION("""COMPUTED_VALUE"""),"TABULEIRO DOS MARTINS")</f>
        <v>TABULEIRO DOS MARTINS</v>
      </c>
      <c r="N580" s="5" t="str">
        <f>IFERROR(__xludf.DUMMYFUNCTION("""COMPUTED_VALUE"""),"BAIRRO - CENTRO")</f>
        <v>BAIRRO - CENTRO</v>
      </c>
      <c r="O580" s="5" t="str">
        <f>IFERROR(__xludf.DUMMYFUNCTION("""COMPUTED_VALUE"""),"EM FRENTE A UPA TABULEIRO")</f>
        <v>EM FRENTE A UPA TABULEIRO</v>
      </c>
      <c r="P580" s="5" t="str">
        <f>IFERROR(__xludf.DUMMYFUNCTION("""COMPUTED_VALUE"""),"PRIORIDADE BAIXA")</f>
        <v>PRIORIDADE BAIXA</v>
      </c>
      <c r="Q580" s="5" t="str">
        <f>IFERROR(__xludf.DUMMYFUNCTION("""COMPUTED_VALUE"""),"READEQUAÇÃO DE CALÇADA COM ACESSIBILIDADE E PINTURA DE BAÍA NO ASFALTO.")</f>
        <v>READEQUAÇÃO DE CALÇADA COM ACESSIBILIDADE E PINTURA DE BAÍA NO ASFALTO.</v>
      </c>
      <c r="R580" s="5" t="str">
        <f>IFERROR(__xludf.DUMMYFUNCTION("""COMPUTED_VALUE"""),"SUBSTITUIR ABRIGO")</f>
        <v>SUBSTITUIR ABRIGO</v>
      </c>
      <c r="S580" s="5"/>
      <c r="T580" s="5"/>
      <c r="U580" s="5"/>
      <c r="V580" s="9" t="str">
        <f>IFERROR(__xludf.DUMMYFUNCTION("""COMPUTED_VALUE"""),"https://drive.google.com/uc?id=1W76-7UP7V7Be_FnYVOHAV4gl9ufdKxgv")</f>
        <v>https://drive.google.com/uc?id=1W76-7UP7V7Be_FnYVOHAV4gl9ufdKxgv</v>
      </c>
      <c r="W580" s="5" t="str">
        <f>IFERROR(__xludf.DUMMYFUNCTION("""COMPUTED_VALUE"""),"NÃO")</f>
        <v>NÃO</v>
      </c>
      <c r="X580" s="5" t="str">
        <f>IFERROR(__xludf.DUMMYFUNCTION("""COMPUTED_VALUE"""),"NÃO")</f>
        <v>NÃO</v>
      </c>
    </row>
    <row r="581" ht="20.25" customHeight="1">
      <c r="A581" s="5">
        <f>IFERROR(__xludf.DUMMYFUNCTION("""COMPUTED_VALUE"""),7.0)</f>
        <v>7</v>
      </c>
      <c r="B581" s="5" t="str">
        <f>IFERROR(__xludf.DUMMYFUNCTION("""COMPUTED_VALUE"""),"TM107")</f>
        <v>TM107</v>
      </c>
      <c r="C581" s="5" t="str">
        <f>IFERROR(__xludf.DUMMYFUNCTION("""COMPUTED_VALUE"""),"ABRIGO METÁLICO NOVO PEQUENO PORTE")</f>
        <v>ABRIGO METÁLICO NOVO PEQUENO PORTE</v>
      </c>
      <c r="D581" s="5" t="str">
        <f>IFERROR(__xludf.DUMMYFUNCTION("""COMPUTED_VALUE"""),"SEM PLACA")</f>
        <v>SEM PLACA</v>
      </c>
      <c r="E581" s="5" t="str">
        <f>IFERROR(__xludf.DUMMYFUNCTION("""COMPUTED_VALUE"""),"SEM BAIA")</f>
        <v>SEM BAIA</v>
      </c>
      <c r="F581" s="5" t="str">
        <f>IFERROR(__xludf.DUMMYFUNCTION("""COMPUTED_VALUE"""),"NÃO")</f>
        <v>NÃO</v>
      </c>
      <c r="G581" s="5" t="str">
        <f>IFERROR(__xludf.DUMMYFUNCTION("""COMPUTED_VALUE"""),"NÃO")</f>
        <v>NÃO</v>
      </c>
      <c r="H581" s="5" t="str">
        <f>IFERROR(__xludf.DUMMYFUNCTION("""COMPUTED_VALUE"""),"PAVIMENTADA")</f>
        <v>PAVIMENTADA</v>
      </c>
      <c r="I581" s="6" t="str">
        <f>IFERROR(__xludf.DUMMYFUNCTION("""COMPUTED_VALUE"""),"-9.571148
")</f>
        <v>-9.571148
</v>
      </c>
      <c r="J581" s="6" t="str">
        <f>IFERROR(__xludf.DUMMYFUNCTION("""COMPUTED_VALUE"""),"-35.774708")</f>
        <v>-35.774708</v>
      </c>
      <c r="K581" s="5" t="str">
        <f>IFERROR(__xludf.DUMMYFUNCTION("""COMPUTED_VALUE"""),"AV. DURVAL DE GÓES MONTEIRO")</f>
        <v>AV. DURVAL DE GÓES MONTEIRO</v>
      </c>
      <c r="L581" s="5" t="str">
        <f>IFERROR(__xludf.DUMMYFUNCTION("""COMPUTED_VALUE"""),"ARTERIAL ")</f>
        <v>ARTERIAL </v>
      </c>
      <c r="M581" s="5" t="str">
        <f>IFERROR(__xludf.DUMMYFUNCTION("""COMPUTED_VALUE"""),"TABULEIRO DOS MARTINS")</f>
        <v>TABULEIRO DOS MARTINS</v>
      </c>
      <c r="N581" s="5" t="str">
        <f>IFERROR(__xludf.DUMMYFUNCTION("""COMPUTED_VALUE"""),"BAIRRO - CENTRO")</f>
        <v>BAIRRO - CENTRO</v>
      </c>
      <c r="O581" s="5"/>
      <c r="P581" s="5" t="str">
        <f>IFERROR(__xludf.DUMMYFUNCTION("""COMPUTED_VALUE"""),"PRIORIDADE BAIXA")</f>
        <v>PRIORIDADE BAIXA</v>
      </c>
      <c r="Q581" s="5"/>
      <c r="R581" s="5" t="str">
        <f>IFERROR(__xludf.DUMMYFUNCTION("""COMPUTED_VALUE"""),"SUBSTITUIR ABRIGO")</f>
        <v>SUBSTITUIR ABRIGO</v>
      </c>
      <c r="S581" s="5"/>
      <c r="T581" s="5"/>
      <c r="U581" s="5"/>
      <c r="V581" s="9" t="str">
        <f>IFERROR(__xludf.DUMMYFUNCTION("""COMPUTED_VALUE"""),"https://drive.google.com/uc?id=12zO9S_U74-1tBaPc1C-EzQRX1VB7blpP")</f>
        <v>https://drive.google.com/uc?id=12zO9S_U74-1tBaPc1C-EzQRX1VB7blpP</v>
      </c>
      <c r="W581" s="5" t="str">
        <f>IFERROR(__xludf.DUMMYFUNCTION("""COMPUTED_VALUE"""),"NÃO")</f>
        <v>NÃO</v>
      </c>
      <c r="X581" s="5" t="str">
        <f>IFERROR(__xludf.DUMMYFUNCTION("""COMPUTED_VALUE"""),"SIM")</f>
        <v>SIM</v>
      </c>
    </row>
    <row r="582" ht="16.5" customHeight="1">
      <c r="A582" s="5">
        <f>IFERROR(__xludf.DUMMYFUNCTION("""COMPUTED_VALUE"""),7.0)</f>
        <v>7</v>
      </c>
      <c r="B582" s="5" t="str">
        <f>IFERROR(__xludf.DUMMYFUNCTION("""COMPUTED_VALUE"""),"TM108")</f>
        <v>TM108</v>
      </c>
      <c r="C582" s="5" t="str">
        <f>IFERROR(__xludf.DUMMYFUNCTION("""COMPUTED_VALUE"""),"ABRIGO METÁLICO NOVO PEQUENO PORTE")</f>
        <v>ABRIGO METÁLICO NOVO PEQUENO PORTE</v>
      </c>
      <c r="D582" s="5" t="str">
        <f>IFERROR(__xludf.DUMMYFUNCTION("""COMPUTED_VALUE"""),"SEM PLACA")</f>
        <v>SEM PLACA</v>
      </c>
      <c r="E582" s="5" t="str">
        <f>IFERROR(__xludf.DUMMYFUNCTION("""COMPUTED_VALUE"""),"SEM BAIA")</f>
        <v>SEM BAIA</v>
      </c>
      <c r="F582" s="5" t="str">
        <f>IFERROR(__xludf.DUMMYFUNCTION("""COMPUTED_VALUE"""),"NÃO")</f>
        <v>NÃO</v>
      </c>
      <c r="G582" s="5" t="str">
        <f>IFERROR(__xludf.DUMMYFUNCTION("""COMPUTED_VALUE"""),"NÃO")</f>
        <v>NÃO</v>
      </c>
      <c r="H582" s="5" t="str">
        <f>IFERROR(__xludf.DUMMYFUNCTION("""COMPUTED_VALUE"""),"PAVIMENTADA")</f>
        <v>PAVIMENTADA</v>
      </c>
      <c r="I582" s="6" t="str">
        <f>IFERROR(__xludf.DUMMYFUNCTION("""COMPUTED_VALUE"""),"-9.570643
")</f>
        <v>-9.570643
</v>
      </c>
      <c r="J582" s="6" t="str">
        <f>IFERROR(__xludf.DUMMYFUNCTION("""COMPUTED_VALUE"""),"-35.774489")</f>
        <v>-35.774489</v>
      </c>
      <c r="K582" s="5" t="str">
        <f>IFERROR(__xludf.DUMMYFUNCTION("""COMPUTED_VALUE"""),"AV. DURVAL DE GÓES MONTEIRO")</f>
        <v>AV. DURVAL DE GÓES MONTEIRO</v>
      </c>
      <c r="L582" s="5" t="str">
        <f>IFERROR(__xludf.DUMMYFUNCTION("""COMPUTED_VALUE"""),"ARTERIAL ")</f>
        <v>ARTERIAL </v>
      </c>
      <c r="M582" s="5" t="str">
        <f>IFERROR(__xludf.DUMMYFUNCTION("""COMPUTED_VALUE"""),"TABULEIRO DOS MARTINS")</f>
        <v>TABULEIRO DOS MARTINS</v>
      </c>
      <c r="N582" s="5" t="str">
        <f>IFERROR(__xludf.DUMMYFUNCTION("""COMPUTED_VALUE"""),"CENTRO - BAIRRO")</f>
        <v>CENTRO - BAIRRO</v>
      </c>
      <c r="O582" s="5" t="str">
        <f>IFERROR(__xludf.DUMMYFUNCTION("""COMPUTED_VALUE"""),"EM FRENTE AO ASSAÍ")</f>
        <v>EM FRENTE AO ASSAÍ</v>
      </c>
      <c r="P582" s="5" t="str">
        <f>IFERROR(__xludf.DUMMYFUNCTION("""COMPUTED_VALUE"""),"PRIORIDADE BAIXA")</f>
        <v>PRIORIDADE BAIXA</v>
      </c>
      <c r="Q582" s="5"/>
      <c r="R582" s="5" t="str">
        <f>IFERROR(__xludf.DUMMYFUNCTION("""COMPUTED_VALUE"""),"SUBSTITUIR ABRIGO")</f>
        <v>SUBSTITUIR ABRIGO</v>
      </c>
      <c r="S582" s="5"/>
      <c r="T582" s="5"/>
      <c r="U582" s="5"/>
      <c r="V582" s="9" t="str">
        <f>IFERROR(__xludf.DUMMYFUNCTION("""COMPUTED_VALUE"""),"https://drive.google.com/uc?id=1TRSDH-46HV51eWSRgQLN63_MOp4iQvrn")</f>
        <v>https://drive.google.com/uc?id=1TRSDH-46HV51eWSRgQLN63_MOp4iQvrn</v>
      </c>
      <c r="W582" s="5" t="str">
        <f>IFERROR(__xludf.DUMMYFUNCTION("""COMPUTED_VALUE"""),"NÃO")</f>
        <v>NÃO</v>
      </c>
      <c r="X582" s="5" t="str">
        <f>IFERROR(__xludf.DUMMYFUNCTION("""COMPUTED_VALUE"""),"SIM")</f>
        <v>SIM</v>
      </c>
    </row>
    <row r="583">
      <c r="A583" s="5">
        <f>IFERROR(__xludf.DUMMYFUNCTION("""COMPUTED_VALUE"""),7.0)</f>
        <v>7</v>
      </c>
      <c r="B583" s="5" t="str">
        <f>IFERROR(__xludf.DUMMYFUNCTION("""COMPUTED_VALUE"""),"TM109")</f>
        <v>TM109</v>
      </c>
      <c r="C583" s="5" t="str">
        <f>IFERROR(__xludf.DUMMYFUNCTION("""COMPUTED_VALUE"""),"ABRIGO METÁLICO NOVO PEQUENO PORTE")</f>
        <v>ABRIGO METÁLICO NOVO PEQUENO PORTE</v>
      </c>
      <c r="D583" s="5" t="str">
        <f>IFERROR(__xludf.DUMMYFUNCTION("""COMPUTED_VALUE"""),"SEM PLACA")</f>
        <v>SEM PLACA</v>
      </c>
      <c r="E583" s="5" t="str">
        <f>IFERROR(__xludf.DUMMYFUNCTION("""COMPUTED_VALUE"""),"SEM BAIA")</f>
        <v>SEM BAIA</v>
      </c>
      <c r="F583" s="5" t="str">
        <f>IFERROR(__xludf.DUMMYFUNCTION("""COMPUTED_VALUE"""),"NÃO")</f>
        <v>NÃO</v>
      </c>
      <c r="G583" s="5" t="str">
        <f>IFERROR(__xludf.DUMMYFUNCTION("""COMPUTED_VALUE"""),"NÃO")</f>
        <v>NÃO</v>
      </c>
      <c r="H583" s="5" t="str">
        <f>IFERROR(__xludf.DUMMYFUNCTION("""COMPUTED_VALUE"""),"PAVIMENTADA")</f>
        <v>PAVIMENTADA</v>
      </c>
      <c r="I583" s="6" t="str">
        <f>IFERROR(__xludf.DUMMYFUNCTION("""COMPUTED_VALUE"""),"-9.567273")</f>
        <v>-9.567273</v>
      </c>
      <c r="J583" s="6" t="str">
        <f>IFERROR(__xludf.DUMMYFUNCTION("""COMPUTED_VALUE"""),"-35.776447")</f>
        <v>-35.776447</v>
      </c>
      <c r="K583" s="5" t="str">
        <f>IFERROR(__xludf.DUMMYFUNCTION("""COMPUTED_VALUE"""),"AV. DURVAL DE GÓES MONTEIRO")</f>
        <v>AV. DURVAL DE GÓES MONTEIRO</v>
      </c>
      <c r="L583" s="5" t="str">
        <f>IFERROR(__xludf.DUMMYFUNCTION("""COMPUTED_VALUE"""),"ARTERIAL ")</f>
        <v>ARTERIAL </v>
      </c>
      <c r="M583" s="5" t="str">
        <f>IFERROR(__xludf.DUMMYFUNCTION("""COMPUTED_VALUE"""),"TABULEIRO DOS MARTINS")</f>
        <v>TABULEIRO DOS MARTINS</v>
      </c>
      <c r="N583" s="5" t="str">
        <f>IFERROR(__xludf.DUMMYFUNCTION("""COMPUTED_VALUE"""),"CENTRO - BAIRRO")</f>
        <v>CENTRO - BAIRRO</v>
      </c>
      <c r="O583" s="5" t="str">
        <f>IFERROR(__xludf.DUMMYFUNCTION("""COMPUTED_VALUE"""),"EM FRENTE AO ATACADÃO")</f>
        <v>EM FRENTE AO ATACADÃO</v>
      </c>
      <c r="P583" s="5" t="str">
        <f>IFERROR(__xludf.DUMMYFUNCTION("""COMPUTED_VALUE"""),"PRIORIDADE BAIXA")</f>
        <v>PRIORIDADE BAIXA</v>
      </c>
      <c r="Q583" s="5"/>
      <c r="R583" s="5" t="str">
        <f>IFERROR(__xludf.DUMMYFUNCTION("""COMPUTED_VALUE"""),"SUBSTITUIR ABRIGO")</f>
        <v>SUBSTITUIR ABRIGO</v>
      </c>
      <c r="S583" s="5"/>
      <c r="T583" s="5"/>
      <c r="U583" s="5"/>
      <c r="V583" s="9" t="str">
        <f>IFERROR(__xludf.DUMMYFUNCTION("""COMPUTED_VALUE"""),"https://drive.google.com/uc?id=1wctQ2x2NZgRBr_Mn1bdfmXGpS0hPR7Da")</f>
        <v>https://drive.google.com/uc?id=1wctQ2x2NZgRBr_Mn1bdfmXGpS0hPR7Da</v>
      </c>
      <c r="W583" s="5" t="str">
        <f>IFERROR(__xludf.DUMMYFUNCTION("""COMPUTED_VALUE"""),"SIM")</f>
        <v>SIM</v>
      </c>
      <c r="X583" s="5" t="str">
        <f>IFERROR(__xludf.DUMMYFUNCTION("""COMPUTED_VALUE"""),"SIM")</f>
        <v>SIM</v>
      </c>
    </row>
    <row r="584">
      <c r="A584" s="5">
        <f>IFERROR(__xludf.DUMMYFUNCTION("""COMPUTED_VALUE"""),7.0)</f>
        <v>7</v>
      </c>
      <c r="B584" s="5" t="str">
        <f>IFERROR(__xludf.DUMMYFUNCTION("""COMPUTED_VALUE"""),"TM110")</f>
        <v>TM110</v>
      </c>
      <c r="C584" s="5" t="str">
        <f>IFERROR(__xludf.DUMMYFUNCTION("""COMPUTED_VALUE"""),"ABRIGO METÁLICO NOVO PEQUENO PORTE")</f>
        <v>ABRIGO METÁLICO NOVO PEQUENO PORTE</v>
      </c>
      <c r="D584" s="5" t="str">
        <f>IFERROR(__xludf.DUMMYFUNCTION("""COMPUTED_VALUE"""),"SEM PLACA")</f>
        <v>SEM PLACA</v>
      </c>
      <c r="E584" s="5" t="str">
        <f>IFERROR(__xludf.DUMMYFUNCTION("""COMPUTED_VALUE"""),"SEM BAIA")</f>
        <v>SEM BAIA</v>
      </c>
      <c r="F584" s="5" t="str">
        <f>IFERROR(__xludf.DUMMYFUNCTION("""COMPUTED_VALUE"""),"NÃO")</f>
        <v>NÃO</v>
      </c>
      <c r="G584" s="5" t="str">
        <f>IFERROR(__xludf.DUMMYFUNCTION("""COMPUTED_VALUE"""),"NÃO")</f>
        <v>NÃO</v>
      </c>
      <c r="H584" s="5" t="str">
        <f>IFERROR(__xludf.DUMMYFUNCTION("""COMPUTED_VALUE"""),"PAVIMENTADA")</f>
        <v>PAVIMENTADA</v>
      </c>
      <c r="I584" s="6" t="str">
        <f>IFERROR(__xludf.DUMMYFUNCTION("""COMPUTED_VALUE"""),"-9.567289")</f>
        <v>-9.567289</v>
      </c>
      <c r="J584" s="6" t="str">
        <f>IFERROR(__xludf.DUMMYFUNCTION("""COMPUTED_VALUE"""),"-35.776897")</f>
        <v>-35.776897</v>
      </c>
      <c r="K584" s="5" t="str">
        <f>IFERROR(__xludf.DUMMYFUNCTION("""COMPUTED_VALUE"""),"AV. DURVAL DE GÓES MONTEIRO")</f>
        <v>AV. DURVAL DE GÓES MONTEIRO</v>
      </c>
      <c r="L584" s="5" t="str">
        <f>IFERROR(__xludf.DUMMYFUNCTION("""COMPUTED_VALUE"""),"ARTERIAL ")</f>
        <v>ARTERIAL </v>
      </c>
      <c r="M584" s="5" t="str">
        <f>IFERROR(__xludf.DUMMYFUNCTION("""COMPUTED_VALUE"""),"TABULEIRO DOS MARTINS")</f>
        <v>TABULEIRO DOS MARTINS</v>
      </c>
      <c r="N584" s="5" t="str">
        <f>IFERROR(__xludf.DUMMYFUNCTION("""COMPUTED_VALUE"""),"BAIRRO - CENTRO")</f>
        <v>BAIRRO - CENTRO</v>
      </c>
      <c r="O584" s="5" t="str">
        <f>IFERROR(__xludf.DUMMYFUNCTION("""COMPUTED_VALUE"""),"EM FRENTE AO VIADUTO DA POLÍCIA RODOVIÁRIA")</f>
        <v>EM FRENTE AO VIADUTO DA POLÍCIA RODOVIÁRIA</v>
      </c>
      <c r="P584" s="5" t="str">
        <f>IFERROR(__xludf.DUMMYFUNCTION("""COMPUTED_VALUE"""),"PRIORIDADE BAIXA")</f>
        <v>PRIORIDADE BAIXA</v>
      </c>
      <c r="Q584" s="5"/>
      <c r="R584" s="5" t="str">
        <f>IFERROR(__xludf.DUMMYFUNCTION("""COMPUTED_VALUE"""),"SUBSTITUIR ABRIGO")</f>
        <v>SUBSTITUIR ABRIGO</v>
      </c>
      <c r="S584" s="5"/>
      <c r="T584" s="5"/>
      <c r="U584" s="5"/>
      <c r="V584" s="9" t="str">
        <f>IFERROR(__xludf.DUMMYFUNCTION("""COMPUTED_VALUE"""),"https://drive.google.com/uc?id=1dAPSetz6JmnIFT5wEHknR950t0jKAT8p")</f>
        <v>https://drive.google.com/uc?id=1dAPSetz6JmnIFT5wEHknR950t0jKAT8p</v>
      </c>
      <c r="W584" s="5" t="str">
        <f>IFERROR(__xludf.DUMMYFUNCTION("""COMPUTED_VALUE"""),"NÃO")</f>
        <v>NÃO</v>
      </c>
      <c r="X584" s="5" t="str">
        <f>IFERROR(__xludf.DUMMYFUNCTION("""COMPUTED_VALUE"""),"NÃO")</f>
        <v>NÃO</v>
      </c>
    </row>
    <row r="585" hidden="1">
      <c r="A585" s="5">
        <f>IFERROR(__xludf.DUMMYFUNCTION("""COMPUTED_VALUE"""),7.0)</f>
        <v>7</v>
      </c>
      <c r="B585" s="5" t="str">
        <f>IFERROR(__xludf.DUMMYFUNCTION("""COMPUTED_VALUE"""),"TM111")</f>
        <v>TM111</v>
      </c>
      <c r="C585" s="5" t="str">
        <f>IFERROR(__xludf.DUMMYFUNCTION("""COMPUTED_VALUE"""),"NÃO POSSUI")</f>
        <v>NÃO POSSUI</v>
      </c>
      <c r="D585" s="5" t="str">
        <f>IFERROR(__xludf.DUMMYFUNCTION("""COMPUTED_VALUE"""),"COM SUPORTE")</f>
        <v>COM SUPORTE</v>
      </c>
      <c r="E585" s="5" t="str">
        <f>IFERROR(__xludf.DUMMYFUNCTION("""COMPUTED_VALUE"""),"SEM BAIA")</f>
        <v>SEM BAIA</v>
      </c>
      <c r="F585" s="5" t="str">
        <f>IFERROR(__xludf.DUMMYFUNCTION("""COMPUTED_VALUE"""),"NÃO")</f>
        <v>NÃO</v>
      </c>
      <c r="G585" s="5" t="str">
        <f>IFERROR(__xludf.DUMMYFUNCTION("""COMPUTED_VALUE"""),"NÃO")</f>
        <v>NÃO</v>
      </c>
      <c r="H585" s="5" t="str">
        <f>IFERROR(__xludf.DUMMYFUNCTION("""COMPUTED_VALUE"""),"PAVIMENTADA")</f>
        <v>PAVIMENTADA</v>
      </c>
      <c r="I585" s="6" t="str">
        <f>IFERROR(__xludf.DUMMYFUNCTION("""COMPUTED_VALUE"""),"-9.576544")</f>
        <v>-9.576544</v>
      </c>
      <c r="J585" s="6" t="str">
        <f>IFERROR(__xludf.DUMMYFUNCTION("""COMPUTED_VALUE"""),"-35.771411")</f>
        <v>-35.771411</v>
      </c>
      <c r="K585" s="5" t="str">
        <f>IFERROR(__xludf.DUMMYFUNCTION("""COMPUTED_VALUE"""),"RUA DR. EURICO AYRES")</f>
        <v>RUA DR. EURICO AYRES</v>
      </c>
      <c r="L585" s="5" t="str">
        <f>IFERROR(__xludf.DUMMYFUNCTION("""COMPUTED_VALUE"""),"COLETORA")</f>
        <v>COLETORA</v>
      </c>
      <c r="M585" s="5" t="str">
        <f>IFERROR(__xludf.DUMMYFUNCTION("""COMPUTED_VALUE"""),"TABULEIRO DOS MARTINS")</f>
        <v>TABULEIRO DOS MARTINS</v>
      </c>
      <c r="N585" s="5" t="str">
        <f>IFERROR(__xludf.DUMMYFUNCTION("""COMPUTED_VALUE"""),"CENTRO - BAIRRO")</f>
        <v>CENTRO - BAIRRO</v>
      </c>
      <c r="O585" s="5" t="str">
        <f>IFERROR(__xludf.DUMMYFUNCTION("""COMPUTED_VALUE"""),"EM FRENTE A IGREJA BATISTA DO TABULEIRO")</f>
        <v>EM FRENTE A IGREJA BATISTA DO TABULEIRO</v>
      </c>
      <c r="P585" s="5" t="str">
        <f>IFERROR(__xludf.DUMMYFUNCTION("""COMPUTED_VALUE"""),"PRIORIDADE BAIXA")</f>
        <v>PRIORIDADE BAIXA</v>
      </c>
      <c r="Q585" s="5"/>
      <c r="R585" s="5" t="str">
        <f>IFERROR(__xludf.DUMMYFUNCTION("""COMPUTED_VALUE"""),"NENHUMA DAS OPÇÕES")</f>
        <v>NENHUMA DAS OPÇÕES</v>
      </c>
      <c r="S585" s="5"/>
      <c r="T585" s="5"/>
      <c r="U585" s="5"/>
      <c r="V585" s="9" t="str">
        <f>IFERROR(__xludf.DUMMYFUNCTION("""COMPUTED_VALUE"""),"https://drive.google.com/uc?id=1RpSSF0wHF-xjUKIqV_3Gw33UK-LfTrmj")</f>
        <v>https://drive.google.com/uc?id=1RpSSF0wHF-xjUKIqV_3Gw33UK-LfTrmj</v>
      </c>
      <c r="W585" s="5" t="str">
        <f>IFERROR(__xludf.DUMMYFUNCTION("""COMPUTED_VALUE"""),"NÃO")</f>
        <v>NÃO</v>
      </c>
      <c r="X585" s="5" t="str">
        <f>IFERROR(__xludf.DUMMYFUNCTION("""COMPUTED_VALUE"""),"NÃO SE APLICA")</f>
        <v>NÃO SE APLICA</v>
      </c>
    </row>
    <row r="586">
      <c r="A586" s="5">
        <f>IFERROR(__xludf.DUMMYFUNCTION("""COMPUTED_VALUE"""),7.0)</f>
        <v>7</v>
      </c>
      <c r="B586" s="5" t="str">
        <f>IFERROR(__xludf.DUMMYFUNCTION("""COMPUTED_VALUE"""),"TM112")</f>
        <v>TM112</v>
      </c>
      <c r="C586" s="5" t="str">
        <f>IFERROR(__xludf.DUMMYFUNCTION("""COMPUTED_VALUE"""),"ABRIGO METÁLICO GRANDE PORTE")</f>
        <v>ABRIGO METÁLICO GRANDE PORTE</v>
      </c>
      <c r="D586" s="5" t="str">
        <f>IFERROR(__xludf.DUMMYFUNCTION("""COMPUTED_VALUE"""),"COM SUPORTE")</f>
        <v>COM SUPORTE</v>
      </c>
      <c r="E586" s="5" t="str">
        <f>IFERROR(__xludf.DUMMYFUNCTION("""COMPUTED_VALUE"""),"SEM BAIA")</f>
        <v>SEM BAIA</v>
      </c>
      <c r="F586" s="5" t="str">
        <f>IFERROR(__xludf.DUMMYFUNCTION("""COMPUTED_VALUE"""),"NÃO")</f>
        <v>NÃO</v>
      </c>
      <c r="G586" s="5" t="str">
        <f>IFERROR(__xludf.DUMMYFUNCTION("""COMPUTED_VALUE"""),"NÃO")</f>
        <v>NÃO</v>
      </c>
      <c r="H586" s="5" t="str">
        <f>IFERROR(__xludf.DUMMYFUNCTION("""COMPUTED_VALUE"""),"PAVIMENTADA")</f>
        <v>PAVIMENTADA</v>
      </c>
      <c r="I586" s="6" t="str">
        <f>IFERROR(__xludf.DUMMYFUNCTION("""COMPUTED_VALUE"""),"-9.585922")</f>
        <v>-9.585922</v>
      </c>
      <c r="J586" s="6" t="str">
        <f>IFERROR(__xludf.DUMMYFUNCTION("""COMPUTED_VALUE"""),"-35.763630")</f>
        <v>-35.763630</v>
      </c>
      <c r="K586" s="5" t="str">
        <f>IFERROR(__xludf.DUMMYFUNCTION("""COMPUTED_VALUE"""),"AV. DURVAL DE GÓES MONTEIRO")</f>
        <v>AV. DURVAL DE GÓES MONTEIRO</v>
      </c>
      <c r="L586" s="5" t="str">
        <f>IFERROR(__xludf.DUMMYFUNCTION("""COMPUTED_VALUE"""),"ARTERIAL ")</f>
        <v>ARTERIAL </v>
      </c>
      <c r="M586" s="5" t="str">
        <f>IFERROR(__xludf.DUMMYFUNCTION("""COMPUTED_VALUE"""),"TABULEIRO DOS MARTINS")</f>
        <v>TABULEIRO DOS MARTINS</v>
      </c>
      <c r="N586" s="5" t="str">
        <f>IFERROR(__xludf.DUMMYFUNCTION("""COMPUTED_VALUE"""),"BAIRRO - CENTRO")</f>
        <v>BAIRRO - CENTRO</v>
      </c>
      <c r="O586" s="5" t="str">
        <f>IFERROR(__xludf.DUMMYFUNCTION("""COMPUTED_VALUE"""),"AO LADO DO CENTRO DE ENSINO SANTA JULIANA")</f>
        <v>AO LADO DO CENTRO DE ENSINO SANTA JULIANA</v>
      </c>
      <c r="P586" s="5" t="str">
        <f>IFERROR(__xludf.DUMMYFUNCTION("""COMPUTED_VALUE"""),"PRIORIDADE BAIXA")</f>
        <v>PRIORIDADE BAIXA</v>
      </c>
      <c r="Q586" s="5"/>
      <c r="R586" s="5" t="str">
        <f>IFERROR(__xludf.DUMMYFUNCTION("""COMPUTED_VALUE"""),"SUBSTITUIR ABRIGO")</f>
        <v>SUBSTITUIR ABRIGO</v>
      </c>
      <c r="S586" s="5"/>
      <c r="T586" s="5"/>
      <c r="U586" s="5"/>
      <c r="V586" s="9" t="str">
        <f>IFERROR(__xludf.DUMMYFUNCTION("""COMPUTED_VALUE"""),"https://drive.google.com/uc?id=1EkxLoUaBCtf_ScA6oIT1lo3kjP8OCAnm")</f>
        <v>https://drive.google.com/uc?id=1EkxLoUaBCtf_ScA6oIT1lo3kjP8OCAnm</v>
      </c>
      <c r="W586" s="5" t="str">
        <f>IFERROR(__xludf.DUMMYFUNCTION("""COMPUTED_VALUE"""),"NÃO")</f>
        <v>NÃO</v>
      </c>
      <c r="X586" s="5" t="str">
        <f>IFERROR(__xludf.DUMMYFUNCTION("""COMPUTED_VALUE"""),"NÃO")</f>
        <v>NÃO</v>
      </c>
    </row>
    <row r="587">
      <c r="A587" s="5">
        <f>IFERROR(__xludf.DUMMYFUNCTION("""COMPUTED_VALUE"""),7.0)</f>
        <v>7</v>
      </c>
      <c r="B587" s="5" t="str">
        <f>IFERROR(__xludf.DUMMYFUNCTION("""COMPUTED_VALUE"""),"TM114")</f>
        <v>TM114</v>
      </c>
      <c r="C587" s="5" t="str">
        <f>IFERROR(__xludf.DUMMYFUNCTION("""COMPUTED_VALUE"""),"ABRIGO METÁLICO PEQUENO PORTE")</f>
        <v>ABRIGO METÁLICO PEQUENO PORTE</v>
      </c>
      <c r="D587" s="5" t="str">
        <f>IFERROR(__xludf.DUMMYFUNCTION("""COMPUTED_VALUE"""),"COM SUPORTE")</f>
        <v>COM SUPORTE</v>
      </c>
      <c r="E587" s="5" t="str">
        <f>IFERROR(__xludf.DUMMYFUNCTION("""COMPUTED_VALUE"""),"SEM BAIA")</f>
        <v>SEM BAIA</v>
      </c>
      <c r="F587" s="5" t="str">
        <f>IFERROR(__xludf.DUMMYFUNCTION("""COMPUTED_VALUE"""),"NÃO")</f>
        <v>NÃO</v>
      </c>
      <c r="G587" s="5" t="str">
        <f>IFERROR(__xludf.DUMMYFUNCTION("""COMPUTED_VALUE"""),"NÃO")</f>
        <v>NÃO</v>
      </c>
      <c r="H587" s="5" t="str">
        <f>IFERROR(__xludf.DUMMYFUNCTION("""COMPUTED_VALUE"""),"PAVIMENTADA")</f>
        <v>PAVIMENTADA</v>
      </c>
      <c r="I587" s="6" t="str">
        <f>IFERROR(__xludf.DUMMYFUNCTION("""COMPUTED_VALUE"""),"-9.590693")</f>
        <v>-9.590693</v>
      </c>
      <c r="J587" s="6" t="str">
        <f>IFERROR(__xludf.DUMMYFUNCTION("""COMPUTED_VALUE"""),"-35.759628")</f>
        <v>-35.759628</v>
      </c>
      <c r="K587" s="5" t="str">
        <f>IFERROR(__xludf.DUMMYFUNCTION("""COMPUTED_VALUE"""),"AV. DURVAL DE GÓES MONTEIRO")</f>
        <v>AV. DURVAL DE GÓES MONTEIRO</v>
      </c>
      <c r="L587" s="5" t="str">
        <f>IFERROR(__xludf.DUMMYFUNCTION("""COMPUTED_VALUE"""),"ARTERIAL ")</f>
        <v>ARTERIAL </v>
      </c>
      <c r="M587" s="5" t="str">
        <f>IFERROR(__xludf.DUMMYFUNCTION("""COMPUTED_VALUE"""),"TABULEIRO DOS MARTINS")</f>
        <v>TABULEIRO DOS MARTINS</v>
      </c>
      <c r="N587" s="5" t="str">
        <f>IFERROR(__xludf.DUMMYFUNCTION("""COMPUTED_VALUE"""),"BAIRRO - CENTRO")</f>
        <v>BAIRRO - CENTRO</v>
      </c>
      <c r="O587" s="5"/>
      <c r="P587" s="5" t="str">
        <f>IFERROR(__xludf.DUMMYFUNCTION("""COMPUTED_VALUE"""),"PRIORIDADE BAIXA")</f>
        <v>PRIORIDADE BAIXA</v>
      </c>
      <c r="Q587" s="5"/>
      <c r="R587" s="5" t="str">
        <f>IFERROR(__xludf.DUMMYFUNCTION("""COMPUTED_VALUE"""),"SUBSTITUIR ABRIGO")</f>
        <v>SUBSTITUIR ABRIGO</v>
      </c>
      <c r="S587" s="5"/>
      <c r="T587" s="5"/>
      <c r="U587" s="5"/>
      <c r="V587" s="9" t="str">
        <f>IFERROR(__xludf.DUMMYFUNCTION("""COMPUTED_VALUE"""),"https://drive.google.com/uc?id=1lG6G8iaVqCadjw7zPcQg4uNKmjma3q-A")</f>
        <v>https://drive.google.com/uc?id=1lG6G8iaVqCadjw7zPcQg4uNKmjma3q-A</v>
      </c>
      <c r="W587" s="5" t="str">
        <f>IFERROR(__xludf.DUMMYFUNCTION("""COMPUTED_VALUE"""),"NÃO")</f>
        <v>NÃO</v>
      </c>
      <c r="X587" s="5" t="str">
        <f>IFERROR(__xludf.DUMMYFUNCTION("""COMPUTED_VALUE"""),"NÃO")</f>
        <v>NÃO</v>
      </c>
    </row>
    <row r="588">
      <c r="A588" s="5">
        <f>IFERROR(__xludf.DUMMYFUNCTION("""COMPUTED_VALUE"""),7.0)</f>
        <v>7</v>
      </c>
      <c r="B588" s="5" t="str">
        <f>IFERROR(__xludf.DUMMYFUNCTION("""COMPUTED_VALUE"""),"TM115")</f>
        <v>TM115</v>
      </c>
      <c r="C588" s="5" t="str">
        <f>IFERROR(__xludf.DUMMYFUNCTION("""COMPUTED_VALUE"""),"ABRIGO METÁLICO GRANDE PORTE")</f>
        <v>ABRIGO METÁLICO GRANDE PORTE</v>
      </c>
      <c r="D588" s="5" t="str">
        <f>IFERROR(__xludf.DUMMYFUNCTION("""COMPUTED_VALUE"""),"COM SUPORTE")</f>
        <v>COM SUPORTE</v>
      </c>
      <c r="E588" s="5" t="str">
        <f>IFERROR(__xludf.DUMMYFUNCTION("""COMPUTED_VALUE"""),"SEM BAIA")</f>
        <v>SEM BAIA</v>
      </c>
      <c r="F588" s="5" t="str">
        <f>IFERROR(__xludf.DUMMYFUNCTION("""COMPUTED_VALUE"""),"NÃO")</f>
        <v>NÃO</v>
      </c>
      <c r="G588" s="5" t="str">
        <f>IFERROR(__xludf.DUMMYFUNCTION("""COMPUTED_VALUE"""),"NÃO")</f>
        <v>NÃO</v>
      </c>
      <c r="H588" s="5" t="str">
        <f>IFERROR(__xludf.DUMMYFUNCTION("""COMPUTED_VALUE"""),"PAVIMENTADA")</f>
        <v>PAVIMENTADA</v>
      </c>
      <c r="I588" s="6" t="str">
        <f>IFERROR(__xludf.DUMMYFUNCTION("""COMPUTED_VALUE"""),"-9.584773")</f>
        <v>-9.584773</v>
      </c>
      <c r="J588" s="6" t="str">
        <f>IFERROR(__xludf.DUMMYFUNCTION("""COMPUTED_VALUE"""),"-35.764017")</f>
        <v>-35.764017</v>
      </c>
      <c r="K588" s="5" t="str">
        <f>IFERROR(__xludf.DUMMYFUNCTION("""COMPUTED_VALUE"""),"AV. DURVAL DE GÓES MONTEIRO")</f>
        <v>AV. DURVAL DE GÓES MONTEIRO</v>
      </c>
      <c r="L588" s="5" t="str">
        <f>IFERROR(__xludf.DUMMYFUNCTION("""COMPUTED_VALUE"""),"ARTERIAL ")</f>
        <v>ARTERIAL </v>
      </c>
      <c r="M588" s="5" t="str">
        <f>IFERROR(__xludf.DUMMYFUNCTION("""COMPUTED_VALUE"""),"TABULEIRO DOS MARTINS")</f>
        <v>TABULEIRO DOS MARTINS</v>
      </c>
      <c r="N588" s="5" t="str">
        <f>IFERROR(__xludf.DUMMYFUNCTION("""COMPUTED_VALUE"""),"CENTRO - BAIRRO")</f>
        <v>CENTRO - BAIRRO</v>
      </c>
      <c r="O588" s="5"/>
      <c r="P588" s="5" t="str">
        <f>IFERROR(__xludf.DUMMYFUNCTION("""COMPUTED_VALUE"""),"PRIORIDADE BAIXA")</f>
        <v>PRIORIDADE BAIXA</v>
      </c>
      <c r="Q588" s="5"/>
      <c r="R588" s="5" t="str">
        <f>IFERROR(__xludf.DUMMYFUNCTION("""COMPUTED_VALUE"""),"SUBSTITUIR ABRIGO")</f>
        <v>SUBSTITUIR ABRIGO</v>
      </c>
      <c r="S588" s="5"/>
      <c r="T588" s="5"/>
      <c r="U588" s="5"/>
      <c r="V588" s="9" t="str">
        <f>IFERROR(__xludf.DUMMYFUNCTION("""COMPUTED_VALUE"""),"https://drive.google.com/uc?id=1m5VlroQA_KBICzEHqMEwkJ8iB0j3JmS2
")</f>
        <v>https://drive.google.com/uc?id=1m5VlroQA_KBICzEHqMEwkJ8iB0j3JmS2
</v>
      </c>
      <c r="W588" s="5" t="str">
        <f>IFERROR(__xludf.DUMMYFUNCTION("""COMPUTED_VALUE"""),"SIM")</f>
        <v>SIM</v>
      </c>
      <c r="X588" s="5" t="str">
        <f>IFERROR(__xludf.DUMMYFUNCTION("""COMPUTED_VALUE"""),"NÃO")</f>
        <v>NÃO</v>
      </c>
    </row>
    <row r="589" hidden="1">
      <c r="A589" s="5"/>
      <c r="B589" s="5"/>
      <c r="C589" s="5"/>
      <c r="D589" s="5"/>
      <c r="E589" s="5"/>
      <c r="F589" s="5"/>
      <c r="G589" s="5"/>
      <c r="H589" s="5"/>
      <c r="I589" s="5"/>
      <c r="J589" s="5"/>
      <c r="K589" s="5"/>
      <c r="L589" s="5"/>
      <c r="M589" s="5"/>
      <c r="N589" s="5"/>
      <c r="O589" s="5"/>
      <c r="P589" s="5"/>
      <c r="Q589" s="5"/>
      <c r="R589" s="5"/>
      <c r="S589" s="5"/>
      <c r="T589" s="5"/>
      <c r="U589" s="5"/>
      <c r="V589" s="5"/>
      <c r="W589" s="5"/>
      <c r="X589" s="5"/>
    </row>
    <row r="590" hidden="1">
      <c r="A590" s="5">
        <f>IFERROR(__xludf.DUMMYFUNCTION("IMPORTRANGE(""https://docs.google.com/spreadsheets/d/1-Yu0wk38BvJp_4SsDjwItRQX9X18pxzX2mfs6mvd6ac/edit#gid=2140266582"", ""SANTA LÚCIA!A3:X23"")"),7.0)</f>
        <v>7</v>
      </c>
      <c r="B590" s="5" t="str">
        <f>IFERROR(__xludf.DUMMYFUNCTION("""COMPUTED_VALUE"""),"SL001")</f>
        <v>SL001</v>
      </c>
      <c r="C590" s="5" t="str">
        <f>IFERROR(__xludf.DUMMYFUNCTION("""COMPUTED_VALUE"""),"NÃO POSSUI")</f>
        <v>NÃO POSSUI</v>
      </c>
      <c r="D590" s="5" t="str">
        <f>IFERROR(__xludf.DUMMYFUNCTION("""COMPUTED_VALUE"""),"FIXADA EM POSTE")</f>
        <v>FIXADA EM POSTE</v>
      </c>
      <c r="E590" s="5" t="str">
        <f>IFERROR(__xludf.DUMMYFUNCTION("""COMPUTED_VALUE"""),"SEM BAIA")</f>
        <v>SEM BAIA</v>
      </c>
      <c r="F590" s="5" t="str">
        <f>IFERROR(__xludf.DUMMYFUNCTION("""COMPUTED_VALUE"""),"NÃO")</f>
        <v>NÃO</v>
      </c>
      <c r="G590" s="5" t="str">
        <f>IFERROR(__xludf.DUMMYFUNCTION("""COMPUTED_VALUE"""),"NÃO")</f>
        <v>NÃO</v>
      </c>
      <c r="H590" s="5" t="str">
        <f>IFERROR(__xludf.DUMMYFUNCTION("""COMPUTED_VALUE"""),"PAVIMENTADA")</f>
        <v>PAVIMENTADA</v>
      </c>
      <c r="I590" s="6" t="str">
        <f>IFERROR(__xludf.DUMMYFUNCTION("""COMPUTED_VALUE"""),"-9.584530")</f>
        <v>-9.584530</v>
      </c>
      <c r="J590" s="6" t="str">
        <f>IFERROR(__xludf.DUMMYFUNCTION("""COMPUTED_VALUE"""),"-35.762792")</f>
        <v>-35.762792</v>
      </c>
      <c r="K590" s="5" t="str">
        <f>IFERROR(__xludf.DUMMYFUNCTION("""COMPUTED_VALUE"""),"MARQUÊS DE TAMANDARÉ 58")</f>
        <v>MARQUÊS DE TAMANDARÉ 58</v>
      </c>
      <c r="L590" s="5" t="str">
        <f>IFERROR(__xludf.DUMMYFUNCTION("""COMPUTED_VALUE"""),"COLETORA")</f>
        <v>COLETORA</v>
      </c>
      <c r="M590" s="5" t="str">
        <f>IFERROR(__xludf.DUMMYFUNCTION("""COMPUTED_VALUE"""),"SANTA LÚCIA")</f>
        <v>SANTA LÚCIA</v>
      </c>
      <c r="N590" s="5" t="str">
        <f>IFERROR(__xludf.DUMMYFUNCTION("""COMPUTED_VALUE"""),"CENTRO - BAIRRO")</f>
        <v>CENTRO - BAIRRO</v>
      </c>
      <c r="O590" s="5" t="str">
        <f>IFERROR(__xludf.DUMMYFUNCTION("""COMPUTED_VALUE"""),"EMEM FRENTE A CASA 100")</f>
        <v>EMEM FRENTE A CASA 100</v>
      </c>
      <c r="P590" s="5" t="str">
        <f>IFERROR(__xludf.DUMMYFUNCTION("""COMPUTED_VALUE"""),"PRIORIDADE BAIXA")</f>
        <v>PRIORIDADE BAIXA</v>
      </c>
      <c r="Q590" s="5" t="str">
        <f>IFERROR(__xludf.DUMMYFUNCTION("""COMPUTED_VALUE"""),"READEQUAÇÃO DA CALÇADA COM ACESSIBILIDADE E BAIA. ")</f>
        <v>READEQUAÇÃO DA CALÇADA COM ACESSIBILIDADE E BAIA. </v>
      </c>
      <c r="R590" s="5" t="str">
        <f>IFERROR(__xludf.DUMMYFUNCTION("""COMPUTED_VALUE"""),"NENHUMA DAS OPÇÕES")</f>
        <v>NENHUMA DAS OPÇÕES</v>
      </c>
      <c r="S590" s="5"/>
      <c r="T590" s="5"/>
      <c r="U590" s="5"/>
      <c r="V590" s="9" t="str">
        <f>IFERROR(__xludf.DUMMYFUNCTION("""COMPUTED_VALUE"""),"https://drive.google.com/uc?id=1A26M0NZ0kW1LdrlJH9mwcj9DsKdBq1by")</f>
        <v>https://drive.google.com/uc?id=1A26M0NZ0kW1LdrlJH9mwcj9DsKdBq1by</v>
      </c>
      <c r="W590" s="5" t="str">
        <f>IFERROR(__xludf.DUMMYFUNCTION("""COMPUTED_VALUE"""),"NÃO")</f>
        <v>NÃO</v>
      </c>
      <c r="X590" s="5" t="str">
        <f>IFERROR(__xludf.DUMMYFUNCTION("""COMPUTED_VALUE"""),"NÃO SE APLICA")</f>
        <v>NÃO SE APLICA</v>
      </c>
    </row>
    <row r="591" hidden="1">
      <c r="A591" s="5">
        <f>IFERROR(__xludf.DUMMYFUNCTION("""COMPUTED_VALUE"""),7.0)</f>
        <v>7</v>
      </c>
      <c r="B591" s="5" t="str">
        <f>IFERROR(__xludf.DUMMYFUNCTION("""COMPUTED_VALUE"""),"SL002")</f>
        <v>SL002</v>
      </c>
      <c r="C591" s="5" t="str">
        <f>IFERROR(__xludf.DUMMYFUNCTION("""COMPUTED_VALUE"""),"NÃO POSSUI")</f>
        <v>NÃO POSSUI</v>
      </c>
      <c r="D591" s="5" t="str">
        <f>IFERROR(__xludf.DUMMYFUNCTION("""COMPUTED_VALUE"""),"COM SUPORTE")</f>
        <v>COM SUPORTE</v>
      </c>
      <c r="E591" s="5" t="str">
        <f>IFERROR(__xludf.DUMMYFUNCTION("""COMPUTED_VALUE"""),"SEM BAIA")</f>
        <v>SEM BAIA</v>
      </c>
      <c r="F591" s="5" t="str">
        <f>IFERROR(__xludf.DUMMYFUNCTION("""COMPUTED_VALUE"""),"NÃO")</f>
        <v>NÃO</v>
      </c>
      <c r="G591" s="5" t="str">
        <f>IFERROR(__xludf.DUMMYFUNCTION("""COMPUTED_VALUE"""),"NÃO")</f>
        <v>NÃO</v>
      </c>
      <c r="H591" s="5" t="str">
        <f>IFERROR(__xludf.DUMMYFUNCTION("""COMPUTED_VALUE"""),"PAVIMENTADA")</f>
        <v>PAVIMENTADA</v>
      </c>
      <c r="I591" s="6" t="str">
        <f>IFERROR(__xludf.DUMMYFUNCTION("""COMPUTED_VALUE"""),"-9.582995")</f>
        <v>-9.582995</v>
      </c>
      <c r="J591" s="6" t="str">
        <f>IFERROR(__xludf.DUMMYFUNCTION("""COMPUTED_VALUE"""),"-35.760683")</f>
        <v>-35.760683</v>
      </c>
      <c r="K591" s="5" t="str">
        <f>IFERROR(__xludf.DUMMYFUNCTION("""COMPUTED_VALUE"""),"MARQUÊS DE TAMANDARÉ 115")</f>
        <v>MARQUÊS DE TAMANDARÉ 115</v>
      </c>
      <c r="L591" s="5" t="str">
        <f>IFERROR(__xludf.DUMMYFUNCTION("""COMPUTED_VALUE"""),"COLETORA")</f>
        <v>COLETORA</v>
      </c>
      <c r="M591" s="5" t="str">
        <f>IFERROR(__xludf.DUMMYFUNCTION("""COMPUTED_VALUE"""),"SANTA LÚCIA")</f>
        <v>SANTA LÚCIA</v>
      </c>
      <c r="N591" s="5" t="str">
        <f>IFERROR(__xludf.DUMMYFUNCTION("""COMPUTED_VALUE"""),"CENTRO - BAIRRO")</f>
        <v>CENTRO - BAIRRO</v>
      </c>
      <c r="O591" s="5" t="str">
        <f>IFERROR(__xludf.DUMMYFUNCTION("""COMPUTED_VALUE"""),"EM FRENTE AO RESORT PRATAGYJAUTOMOTIVA 126")</f>
        <v>EM FRENTE AO RESORT PRATAGYJAUTOMOTIVA 126</v>
      </c>
      <c r="P591" s="5" t="str">
        <f>IFERROR(__xludf.DUMMYFUNCTION("""COMPUTED_VALUE"""),"PRIORIDADE BAIXA")</f>
        <v>PRIORIDADE BAIXA</v>
      </c>
      <c r="Q591" s="5" t="str">
        <f>IFERROR(__xludf.DUMMYFUNCTION("""COMPUTED_VALUE"""),"READEQUAÇÃO DA CALÇADA COM ACESSIBILIDADE E BAIA. ")</f>
        <v>READEQUAÇÃO DA CALÇADA COM ACESSIBILIDADE E BAIA. </v>
      </c>
      <c r="R591" s="5" t="str">
        <f>IFERROR(__xludf.DUMMYFUNCTION("""COMPUTED_VALUE"""),"NENHUMA DAS OPÇÕES")</f>
        <v>NENHUMA DAS OPÇÕES</v>
      </c>
      <c r="S591" s="5"/>
      <c r="T591" s="5"/>
      <c r="U591" s="5"/>
      <c r="V591" s="9" t="str">
        <f>IFERROR(__xludf.DUMMYFUNCTION("""COMPUTED_VALUE"""),"https://drive.google.com/uc?id=1-Vm_nNAKEyymEIqu6CTAOoFTT5nrdvXT")</f>
        <v>https://drive.google.com/uc?id=1-Vm_nNAKEyymEIqu6CTAOoFTT5nrdvXT</v>
      </c>
      <c r="W591" s="5" t="str">
        <f>IFERROR(__xludf.DUMMYFUNCTION("""COMPUTED_VALUE"""),"NÃO")</f>
        <v>NÃO</v>
      </c>
      <c r="X591" s="5" t="str">
        <f>IFERROR(__xludf.DUMMYFUNCTION("""COMPUTED_VALUE"""),"NÃO SE APLICA")</f>
        <v>NÃO SE APLICA</v>
      </c>
    </row>
    <row r="592" hidden="1">
      <c r="A592" s="5">
        <f>IFERROR(__xludf.DUMMYFUNCTION("""COMPUTED_VALUE"""),7.0)</f>
        <v>7</v>
      </c>
      <c r="B592" s="5" t="str">
        <f>IFERROR(__xludf.DUMMYFUNCTION("""COMPUTED_VALUE"""),"SL003")</f>
        <v>SL003</v>
      </c>
      <c r="C592" s="5" t="str">
        <f>IFERROR(__xludf.DUMMYFUNCTION("""COMPUTED_VALUE"""),"NÃO POSSUI")</f>
        <v>NÃO POSSUI</v>
      </c>
      <c r="D592" s="5" t="str">
        <f>IFERROR(__xludf.DUMMYFUNCTION("""COMPUTED_VALUE"""),"FIXADA EM POSTE")</f>
        <v>FIXADA EM POSTE</v>
      </c>
      <c r="E592" s="5" t="str">
        <f>IFERROR(__xludf.DUMMYFUNCTION("""COMPUTED_VALUE"""),"SEM BAIA")</f>
        <v>SEM BAIA</v>
      </c>
      <c r="F592" s="5" t="str">
        <f>IFERROR(__xludf.DUMMYFUNCTION("""COMPUTED_VALUE"""),"NÃO")</f>
        <v>NÃO</v>
      </c>
      <c r="G592" s="5" t="str">
        <f>IFERROR(__xludf.DUMMYFUNCTION("""COMPUTED_VALUE"""),"NÃO")</f>
        <v>NÃO</v>
      </c>
      <c r="H592" s="5" t="str">
        <f>IFERROR(__xludf.DUMMYFUNCTION("""COMPUTED_VALUE"""),"PAVIMENTADA")</f>
        <v>PAVIMENTADA</v>
      </c>
      <c r="I592" s="6" t="str">
        <f>IFERROR(__xludf.DUMMYFUNCTION("""COMPUTED_VALUE"""),"-9.581333")</f>
        <v>-9.581333</v>
      </c>
      <c r="J592" s="6" t="str">
        <f>IFERROR(__xludf.DUMMYFUNCTION("""COMPUTED_VALUE"""),"-35.758415")</f>
        <v>-35.758415</v>
      </c>
      <c r="K592" s="5" t="str">
        <f>IFERROR(__xludf.DUMMYFUNCTION("""COMPUTED_VALUE"""),"MARQUÊS DE TAMANDARÉ 782")</f>
        <v>MARQUÊS DE TAMANDARÉ 782</v>
      </c>
      <c r="L592" s="5" t="str">
        <f>IFERROR(__xludf.DUMMYFUNCTION("""COMPUTED_VALUE"""),"COLETORA")</f>
        <v>COLETORA</v>
      </c>
      <c r="M592" s="5" t="str">
        <f>IFERROR(__xludf.DUMMYFUNCTION("""COMPUTED_VALUE"""),"SANTA LÚCIA")</f>
        <v>SANTA LÚCIA</v>
      </c>
      <c r="N592" s="5" t="str">
        <f>IFERROR(__xludf.DUMMYFUNCTION("""COMPUTED_VALUE"""),"CENTRO - BAIRRO")</f>
        <v>CENTRO - BAIRRO</v>
      </c>
      <c r="O592" s="5" t="str">
        <f>IFERROR(__xludf.DUMMYFUNCTION("""COMPUTED_VALUE"""),"DISTRIBUIDORA FORTALEZA, CASA 82.")</f>
        <v>DISTRIBUIDORA FORTALEZA, CASA 82.</v>
      </c>
      <c r="P592" s="5" t="str">
        <f>IFERROR(__xludf.DUMMYFUNCTION("""COMPUTED_VALUE"""),"PRIORIDADE BAIXA")</f>
        <v>PRIORIDADE BAIXA</v>
      </c>
      <c r="Q592" s="5" t="str">
        <f>IFERROR(__xludf.DUMMYFUNCTION("""COMPUTED_VALUE"""),"READEQUAÇÃO DA CALÇADA COM ACESSIBILIDADE E BAIA. ")</f>
        <v>READEQUAÇÃO DA CALÇADA COM ACESSIBILIDADE E BAIA. </v>
      </c>
      <c r="R592" s="5" t="str">
        <f>IFERROR(__xludf.DUMMYFUNCTION("""COMPUTED_VALUE"""),"IMPLANTAR ABRIGO")</f>
        <v>IMPLANTAR ABRIGO</v>
      </c>
      <c r="S592" s="5"/>
      <c r="T592" s="5"/>
      <c r="U592" s="5"/>
      <c r="V592" s="9" t="str">
        <f>IFERROR(__xludf.DUMMYFUNCTION("""COMPUTED_VALUE"""),"https://drive.google.com/uc?id=1eqmnxfqeR1vcmXJ7LVUyo8OMijvbe_za")</f>
        <v>https://drive.google.com/uc?id=1eqmnxfqeR1vcmXJ7LVUyo8OMijvbe_za</v>
      </c>
      <c r="W592" s="5" t="str">
        <f>IFERROR(__xludf.DUMMYFUNCTION("""COMPUTED_VALUE"""),"NÃO")</f>
        <v>NÃO</v>
      </c>
      <c r="X592" s="5" t="str">
        <f>IFERROR(__xludf.DUMMYFUNCTION("""COMPUTED_VALUE"""),"NÃO SE APLICA")</f>
        <v>NÃO SE APLICA</v>
      </c>
    </row>
    <row r="593" hidden="1">
      <c r="A593" s="5">
        <f>IFERROR(__xludf.DUMMYFUNCTION("""COMPUTED_VALUE"""),7.0)</f>
        <v>7</v>
      </c>
      <c r="B593" s="5" t="str">
        <f>IFERROR(__xludf.DUMMYFUNCTION("""COMPUTED_VALUE"""),"SL004")</f>
        <v>SL004</v>
      </c>
      <c r="C593" s="5" t="str">
        <f>IFERROR(__xludf.DUMMYFUNCTION("""COMPUTED_VALUE"""),"NÃO POSSUI")</f>
        <v>NÃO POSSUI</v>
      </c>
      <c r="D593" s="5" t="str">
        <f>IFERROR(__xludf.DUMMYFUNCTION("""COMPUTED_VALUE"""),"COM SUPORTE")</f>
        <v>COM SUPORTE</v>
      </c>
      <c r="E593" s="5" t="str">
        <f>IFERROR(__xludf.DUMMYFUNCTION("""COMPUTED_VALUE"""),"SEM BAIA")</f>
        <v>SEM BAIA</v>
      </c>
      <c r="F593" s="5" t="str">
        <f>IFERROR(__xludf.DUMMYFUNCTION("""COMPUTED_VALUE"""),"NÃO")</f>
        <v>NÃO</v>
      </c>
      <c r="G593" s="5" t="str">
        <f>IFERROR(__xludf.DUMMYFUNCTION("""COMPUTED_VALUE"""),"NÃO")</f>
        <v>NÃO</v>
      </c>
      <c r="H593" s="5" t="str">
        <f>IFERROR(__xludf.DUMMYFUNCTION("""COMPUTED_VALUE"""),"PAVIMENTADA")</f>
        <v>PAVIMENTADA</v>
      </c>
      <c r="I593" s="6" t="str">
        <f>IFERROR(__xludf.DUMMYFUNCTION("""COMPUTED_VALUE"""),"-9.580056")</f>
        <v>-9.580056</v>
      </c>
      <c r="J593" s="6" t="str">
        <f>IFERROR(__xludf.DUMMYFUNCTION("""COMPUTED_VALUE"""),"-35.756280")</f>
        <v>-35.756280</v>
      </c>
      <c r="K593" s="5" t="str">
        <f>IFERROR(__xludf.DUMMYFUNCTION("""COMPUTED_VALUE"""),"AV. FRANCISCO AFONSO DE MELO 20B")</f>
        <v>AV. FRANCISCO AFONSO DE MELO 20B</v>
      </c>
      <c r="L593" s="5" t="str">
        <f>IFERROR(__xludf.DUMMYFUNCTION("""COMPUTED_VALUE"""),"COLETORA")</f>
        <v>COLETORA</v>
      </c>
      <c r="M593" s="5" t="str">
        <f>IFERROR(__xludf.DUMMYFUNCTION("""COMPUTED_VALUE"""),"SANTA LÚCIA")</f>
        <v>SANTA LÚCIA</v>
      </c>
      <c r="N593" s="5" t="str">
        <f>IFERROR(__xludf.DUMMYFUNCTION("""COMPUTED_VALUE"""),"CENTRO - BAIRRO")</f>
        <v>CENTRO - BAIRRO</v>
      </c>
      <c r="O593" s="5" t="str">
        <f>IFERROR(__xludf.DUMMYFUNCTION("""COMPUTED_VALUE"""),"ESTÚDIO BEATRIZ VERÁS 2000")</f>
        <v>ESTÚDIO BEATRIZ VERÁS 2000</v>
      </c>
      <c r="P593" s="5" t="str">
        <f>IFERROR(__xludf.DUMMYFUNCTION("""COMPUTED_VALUE"""),"PRIORIDADE MÉDIA")</f>
        <v>PRIORIDADE MÉDIA</v>
      </c>
      <c r="Q593" s="5" t="str">
        <f>IFERROR(__xludf.DUMMYFUNCTION("""COMPUTED_VALUE"""),"READEQUAÇÃO DA CALÇADA COM ACESSIBILIDADE E BAIA.  REPARAR ABRIGO COM PARTES ENFERRUJADAS, PINTURA DESGASTADA.")</f>
        <v>READEQUAÇÃO DA CALÇADA COM ACESSIBILIDADE E BAIA.  REPARAR ABRIGO COM PARTES ENFERRUJADAS, PINTURA DESGASTADA.</v>
      </c>
      <c r="R593" s="5" t="str">
        <f>IFERROR(__xludf.DUMMYFUNCTION("""COMPUTED_VALUE"""),"NENHUMA DAS OPÇÕES")</f>
        <v>NENHUMA DAS OPÇÕES</v>
      </c>
      <c r="S593" s="5"/>
      <c r="T593" s="5"/>
      <c r="U593" s="5"/>
      <c r="V593" s="9" t="str">
        <f>IFERROR(__xludf.DUMMYFUNCTION("""COMPUTED_VALUE"""),"https://drive.google.com/uc?id=149RHDeZw7TY0Gi2rFAKjNWU2GxwwNM8U")</f>
        <v>https://drive.google.com/uc?id=149RHDeZw7TY0Gi2rFAKjNWU2GxwwNM8U</v>
      </c>
      <c r="W593" s="5" t="str">
        <f>IFERROR(__xludf.DUMMYFUNCTION("""COMPUTED_VALUE"""),"NÃO")</f>
        <v>NÃO</v>
      </c>
      <c r="X593" s="5" t="str">
        <f>IFERROR(__xludf.DUMMYFUNCTION("""COMPUTED_VALUE"""),"NÃO SE APLICA")</f>
        <v>NÃO SE APLICA</v>
      </c>
    </row>
    <row r="594" hidden="1">
      <c r="A594" s="5">
        <f>IFERROR(__xludf.DUMMYFUNCTION("""COMPUTED_VALUE"""),7.0)</f>
        <v>7</v>
      </c>
      <c r="B594" s="5" t="str">
        <f>IFERROR(__xludf.DUMMYFUNCTION("""COMPUTED_VALUE"""),"SL005")</f>
        <v>SL005</v>
      </c>
      <c r="C594" s="5" t="str">
        <f>IFERROR(__xludf.DUMMYFUNCTION("""COMPUTED_VALUE"""),"NÃO POSSUI")</f>
        <v>NÃO POSSUI</v>
      </c>
      <c r="D594" s="5" t="str">
        <f>IFERROR(__xludf.DUMMYFUNCTION("""COMPUTED_VALUE"""),"COM SUPORTE")</f>
        <v>COM SUPORTE</v>
      </c>
      <c r="E594" s="5" t="str">
        <f>IFERROR(__xludf.DUMMYFUNCTION("""COMPUTED_VALUE"""),"SEM BAIA")</f>
        <v>SEM BAIA</v>
      </c>
      <c r="F594" s="5" t="str">
        <f>IFERROR(__xludf.DUMMYFUNCTION("""COMPUTED_VALUE"""),"NÃO")</f>
        <v>NÃO</v>
      </c>
      <c r="G594" s="5" t="str">
        <f>IFERROR(__xludf.DUMMYFUNCTION("""COMPUTED_VALUE"""),"NÃO")</f>
        <v>NÃO</v>
      </c>
      <c r="H594" s="5" t="str">
        <f>IFERROR(__xludf.DUMMYFUNCTION("""COMPUTED_VALUE"""),"PAVIMENTADA")</f>
        <v>PAVIMENTADA</v>
      </c>
      <c r="I594" s="6" t="str">
        <f>IFERROR(__xludf.DUMMYFUNCTION("""COMPUTED_VALUE"""),"-9.578913")</f>
        <v>-9.578913</v>
      </c>
      <c r="J594" s="6" t="str">
        <f>IFERROR(__xludf.DUMMYFUNCTION("""COMPUTED_VALUE"""),"-35.754104")</f>
        <v>-35.754104</v>
      </c>
      <c r="K594" s="5" t="str">
        <f>IFERROR(__xludf.DUMMYFUNCTION("""COMPUTED_VALUE"""),"AV. FRANCISCO AFONSO DE MELO 1336")</f>
        <v>AV. FRANCISCO AFONSO DE MELO 1336</v>
      </c>
      <c r="L594" s="5" t="str">
        <f>IFERROR(__xludf.DUMMYFUNCTION("""COMPUTED_VALUE"""),"COLETORA")</f>
        <v>COLETORA</v>
      </c>
      <c r="M594" s="5" t="str">
        <f>IFERROR(__xludf.DUMMYFUNCTION("""COMPUTED_VALUE"""),"SANTA LÚCIA")</f>
        <v>SANTA LÚCIA</v>
      </c>
      <c r="N594" s="5" t="str">
        <f>IFERROR(__xludf.DUMMYFUNCTION("""COMPUTED_VALUE"""),"CENTRO - BAIRRO")</f>
        <v>CENTRO - BAIRRO</v>
      </c>
      <c r="O594" s="5" t="str">
        <f>IFERROR(__xludf.DUMMYFUNCTION("""COMPUTED_VALUE"""),"BARBEARIA W.M")</f>
        <v>BARBEARIA W.M</v>
      </c>
      <c r="P594" s="5" t="str">
        <f>IFERROR(__xludf.DUMMYFUNCTION("""COMPUTED_VALUE"""),"PRIORIDADE BAIXA")</f>
        <v>PRIORIDADE BAIXA</v>
      </c>
      <c r="Q594" s="5" t="str">
        <f>IFERROR(__xludf.DUMMYFUNCTION("""COMPUTED_VALUE"""),"READEQUAÇÃO DA CALÇADA COM ACESSIBILIDADE E BAIA.")</f>
        <v>READEQUAÇÃO DA CALÇADA COM ACESSIBILIDADE E BAIA.</v>
      </c>
      <c r="R594" s="5" t="str">
        <f>IFERROR(__xludf.DUMMYFUNCTION("""COMPUTED_VALUE"""),"NENHUMA DAS OPÇÕES")</f>
        <v>NENHUMA DAS OPÇÕES</v>
      </c>
      <c r="S594" s="5"/>
      <c r="T594" s="5"/>
      <c r="U594" s="5"/>
      <c r="V594" s="9" t="str">
        <f>IFERROR(__xludf.DUMMYFUNCTION("""COMPUTED_VALUE"""),"https://drive.google.com/uc?id=1jowSdOOmVX_M5LBQ-4hVXDYOreA7urCp")</f>
        <v>https://drive.google.com/uc?id=1jowSdOOmVX_M5LBQ-4hVXDYOreA7urCp</v>
      </c>
      <c r="W594" s="5" t="str">
        <f>IFERROR(__xludf.DUMMYFUNCTION("""COMPUTED_VALUE"""),"NÃO")</f>
        <v>NÃO</v>
      </c>
      <c r="X594" s="5" t="str">
        <f>IFERROR(__xludf.DUMMYFUNCTION("""COMPUTED_VALUE"""),"NÃO SE APLICA")</f>
        <v>NÃO SE APLICA</v>
      </c>
    </row>
    <row r="595" hidden="1">
      <c r="A595" s="5">
        <f>IFERROR(__xludf.DUMMYFUNCTION("""COMPUTED_VALUE"""),7.0)</f>
        <v>7</v>
      </c>
      <c r="B595" s="5" t="str">
        <f>IFERROR(__xludf.DUMMYFUNCTION("""COMPUTED_VALUE"""),"SL006")</f>
        <v>SL006</v>
      </c>
      <c r="C595" s="5" t="str">
        <f>IFERROR(__xludf.DUMMYFUNCTION("""COMPUTED_VALUE"""),"NÃO POSSUI")</f>
        <v>NÃO POSSUI</v>
      </c>
      <c r="D595" s="5" t="str">
        <f>IFERROR(__xludf.DUMMYFUNCTION("""COMPUTED_VALUE"""),"SEM PLACA")</f>
        <v>SEM PLACA</v>
      </c>
      <c r="E595" s="5" t="str">
        <f>IFERROR(__xludf.DUMMYFUNCTION("""COMPUTED_VALUE"""),"SEM BAIA")</f>
        <v>SEM BAIA</v>
      </c>
      <c r="F595" s="5" t="str">
        <f>IFERROR(__xludf.DUMMYFUNCTION("""COMPUTED_VALUE"""),"NÃO")</f>
        <v>NÃO</v>
      </c>
      <c r="G595" s="5" t="str">
        <f>IFERROR(__xludf.DUMMYFUNCTION("""COMPUTED_VALUE"""),"NÃO")</f>
        <v>NÃO</v>
      </c>
      <c r="H595" s="5" t="str">
        <f>IFERROR(__xludf.DUMMYFUNCTION("""COMPUTED_VALUE"""),"PAVIMENTADA")</f>
        <v>PAVIMENTADA</v>
      </c>
      <c r="I595" s="6" t="str">
        <f>IFERROR(__xludf.DUMMYFUNCTION("""COMPUTED_VALUE"""),"-9.577686")</f>
        <v>-9.577686</v>
      </c>
      <c r="J595" s="6" t="str">
        <f>IFERROR(__xludf.DUMMYFUNCTION("""COMPUTED_VALUE"""),"-35.751690")</f>
        <v>-35.751690</v>
      </c>
      <c r="K595" s="5" t="str">
        <f>IFERROR(__xludf.DUMMYFUNCTION("""COMPUTED_VALUE"""),"AV. FRANCISCO AFONSO DE MELO 170")</f>
        <v>AV. FRANCISCO AFONSO DE MELO 170</v>
      </c>
      <c r="L595" s="5" t="str">
        <f>IFERROR(__xludf.DUMMYFUNCTION("""COMPUTED_VALUE"""),"COLETORA")</f>
        <v>COLETORA</v>
      </c>
      <c r="M595" s="5" t="str">
        <f>IFERROR(__xludf.DUMMYFUNCTION("""COMPUTED_VALUE"""),"SANTA LÚCIA")</f>
        <v>SANTA LÚCIA</v>
      </c>
      <c r="N595" s="5" t="str">
        <f>IFERROR(__xludf.DUMMYFUNCTION("""COMPUTED_VALUE"""),"CENTRO - BAIRRO")</f>
        <v>CENTRO - BAIRRO</v>
      </c>
      <c r="O595" s="5" t="str">
        <f>IFERROR(__xludf.DUMMYFUNCTION("""COMPUTED_VALUE"""),"PRÓXIMO A LOJA LAJE CONSTRUÇÕESESTOFADOS M.B 170")</f>
        <v>PRÓXIMO A LOJA LAJE CONSTRUÇÕESESTOFADOS M.B 170</v>
      </c>
      <c r="P595" s="5" t="str">
        <f>IFERROR(__xludf.DUMMYFUNCTION("""COMPUTED_VALUE"""),"PRIORIDADE MÉDIA")</f>
        <v>PRIORIDADE MÉDIA</v>
      </c>
      <c r="Q595" s="5" t="str">
        <f>IFERROR(__xludf.DUMMYFUNCTION("""COMPUTED_VALUE"""),"READEQUAÇÃO DA CALÇADA COM ACESSIBILIDADE E BAIA. REPARAR ABRIGO COM PARTES ENFERRUJADAS, PINTURA DESGASTADA.")</f>
        <v>READEQUAÇÃO DA CALÇADA COM ACESSIBILIDADE E BAIA. REPARAR ABRIGO COM PARTES ENFERRUJADAS, PINTURA DESGASTADA.</v>
      </c>
      <c r="R595" s="5" t="str">
        <f>IFERROR(__xludf.DUMMYFUNCTION("""COMPUTED_VALUE"""),"IMPLANTAR ABRIGO")</f>
        <v>IMPLANTAR ABRIGO</v>
      </c>
      <c r="S595" s="5"/>
      <c r="T595" s="5"/>
      <c r="U595" s="5"/>
      <c r="V595" s="9" t="str">
        <f>IFERROR(__xludf.DUMMYFUNCTION("""COMPUTED_VALUE"""),"https://drive.google.com/uc?id=1y4yhRQSNl39IPcwGZgn04QxDh_wIWK-a")</f>
        <v>https://drive.google.com/uc?id=1y4yhRQSNl39IPcwGZgn04QxDh_wIWK-a</v>
      </c>
      <c r="W595" s="5" t="str">
        <f>IFERROR(__xludf.DUMMYFUNCTION("""COMPUTED_VALUE"""),"NÃO")</f>
        <v>NÃO</v>
      </c>
      <c r="X595" s="5" t="str">
        <f>IFERROR(__xludf.DUMMYFUNCTION("""COMPUTED_VALUE"""),"NÃO")</f>
        <v>NÃO</v>
      </c>
    </row>
    <row r="596" hidden="1">
      <c r="A596" s="5">
        <f>IFERROR(__xludf.DUMMYFUNCTION("""COMPUTED_VALUE"""),7.0)</f>
        <v>7</v>
      </c>
      <c r="B596" s="5" t="str">
        <f>IFERROR(__xludf.DUMMYFUNCTION("""COMPUTED_VALUE"""),"SL007")</f>
        <v>SL007</v>
      </c>
      <c r="C596" s="5" t="str">
        <f>IFERROR(__xludf.DUMMYFUNCTION("""COMPUTED_VALUE"""),"NÃO POSSUI")</f>
        <v>NÃO POSSUI</v>
      </c>
      <c r="D596" s="5" t="str">
        <f>IFERROR(__xludf.DUMMYFUNCTION("""COMPUTED_VALUE"""),"COM SUPORTE")</f>
        <v>COM SUPORTE</v>
      </c>
      <c r="E596" s="5" t="str">
        <f>IFERROR(__xludf.DUMMYFUNCTION("""COMPUTED_VALUE"""),"SEM BAIA")</f>
        <v>SEM BAIA</v>
      </c>
      <c r="F596" s="5" t="str">
        <f>IFERROR(__xludf.DUMMYFUNCTION("""COMPUTED_VALUE"""),"NÃO")</f>
        <v>NÃO</v>
      </c>
      <c r="G596" s="5" t="str">
        <f>IFERROR(__xludf.DUMMYFUNCTION("""COMPUTED_VALUE"""),"NÃO")</f>
        <v>NÃO</v>
      </c>
      <c r="H596" s="5" t="str">
        <f>IFERROR(__xludf.DUMMYFUNCTION("""COMPUTED_VALUE"""),"PAVIMENTADA")</f>
        <v>PAVIMENTADA</v>
      </c>
      <c r="I596" s="6" t="str">
        <f>IFERROR(__xludf.DUMMYFUNCTION("""COMPUTED_VALUE"""),"-9.571990")</f>
        <v>-9.571990</v>
      </c>
      <c r="J596" s="6" t="str">
        <f>IFERROR(__xludf.DUMMYFUNCTION("""COMPUTED_VALUE"""),"-35.750194")</f>
        <v>-35.750194</v>
      </c>
      <c r="K596" s="5" t="str">
        <f>IFERROR(__xludf.DUMMYFUNCTION("""COMPUTED_VALUE"""),"AV. FRANCISCO AFONSO DE MELO 22")</f>
        <v>AV. FRANCISCO AFONSO DE MELO 22</v>
      </c>
      <c r="L596" s="5" t="str">
        <f>IFERROR(__xludf.DUMMYFUNCTION("""COMPUTED_VALUE"""),"COLETORA")</f>
        <v>COLETORA</v>
      </c>
      <c r="M596" s="5" t="str">
        <f>IFERROR(__xludf.DUMMYFUNCTION("""COMPUTED_VALUE"""),"SANTA LÚCIA")</f>
        <v>SANTA LÚCIA</v>
      </c>
      <c r="N596" s="5" t="str">
        <f>IFERROR(__xludf.DUMMYFUNCTION("""COMPUTED_VALUE"""),"CENTRO - BAIRRO")</f>
        <v>CENTRO - BAIRRO</v>
      </c>
      <c r="O596" s="5" t="str">
        <f>IFERROR(__xludf.DUMMYFUNCTION("""COMPUTED_VALUE"""),"CASA 18")</f>
        <v>CASA 18</v>
      </c>
      <c r="P596" s="5" t="str">
        <f>IFERROR(__xludf.DUMMYFUNCTION("""COMPUTED_VALUE"""),"PRIORIDADE BAIXA")</f>
        <v>PRIORIDADE BAIXA</v>
      </c>
      <c r="Q596" s="5" t="str">
        <f>IFERROR(__xludf.DUMMYFUNCTION("""COMPUTED_VALUE"""),"READEQUAÇÃO DA CALÇADA COM ACESSIBILIDADE E BAIA. ")</f>
        <v>READEQUAÇÃO DA CALÇADA COM ACESSIBILIDADE E BAIA. </v>
      </c>
      <c r="R596" s="5" t="str">
        <f>IFERROR(__xludf.DUMMYFUNCTION("""COMPUTED_VALUE"""),"NENHUMA DAS OPÇÕES")</f>
        <v>NENHUMA DAS OPÇÕES</v>
      </c>
      <c r="S596" s="5"/>
      <c r="T596" s="5"/>
      <c r="U596" s="5"/>
      <c r="V596" s="9" t="str">
        <f>IFERROR(__xludf.DUMMYFUNCTION("""COMPUTED_VALUE"""),"https://drive.google.com/uc?id=16daX_e85mxQk0zHfSk2vwHgbCu2ZMDwy")</f>
        <v>https://drive.google.com/uc?id=16daX_e85mxQk0zHfSk2vwHgbCu2ZMDwy</v>
      </c>
      <c r="W596" s="5" t="str">
        <f>IFERROR(__xludf.DUMMYFUNCTION("""COMPUTED_VALUE"""),"NÃO")</f>
        <v>NÃO</v>
      </c>
      <c r="X596" s="5" t="str">
        <f>IFERROR(__xludf.DUMMYFUNCTION("""COMPUTED_VALUE"""),"NÃO SE APLICA")</f>
        <v>NÃO SE APLICA</v>
      </c>
    </row>
    <row r="597">
      <c r="A597" s="5">
        <f>IFERROR(__xludf.DUMMYFUNCTION("""COMPUTED_VALUE"""),7.0)</f>
        <v>7</v>
      </c>
      <c r="B597" s="5" t="str">
        <f>IFERROR(__xludf.DUMMYFUNCTION("""COMPUTED_VALUE"""),"SL008")</f>
        <v>SL008</v>
      </c>
      <c r="C597" s="5" t="str">
        <f>IFERROR(__xludf.DUMMYFUNCTION("""COMPUTED_VALUE"""),"ABRIGO CONCRETO")</f>
        <v>ABRIGO CONCRETO</v>
      </c>
      <c r="D597" s="5" t="str">
        <f>IFERROR(__xludf.DUMMYFUNCTION("""COMPUTED_VALUE"""),"SEM PLACA")</f>
        <v>SEM PLACA</v>
      </c>
      <c r="E597" s="5" t="str">
        <f>IFERROR(__xludf.DUMMYFUNCTION("""COMPUTED_VALUE"""),"SEM BAIA")</f>
        <v>SEM BAIA</v>
      </c>
      <c r="F597" s="5" t="str">
        <f>IFERROR(__xludf.DUMMYFUNCTION("""COMPUTED_VALUE"""),"NÃO")</f>
        <v>NÃO</v>
      </c>
      <c r="G597" s="5" t="str">
        <f>IFERROR(__xludf.DUMMYFUNCTION("""COMPUTED_VALUE"""),"NÃO")</f>
        <v>NÃO</v>
      </c>
      <c r="H597" s="5" t="str">
        <f>IFERROR(__xludf.DUMMYFUNCTION("""COMPUTED_VALUE"""),"PAVIMENTADA")</f>
        <v>PAVIMENTADA</v>
      </c>
      <c r="I597" s="6" t="str">
        <f>IFERROR(__xludf.DUMMYFUNCTION("""COMPUTED_VALUE"""),"-9.574797")</f>
        <v>-9.574797</v>
      </c>
      <c r="J597" s="6" t="str">
        <f>IFERROR(__xludf.DUMMYFUNCTION("""COMPUTED_VALUE"""),"-35.750742")</f>
        <v>-35.750742</v>
      </c>
      <c r="K597" s="5" t="str">
        <f>IFERROR(__xludf.DUMMYFUNCTION("""COMPUTED_VALUE"""),"AV. BELMIRO AMORIM 02")</f>
        <v>AV. BELMIRO AMORIM 02</v>
      </c>
      <c r="L597" s="5" t="str">
        <f>IFERROR(__xludf.DUMMYFUNCTION("""COMPUTED_VALUE"""),"COLETORA")</f>
        <v>COLETORA</v>
      </c>
      <c r="M597" s="5" t="str">
        <f>IFERROR(__xludf.DUMMYFUNCTION("""COMPUTED_VALUE"""),"SANTA LÚCIA")</f>
        <v>SANTA LÚCIA</v>
      </c>
      <c r="N597" s="5" t="str">
        <f>IFERROR(__xludf.DUMMYFUNCTION("""COMPUTED_VALUE"""),"CENTRO - BAIRRO")</f>
        <v>CENTRO - BAIRRO</v>
      </c>
      <c r="O597" s="5" t="str">
        <f>IFERROR(__xludf.DUMMYFUNCTION("""COMPUTED_VALUE"""),"EM FRENTE A CASA 255")</f>
        <v>EM FRENTE A CASA 255</v>
      </c>
      <c r="P597" s="5" t="str">
        <f>IFERROR(__xludf.DUMMYFUNCTION("""COMPUTED_VALUE"""),"PRIORIDADE BAIXA")</f>
        <v>PRIORIDADE BAIXA</v>
      </c>
      <c r="Q597" s="5" t="str">
        <f>IFERROR(__xludf.DUMMYFUNCTION("""COMPUTED_VALUE"""),"READEQUAÇÃO DA CALÇADA COM ACESSIBILIDADE E BAIA. REPARAR ABRIGO, FAZER LIMPEZA DO TETO, REFAZER PINTURA.")</f>
        <v>READEQUAÇÃO DA CALÇADA COM ACESSIBILIDADE E BAIA. REPARAR ABRIGO, FAZER LIMPEZA DO TETO, REFAZER PINTURA.</v>
      </c>
      <c r="R597" s="5" t="str">
        <f>IFERROR(__xludf.DUMMYFUNCTION("""COMPUTED_VALUE"""),"SUBSTITUIR ABRIGO")</f>
        <v>SUBSTITUIR ABRIGO</v>
      </c>
      <c r="S597" s="5"/>
      <c r="T597" s="5"/>
      <c r="U597" s="5"/>
      <c r="V597" s="9" t="str">
        <f>IFERROR(__xludf.DUMMYFUNCTION("""COMPUTED_VALUE"""),"https://drive.google.com/uc?id=1wavxSWg_1Fqjx5tk_gV35WmovXG7Okte")</f>
        <v>https://drive.google.com/uc?id=1wavxSWg_1Fqjx5tk_gV35WmovXG7Okte</v>
      </c>
      <c r="W597" s="5" t="str">
        <f>IFERROR(__xludf.DUMMYFUNCTION("""COMPUTED_VALUE"""),"NÃO")</f>
        <v>NÃO</v>
      </c>
      <c r="X597" s="5" t="str">
        <f>IFERROR(__xludf.DUMMYFUNCTION("""COMPUTED_VALUE"""),"NÃO SE APLICA")</f>
        <v>NÃO SE APLICA</v>
      </c>
    </row>
    <row r="598">
      <c r="A598" s="5">
        <f>IFERROR(__xludf.DUMMYFUNCTION("""COMPUTED_VALUE"""),7.0)</f>
        <v>7</v>
      </c>
      <c r="B598" s="5" t="str">
        <f>IFERROR(__xludf.DUMMYFUNCTION("""COMPUTED_VALUE"""),"SL009")</f>
        <v>SL009</v>
      </c>
      <c r="C598" s="5" t="str">
        <f>IFERROR(__xludf.DUMMYFUNCTION("""COMPUTED_VALUE"""),"ABRIGO METÁLICO PEQUENO PORTE")</f>
        <v>ABRIGO METÁLICO PEQUENO PORTE</v>
      </c>
      <c r="D598" s="5" t="str">
        <f>IFERROR(__xludf.DUMMYFUNCTION("""COMPUTED_VALUE"""),"COM SUPORTE")</f>
        <v>COM SUPORTE</v>
      </c>
      <c r="E598" s="5" t="str">
        <f>IFERROR(__xludf.DUMMYFUNCTION("""COMPUTED_VALUE"""),"SEM BAIA")</f>
        <v>SEM BAIA</v>
      </c>
      <c r="F598" s="5" t="str">
        <f>IFERROR(__xludf.DUMMYFUNCTION("""COMPUTED_VALUE"""),"NÃO")</f>
        <v>NÃO</v>
      </c>
      <c r="G598" s="5" t="str">
        <f>IFERROR(__xludf.DUMMYFUNCTION("""COMPUTED_VALUE"""),"NÃO")</f>
        <v>NÃO</v>
      </c>
      <c r="H598" s="5" t="str">
        <f>IFERROR(__xludf.DUMMYFUNCTION("""COMPUTED_VALUE"""),"NÃO PAVIMENTADA")</f>
        <v>NÃO PAVIMENTADA</v>
      </c>
      <c r="I598" s="6" t="str">
        <f>IFERROR(__xludf.DUMMYFUNCTION("""COMPUTED_VALUE"""),"-9.576244")</f>
        <v>-9.576244</v>
      </c>
      <c r="J598" s="6" t="str">
        <f>IFERROR(__xludf.DUMMYFUNCTION("""COMPUTED_VALUE"""),"-35.751428")</f>
        <v>-35.751428</v>
      </c>
      <c r="K598" s="5" t="str">
        <f>IFERROR(__xludf.DUMMYFUNCTION("""COMPUTED_VALUE"""),"AV. BELMIRO AMORIM 1869")</f>
        <v>AV. BELMIRO AMORIM 1869</v>
      </c>
      <c r="L598" s="5" t="str">
        <f>IFERROR(__xludf.DUMMYFUNCTION("""COMPUTED_VALUE"""),"COLETORA")</f>
        <v>COLETORA</v>
      </c>
      <c r="M598" s="5" t="str">
        <f>IFERROR(__xludf.DUMMYFUNCTION("""COMPUTED_VALUE"""),"SANTA LÚCIA")</f>
        <v>SANTA LÚCIA</v>
      </c>
      <c r="N598" s="5" t="str">
        <f>IFERROR(__xludf.DUMMYFUNCTION("""COMPUTED_VALUE"""),"BAIRRO - CENTRO")</f>
        <v>BAIRRO - CENTRO</v>
      </c>
      <c r="O598" s="5" t="str">
        <f>IFERROR(__xludf.DUMMYFUNCTION("""COMPUTED_VALUE"""),"EM FRENTE A IGREJA QUADRANGULA")</f>
        <v>EM FRENTE A IGREJA QUADRANGULA</v>
      </c>
      <c r="P598" s="5" t="str">
        <f>IFERROR(__xludf.DUMMYFUNCTION("""COMPUTED_VALUE"""),"PRIORIDADE BAIXA")</f>
        <v>PRIORIDADE BAIXA</v>
      </c>
      <c r="Q598" s="5" t="str">
        <f>IFERROR(__xludf.DUMMYFUNCTION("""COMPUTED_VALUE"""),"READEQUAÇÃO DA CALÇADA COM ACESSIBILIDADE E BAIA.")</f>
        <v>READEQUAÇÃO DA CALÇADA COM ACESSIBILIDADE E BAIA.</v>
      </c>
      <c r="R598" s="5" t="str">
        <f>IFERROR(__xludf.DUMMYFUNCTION("""COMPUTED_VALUE"""),"NENHUMA DAS OPÇÕES")</f>
        <v>NENHUMA DAS OPÇÕES</v>
      </c>
      <c r="S598" s="5"/>
      <c r="T598" s="5"/>
      <c r="U598" s="5"/>
      <c r="V598" s="9" t="str">
        <f>IFERROR(__xludf.DUMMYFUNCTION("""COMPUTED_VALUE"""),"https://drive.google.com/uc?id=1_Pd27EkpTwh4UM7MYy1w_rSQqyxhHn5S")</f>
        <v>https://drive.google.com/uc?id=1_Pd27EkpTwh4UM7MYy1w_rSQqyxhHn5S</v>
      </c>
      <c r="W598" s="5" t="str">
        <f>IFERROR(__xludf.DUMMYFUNCTION("""COMPUTED_VALUE"""),"NÃO")</f>
        <v>NÃO</v>
      </c>
      <c r="X598" s="5" t="str">
        <f>IFERROR(__xludf.DUMMYFUNCTION("""COMPUTED_VALUE"""),"NÃO")</f>
        <v>NÃO</v>
      </c>
    </row>
    <row r="599">
      <c r="A599" s="5">
        <f>IFERROR(__xludf.DUMMYFUNCTION("""COMPUTED_VALUE"""),7.0)</f>
        <v>7</v>
      </c>
      <c r="B599" s="5" t="str">
        <f>IFERROR(__xludf.DUMMYFUNCTION("""COMPUTED_VALUE"""),"SL010")</f>
        <v>SL010</v>
      </c>
      <c r="C599" s="5" t="str">
        <f>IFERROR(__xludf.DUMMYFUNCTION("""COMPUTED_VALUE"""),"ABRIGO CONCRETO")</f>
        <v>ABRIGO CONCRETO</v>
      </c>
      <c r="D599" s="5" t="str">
        <f>IFERROR(__xludf.DUMMYFUNCTION("""COMPUTED_VALUE"""),"SEM PLACA")</f>
        <v>SEM PLACA</v>
      </c>
      <c r="E599" s="5" t="str">
        <f>IFERROR(__xludf.DUMMYFUNCTION("""COMPUTED_VALUE"""),"SEM BAIA")</f>
        <v>SEM BAIA</v>
      </c>
      <c r="F599" s="5" t="str">
        <f>IFERROR(__xludf.DUMMYFUNCTION("""COMPUTED_VALUE"""),"NÃO")</f>
        <v>NÃO</v>
      </c>
      <c r="G599" s="5" t="str">
        <f>IFERROR(__xludf.DUMMYFUNCTION("""COMPUTED_VALUE"""),"NÃO")</f>
        <v>NÃO</v>
      </c>
      <c r="H599" s="5" t="str">
        <f>IFERROR(__xludf.DUMMYFUNCTION("""COMPUTED_VALUE"""),"NÃO PAVIMENTADA")</f>
        <v>NÃO PAVIMENTADA</v>
      </c>
      <c r="I599" s="6" t="str">
        <f>IFERROR(__xludf.DUMMYFUNCTION("""COMPUTED_VALUE"""),"-9.577235")</f>
        <v>-9.577235</v>
      </c>
      <c r="J599" s="6" t="str">
        <f>IFERROR(__xludf.DUMMYFUNCTION("""COMPUTED_VALUE"""),"-35.753389")</f>
        <v>-35.753389</v>
      </c>
      <c r="K599" s="5" t="str">
        <f>IFERROR(__xludf.DUMMYFUNCTION("""COMPUTED_VALUE"""),"AV. BELMIRO AMORIM 02")</f>
        <v>AV. BELMIRO AMORIM 02</v>
      </c>
      <c r="L599" s="5" t="str">
        <f>IFERROR(__xludf.DUMMYFUNCTION("""COMPUTED_VALUE"""),"COLETORA")</f>
        <v>COLETORA</v>
      </c>
      <c r="M599" s="5" t="str">
        <f>IFERROR(__xludf.DUMMYFUNCTION("""COMPUTED_VALUE"""),"SANTA LÚCIA")</f>
        <v>SANTA LÚCIA</v>
      </c>
      <c r="N599" s="5" t="str">
        <f>IFERROR(__xludf.DUMMYFUNCTION("""COMPUTED_VALUE"""),"BAIRRO - CENTRO")</f>
        <v>BAIRRO - CENTRO</v>
      </c>
      <c r="O599" s="5" t="str">
        <f>IFERROR(__xludf.DUMMYFUNCTION("""COMPUTED_VALUE"""),"LÍDER PROTEÇÃO VEICULAR")</f>
        <v>LÍDER PROTEÇÃO VEICULAR</v>
      </c>
      <c r="P599" s="5" t="str">
        <f>IFERROR(__xludf.DUMMYFUNCTION("""COMPUTED_VALUE"""),"PRIORIDADE MÉDIA")</f>
        <v>PRIORIDADE MÉDIA</v>
      </c>
      <c r="Q599" s="5" t="str">
        <f>IFERROR(__xludf.DUMMYFUNCTION("""COMPUTED_VALUE"""),"READEQUAÇÃO DA CALÇADA COM ACESSIBILIDADE E BAIA.")</f>
        <v>READEQUAÇÃO DA CALÇADA COM ACESSIBILIDADE E BAIA.</v>
      </c>
      <c r="R599" s="5" t="str">
        <f>IFERROR(__xludf.DUMMYFUNCTION("""COMPUTED_VALUE"""),"SUBSTITUIR ABRIGO")</f>
        <v>SUBSTITUIR ABRIGO</v>
      </c>
      <c r="S599" s="5"/>
      <c r="T599" s="5"/>
      <c r="U599" s="5"/>
      <c r="V599" s="9" t="str">
        <f>IFERROR(__xludf.DUMMYFUNCTION("""COMPUTED_VALUE"""),"https://drive.google.com/uc?id=1or_UUD42ZWCK31nDzHoV81Etj8D4rA-m")</f>
        <v>https://drive.google.com/uc?id=1or_UUD42ZWCK31nDzHoV81Etj8D4rA-m</v>
      </c>
      <c r="W599" s="5" t="str">
        <f>IFERROR(__xludf.DUMMYFUNCTION("""COMPUTED_VALUE"""),"NÃO")</f>
        <v>NÃO</v>
      </c>
      <c r="X599" s="5" t="str">
        <f>IFERROR(__xludf.DUMMYFUNCTION("""COMPUTED_VALUE"""),"NÃO SE APLICA")</f>
        <v>NÃO SE APLICA</v>
      </c>
    </row>
    <row r="600">
      <c r="A600" s="5">
        <f>IFERROR(__xludf.DUMMYFUNCTION("""COMPUTED_VALUE"""),7.0)</f>
        <v>7</v>
      </c>
      <c r="B600" s="5" t="str">
        <f>IFERROR(__xludf.DUMMYFUNCTION("""COMPUTED_VALUE"""),"SL011")</f>
        <v>SL011</v>
      </c>
      <c r="C600" s="5" t="str">
        <f>IFERROR(__xludf.DUMMYFUNCTION("""COMPUTED_VALUE"""),"ABRIGO CONCRETO")</f>
        <v>ABRIGO CONCRETO</v>
      </c>
      <c r="D600" s="5" t="str">
        <f>IFERROR(__xludf.DUMMYFUNCTION("""COMPUTED_VALUE"""),"SEM PLACA")</f>
        <v>SEM PLACA</v>
      </c>
      <c r="E600" s="5" t="str">
        <f>IFERROR(__xludf.DUMMYFUNCTION("""COMPUTED_VALUE"""),"SEM BAIA")</f>
        <v>SEM BAIA</v>
      </c>
      <c r="F600" s="5" t="str">
        <f>IFERROR(__xludf.DUMMYFUNCTION("""COMPUTED_VALUE"""),"NÃO")</f>
        <v>NÃO</v>
      </c>
      <c r="G600" s="5" t="str">
        <f>IFERROR(__xludf.DUMMYFUNCTION("""COMPUTED_VALUE"""),"NÃO")</f>
        <v>NÃO</v>
      </c>
      <c r="H600" s="5" t="str">
        <f>IFERROR(__xludf.DUMMYFUNCTION("""COMPUTED_VALUE"""),"PAVIMENTADA")</f>
        <v>PAVIMENTADA</v>
      </c>
      <c r="I600" s="6" t="str">
        <f>IFERROR(__xludf.DUMMYFUNCTION("""COMPUTED_VALUE"""),"-9.578506")</f>
        <v>-9.578506</v>
      </c>
      <c r="J600" s="6" t="str">
        <f>IFERROR(__xludf.DUMMYFUNCTION("""COMPUTED_VALUE"""),"-35.755816")</f>
        <v>-35.755816</v>
      </c>
      <c r="K600" s="5" t="str">
        <f>IFERROR(__xludf.DUMMYFUNCTION("""COMPUTED_VALUE"""),"AV. BELMIRO AMORIM 02")</f>
        <v>AV. BELMIRO AMORIM 02</v>
      </c>
      <c r="L600" s="5" t="str">
        <f>IFERROR(__xludf.DUMMYFUNCTION("""COMPUTED_VALUE"""),"COLETORA")</f>
        <v>COLETORA</v>
      </c>
      <c r="M600" s="5" t="str">
        <f>IFERROR(__xludf.DUMMYFUNCTION("""COMPUTED_VALUE"""),"SANTA LÚCIA")</f>
        <v>SANTA LÚCIA</v>
      </c>
      <c r="N600" s="5" t="str">
        <f>IFERROR(__xludf.DUMMYFUNCTION("""COMPUTED_VALUE"""),"BAIRRO - CENTRO")</f>
        <v>BAIRRO - CENTRO</v>
      </c>
      <c r="O600" s="5" t="str">
        <f>IFERROR(__xludf.DUMMYFUNCTION("""COMPUTED_VALUE"""),"COSME CABELOS 352")</f>
        <v>COSME CABELOS 352</v>
      </c>
      <c r="P600" s="5" t="str">
        <f>IFERROR(__xludf.DUMMYFUNCTION("""COMPUTED_VALUE"""),"PRIORIDADE BAIXA")</f>
        <v>PRIORIDADE BAIXA</v>
      </c>
      <c r="Q600" s="5" t="str">
        <f>IFERROR(__xludf.DUMMYFUNCTION("""COMPUTED_VALUE"""),"READEQUAÇÃO DA CALÇADA COM ACESSIBILIDADE E BAIA.")</f>
        <v>READEQUAÇÃO DA CALÇADA COM ACESSIBILIDADE E BAIA.</v>
      </c>
      <c r="R600" s="5" t="str">
        <f>IFERROR(__xludf.DUMMYFUNCTION("""COMPUTED_VALUE"""),"SUBSTITUIR ABRIGO")</f>
        <v>SUBSTITUIR ABRIGO</v>
      </c>
      <c r="S600" s="5"/>
      <c r="T600" s="5"/>
      <c r="U600" s="5"/>
      <c r="V600" s="9" t="str">
        <f>IFERROR(__xludf.DUMMYFUNCTION("""COMPUTED_VALUE"""),"https://drive.google.com/uc?id=1Jcooy8r3wfzdYcJvyw3q4DW8FhzAS4tb")</f>
        <v>https://drive.google.com/uc?id=1Jcooy8r3wfzdYcJvyw3q4DW8FhzAS4tb</v>
      </c>
      <c r="W600" s="5" t="str">
        <f>IFERROR(__xludf.DUMMYFUNCTION("""COMPUTED_VALUE"""),"NÃO")</f>
        <v>NÃO</v>
      </c>
      <c r="X600" s="5" t="str">
        <f>IFERROR(__xludf.DUMMYFUNCTION("""COMPUTED_VALUE"""),"NÃO SE APLICA")</f>
        <v>NÃO SE APLICA</v>
      </c>
    </row>
    <row r="601">
      <c r="A601" s="5">
        <f>IFERROR(__xludf.DUMMYFUNCTION("""COMPUTED_VALUE"""),7.0)</f>
        <v>7</v>
      </c>
      <c r="B601" s="5" t="str">
        <f>IFERROR(__xludf.DUMMYFUNCTION("""COMPUTED_VALUE"""),"SL012")</f>
        <v>SL012</v>
      </c>
      <c r="C601" s="5" t="str">
        <f>IFERROR(__xludf.DUMMYFUNCTION("""COMPUTED_VALUE"""),"ABRIGO CONCRETO")</f>
        <v>ABRIGO CONCRETO</v>
      </c>
      <c r="D601" s="5" t="str">
        <f>IFERROR(__xludf.DUMMYFUNCTION("""COMPUTED_VALUE"""),"SEM PLACA")</f>
        <v>SEM PLACA</v>
      </c>
      <c r="E601" s="5" t="str">
        <f>IFERROR(__xludf.DUMMYFUNCTION("""COMPUTED_VALUE"""),"SEM BAIA")</f>
        <v>SEM BAIA</v>
      </c>
      <c r="F601" s="5" t="str">
        <f>IFERROR(__xludf.DUMMYFUNCTION("""COMPUTED_VALUE"""),"NÃO")</f>
        <v>NÃO</v>
      </c>
      <c r="G601" s="5" t="str">
        <f>IFERROR(__xludf.DUMMYFUNCTION("""COMPUTED_VALUE"""),"NÃO")</f>
        <v>NÃO</v>
      </c>
      <c r="H601" s="5" t="str">
        <f>IFERROR(__xludf.DUMMYFUNCTION("""COMPUTED_VALUE"""),"PAVIMENTADA")</f>
        <v>PAVIMENTADA</v>
      </c>
      <c r="I601" s="6" t="str">
        <f>IFERROR(__xludf.DUMMYFUNCTION("""COMPUTED_VALUE"""),"-9.579447")</f>
        <v>-9.579447</v>
      </c>
      <c r="J601" s="6" t="str">
        <f>IFERROR(__xludf.DUMMYFUNCTION("""COMPUTED_VALUE"""),"-35.757649")</f>
        <v>-35.757649</v>
      </c>
      <c r="K601" s="5" t="str">
        <f>IFERROR(__xludf.DUMMYFUNCTION("""COMPUTED_VALUE"""),"AV. BELMIRO AMORIM 129")</f>
        <v>AV. BELMIRO AMORIM 129</v>
      </c>
      <c r="L601" s="5" t="str">
        <f>IFERROR(__xludf.DUMMYFUNCTION("""COMPUTED_VALUE"""),"COLETORA")</f>
        <v>COLETORA</v>
      </c>
      <c r="M601" s="5" t="str">
        <f>IFERROR(__xludf.DUMMYFUNCTION("""COMPUTED_VALUE"""),"SANTA LÚCIA")</f>
        <v>SANTA LÚCIA</v>
      </c>
      <c r="N601" s="5" t="str">
        <f>IFERROR(__xludf.DUMMYFUNCTION("""COMPUTED_VALUE"""),"BAIRRO - CENTRO")</f>
        <v>BAIRRO - CENTRO</v>
      </c>
      <c r="O601" s="5" t="str">
        <f>IFERROR(__xludf.DUMMYFUNCTION("""COMPUTED_VALUE"""),"EM FRENTE A CASA 43")</f>
        <v>EM FRENTE A CASA 43</v>
      </c>
      <c r="P601" s="5" t="str">
        <f>IFERROR(__xludf.DUMMYFUNCTION("""COMPUTED_VALUE"""),"PRIORIDADE BAIXA")</f>
        <v>PRIORIDADE BAIXA</v>
      </c>
      <c r="Q601" s="5" t="str">
        <f>IFERROR(__xludf.DUMMYFUNCTION("""COMPUTED_VALUE"""),"READEQUAÇÃO DA CALÇADA COM ACESSIBILIDADE E BAIA.")</f>
        <v>READEQUAÇÃO DA CALÇADA COM ACESSIBILIDADE E BAIA.</v>
      </c>
      <c r="R601" s="5" t="str">
        <f>IFERROR(__xludf.DUMMYFUNCTION("""COMPUTED_VALUE"""),"SUBSTITUIR ABRIGO")</f>
        <v>SUBSTITUIR ABRIGO</v>
      </c>
      <c r="S601" s="5"/>
      <c r="T601" s="5"/>
      <c r="U601" s="5"/>
      <c r="V601" s="9" t="str">
        <f>IFERROR(__xludf.DUMMYFUNCTION("""COMPUTED_VALUE"""),"https://drive.google.com/uc?id=1TYhagmwqQ_mRjrLQPwpZaNdIoefSASOP")</f>
        <v>https://drive.google.com/uc?id=1TYhagmwqQ_mRjrLQPwpZaNdIoefSASOP</v>
      </c>
      <c r="W601" s="5" t="str">
        <f>IFERROR(__xludf.DUMMYFUNCTION("""COMPUTED_VALUE"""),"NÃO")</f>
        <v>NÃO</v>
      </c>
      <c r="X601" s="5" t="str">
        <f>IFERROR(__xludf.DUMMYFUNCTION("""COMPUTED_VALUE"""),"NÃO SE APLICA")</f>
        <v>NÃO SE APLICA</v>
      </c>
    </row>
    <row r="602" hidden="1">
      <c r="A602" s="5">
        <f>IFERROR(__xludf.DUMMYFUNCTION("""COMPUTED_VALUE"""),7.0)</f>
        <v>7</v>
      </c>
      <c r="B602" s="5" t="str">
        <f>IFERROR(__xludf.DUMMYFUNCTION("""COMPUTED_VALUE"""),"SL013")</f>
        <v>SL013</v>
      </c>
      <c r="C602" s="5" t="str">
        <f>IFERROR(__xludf.DUMMYFUNCTION("""COMPUTED_VALUE"""),"NÃO POSSUI")</f>
        <v>NÃO POSSUI</v>
      </c>
      <c r="D602" s="5" t="str">
        <f>IFERROR(__xludf.DUMMYFUNCTION("""COMPUTED_VALUE"""),"COM SUPORTE")</f>
        <v>COM SUPORTE</v>
      </c>
      <c r="E602" s="5" t="str">
        <f>IFERROR(__xludf.DUMMYFUNCTION("""COMPUTED_VALUE"""),"SEM BAIA")</f>
        <v>SEM BAIA</v>
      </c>
      <c r="F602" s="5" t="str">
        <f>IFERROR(__xludf.DUMMYFUNCTION("""COMPUTED_VALUE"""),"NÃO")</f>
        <v>NÃO</v>
      </c>
      <c r="G602" s="5" t="str">
        <f>IFERROR(__xludf.DUMMYFUNCTION("""COMPUTED_VALUE"""),"NÃO")</f>
        <v>NÃO</v>
      </c>
      <c r="H602" s="5" t="str">
        <f>IFERROR(__xludf.DUMMYFUNCTION("""COMPUTED_VALUE"""),"PAVIMENTADA")</f>
        <v>PAVIMENTADA</v>
      </c>
      <c r="I602" s="6" t="str">
        <f>IFERROR(__xludf.DUMMYFUNCTION("""COMPUTED_VALUE"""),"-9.581208")</f>
        <v>-9.581208</v>
      </c>
      <c r="J602" s="6" t="str">
        <f>IFERROR(__xludf.DUMMYFUNCTION("""COMPUTED_VALUE"""),"-35.760320")</f>
        <v>-35.760320</v>
      </c>
      <c r="K602" s="5" t="str">
        <f>IFERROR(__xludf.DUMMYFUNCTION("""COMPUTED_VALUE"""),"AV. BELMIRO AMORIM 512H")</f>
        <v>AV. BELMIRO AMORIM 512H</v>
      </c>
      <c r="L602" s="5" t="str">
        <f>IFERROR(__xludf.DUMMYFUNCTION("""COMPUTED_VALUE"""),"COLETORA")</f>
        <v>COLETORA</v>
      </c>
      <c r="M602" s="5" t="str">
        <f>IFERROR(__xludf.DUMMYFUNCTION("""COMPUTED_VALUE"""),"SANTA LÚCIA")</f>
        <v>SANTA LÚCIA</v>
      </c>
      <c r="N602" s="5" t="str">
        <f>IFERROR(__xludf.DUMMYFUNCTION("""COMPUTED_VALUE"""),"BAIRRO - CENTRO")</f>
        <v>BAIRRO - CENTRO</v>
      </c>
      <c r="O602" s="5" t="str">
        <f>IFERROR(__xludf.DUMMYFUNCTION("""COMPUTED_VALUE"""),"FARMÁCIA DO TRABALHADOR A POPULAR ")</f>
        <v>FARMÁCIA DO TRABALHADOR A POPULAR </v>
      </c>
      <c r="P602" s="5" t="str">
        <f>IFERROR(__xludf.DUMMYFUNCTION("""COMPUTED_VALUE"""),"PRIORIDADE BAIXA")</f>
        <v>PRIORIDADE BAIXA</v>
      </c>
      <c r="Q602" s="5" t="str">
        <f>IFERROR(__xludf.DUMMYFUNCTION("""COMPUTED_VALUE"""),"READEQUAÇÃO DA CALÇADA COM ACESSIBILIDADE E BAIA.")</f>
        <v>READEQUAÇÃO DA CALÇADA COM ACESSIBILIDADE E BAIA.</v>
      </c>
      <c r="R602" s="5" t="str">
        <f>IFERROR(__xludf.DUMMYFUNCTION("""COMPUTED_VALUE"""),"NENHUMA DAS OPÇÕES")</f>
        <v>NENHUMA DAS OPÇÕES</v>
      </c>
      <c r="S602" s="5"/>
      <c r="T602" s="5"/>
      <c r="U602" s="5"/>
      <c r="V602" s="9" t="str">
        <f>IFERROR(__xludf.DUMMYFUNCTION("""COMPUTED_VALUE"""),"https://drive.google.com/uc?id=11-ZVuYMJpAcl1xk5-QfUuDp6LM9o7ClG")</f>
        <v>https://drive.google.com/uc?id=11-ZVuYMJpAcl1xk5-QfUuDp6LM9o7ClG</v>
      </c>
      <c r="W602" s="5" t="str">
        <f>IFERROR(__xludf.DUMMYFUNCTION("""COMPUTED_VALUE"""),"NÃO")</f>
        <v>NÃO</v>
      </c>
      <c r="X602" s="5" t="str">
        <f>IFERROR(__xludf.DUMMYFUNCTION("""COMPUTED_VALUE"""),"NÃO SE APLICA")</f>
        <v>NÃO SE APLICA</v>
      </c>
    </row>
    <row r="603" hidden="1">
      <c r="A603" s="5">
        <f>IFERROR(__xludf.DUMMYFUNCTION("""COMPUTED_VALUE"""),7.0)</f>
        <v>7</v>
      </c>
      <c r="B603" s="5" t="str">
        <f>IFERROR(__xludf.DUMMYFUNCTION("""COMPUTED_VALUE"""),"SL014")</f>
        <v>SL014</v>
      </c>
      <c r="C603" s="5" t="str">
        <f>IFERROR(__xludf.DUMMYFUNCTION("""COMPUTED_VALUE"""),"NÃO POSSUI")</f>
        <v>NÃO POSSUI</v>
      </c>
      <c r="D603" s="5" t="str">
        <f>IFERROR(__xludf.DUMMYFUNCTION("""COMPUTED_VALUE"""),"COM SUPORTE")</f>
        <v>COM SUPORTE</v>
      </c>
      <c r="E603" s="5" t="str">
        <f>IFERROR(__xludf.DUMMYFUNCTION("""COMPUTED_VALUE"""),"SEM BAIA")</f>
        <v>SEM BAIA</v>
      </c>
      <c r="F603" s="5" t="str">
        <f>IFERROR(__xludf.DUMMYFUNCTION("""COMPUTED_VALUE"""),"NÃO")</f>
        <v>NÃO</v>
      </c>
      <c r="G603" s="5" t="str">
        <f>IFERROR(__xludf.DUMMYFUNCTION("""COMPUTED_VALUE"""),"NÃO")</f>
        <v>NÃO</v>
      </c>
      <c r="H603" s="5" t="str">
        <f>IFERROR(__xludf.DUMMYFUNCTION("""COMPUTED_VALUE"""),"PAVIMENTADA")</f>
        <v>PAVIMENTADA</v>
      </c>
      <c r="I603" s="6" t="str">
        <f>IFERROR(__xludf.DUMMYFUNCTION("""COMPUTED_VALUE"""),"-9.589447")</f>
        <v>-9.589447</v>
      </c>
      <c r="J603" s="6" t="str">
        <f>IFERROR(__xludf.DUMMYFUNCTION("""COMPUTED_VALUE"""),"-35.759121")</f>
        <v>-35.759121</v>
      </c>
      <c r="K603" s="5" t="str">
        <f>IFERROR(__xludf.DUMMYFUNCTION("""COMPUTED_VALUE"""),"AV. HERMES ERNESTO DAMASCENO 35")</f>
        <v>AV. HERMES ERNESTO DAMASCENO 35</v>
      </c>
      <c r="L603" s="5" t="str">
        <f>IFERROR(__xludf.DUMMYFUNCTION("""COMPUTED_VALUE"""),"COLETORA")</f>
        <v>COLETORA</v>
      </c>
      <c r="M603" s="5" t="str">
        <f>IFERROR(__xludf.DUMMYFUNCTION("""COMPUTED_VALUE"""),"SANTA LÚCIA")</f>
        <v>SANTA LÚCIA</v>
      </c>
      <c r="N603" s="5" t="str">
        <f>IFERROR(__xludf.DUMMYFUNCTION("""COMPUTED_VALUE"""),"BAIRRO - CENTRO")</f>
        <v>BAIRRO - CENTRO</v>
      </c>
      <c r="O603" s="5" t="str">
        <f>IFERROR(__xludf.DUMMYFUNCTION("""COMPUTED_VALUE"""),"INSTALADORA WAGNER")</f>
        <v>INSTALADORA WAGNER</v>
      </c>
      <c r="P603" s="5" t="str">
        <f>IFERROR(__xludf.DUMMYFUNCTION("""COMPUTED_VALUE"""),"PRIORIDADE BAIXA")</f>
        <v>PRIORIDADE BAIXA</v>
      </c>
      <c r="Q603" s="5" t="str">
        <f>IFERROR(__xludf.DUMMYFUNCTION("""COMPUTED_VALUE"""),"READEQUAÇÃO DA CALÇADA COM ACESSIBILIDADE E BAIA.")</f>
        <v>READEQUAÇÃO DA CALÇADA COM ACESSIBILIDADE E BAIA.</v>
      </c>
      <c r="R603" s="5" t="str">
        <f>IFERROR(__xludf.DUMMYFUNCTION("""COMPUTED_VALUE"""),"NENHUMA DAS OPÇÕES")</f>
        <v>NENHUMA DAS OPÇÕES</v>
      </c>
      <c r="S603" s="5"/>
      <c r="T603" s="5"/>
      <c r="U603" s="5"/>
      <c r="V603" s="9" t="str">
        <f>IFERROR(__xludf.DUMMYFUNCTION("""COMPUTED_VALUE"""),"https://drive.google.com/uc?id=1Gr3uslZ7No8VWxr4EGd_WOW1EH74I_Mc")</f>
        <v>https://drive.google.com/uc?id=1Gr3uslZ7No8VWxr4EGd_WOW1EH74I_Mc</v>
      </c>
      <c r="W603" s="5" t="str">
        <f>IFERROR(__xludf.DUMMYFUNCTION("""COMPUTED_VALUE"""),"NÃO")</f>
        <v>NÃO</v>
      </c>
      <c r="X603" s="5" t="str">
        <f>IFERROR(__xludf.DUMMYFUNCTION("""COMPUTED_VALUE"""),"NÃO SE APLICA")</f>
        <v>NÃO SE APLICA</v>
      </c>
    </row>
    <row r="604" hidden="1">
      <c r="A604" s="5">
        <f>IFERROR(__xludf.DUMMYFUNCTION("""COMPUTED_VALUE"""),7.0)</f>
        <v>7</v>
      </c>
      <c r="B604" s="5" t="str">
        <f>IFERROR(__xludf.DUMMYFUNCTION("""COMPUTED_VALUE"""),"SL015")</f>
        <v>SL015</v>
      </c>
      <c r="C604" s="5" t="str">
        <f>IFERROR(__xludf.DUMMYFUNCTION("""COMPUTED_VALUE"""),"NÃO POSSUI")</f>
        <v>NÃO POSSUI</v>
      </c>
      <c r="D604" s="5" t="str">
        <f>IFERROR(__xludf.DUMMYFUNCTION("""COMPUTED_VALUE"""),"SEM PLACA")</f>
        <v>SEM PLACA</v>
      </c>
      <c r="E604" s="5" t="str">
        <f>IFERROR(__xludf.DUMMYFUNCTION("""COMPUTED_VALUE"""),"SEM BAIA")</f>
        <v>SEM BAIA</v>
      </c>
      <c r="F604" s="5" t="str">
        <f>IFERROR(__xludf.DUMMYFUNCTION("""COMPUTED_VALUE"""),"NÃO")</f>
        <v>NÃO</v>
      </c>
      <c r="G604" s="5" t="str">
        <f>IFERROR(__xludf.DUMMYFUNCTION("""COMPUTED_VALUE"""),"NÃO")</f>
        <v>NÃO</v>
      </c>
      <c r="H604" s="5" t="str">
        <f>IFERROR(__xludf.DUMMYFUNCTION("""COMPUTED_VALUE"""),"PAVIMENTADA COM AVARIAS")</f>
        <v>PAVIMENTADA COM AVARIAS</v>
      </c>
      <c r="I604" s="6" t="str">
        <f>IFERROR(__xludf.DUMMYFUNCTION("""COMPUTED_VALUE"""),"-9.589328")</f>
        <v>-9.589328</v>
      </c>
      <c r="J604" s="6" t="str">
        <f>IFERROR(__xludf.DUMMYFUNCTION("""COMPUTED_VALUE"""),"-35.759012")</f>
        <v>-35.759012</v>
      </c>
      <c r="K604" s="5" t="str">
        <f>IFERROR(__xludf.DUMMYFUNCTION("""COMPUTED_VALUE"""),"AV. HERMES ERNESTO DAMASCENO 52")</f>
        <v>AV. HERMES ERNESTO DAMASCENO 52</v>
      </c>
      <c r="L604" s="5" t="str">
        <f>IFERROR(__xludf.DUMMYFUNCTION("""COMPUTED_VALUE"""),"COLETORA")</f>
        <v>COLETORA</v>
      </c>
      <c r="M604" s="5" t="str">
        <f>IFERROR(__xludf.DUMMYFUNCTION("""COMPUTED_VALUE"""),"SANTA LÚCIA")</f>
        <v>SANTA LÚCIA</v>
      </c>
      <c r="N604" s="5" t="str">
        <f>IFERROR(__xludf.DUMMYFUNCTION("""COMPUTED_VALUE"""),"BAIRRO - CENTRO")</f>
        <v>BAIRRO - CENTRO</v>
      </c>
      <c r="O604" s="5" t="str">
        <f>IFERROR(__xludf.DUMMYFUNCTION("""COMPUTED_VALUE"""),"INSTALADORA WAGNER")</f>
        <v>INSTALADORA WAGNER</v>
      </c>
      <c r="P604" s="5" t="str">
        <f>IFERROR(__xludf.DUMMYFUNCTION("""COMPUTED_VALUE"""),"PRIORIDADE ALTA")</f>
        <v>PRIORIDADE ALTA</v>
      </c>
      <c r="Q604" s="5" t="str">
        <f>IFERROR(__xludf.DUMMYFUNCTION("""COMPUTED_VALUE"""),"READEQUAÇÃO DA CALÇADA COM ACESSIBILIDADE E BAIA.")</f>
        <v>READEQUAÇÃO DA CALÇADA COM ACESSIBILIDADE E BAIA.</v>
      </c>
      <c r="R604" s="5" t="str">
        <f>IFERROR(__xludf.DUMMYFUNCTION("""COMPUTED_VALUE"""),"NENHUMA DAS OPÇÕES")</f>
        <v>NENHUMA DAS OPÇÕES</v>
      </c>
      <c r="S604" s="5"/>
      <c r="T604" s="5"/>
      <c r="U604" s="5"/>
      <c r="V604" s="9" t="str">
        <f>IFERROR(__xludf.DUMMYFUNCTION("""COMPUTED_VALUE"""),"https://drive.google.com/uc?id=1uQ5HslTbkaTEJPQQO2MmsgEPMZacR-Ye")</f>
        <v>https://drive.google.com/uc?id=1uQ5HslTbkaTEJPQQO2MmsgEPMZacR-Ye</v>
      </c>
      <c r="W604" s="5" t="str">
        <f>IFERROR(__xludf.DUMMYFUNCTION("""COMPUTED_VALUE"""),"NÃO")</f>
        <v>NÃO</v>
      </c>
      <c r="X604" s="5" t="str">
        <f>IFERROR(__xludf.DUMMYFUNCTION("""COMPUTED_VALUE"""),"NÃO SE APLICA")</f>
        <v>NÃO SE APLICA</v>
      </c>
    </row>
    <row r="605" hidden="1">
      <c r="A605" s="5">
        <f>IFERROR(__xludf.DUMMYFUNCTION("""COMPUTED_VALUE"""),7.0)</f>
        <v>7</v>
      </c>
      <c r="B605" s="5" t="str">
        <f>IFERROR(__xludf.DUMMYFUNCTION("""COMPUTED_VALUE"""),"SL016")</f>
        <v>SL016</v>
      </c>
      <c r="C605" s="5" t="str">
        <f>IFERROR(__xludf.DUMMYFUNCTION("""COMPUTED_VALUE"""),"NÃO POSSUI")</f>
        <v>NÃO POSSUI</v>
      </c>
      <c r="D605" s="5" t="str">
        <f>IFERROR(__xludf.DUMMYFUNCTION("""COMPUTED_VALUE"""),"COM SUPORTE")</f>
        <v>COM SUPORTE</v>
      </c>
      <c r="E605" s="5" t="str">
        <f>IFERROR(__xludf.DUMMYFUNCTION("""COMPUTED_VALUE"""),"SEM BAIA")</f>
        <v>SEM BAIA</v>
      </c>
      <c r="F605" s="5" t="str">
        <f>IFERROR(__xludf.DUMMYFUNCTION("""COMPUTED_VALUE"""),"NÃO")</f>
        <v>NÃO</v>
      </c>
      <c r="G605" s="5" t="str">
        <f>IFERROR(__xludf.DUMMYFUNCTION("""COMPUTED_VALUE"""),"NÃO")</f>
        <v>NÃO</v>
      </c>
      <c r="H605" s="5" t="str">
        <f>IFERROR(__xludf.DUMMYFUNCTION("""COMPUTED_VALUE"""),"PAVIMENTADA")</f>
        <v>PAVIMENTADA</v>
      </c>
      <c r="I605" s="6" t="str">
        <f>IFERROR(__xludf.DUMMYFUNCTION("""COMPUTED_VALUE"""),"-9.586662")</f>
        <v>-9.586662</v>
      </c>
      <c r="J605" s="6" t="str">
        <f>IFERROR(__xludf.DUMMYFUNCTION("""COMPUTED_VALUE"""),"-35.757671")</f>
        <v>-35.757671</v>
      </c>
      <c r="K605" s="5" t="str">
        <f>IFERROR(__xludf.DUMMYFUNCTION("""COMPUTED_VALUE"""),"RUA JOSÉ HERMES DAMASCENO ")</f>
        <v>RUA JOSÉ HERMES DAMASCENO </v>
      </c>
      <c r="L605" s="5" t="str">
        <f>IFERROR(__xludf.DUMMYFUNCTION("""COMPUTED_VALUE"""),"COLETORA")</f>
        <v>COLETORA</v>
      </c>
      <c r="M605" s="5" t="str">
        <f>IFERROR(__xludf.DUMMYFUNCTION("""COMPUTED_VALUE"""),"SANTA LÚCIA")</f>
        <v>SANTA LÚCIA</v>
      </c>
      <c r="N605" s="5" t="str">
        <f>IFERROR(__xludf.DUMMYFUNCTION("""COMPUTED_VALUE"""),"CENTRO - BAIRRO")</f>
        <v>CENTRO - BAIRRO</v>
      </c>
      <c r="O605" s="5" t="str">
        <f>IFERROR(__xludf.DUMMYFUNCTION("""COMPUTED_VALUE"""),"SM CONSTRUÇÕES")</f>
        <v>SM CONSTRUÇÕES</v>
      </c>
      <c r="P605" s="5" t="str">
        <f>IFERROR(__xludf.DUMMYFUNCTION("""COMPUTED_VALUE"""),"PRIORIDADE BAIXA")</f>
        <v>PRIORIDADE BAIXA</v>
      </c>
      <c r="Q605" s="5" t="str">
        <f>IFERROR(__xludf.DUMMYFUNCTION("""COMPUTED_VALUE"""),"READEQUAÇÃO DA CALÇADA COM ACESSIBILIDADE E BAIA.")</f>
        <v>READEQUAÇÃO DA CALÇADA COM ACESSIBILIDADE E BAIA.</v>
      </c>
      <c r="R605" s="5" t="str">
        <f>IFERROR(__xludf.DUMMYFUNCTION("""COMPUTED_VALUE"""),"NENHUMA DAS OPÇÕES")</f>
        <v>NENHUMA DAS OPÇÕES</v>
      </c>
      <c r="S605" s="5"/>
      <c r="T605" s="5"/>
      <c r="U605" s="5"/>
      <c r="V605" s="9" t="str">
        <f>IFERROR(__xludf.DUMMYFUNCTION("""COMPUTED_VALUE"""),"https://drive.google.com/uc?id=1C6Rp5WvO6SZWV6OxAgowHNNGSUjCzvVm")</f>
        <v>https://drive.google.com/uc?id=1C6Rp5WvO6SZWV6OxAgowHNNGSUjCzvVm</v>
      </c>
      <c r="W605" s="5" t="str">
        <f>IFERROR(__xludf.DUMMYFUNCTION("""COMPUTED_VALUE"""),"NÃO ")</f>
        <v>NÃO </v>
      </c>
      <c r="X605" s="5" t="str">
        <f>IFERROR(__xludf.DUMMYFUNCTION("""COMPUTED_VALUE"""),"NÃO SE APLICA")</f>
        <v>NÃO SE APLICA</v>
      </c>
    </row>
    <row r="606" hidden="1">
      <c r="A606" s="5">
        <f>IFERROR(__xludf.DUMMYFUNCTION("""COMPUTED_VALUE"""),7.0)</f>
        <v>7</v>
      </c>
      <c r="B606" s="5" t="str">
        <f>IFERROR(__xludf.DUMMYFUNCTION("""COMPUTED_VALUE"""),"SL017")</f>
        <v>SL017</v>
      </c>
      <c r="C606" s="5" t="str">
        <f>IFERROR(__xludf.DUMMYFUNCTION("""COMPUTED_VALUE"""),"NÃO POSSUI")</f>
        <v>NÃO POSSUI</v>
      </c>
      <c r="D606" s="5" t="str">
        <f>IFERROR(__xludf.DUMMYFUNCTION("""COMPUTED_VALUE"""),"COM SUPORTE")</f>
        <v>COM SUPORTE</v>
      </c>
      <c r="E606" s="5" t="str">
        <f>IFERROR(__xludf.DUMMYFUNCTION("""COMPUTED_VALUE"""),"SEM BAIA")</f>
        <v>SEM BAIA</v>
      </c>
      <c r="F606" s="5" t="str">
        <f>IFERROR(__xludf.DUMMYFUNCTION("""COMPUTED_VALUE"""),"NÃO")</f>
        <v>NÃO</v>
      </c>
      <c r="G606" s="5" t="str">
        <f>IFERROR(__xludf.DUMMYFUNCTION("""COMPUTED_VALUE"""),"NÃO")</f>
        <v>NÃO</v>
      </c>
      <c r="H606" s="5" t="str">
        <f>IFERROR(__xludf.DUMMYFUNCTION("""COMPUTED_VALUE"""),"PAVIMENTADA")</f>
        <v>PAVIMENTADA</v>
      </c>
      <c r="I606" s="6" t="str">
        <f>IFERROR(__xludf.DUMMYFUNCTION("""COMPUTED_VALUE"""),"-9.586314")</f>
        <v>-9.586314</v>
      </c>
      <c r="J606" s="6" t="str">
        <f>IFERROR(__xludf.DUMMYFUNCTION("""COMPUTED_VALUE"""),"-35.757573")</f>
        <v>-35.757573</v>
      </c>
      <c r="K606" s="5" t="str">
        <f>IFERROR(__xludf.DUMMYFUNCTION("""COMPUTED_VALUE"""),"RUA JOSÉ HERMES DAMASCENO 467")</f>
        <v>RUA JOSÉ HERMES DAMASCENO 467</v>
      </c>
      <c r="L606" s="5" t="str">
        <f>IFERROR(__xludf.DUMMYFUNCTION("""COMPUTED_VALUE"""),"COLETORA")</f>
        <v>COLETORA</v>
      </c>
      <c r="M606" s="5" t="str">
        <f>IFERROR(__xludf.DUMMYFUNCTION("""COMPUTED_VALUE"""),"SANTA LÚCIA")</f>
        <v>SANTA LÚCIA</v>
      </c>
      <c r="N606" s="5" t="str">
        <f>IFERROR(__xludf.DUMMYFUNCTION("""COMPUTED_VALUE"""),"BAIRRO - CENTRO")</f>
        <v>BAIRRO - CENTRO</v>
      </c>
      <c r="O606" s="5" t="str">
        <f>IFERROR(__xludf.DUMMYFUNCTION("""COMPUTED_VALUE"""),"EM FRENTE A SM CONSTRUÇÕES")</f>
        <v>EM FRENTE A SM CONSTRUÇÕES</v>
      </c>
      <c r="P606" s="5" t="str">
        <f>IFERROR(__xludf.DUMMYFUNCTION("""COMPUTED_VALUE"""),"PRIORIDADE BAIXA")</f>
        <v>PRIORIDADE BAIXA</v>
      </c>
      <c r="Q606" s="5" t="str">
        <f>IFERROR(__xludf.DUMMYFUNCTION("""COMPUTED_VALUE"""),"READEQUAÇÃO DA CALÇADA COM ACESSIBILIDADE E BAIA.")</f>
        <v>READEQUAÇÃO DA CALÇADA COM ACESSIBILIDADE E BAIA.</v>
      </c>
      <c r="R606" s="5" t="str">
        <f>IFERROR(__xludf.DUMMYFUNCTION("""COMPUTED_VALUE"""),"NENHUMA DAS OPÇÕES")</f>
        <v>NENHUMA DAS OPÇÕES</v>
      </c>
      <c r="S606" s="5"/>
      <c r="T606" s="5"/>
      <c r="U606" s="5"/>
      <c r="V606" s="9" t="str">
        <f>IFERROR(__xludf.DUMMYFUNCTION("""COMPUTED_VALUE"""),"https://drive.google.com/uc?id=1NlXfRqiPLmshl2yKiBySgjClTyowGA-T")</f>
        <v>https://drive.google.com/uc?id=1NlXfRqiPLmshl2yKiBySgjClTyowGA-T</v>
      </c>
      <c r="W606" s="5" t="str">
        <f>IFERROR(__xludf.DUMMYFUNCTION("""COMPUTED_VALUE"""),"NÃO")</f>
        <v>NÃO</v>
      </c>
      <c r="X606" s="5" t="str">
        <f>IFERROR(__xludf.DUMMYFUNCTION("""COMPUTED_VALUE"""),"NÃO SE APLICA")</f>
        <v>NÃO SE APLICA</v>
      </c>
    </row>
    <row r="607" hidden="1">
      <c r="A607" s="5">
        <f>IFERROR(__xludf.DUMMYFUNCTION("""COMPUTED_VALUE"""),7.0)</f>
        <v>7</v>
      </c>
      <c r="B607" s="5" t="str">
        <f>IFERROR(__xludf.DUMMYFUNCTION("""COMPUTED_VALUE"""),"SL018")</f>
        <v>SL018</v>
      </c>
      <c r="C607" s="5" t="str">
        <f>IFERROR(__xludf.DUMMYFUNCTION("""COMPUTED_VALUE"""),"NÃO POSSUI")</f>
        <v>NÃO POSSUI</v>
      </c>
      <c r="D607" s="5" t="str">
        <f>IFERROR(__xludf.DUMMYFUNCTION("""COMPUTED_VALUE"""),"SEM PLACA")</f>
        <v>SEM PLACA</v>
      </c>
      <c r="E607" s="5" t="str">
        <f>IFERROR(__xludf.DUMMYFUNCTION("""COMPUTED_VALUE"""),"SEM BAIA")</f>
        <v>SEM BAIA</v>
      </c>
      <c r="F607" s="5" t="str">
        <f>IFERROR(__xludf.DUMMYFUNCTION("""COMPUTED_VALUE"""),"NÃO")</f>
        <v>NÃO</v>
      </c>
      <c r="G607" s="5" t="str">
        <f>IFERROR(__xludf.DUMMYFUNCTION("""COMPUTED_VALUE"""),"NÃO")</f>
        <v>NÃO</v>
      </c>
      <c r="H607" s="5" t="str">
        <f>IFERROR(__xludf.DUMMYFUNCTION("""COMPUTED_VALUE"""),"PAVIMENTADA COM AVARIAS")</f>
        <v>PAVIMENTADA COM AVARIAS</v>
      </c>
      <c r="I607" s="6" t="str">
        <f>IFERROR(__xludf.DUMMYFUNCTION("""COMPUTED_VALUE"""),"-9.585224")</f>
        <v>-9.585224</v>
      </c>
      <c r="J607" s="6" t="str">
        <f>IFERROR(__xludf.DUMMYFUNCTION("""COMPUTED_VALUE"""),"-35.758692")</f>
        <v>-35.758692</v>
      </c>
      <c r="K607" s="5" t="str">
        <f>IFERROR(__xludf.DUMMYFUNCTION("""COMPUTED_VALUE"""),"RUA ACARAÚ 467")</f>
        <v>RUA ACARAÚ 467</v>
      </c>
      <c r="L607" s="5" t="str">
        <f>IFERROR(__xludf.DUMMYFUNCTION("""COMPUTED_VALUE"""),"LOCAL")</f>
        <v>LOCAL</v>
      </c>
      <c r="M607" s="5" t="str">
        <f>IFERROR(__xludf.DUMMYFUNCTION("""COMPUTED_VALUE"""),"SANTA LÚCIA")</f>
        <v>SANTA LÚCIA</v>
      </c>
      <c r="N607" s="5" t="str">
        <f>IFERROR(__xludf.DUMMYFUNCTION("""COMPUTED_VALUE"""),"CENTRO - BAIRRO")</f>
        <v>CENTRO - BAIRRO</v>
      </c>
      <c r="O607" s="5" t="str">
        <f>IFERROR(__xludf.DUMMYFUNCTION("""COMPUTED_VALUE"""),"EM FRENTE A CASA 06")</f>
        <v>EM FRENTE A CASA 06</v>
      </c>
      <c r="P607" s="5" t="str">
        <f>IFERROR(__xludf.DUMMYFUNCTION("""COMPUTED_VALUE"""),"PRIORIDADE ALTA")</f>
        <v>PRIORIDADE ALTA</v>
      </c>
      <c r="Q607" s="5" t="str">
        <f>IFERROR(__xludf.DUMMYFUNCTION("""COMPUTED_VALUE"""),"READEQUAÇÃO DA CALÇADA COM ACESSIBILIDADE E BAIA.")</f>
        <v>READEQUAÇÃO DA CALÇADA COM ACESSIBILIDADE E BAIA.</v>
      </c>
      <c r="R607" s="5" t="str">
        <f>IFERROR(__xludf.DUMMYFUNCTION("""COMPUTED_VALUE"""),"NENHUMA DAS OPÇÕES")</f>
        <v>NENHUMA DAS OPÇÕES</v>
      </c>
      <c r="S607" s="5"/>
      <c r="T607" s="5"/>
      <c r="U607" s="5"/>
      <c r="V607" s="9" t="str">
        <f>IFERROR(__xludf.DUMMYFUNCTION("""COMPUTED_VALUE"""),"https://drive.google.com/uc?id=1EBdo0qOJfP9tR5Du9utoQXnMBsFsqizw")</f>
        <v>https://drive.google.com/uc?id=1EBdo0qOJfP9tR5Du9utoQXnMBsFsqizw</v>
      </c>
      <c r="W607" s="5" t="str">
        <f>IFERROR(__xludf.DUMMYFUNCTION("""COMPUTED_VALUE"""),"NÃO")</f>
        <v>NÃO</v>
      </c>
      <c r="X607" s="5" t="str">
        <f>IFERROR(__xludf.DUMMYFUNCTION("""COMPUTED_VALUE"""),"NÃO SE APLICA")</f>
        <v>NÃO SE APLICA</v>
      </c>
    </row>
    <row r="608" hidden="1">
      <c r="A608" s="5">
        <f>IFERROR(__xludf.DUMMYFUNCTION("""COMPUTED_VALUE"""),7.0)</f>
        <v>7</v>
      </c>
      <c r="B608" s="5" t="str">
        <f>IFERROR(__xludf.DUMMYFUNCTION("""COMPUTED_VALUE"""),"SL019")</f>
        <v>SL019</v>
      </c>
      <c r="C608" s="5" t="str">
        <f>IFERROR(__xludf.DUMMYFUNCTION("""COMPUTED_VALUE"""),"NÃO POSSUI")</f>
        <v>NÃO POSSUI</v>
      </c>
      <c r="D608" s="5" t="str">
        <f>IFERROR(__xludf.DUMMYFUNCTION("""COMPUTED_VALUE"""),"FIXADA EM POSTE")</f>
        <v>FIXADA EM POSTE</v>
      </c>
      <c r="E608" s="5" t="str">
        <f>IFERROR(__xludf.DUMMYFUNCTION("""COMPUTED_VALUE"""),"SEM BAIA")</f>
        <v>SEM BAIA</v>
      </c>
      <c r="F608" s="5" t="str">
        <f>IFERROR(__xludf.DUMMYFUNCTION("""COMPUTED_VALUE"""),"NÃO")</f>
        <v>NÃO</v>
      </c>
      <c r="G608" s="5" t="str">
        <f>IFERROR(__xludf.DUMMYFUNCTION("""COMPUTED_VALUE"""),"NÃO")</f>
        <v>NÃO</v>
      </c>
      <c r="H608" s="5" t="str">
        <f>IFERROR(__xludf.DUMMYFUNCTION("""COMPUTED_VALUE"""),"PAVIMENTADA COM AVARIAS")</f>
        <v>PAVIMENTADA COM AVARIAS</v>
      </c>
      <c r="I608" s="6" t="str">
        <f>IFERROR(__xludf.DUMMYFUNCTION("""COMPUTED_VALUE"""),"-9.584926")</f>
        <v>-9.584926</v>
      </c>
      <c r="J608" s="6" t="str">
        <f>IFERROR(__xludf.DUMMYFUNCTION("""COMPUTED_VALUE"""),"-35.759533")</f>
        <v>-35.759533</v>
      </c>
      <c r="K608" s="5" t="str">
        <f>IFERROR(__xludf.DUMMYFUNCTION("""COMPUTED_VALUE"""),"RUA ACARAÚ 468")</f>
        <v>RUA ACARAÚ 468</v>
      </c>
      <c r="L608" s="5" t="str">
        <f>IFERROR(__xludf.DUMMYFUNCTION("""COMPUTED_VALUE"""),"LOCAL")</f>
        <v>LOCAL</v>
      </c>
      <c r="M608" s="5" t="str">
        <f>IFERROR(__xludf.DUMMYFUNCTION("""COMPUTED_VALUE"""),"SANTA LÚCIA")</f>
        <v>SANTA LÚCIA</v>
      </c>
      <c r="N608" s="5" t="str">
        <f>IFERROR(__xludf.DUMMYFUNCTION("""COMPUTED_VALUE"""),"BAIRRO - CENTRO")</f>
        <v>BAIRRO - CENTRO</v>
      </c>
      <c r="O608" s="5" t="str">
        <f>IFERROR(__xludf.DUMMYFUNCTION("""COMPUTED_VALUE"""),"EM FRENTE A CASA 06")</f>
        <v>EM FRENTE A CASA 06</v>
      </c>
      <c r="P608" s="5" t="str">
        <f>IFERROR(__xludf.DUMMYFUNCTION("""COMPUTED_VALUE"""),"PRIORIDADE BAIXA")</f>
        <v>PRIORIDADE BAIXA</v>
      </c>
      <c r="Q608" s="5" t="str">
        <f>IFERROR(__xludf.DUMMYFUNCTION("""COMPUTED_VALUE"""),"READEQUAÇÃO DA CALÇADA COM ACESSIBILIDADE E BAIA. RETIRADA DE ENTULHO NO LOCAL")</f>
        <v>READEQUAÇÃO DA CALÇADA COM ACESSIBILIDADE E BAIA. RETIRADA DE ENTULHO NO LOCAL</v>
      </c>
      <c r="R608" s="5" t="str">
        <f>IFERROR(__xludf.DUMMYFUNCTION("""COMPUTED_VALUE"""),"NENHUMA DAS OPÇÕES")</f>
        <v>NENHUMA DAS OPÇÕES</v>
      </c>
      <c r="S608" s="5"/>
      <c r="T608" s="5"/>
      <c r="U608" s="5"/>
      <c r="V608" s="9" t="str">
        <f>IFERROR(__xludf.DUMMYFUNCTION("""COMPUTED_VALUE"""),"https://drive.google.com/uc?id=1pxtIGan5PF_cVHJbsSXDmWgd2K_xqJiQ")</f>
        <v>https://drive.google.com/uc?id=1pxtIGan5PF_cVHJbsSXDmWgd2K_xqJiQ</v>
      </c>
      <c r="W608" s="5" t="str">
        <f>IFERROR(__xludf.DUMMYFUNCTION("""COMPUTED_VALUE"""),"NÃO")</f>
        <v>NÃO</v>
      </c>
      <c r="X608" s="5" t="str">
        <f>IFERROR(__xludf.DUMMYFUNCTION("""COMPUTED_VALUE"""),"NÃO SE APLICA")</f>
        <v>NÃO SE APLICA</v>
      </c>
    </row>
    <row r="609">
      <c r="A609" s="5">
        <f>IFERROR(__xludf.DUMMYFUNCTION("""COMPUTED_VALUE"""),7.0)</f>
        <v>7</v>
      </c>
      <c r="B609" s="5" t="str">
        <f>IFERROR(__xludf.DUMMYFUNCTION("""COMPUTED_VALUE"""),"SL020")</f>
        <v>SL020</v>
      </c>
      <c r="C609" s="5" t="str">
        <f>IFERROR(__xludf.DUMMYFUNCTION("""COMPUTED_VALUE"""),"ABRIGO METÁLICO PEQUENO PORTE")</f>
        <v>ABRIGO METÁLICO PEQUENO PORTE</v>
      </c>
      <c r="D609" s="5" t="str">
        <f>IFERROR(__xludf.DUMMYFUNCTION("""COMPUTED_VALUE"""),"SEM PLACA")</f>
        <v>SEM PLACA</v>
      </c>
      <c r="E609" s="5" t="str">
        <f>IFERROR(__xludf.DUMMYFUNCTION("""COMPUTED_VALUE"""),"SEM BAIA")</f>
        <v>SEM BAIA</v>
      </c>
      <c r="F609" s="5" t="str">
        <f>IFERROR(__xludf.DUMMYFUNCTION("""COMPUTED_VALUE"""),"NÃO")</f>
        <v>NÃO</v>
      </c>
      <c r="G609" s="5" t="str">
        <f>IFERROR(__xludf.DUMMYFUNCTION("""COMPUTED_VALUE"""),"NÃO")</f>
        <v>NÃO</v>
      </c>
      <c r="H609" s="5" t="str">
        <f>IFERROR(__xludf.DUMMYFUNCTION("""COMPUTED_VALUE"""),"PAVIMENTADA")</f>
        <v>PAVIMENTADA</v>
      </c>
      <c r="I609" s="6" t="str">
        <f>IFERROR(__xludf.DUMMYFUNCTION("""COMPUTED_VALUE"""),"-9.589876")</f>
        <v>-9.589876</v>
      </c>
      <c r="J609" s="6" t="str">
        <f>IFERROR(__xludf.DUMMYFUNCTION("""COMPUTED_VALUE"""),"-35.760177")</f>
        <v>-35.760177</v>
      </c>
      <c r="K609" s="5" t="str">
        <f>IFERROR(__xludf.DUMMYFUNCTION("""COMPUTED_VALUE"""),"Av. Durval de Goés Monteiro")</f>
        <v>Av. Durval de Goés Monteiro</v>
      </c>
      <c r="L609" s="5" t="str">
        <f>IFERROR(__xludf.DUMMYFUNCTION("""COMPUTED_VALUE"""),"ARTERIAL ")</f>
        <v>ARTERIAL </v>
      </c>
      <c r="M609" s="5" t="str">
        <f>IFERROR(__xludf.DUMMYFUNCTION("""COMPUTED_VALUE"""),"SANTA LÚCIA")</f>
        <v>SANTA LÚCIA</v>
      </c>
      <c r="N609" s="5" t="str">
        <f>IFERROR(__xludf.DUMMYFUNCTION("""COMPUTED_VALUE"""),"CENTRO - BAIRRO")</f>
        <v>CENTRO - BAIRRO</v>
      </c>
      <c r="O609" s="5" t="str">
        <f>IFERROR(__xludf.DUMMYFUNCTION("""COMPUTED_VALUE"""),"LADO OPOSTO A CARAJAS TABULEIRO")</f>
        <v>LADO OPOSTO A CARAJAS TABULEIRO</v>
      </c>
      <c r="P609" s="5" t="str">
        <f>IFERROR(__xludf.DUMMYFUNCTION("""COMPUTED_VALUE"""),"PRIORIDADE BAIXA")</f>
        <v>PRIORIDADE BAIXA</v>
      </c>
      <c r="Q609" s="5"/>
      <c r="R609" s="5" t="str">
        <f>IFERROR(__xludf.DUMMYFUNCTION("""COMPUTED_VALUE"""),"NENHUMA DAS OPÇÕES")</f>
        <v>NENHUMA DAS OPÇÕES</v>
      </c>
      <c r="S609" s="5"/>
      <c r="T609" s="5"/>
      <c r="U609" s="5"/>
      <c r="V609" s="9" t="str">
        <f>IFERROR(__xludf.DUMMYFUNCTION("""COMPUTED_VALUE"""),"https://drive.google.com/uc?id=1FjiVLPnQGRQjv2AXBnhSxfus8SpBFbc8
")</f>
        <v>https://drive.google.com/uc?id=1FjiVLPnQGRQjv2AXBnhSxfus8SpBFbc8
</v>
      </c>
      <c r="W609" s="5" t="str">
        <f>IFERROR(__xludf.DUMMYFUNCTION("""COMPUTED_VALUE"""),"NÃO")</f>
        <v>NÃO</v>
      </c>
      <c r="X609" s="5" t="str">
        <f>IFERROR(__xludf.DUMMYFUNCTION("""COMPUTED_VALUE"""),"SIM")</f>
        <v>SIM</v>
      </c>
    </row>
    <row r="610">
      <c r="A610" s="5">
        <f>IFERROR(__xludf.DUMMYFUNCTION("""COMPUTED_VALUE"""),7.0)</f>
        <v>7</v>
      </c>
      <c r="B610" s="5" t="str">
        <f>IFERROR(__xludf.DUMMYFUNCTION("""COMPUTED_VALUE"""),"SL021")</f>
        <v>SL021</v>
      </c>
      <c r="C610" s="5" t="str">
        <f>IFERROR(__xludf.DUMMYFUNCTION("""COMPUTED_VALUE"""),"ABRIGO METÁLICO PEQUENO PORTE")</f>
        <v>ABRIGO METÁLICO PEQUENO PORTE</v>
      </c>
      <c r="D610" s="5" t="str">
        <f>IFERROR(__xludf.DUMMYFUNCTION("""COMPUTED_VALUE"""),"SEM PLACA")</f>
        <v>SEM PLACA</v>
      </c>
      <c r="E610" s="5" t="str">
        <f>IFERROR(__xludf.DUMMYFUNCTION("""COMPUTED_VALUE"""),"SEM BAIA")</f>
        <v>SEM BAIA</v>
      </c>
      <c r="F610" s="5" t="str">
        <f>IFERROR(__xludf.DUMMYFUNCTION("""COMPUTED_VALUE"""),"NÃO")</f>
        <v>NÃO</v>
      </c>
      <c r="G610" s="5" t="str">
        <f>IFERROR(__xludf.DUMMYFUNCTION("""COMPUTED_VALUE"""),"SIM")</f>
        <v>SIM</v>
      </c>
      <c r="H610" s="5" t="str">
        <f>IFERROR(__xludf.DUMMYFUNCTION("""COMPUTED_VALUE"""),"PAVIMENTADA")</f>
        <v>PAVIMENTADA</v>
      </c>
      <c r="I610" s="6" t="str">
        <f>IFERROR(__xludf.DUMMYFUNCTION("""COMPUTED_VALUE"""),"-9.591794")</f>
        <v>-9.591794</v>
      </c>
      <c r="J610" s="6" t="str">
        <f>IFERROR(__xludf.DUMMYFUNCTION("""COMPUTED_VALUE"""),"-35.757034")</f>
        <v>-35.757034</v>
      </c>
      <c r="K610" s="5" t="str">
        <f>IFERROR(__xludf.DUMMYFUNCTION("""COMPUTED_VALUE"""),"Av. Durval de Goés Monteiro")</f>
        <v>Av. Durval de Goés Monteiro</v>
      </c>
      <c r="L610" s="5" t="str">
        <f>IFERROR(__xludf.DUMMYFUNCTION("""COMPUTED_VALUE"""),"ARTERIAL ")</f>
        <v>ARTERIAL </v>
      </c>
      <c r="M610" s="5" t="str">
        <f>IFERROR(__xludf.DUMMYFUNCTION("""COMPUTED_VALUE"""),"SANTA LÚCIA")</f>
        <v>SANTA LÚCIA</v>
      </c>
      <c r="N610" s="5" t="str">
        <f>IFERROR(__xludf.DUMMYFUNCTION("""COMPUTED_VALUE"""),"CENTRO - BAIRRO")</f>
        <v>CENTRO - BAIRRO</v>
      </c>
      <c r="O610" s="5" t="str">
        <f>IFERROR(__xludf.DUMMYFUNCTION("""COMPUTED_VALUE"""),"SUPER. POLICIA RODOVIARIA")</f>
        <v>SUPER. POLICIA RODOVIARIA</v>
      </c>
      <c r="P610" s="5" t="str">
        <f>IFERROR(__xludf.DUMMYFUNCTION("""COMPUTED_VALUE"""),"PRIORIDADE BAIXA")</f>
        <v>PRIORIDADE BAIXA</v>
      </c>
      <c r="Q610" s="5"/>
      <c r="R610" s="5" t="str">
        <f>IFERROR(__xludf.DUMMYFUNCTION("""COMPUTED_VALUE"""),"NENHUMA DAS OPÇÕES")</f>
        <v>NENHUMA DAS OPÇÕES</v>
      </c>
      <c r="S610" s="5"/>
      <c r="T610" s="5"/>
      <c r="U610" s="5"/>
      <c r="V610" s="9" t="str">
        <f>IFERROR(__xludf.DUMMYFUNCTION("""COMPUTED_VALUE"""),"https://drive.google.com/uc?id=1K8SUaiRz2kL-XZoPcx5TACLvBWYkWa-P
")</f>
        <v>https://drive.google.com/uc?id=1K8SUaiRz2kL-XZoPcx5TACLvBWYkWa-P
</v>
      </c>
      <c r="W610" s="5" t="str">
        <f>IFERROR(__xludf.DUMMYFUNCTION("""COMPUTED_VALUE"""),"NÃO")</f>
        <v>NÃO</v>
      </c>
      <c r="X610" s="5" t="str">
        <f>IFERROR(__xludf.DUMMYFUNCTION("""COMPUTED_VALUE"""),"NÃO")</f>
        <v>NÃO</v>
      </c>
    </row>
    <row r="611">
      <c r="A611" s="5">
        <f>IFERROR(__xludf.DUMMYFUNCTION("IMPORTRANGE(""https://docs.google.com/spreadsheets/d/1Q3fZMfjzEbdmSDDxTWip5DZzefd1jJPGSpZs8nXQ6_k/edit#gid=1148596702"", ""ANTARES!A3:X27"")"),6.0)</f>
        <v>6</v>
      </c>
      <c r="B611" s="5" t="str">
        <f>IFERROR(__xludf.DUMMYFUNCTION("""COMPUTED_VALUE"""),"AN001")</f>
        <v>AN001</v>
      </c>
      <c r="C611" s="5" t="str">
        <f>IFERROR(__xludf.DUMMYFUNCTION("""COMPUTED_VALUE"""),"ABRIGO METÁLICO PEQUENO PORTE")</f>
        <v>ABRIGO METÁLICO PEQUENO PORTE</v>
      </c>
      <c r="D611" s="5" t="str">
        <f>IFERROR(__xludf.DUMMYFUNCTION("""COMPUTED_VALUE"""),"COM SUPORTE")</f>
        <v>COM SUPORTE</v>
      </c>
      <c r="E611" s="5" t="str">
        <f>IFERROR(__xludf.DUMMYFUNCTION("""COMPUTED_VALUE"""),"SEM BAIA")</f>
        <v>SEM BAIA</v>
      </c>
      <c r="F611" s="5" t="str">
        <f>IFERROR(__xludf.DUMMYFUNCTION("""COMPUTED_VALUE"""),"NÃO")</f>
        <v>NÃO</v>
      </c>
      <c r="G611" s="5" t="str">
        <f>IFERROR(__xludf.DUMMYFUNCTION("""COMPUTED_VALUE"""),"NÃO")</f>
        <v>NÃO</v>
      </c>
      <c r="H611" s="5" t="str">
        <f>IFERROR(__xludf.DUMMYFUNCTION("""COMPUTED_VALUE"""),"PAVIMENTADA")</f>
        <v>PAVIMENTADA</v>
      </c>
      <c r="I611" s="6" t="str">
        <f>IFERROR(__xludf.DUMMYFUNCTION("""COMPUTED_VALUE"""),"-9.584185")</f>
        <v>-9.584185</v>
      </c>
      <c r="J611" s="6" t="str">
        <f>IFERROR(__xludf.DUMMYFUNCTION("""COMPUTED_VALUE""")," -35.734283
")</f>
        <v> -35.734283
</v>
      </c>
      <c r="K611" s="5" t="str">
        <f>IFERROR(__xludf.DUMMYFUNCTION("""COMPUTED_VALUE"""),"AV. MENINO MARCELO, S/N")</f>
        <v>AV. MENINO MARCELO, S/N</v>
      </c>
      <c r="L611" s="5" t="str">
        <f>IFERROR(__xludf.DUMMYFUNCTION("""COMPUTED_VALUE"""),"ARTERIAL ")</f>
        <v>ARTERIAL </v>
      </c>
      <c r="M611" s="5" t="str">
        <f>IFERROR(__xludf.DUMMYFUNCTION("""COMPUTED_VALUE"""),"ANTARES")</f>
        <v>ANTARES</v>
      </c>
      <c r="N611" s="5" t="str">
        <f>IFERROR(__xludf.DUMMYFUNCTION("""COMPUTED_VALUE"""),"CENTRO - BAIRRO")</f>
        <v>CENTRO - BAIRRO</v>
      </c>
      <c r="O611" s="5" t="str">
        <f>IFERROR(__xludf.DUMMYFUNCTION("""COMPUTED_VALUE"""),"AO LADO DA ANTIGA AUTO VANESSA")</f>
        <v>AO LADO DA ANTIGA AUTO VANESSA</v>
      </c>
      <c r="P611" s="5" t="str">
        <f>IFERROR(__xludf.DUMMYFUNCTION("""COMPUTED_VALUE"""),"PRIORIDADE BAIXA")</f>
        <v>PRIORIDADE BAIXA</v>
      </c>
      <c r="Q611" s="5" t="str">
        <f>IFERROR(__xludf.DUMMYFUNCTION("""COMPUTED_VALUE"""),"READEQUAÇÃO DE CALÇADA COM ACESSIBILIDADE")</f>
        <v>READEQUAÇÃO DE CALÇADA COM ACESSIBILIDADE</v>
      </c>
      <c r="R611" s="5" t="str">
        <f>IFERROR(__xludf.DUMMYFUNCTION("""COMPUTED_VALUE"""),"NENHUMA DAS OPÇÕES")</f>
        <v>NENHUMA DAS OPÇÕES</v>
      </c>
      <c r="S611" s="5"/>
      <c r="T611" s="5"/>
      <c r="U611" s="5"/>
      <c r="V611" s="9" t="str">
        <f>IFERROR(__xludf.DUMMYFUNCTION("""COMPUTED_VALUE"""),"https://drive.google.com/uc?id=1croiPwgvc3VZLKQPcOptia57D6CkfZQq")</f>
        <v>https://drive.google.com/uc?id=1croiPwgvc3VZLKQPcOptia57D6CkfZQq</v>
      </c>
      <c r="W611" s="5" t="str">
        <f>IFERROR(__xludf.DUMMYFUNCTION("""COMPUTED_VALUE"""),"JUNTOS")</f>
        <v>JUNTOS</v>
      </c>
      <c r="X611" s="5" t="str">
        <f>IFERROR(__xludf.DUMMYFUNCTION("""COMPUTED_VALUE"""),"NÃO")</f>
        <v>NÃO</v>
      </c>
    </row>
    <row r="612" hidden="1">
      <c r="A612" s="5">
        <f>IFERROR(__xludf.DUMMYFUNCTION("""COMPUTED_VALUE"""),6.0)</f>
        <v>6</v>
      </c>
      <c r="B612" s="5" t="str">
        <f>IFERROR(__xludf.DUMMYFUNCTION("""COMPUTED_VALUE"""),"AN002")</f>
        <v>AN002</v>
      </c>
      <c r="C612" s="5" t="str">
        <f>IFERROR(__xludf.DUMMYFUNCTION("""COMPUTED_VALUE"""),"NÃO POSSUI")</f>
        <v>NÃO POSSUI</v>
      </c>
      <c r="D612" s="5" t="str">
        <f>IFERROR(__xludf.DUMMYFUNCTION("""COMPUTED_VALUE"""),"COM SUPORTE")</f>
        <v>COM SUPORTE</v>
      </c>
      <c r="E612" s="5" t="str">
        <f>IFERROR(__xludf.DUMMYFUNCTION("""COMPUTED_VALUE"""),"SEM BAIA")</f>
        <v>SEM BAIA</v>
      </c>
      <c r="F612" s="5" t="str">
        <f>IFERROR(__xludf.DUMMYFUNCTION("""COMPUTED_VALUE"""),"NÃO")</f>
        <v>NÃO</v>
      </c>
      <c r="G612" s="5" t="str">
        <f>IFERROR(__xludf.DUMMYFUNCTION("""COMPUTED_VALUE"""),"NÃO")</f>
        <v>NÃO</v>
      </c>
      <c r="H612" s="5" t="str">
        <f>IFERROR(__xludf.DUMMYFUNCTION("""COMPUTED_VALUE"""),"PAVIMENTADA COM AVARIAS")</f>
        <v>PAVIMENTADA COM AVARIAS</v>
      </c>
      <c r="I612" s="6" t="str">
        <f>IFERROR(__xludf.DUMMYFUNCTION("""COMPUTED_VALUE"""),"-9.580435")</f>
        <v>-9.580435</v>
      </c>
      <c r="J612" s="6" t="str">
        <f>IFERROR(__xludf.DUMMYFUNCTION("""COMPUTED_VALUE"""),"-35.735955")</f>
        <v>-35.735955</v>
      </c>
      <c r="K612" s="5" t="str">
        <f>IFERROR(__xludf.DUMMYFUNCTION("""COMPUTED_VALUE"""),"AV. MENINO MARCELO, S/N")</f>
        <v>AV. MENINO MARCELO, S/N</v>
      </c>
      <c r="L612" s="5" t="str">
        <f>IFERROR(__xludf.DUMMYFUNCTION("""COMPUTED_VALUE"""),"ARTERIAL ")</f>
        <v>ARTERIAL </v>
      </c>
      <c r="M612" s="5" t="str">
        <f>IFERROR(__xludf.DUMMYFUNCTION("""COMPUTED_VALUE"""),"ANTARES")</f>
        <v>ANTARES</v>
      </c>
      <c r="N612" s="5" t="str">
        <f>IFERROR(__xludf.DUMMYFUNCTION("""COMPUTED_VALUE"""),"CENTRO - BAIRRO")</f>
        <v>CENTRO - BAIRRO</v>
      </c>
      <c r="O612" s="5" t="str">
        <f>IFERROR(__xludf.DUMMYFUNCTION("""COMPUTED_VALUE"""),"LADO OPOSTO A ALUMÍNIO GUARARAPES")</f>
        <v>LADO OPOSTO A ALUMÍNIO GUARARAPES</v>
      </c>
      <c r="P612" s="5" t="str">
        <f>IFERROR(__xludf.DUMMYFUNCTION("""COMPUTED_VALUE"""),"PRIORIDADE BAIXA")</f>
        <v>PRIORIDADE BAIXA</v>
      </c>
      <c r="Q612" s="5" t="str">
        <f>IFERROR(__xludf.DUMMYFUNCTION("""COMPUTED_VALUE"""),"READEQUAÇÃO DE CALÇADA COM ACESSIBILIDADE")</f>
        <v>READEQUAÇÃO DE CALÇADA COM ACESSIBILIDADE</v>
      </c>
      <c r="R612" s="5" t="str">
        <f>IFERROR(__xludf.DUMMYFUNCTION("""COMPUTED_VALUE"""),"IMPLANTAR ABRIGO")</f>
        <v>IMPLANTAR ABRIGO</v>
      </c>
      <c r="S612" s="5"/>
      <c r="T612" s="5"/>
      <c r="U612" s="5"/>
      <c r="V612" s="9" t="str">
        <f>IFERROR(__xludf.DUMMYFUNCTION("""COMPUTED_VALUE"""),"https://drive.google.com/uc?id=1kHQMAJmwBvoqus6H8YxE3sUW2n7XNpXY")</f>
        <v>https://drive.google.com/uc?id=1kHQMAJmwBvoqus6H8YxE3sUW2n7XNpXY</v>
      </c>
      <c r="W612" s="5" t="str">
        <f>IFERROR(__xludf.DUMMYFUNCTION("""COMPUTED_VALUE"""),"NÃO")</f>
        <v>NÃO</v>
      </c>
      <c r="X612" s="5" t="str">
        <f>IFERROR(__xludf.DUMMYFUNCTION("""COMPUTED_VALUE"""),"NÃO SE APLICA")</f>
        <v>NÃO SE APLICA</v>
      </c>
    </row>
    <row r="613">
      <c r="A613" s="5">
        <f>IFERROR(__xludf.DUMMYFUNCTION("""COMPUTED_VALUE"""),6.0)</f>
        <v>6</v>
      </c>
      <c r="B613" s="5" t="str">
        <f>IFERROR(__xludf.DUMMYFUNCTION("""COMPUTED_VALUE"""),"AN003")</f>
        <v>AN003</v>
      </c>
      <c r="C613" s="5" t="str">
        <f>IFERROR(__xludf.DUMMYFUNCTION("""COMPUTED_VALUE"""),"ABRIGO METÁLICO PEQUENO PORTE")</f>
        <v>ABRIGO METÁLICO PEQUENO PORTE</v>
      </c>
      <c r="D613" s="5" t="str">
        <f>IFERROR(__xludf.DUMMYFUNCTION("""COMPUTED_VALUE"""),"SEM PLACA")</f>
        <v>SEM PLACA</v>
      </c>
      <c r="E613" s="5" t="str">
        <f>IFERROR(__xludf.DUMMYFUNCTION("""COMPUTED_VALUE"""),"SEM BAIA")</f>
        <v>SEM BAIA</v>
      </c>
      <c r="F613" s="5" t="str">
        <f>IFERROR(__xludf.DUMMYFUNCTION("""COMPUTED_VALUE"""),"NÃO")</f>
        <v>NÃO</v>
      </c>
      <c r="G613" s="5" t="str">
        <f>IFERROR(__xludf.DUMMYFUNCTION("""COMPUTED_VALUE"""),"NÃO")</f>
        <v>NÃO</v>
      </c>
      <c r="H613" s="5" t="str">
        <f>IFERROR(__xludf.DUMMYFUNCTION("""COMPUTED_VALUE"""),"PAVIMENTADA")</f>
        <v>PAVIMENTADA</v>
      </c>
      <c r="I613" s="6" t="str">
        <f>IFERROR(__xludf.DUMMYFUNCTION("""COMPUTED_VALUE"""),"-9.576762")</f>
        <v>-9.576762</v>
      </c>
      <c r="J613" s="6" t="str">
        <f>IFERROR(__xludf.DUMMYFUNCTION("""COMPUTED_VALUE"""),"-35.737388")</f>
        <v>-35.737388</v>
      </c>
      <c r="K613" s="5" t="str">
        <f>IFERROR(__xludf.DUMMYFUNCTION("""COMPUTED_VALUE"""),"AV. MENINO MARCELO, S/N")</f>
        <v>AV. MENINO MARCELO, S/N</v>
      </c>
      <c r="L613" s="5" t="str">
        <f>IFERROR(__xludf.DUMMYFUNCTION("""COMPUTED_VALUE"""),"ARTERIAL ")</f>
        <v>ARTERIAL </v>
      </c>
      <c r="M613" s="5" t="str">
        <f>IFERROR(__xludf.DUMMYFUNCTION("""COMPUTED_VALUE"""),"ANTARES")</f>
        <v>ANTARES</v>
      </c>
      <c r="N613" s="5" t="str">
        <f>IFERROR(__xludf.DUMMYFUNCTION("""COMPUTED_VALUE"""),"CENTRO - BAIRRO")</f>
        <v>CENTRO - BAIRRO</v>
      </c>
      <c r="O613" s="5" t="str">
        <f>IFERROR(__xludf.DUMMYFUNCTION("""COMPUTED_VALUE"""),"EM FRENTE A OFICINA MONTE VERDE")</f>
        <v>EM FRENTE A OFICINA MONTE VERDE</v>
      </c>
      <c r="P613" s="5" t="str">
        <f>IFERROR(__xludf.DUMMYFUNCTION("""COMPUTED_VALUE"""),"PRIORIDADE BAIXA")</f>
        <v>PRIORIDADE BAIXA</v>
      </c>
      <c r="Q613" s="5" t="str">
        <f>IFERROR(__xludf.DUMMYFUNCTION("""COMPUTED_VALUE"""),"READEQUAÇÃO DE CALÇADA COM ACESSIBILIDADE")</f>
        <v>READEQUAÇÃO DE CALÇADA COM ACESSIBILIDADE</v>
      </c>
      <c r="R613" s="5" t="str">
        <f>IFERROR(__xludf.DUMMYFUNCTION("""COMPUTED_VALUE"""),"NENHUMA DAS OPÇÕES")</f>
        <v>NENHUMA DAS OPÇÕES</v>
      </c>
      <c r="S613" s="5"/>
      <c r="T613" s="5"/>
      <c r="U613" s="5"/>
      <c r="V613" s="9" t="str">
        <f>IFERROR(__xludf.DUMMYFUNCTION("""COMPUTED_VALUE"""),"https://drive.google.com/uc?id=1DJfr550AVT7Ge6NBJ7j8zlV5oy1SemZf")</f>
        <v>https://drive.google.com/uc?id=1DJfr550AVT7Ge6NBJ7j8zlV5oy1SemZf</v>
      </c>
      <c r="W613" s="5" t="str">
        <f>IFERROR(__xludf.DUMMYFUNCTION("""COMPUTED_VALUE"""),"NÃO")</f>
        <v>NÃO</v>
      </c>
      <c r="X613" s="5" t="str">
        <f>IFERROR(__xludf.DUMMYFUNCTION("""COMPUTED_VALUE"""),"SIM")</f>
        <v>SIM</v>
      </c>
    </row>
    <row r="614">
      <c r="A614" s="5">
        <f>IFERROR(__xludf.DUMMYFUNCTION("""COMPUTED_VALUE"""),6.0)</f>
        <v>6</v>
      </c>
      <c r="B614" s="5" t="str">
        <f>IFERROR(__xludf.DUMMYFUNCTION("""COMPUTED_VALUE"""),"AN004")</f>
        <v>AN004</v>
      </c>
      <c r="C614" s="5" t="str">
        <f>IFERROR(__xludf.DUMMYFUNCTION("""COMPUTED_VALUE"""),"ABRIGO METÁLICO PEQUENO PORTE")</f>
        <v>ABRIGO METÁLICO PEQUENO PORTE</v>
      </c>
      <c r="D614" s="5" t="str">
        <f>IFERROR(__xludf.DUMMYFUNCTION("""COMPUTED_VALUE"""),"COM SUPORTE")</f>
        <v>COM SUPORTE</v>
      </c>
      <c r="E614" s="5" t="str">
        <f>IFERROR(__xludf.DUMMYFUNCTION("""COMPUTED_VALUE"""),"SEM BAIA")</f>
        <v>SEM BAIA</v>
      </c>
      <c r="F614" s="5" t="str">
        <f>IFERROR(__xludf.DUMMYFUNCTION("""COMPUTED_VALUE"""),"NÃO")</f>
        <v>NÃO</v>
      </c>
      <c r="G614" s="5" t="str">
        <f>IFERROR(__xludf.DUMMYFUNCTION("""COMPUTED_VALUE"""),"NÃO")</f>
        <v>NÃO</v>
      </c>
      <c r="H614" s="5" t="str">
        <f>IFERROR(__xludf.DUMMYFUNCTION("""COMPUTED_VALUE"""),"NÃO PAVIMENTADA")</f>
        <v>NÃO PAVIMENTADA</v>
      </c>
      <c r="I614" s="6" t="str">
        <f>IFERROR(__xludf.DUMMYFUNCTION("""COMPUTED_VALUE"""),"-9.573814")</f>
        <v>-9.573814</v>
      </c>
      <c r="J614" s="6" t="str">
        <f>IFERROR(__xludf.DUMMYFUNCTION("""COMPUTED_VALUE"""),"-35.738865")</f>
        <v>-35.738865</v>
      </c>
      <c r="K614" s="5" t="str">
        <f>IFERROR(__xludf.DUMMYFUNCTION("""COMPUTED_VALUE"""),"AV. MENINO MARCELO, S/N")</f>
        <v>AV. MENINO MARCELO, S/N</v>
      </c>
      <c r="L614" s="5" t="str">
        <f>IFERROR(__xludf.DUMMYFUNCTION("""COMPUTED_VALUE"""),"ARTERIAL ")</f>
        <v>ARTERIAL </v>
      </c>
      <c r="M614" s="5" t="str">
        <f>IFERROR(__xludf.DUMMYFUNCTION("""COMPUTED_VALUE"""),"ANTARES")</f>
        <v>ANTARES</v>
      </c>
      <c r="N614" s="5" t="str">
        <f>IFERROR(__xludf.DUMMYFUNCTION("""COMPUTED_VALUE"""),"CENTRO - BAIRRO")</f>
        <v>CENTRO - BAIRRO</v>
      </c>
      <c r="O614" s="5" t="str">
        <f>IFERROR(__xludf.DUMMYFUNCTION("""COMPUTED_VALUE"""),"PROXIMO A FARMACIA PERMANENTE")</f>
        <v>PROXIMO A FARMACIA PERMANENTE</v>
      </c>
      <c r="P614" s="5" t="str">
        <f>IFERROR(__xludf.DUMMYFUNCTION("""COMPUTED_VALUE"""),"PRIORIDADE BAIXA")</f>
        <v>PRIORIDADE BAIXA</v>
      </c>
      <c r="Q614" s="5" t="str">
        <f>IFERROR(__xludf.DUMMYFUNCTION("""COMPUTED_VALUE"""),"READEQUAÇÃO DE CALÇADA COM ACESSIBILIDADE")</f>
        <v>READEQUAÇÃO DE CALÇADA COM ACESSIBILIDADE</v>
      </c>
      <c r="R614" s="5" t="str">
        <f>IFERROR(__xludf.DUMMYFUNCTION("""COMPUTED_VALUE"""),"NENHUMA DAS OPÇÕES")</f>
        <v>NENHUMA DAS OPÇÕES</v>
      </c>
      <c r="S614" s="5"/>
      <c r="T614" s="5"/>
      <c r="U614" s="5"/>
      <c r="V614" s="9" t="str">
        <f>IFERROR(__xludf.DUMMYFUNCTION("""COMPUTED_VALUE"""),"https://drive.google.com/uc?id=1UnxJAcbMfQ8yrmjEHtj-A19byCdj7Pem")</f>
        <v>https://drive.google.com/uc?id=1UnxJAcbMfQ8yrmjEHtj-A19byCdj7Pem</v>
      </c>
      <c r="W614" s="5" t="str">
        <f>IFERROR(__xludf.DUMMYFUNCTION("""COMPUTED_VALUE"""),"NÃO")</f>
        <v>NÃO</v>
      </c>
      <c r="X614" s="5" t="str">
        <f>IFERROR(__xludf.DUMMYFUNCTION("""COMPUTED_VALUE"""),"NÃO")</f>
        <v>NÃO</v>
      </c>
    </row>
    <row r="615">
      <c r="A615" s="5">
        <f>IFERROR(__xludf.DUMMYFUNCTION("""COMPUTED_VALUE"""),6.0)</f>
        <v>6</v>
      </c>
      <c r="B615" s="5" t="str">
        <f>IFERROR(__xludf.DUMMYFUNCTION("""COMPUTED_VALUE"""),"AN005")</f>
        <v>AN005</v>
      </c>
      <c r="C615" s="5" t="str">
        <f>IFERROR(__xludf.DUMMYFUNCTION("""COMPUTED_VALUE"""),"ABRIGO METÁLICO PEQUENO PORTE")</f>
        <v>ABRIGO METÁLICO PEQUENO PORTE</v>
      </c>
      <c r="D615" s="5" t="str">
        <f>IFERROR(__xludf.DUMMYFUNCTION("""COMPUTED_VALUE"""),"COM SUPORTE")</f>
        <v>COM SUPORTE</v>
      </c>
      <c r="E615" s="5" t="str">
        <f>IFERROR(__xludf.DUMMYFUNCTION("""COMPUTED_VALUE"""),"SEM BAIA")</f>
        <v>SEM BAIA</v>
      </c>
      <c r="F615" s="5" t="str">
        <f>IFERROR(__xludf.DUMMYFUNCTION("""COMPUTED_VALUE"""),"NÃO")</f>
        <v>NÃO</v>
      </c>
      <c r="G615" s="5" t="str">
        <f>IFERROR(__xludf.DUMMYFUNCTION("""COMPUTED_VALUE"""),"NÃO")</f>
        <v>NÃO</v>
      </c>
      <c r="H615" s="5" t="str">
        <f>IFERROR(__xludf.DUMMYFUNCTION("""COMPUTED_VALUE"""),"PAVIMENTADA")</f>
        <v>PAVIMENTADA</v>
      </c>
      <c r="I615" s="6" t="str">
        <f>IFERROR(__xludf.DUMMYFUNCTION("""COMPUTED_VALUE"""),"-9.570518")</f>
        <v>-9.570518</v>
      </c>
      <c r="J615" s="6" t="str">
        <f>IFERROR(__xludf.DUMMYFUNCTION("""COMPUTED_VALUE""")," -35.741811")</f>
        <v> -35.741811</v>
      </c>
      <c r="K615" s="5" t="str">
        <f>IFERROR(__xludf.DUMMYFUNCTION("""COMPUTED_VALUE"""),"AV. MENINO MARCELO, S/N")</f>
        <v>AV. MENINO MARCELO, S/N</v>
      </c>
      <c r="L615" s="5" t="str">
        <f>IFERROR(__xludf.DUMMYFUNCTION("""COMPUTED_VALUE"""),"ARTERIAL ")</f>
        <v>ARTERIAL </v>
      </c>
      <c r="M615" s="5" t="str">
        <f>IFERROR(__xludf.DUMMYFUNCTION("""COMPUTED_VALUE"""),"ANTARES")</f>
        <v>ANTARES</v>
      </c>
      <c r="N615" s="5" t="str">
        <f>IFERROR(__xludf.DUMMYFUNCTION("""COMPUTED_VALUE"""),"CENTRO - BAIRRO")</f>
        <v>CENTRO - BAIRRO</v>
      </c>
      <c r="O615" s="5" t="str">
        <f>IFERROR(__xludf.DUMMYFUNCTION("""COMPUTED_VALUE"""),"EM FRENTE A MMG MARMORES E GRANITOS ")</f>
        <v>EM FRENTE A MMG MARMORES E GRANITOS </v>
      </c>
      <c r="P615" s="5" t="str">
        <f>IFERROR(__xludf.DUMMYFUNCTION("""COMPUTED_VALUE"""),"PRIORIDADE BAIXA")</f>
        <v>PRIORIDADE BAIXA</v>
      </c>
      <c r="Q615" s="5" t="str">
        <f>IFERROR(__xludf.DUMMYFUNCTION("""COMPUTED_VALUE"""),"READEQUAÇÃO DE CALÇADA COM ACESSIBILIDADE")</f>
        <v>READEQUAÇÃO DE CALÇADA COM ACESSIBILIDADE</v>
      </c>
      <c r="R615" s="5" t="str">
        <f>IFERROR(__xludf.DUMMYFUNCTION("""COMPUTED_VALUE"""),"NENHUMA DAS OPÇÕES")</f>
        <v>NENHUMA DAS OPÇÕES</v>
      </c>
      <c r="S615" s="5"/>
      <c r="T615" s="5"/>
      <c r="U615" s="5"/>
      <c r="V615" s="9" t="str">
        <f>IFERROR(__xludf.DUMMYFUNCTION("""COMPUTED_VALUE"""),"https://drive.google.com/uc?id=1xvgjRUgsW58R4avowKRXj8zGGtS0-t7T")</f>
        <v>https://drive.google.com/uc?id=1xvgjRUgsW58R4avowKRXj8zGGtS0-t7T</v>
      </c>
      <c r="W615" s="5" t="str">
        <f>IFERROR(__xludf.DUMMYFUNCTION("""COMPUTED_VALUE"""),"JUNTOS")</f>
        <v>JUNTOS</v>
      </c>
      <c r="X615" s="5" t="str">
        <f>IFERROR(__xludf.DUMMYFUNCTION("""COMPUTED_VALUE"""),"SIM")</f>
        <v>SIM</v>
      </c>
    </row>
    <row r="616" hidden="1">
      <c r="A616" s="5">
        <f>IFERROR(__xludf.DUMMYFUNCTION("""COMPUTED_VALUE"""),6.0)</f>
        <v>6</v>
      </c>
      <c r="B616" s="5" t="str">
        <f>IFERROR(__xludf.DUMMYFUNCTION("""COMPUTED_VALUE"""),"AN006")</f>
        <v>AN006</v>
      </c>
      <c r="C616" s="5" t="str">
        <f>IFERROR(__xludf.DUMMYFUNCTION("""COMPUTED_VALUE"""),"NÃO POSSUI")</f>
        <v>NÃO POSSUI</v>
      </c>
      <c r="D616" s="5" t="str">
        <f>IFERROR(__xludf.DUMMYFUNCTION("""COMPUTED_VALUE"""),"COM SUPORTE")</f>
        <v>COM SUPORTE</v>
      </c>
      <c r="E616" s="5" t="str">
        <f>IFERROR(__xludf.DUMMYFUNCTION("""COMPUTED_VALUE"""),"SEM BAIA")</f>
        <v>SEM BAIA</v>
      </c>
      <c r="F616" s="5" t="str">
        <f>IFERROR(__xludf.DUMMYFUNCTION("""COMPUTED_VALUE"""),"NÃO")</f>
        <v>NÃO</v>
      </c>
      <c r="G616" s="5" t="str">
        <f>IFERROR(__xludf.DUMMYFUNCTION("""COMPUTED_VALUE"""),"NÃO")</f>
        <v>NÃO</v>
      </c>
      <c r="H616" s="5" t="str">
        <f>IFERROR(__xludf.DUMMYFUNCTION("""COMPUTED_VALUE"""),"PAVIMENTADA")</f>
        <v>PAVIMENTADA</v>
      </c>
      <c r="I616" s="6" t="str">
        <f>IFERROR(__xludf.DUMMYFUNCTION("""COMPUTED_VALUE"""),"-9.568042")</f>
        <v>-9.568042</v>
      </c>
      <c r="J616" s="6" t="str">
        <f>IFERROR(__xludf.DUMMYFUNCTION("""COMPUTED_VALUE"""),"-35.743313")</f>
        <v>-35.743313</v>
      </c>
      <c r="K616" s="5" t="str">
        <f>IFERROR(__xludf.DUMMYFUNCTION("""COMPUTED_VALUE"""),"AV. MENINO MARCELO, S/N")</f>
        <v>AV. MENINO MARCELO, S/N</v>
      </c>
      <c r="L616" s="5" t="str">
        <f>IFERROR(__xludf.DUMMYFUNCTION("""COMPUTED_VALUE"""),"ARTERIAL ")</f>
        <v>ARTERIAL </v>
      </c>
      <c r="M616" s="5" t="str">
        <f>IFERROR(__xludf.DUMMYFUNCTION("""COMPUTED_VALUE"""),"ANTARES")</f>
        <v>ANTARES</v>
      </c>
      <c r="N616" s="5" t="str">
        <f>IFERROR(__xludf.DUMMYFUNCTION("""COMPUTED_VALUE"""),"CENTRO - BAIRRO")</f>
        <v>CENTRO - BAIRRO</v>
      </c>
      <c r="O616" s="5" t="str">
        <f>IFERROR(__xludf.DUMMYFUNCTION("""COMPUTED_VALUE"""),"EM FRENTE A CASA DAS ARGAMASSAS")</f>
        <v>EM FRENTE A CASA DAS ARGAMASSAS</v>
      </c>
      <c r="P616" s="5" t="str">
        <f>IFERROR(__xludf.DUMMYFUNCTION("""COMPUTED_VALUE"""),"PRIORIDADE BAIXA")</f>
        <v>PRIORIDADE BAIXA</v>
      </c>
      <c r="Q616" s="5" t="str">
        <f>IFERROR(__xludf.DUMMYFUNCTION("""COMPUTED_VALUE"""),"READEQUAÇÃO DE CALÇADA COM ACESSIBILIDADE")</f>
        <v>READEQUAÇÃO DE CALÇADA COM ACESSIBILIDADE</v>
      </c>
      <c r="R616" s="5" t="str">
        <f>IFERROR(__xludf.DUMMYFUNCTION("""COMPUTED_VALUE"""),"IMPLANTAR ABRIGO")</f>
        <v>IMPLANTAR ABRIGO</v>
      </c>
      <c r="S616" s="5"/>
      <c r="T616" s="5"/>
      <c r="U616" s="5"/>
      <c r="V616" s="9" t="str">
        <f>IFERROR(__xludf.DUMMYFUNCTION("""COMPUTED_VALUE"""),"https://drive.google.com/uc?id=1AFi-rB6wgZfEw52JWmyaAHw9iP4xqJnj")</f>
        <v>https://drive.google.com/uc?id=1AFi-rB6wgZfEw52JWmyaAHw9iP4xqJnj</v>
      </c>
      <c r="W616" s="5" t="str">
        <f>IFERROR(__xludf.DUMMYFUNCTION("""COMPUTED_VALUE"""),"NÃO")</f>
        <v>NÃO</v>
      </c>
      <c r="X616" s="5" t="str">
        <f>IFERROR(__xludf.DUMMYFUNCTION("""COMPUTED_VALUE"""),"NÃO SE APLICA")</f>
        <v>NÃO SE APLICA</v>
      </c>
    </row>
    <row r="617">
      <c r="A617" s="5">
        <f>IFERROR(__xludf.DUMMYFUNCTION("""COMPUTED_VALUE"""),6.0)</f>
        <v>6</v>
      </c>
      <c r="B617" s="5" t="str">
        <f>IFERROR(__xludf.DUMMYFUNCTION("""COMPUTED_VALUE"""),"AN007")</f>
        <v>AN007</v>
      </c>
      <c r="C617" s="5" t="str">
        <f>IFERROR(__xludf.DUMMYFUNCTION("""COMPUTED_VALUE"""),"ABRIGO METÁLICO PEQUENO PORTE")</f>
        <v>ABRIGO METÁLICO PEQUENO PORTE</v>
      </c>
      <c r="D617" s="5" t="str">
        <f>IFERROR(__xludf.DUMMYFUNCTION("""COMPUTED_VALUE"""),"COM SUPORTE")</f>
        <v>COM SUPORTE</v>
      </c>
      <c r="E617" s="5" t="str">
        <f>IFERROR(__xludf.DUMMYFUNCTION("""COMPUTED_VALUE"""),"SEM BAIA")</f>
        <v>SEM BAIA</v>
      </c>
      <c r="F617" s="5" t="str">
        <f>IFERROR(__xludf.DUMMYFUNCTION("""COMPUTED_VALUE"""),"NÃO")</f>
        <v>NÃO</v>
      </c>
      <c r="G617" s="5" t="str">
        <f>IFERROR(__xludf.DUMMYFUNCTION("""COMPUTED_VALUE"""),"NÃO")</f>
        <v>NÃO</v>
      </c>
      <c r="H617" s="5" t="str">
        <f>IFERROR(__xludf.DUMMYFUNCTION("""COMPUTED_VALUE"""),"PAVIMENTADA")</f>
        <v>PAVIMENTADA</v>
      </c>
      <c r="I617" s="6" t="str">
        <f>IFERROR(__xludf.DUMMYFUNCTION("""COMPUTED_VALUE"""),"-9.565339")</f>
        <v>-9.565339</v>
      </c>
      <c r="J617" s="6" t="str">
        <f>IFERROR(__xludf.DUMMYFUNCTION("""COMPUTED_VALUE""")," -35.744422")</f>
        <v> -35.744422</v>
      </c>
      <c r="K617" s="5" t="str">
        <f>IFERROR(__xludf.DUMMYFUNCTION("""COMPUTED_VALUE"""),"AV. MENINO MARCELO, S/N")</f>
        <v>AV. MENINO MARCELO, S/N</v>
      </c>
      <c r="L617" s="5" t="str">
        <f>IFERROR(__xludf.DUMMYFUNCTION("""COMPUTED_VALUE"""),"ARTERIAL ")</f>
        <v>ARTERIAL </v>
      </c>
      <c r="M617" s="5" t="str">
        <f>IFERROR(__xludf.DUMMYFUNCTION("""COMPUTED_VALUE"""),"ANTARES")</f>
        <v>ANTARES</v>
      </c>
      <c r="N617" s="5" t="str">
        <f>IFERROR(__xludf.DUMMYFUNCTION("""COMPUTED_VALUE"""),"CENTRO - BAIRRO")</f>
        <v>CENTRO - BAIRRO</v>
      </c>
      <c r="O617" s="5" t="str">
        <f>IFERROR(__xludf.DUMMYFUNCTION("""COMPUTED_VALUE"""),"ANTES DA PACOM")</f>
        <v>ANTES DA PACOM</v>
      </c>
      <c r="P617" s="5" t="str">
        <f>IFERROR(__xludf.DUMMYFUNCTION("""COMPUTED_VALUE"""),"PRIORIDADE BAIXA")</f>
        <v>PRIORIDADE BAIXA</v>
      </c>
      <c r="Q617" s="5" t="str">
        <f>IFERROR(__xludf.DUMMYFUNCTION("""COMPUTED_VALUE"""),"READEQUAÇÃO DE CALÇADA COM ACESSIBILIDADE")</f>
        <v>READEQUAÇÃO DE CALÇADA COM ACESSIBILIDADE</v>
      </c>
      <c r="R617" s="5" t="str">
        <f>IFERROR(__xludf.DUMMYFUNCTION("""COMPUTED_VALUE"""),"NENHUMA DAS OPÇÕES")</f>
        <v>NENHUMA DAS OPÇÕES</v>
      </c>
      <c r="S617" s="5"/>
      <c r="T617" s="5"/>
      <c r="U617" s="5"/>
      <c r="V617" s="9" t="str">
        <f>IFERROR(__xludf.DUMMYFUNCTION("""COMPUTED_VALUE"""),"https://drive.google.com/uc?id=1KlTPIRjVkID6EPdmvPV-becG_wXQNw_l")</f>
        <v>https://drive.google.com/uc?id=1KlTPIRjVkID6EPdmvPV-becG_wXQNw_l</v>
      </c>
      <c r="W617" s="5" t="str">
        <f>IFERROR(__xludf.DUMMYFUNCTION("""COMPUTED_VALUE"""),"NÃO")</f>
        <v>NÃO</v>
      </c>
      <c r="X617" s="5" t="str">
        <f>IFERROR(__xludf.DUMMYFUNCTION("""COMPUTED_VALUE"""),"NÃO")</f>
        <v>NÃO</v>
      </c>
    </row>
    <row r="618">
      <c r="A618" s="5">
        <f>IFERROR(__xludf.DUMMYFUNCTION("""COMPUTED_VALUE"""),6.0)</f>
        <v>6</v>
      </c>
      <c r="B618" s="5" t="str">
        <f>IFERROR(__xludf.DUMMYFUNCTION("""COMPUTED_VALUE"""),"AN008")</f>
        <v>AN008</v>
      </c>
      <c r="C618" s="5" t="str">
        <f>IFERROR(__xludf.DUMMYFUNCTION("""COMPUTED_VALUE"""),"ABRIGO CONCRETO")</f>
        <v>ABRIGO CONCRETO</v>
      </c>
      <c r="D618" s="5" t="str">
        <f>IFERROR(__xludf.DUMMYFUNCTION("""COMPUTED_VALUE"""),"COM SUPORTE")</f>
        <v>COM SUPORTE</v>
      </c>
      <c r="E618" s="5" t="str">
        <f>IFERROR(__xludf.DUMMYFUNCTION("""COMPUTED_VALUE"""),"SEM BAIA")</f>
        <v>SEM BAIA</v>
      </c>
      <c r="F618" s="5" t="str">
        <f>IFERROR(__xludf.DUMMYFUNCTION("""COMPUTED_VALUE"""),"NÃO")</f>
        <v>NÃO</v>
      </c>
      <c r="G618" s="5" t="str">
        <f>IFERROR(__xludf.DUMMYFUNCTION("""COMPUTED_VALUE"""),"NÃO")</f>
        <v>NÃO</v>
      </c>
      <c r="H618" s="5" t="str">
        <f>IFERROR(__xludf.DUMMYFUNCTION("""COMPUTED_VALUE"""),"PAVIMENTADA COM AVARIAS")</f>
        <v>PAVIMENTADA COM AVARIAS</v>
      </c>
      <c r="I618" s="6" t="str">
        <f>IFERROR(__xludf.DUMMYFUNCTION("""COMPUTED_VALUE"""),"-9.564168")</f>
        <v>-9.564168</v>
      </c>
      <c r="J618" s="6" t="str">
        <f>IFERROR(__xludf.DUMMYFUNCTION("""COMPUTED_VALUE"""),"-35.745039
")</f>
        <v>-35.745039
</v>
      </c>
      <c r="K618" s="5" t="str">
        <f>IFERROR(__xludf.DUMMYFUNCTION("""COMPUTED_VALUE"""),"AV. MENINO MARCELO, S/N")</f>
        <v>AV. MENINO MARCELO, S/N</v>
      </c>
      <c r="L618" s="5" t="str">
        <f>IFERROR(__xludf.DUMMYFUNCTION("""COMPUTED_VALUE"""),"ARTERIAL ")</f>
        <v>ARTERIAL </v>
      </c>
      <c r="M618" s="5" t="str">
        <f>IFERROR(__xludf.DUMMYFUNCTION("""COMPUTED_VALUE"""),"ANTARES")</f>
        <v>ANTARES</v>
      </c>
      <c r="N618" s="5" t="str">
        <f>IFERROR(__xludf.DUMMYFUNCTION("""COMPUTED_VALUE"""),"BAIRRO - CENTRO")</f>
        <v>BAIRRO - CENTRO</v>
      </c>
      <c r="O618" s="5" t="str">
        <f>IFERROR(__xludf.DUMMYFUNCTION("""COMPUTED_VALUE"""),"ANTES DA JPC VIDROS E ALUMI.")</f>
        <v>ANTES DA JPC VIDROS E ALUMI.</v>
      </c>
      <c r="P618" s="5" t="str">
        <f>IFERROR(__xludf.DUMMYFUNCTION("""COMPUTED_VALUE"""),"PRIORIDADE BAIXA")</f>
        <v>PRIORIDADE BAIXA</v>
      </c>
      <c r="Q618" s="5" t="str">
        <f>IFERROR(__xludf.DUMMYFUNCTION("""COMPUTED_VALUE"""),"ABRIGO DANIFICADO - REBOCO, PINTURA E ASSENTO DANIFICADO,  NECESSÁRIO FAZER LIMPEZA DA COBERTA, MANUTENÇÃO E LIMPEZA DA COBERTA, READEQUAÇÃO DE CALÇADA COM ACESSIBILIDADE.")</f>
        <v>ABRIGO DANIFICADO - REBOCO, PINTURA E ASSENTO DANIFICADO,  NECESSÁRIO FAZER LIMPEZA DA COBERTA, MANUTENÇÃO E LIMPEZA DA COBERTA, READEQUAÇÃO DE CALÇADA COM ACESSIBILIDADE.</v>
      </c>
      <c r="R618" s="5" t="str">
        <f>IFERROR(__xludf.DUMMYFUNCTION("""COMPUTED_VALUE"""),"SUBSTITUIR ABRIGO")</f>
        <v>SUBSTITUIR ABRIGO</v>
      </c>
      <c r="S618" s="5"/>
      <c r="T618" s="5"/>
      <c r="U618" s="5"/>
      <c r="V618" s="9" t="str">
        <f>IFERROR(__xludf.DUMMYFUNCTION("""COMPUTED_VALUE"""),"https://drive.google.com/uc?id=1fhQASu3QAy051fI_TGzqOsjK8ymEN2QC")</f>
        <v>https://drive.google.com/uc?id=1fhQASu3QAy051fI_TGzqOsjK8ymEN2QC</v>
      </c>
      <c r="W618" s="5" t="str">
        <f>IFERROR(__xludf.DUMMYFUNCTION("""COMPUTED_VALUE"""),"NÃO")</f>
        <v>NÃO</v>
      </c>
      <c r="X618" s="5" t="str">
        <f>IFERROR(__xludf.DUMMYFUNCTION("""COMPUTED_VALUE"""),"NÃO SE APLICA")</f>
        <v>NÃO SE APLICA</v>
      </c>
    </row>
    <row r="619">
      <c r="A619" s="5">
        <f>IFERROR(__xludf.DUMMYFUNCTION("""COMPUTED_VALUE"""),6.0)</f>
        <v>6</v>
      </c>
      <c r="B619" s="5" t="str">
        <f>IFERROR(__xludf.DUMMYFUNCTION("""COMPUTED_VALUE"""),"AN009")</f>
        <v>AN009</v>
      </c>
      <c r="C619" s="5" t="str">
        <f>IFERROR(__xludf.DUMMYFUNCTION("""COMPUTED_VALUE"""),"ABRIGO CONCRETO")</f>
        <v>ABRIGO CONCRETO</v>
      </c>
      <c r="D619" s="5" t="str">
        <f>IFERROR(__xludf.DUMMYFUNCTION("""COMPUTED_VALUE"""),"COM SUPORTE")</f>
        <v>COM SUPORTE</v>
      </c>
      <c r="E619" s="5" t="str">
        <f>IFERROR(__xludf.DUMMYFUNCTION("""COMPUTED_VALUE"""),"SEM BAIA")</f>
        <v>SEM BAIA</v>
      </c>
      <c r="F619" s="5" t="str">
        <f>IFERROR(__xludf.DUMMYFUNCTION("""COMPUTED_VALUE"""),"SIM")</f>
        <v>SIM</v>
      </c>
      <c r="G619" s="5" t="str">
        <f>IFERROR(__xludf.DUMMYFUNCTION("""COMPUTED_VALUE"""),"NÃO")</f>
        <v>NÃO</v>
      </c>
      <c r="H619" s="5" t="str">
        <f>IFERROR(__xludf.DUMMYFUNCTION("""COMPUTED_VALUE"""),"PAVIMENTADA")</f>
        <v>PAVIMENTADA</v>
      </c>
      <c r="I619" s="6" t="str">
        <f>IFERROR(__xludf.DUMMYFUNCTION("""COMPUTED_VALUE"""),"-9.576843")</f>
        <v>-9.576843</v>
      </c>
      <c r="J619" s="6" t="str">
        <f>IFERROR(__xludf.DUMMYFUNCTION("""COMPUTED_VALUE"""),"-35.737464
")</f>
        <v>-35.737464
</v>
      </c>
      <c r="K619" s="5" t="str">
        <f>IFERROR(__xludf.DUMMYFUNCTION("""COMPUTED_VALUE"""),"AV. MENINO MARCELO, S/N")</f>
        <v>AV. MENINO MARCELO, S/N</v>
      </c>
      <c r="L619" s="5" t="str">
        <f>IFERROR(__xludf.DUMMYFUNCTION("""COMPUTED_VALUE"""),"ARTERIAL ")</f>
        <v>ARTERIAL </v>
      </c>
      <c r="M619" s="5" t="str">
        <f>IFERROR(__xludf.DUMMYFUNCTION("""COMPUTED_VALUE"""),"ANTARES")</f>
        <v>ANTARES</v>
      </c>
      <c r="N619" s="5" t="str">
        <f>IFERROR(__xludf.DUMMYFUNCTION("""COMPUTED_VALUE"""),"BAIRRO - CENTRO")</f>
        <v>BAIRRO - CENTRO</v>
      </c>
      <c r="O619" s="5" t="str">
        <f>IFERROR(__xludf.DUMMYFUNCTION("""COMPUTED_VALUE"""),"LADO OPOSTO A OFICINA MONTE VERDE")</f>
        <v>LADO OPOSTO A OFICINA MONTE VERDE</v>
      </c>
      <c r="P619" s="5" t="str">
        <f>IFERROR(__xludf.DUMMYFUNCTION("""COMPUTED_VALUE"""),"PRIORIDADE BAIXA")</f>
        <v>PRIORIDADE BAIXA</v>
      </c>
      <c r="Q619" s="5"/>
      <c r="R619" s="5" t="str">
        <f>IFERROR(__xludf.DUMMYFUNCTION("""COMPUTED_VALUE"""),"SUBSTITUIR ABRIGO")</f>
        <v>SUBSTITUIR ABRIGO</v>
      </c>
      <c r="S619" s="5"/>
      <c r="T619" s="5"/>
      <c r="U619" s="5"/>
      <c r="V619" s="9" t="str">
        <f>IFERROR(__xludf.DUMMYFUNCTION("""COMPUTED_VALUE"""),"https://drive.google.com/uc?id=1CgwqMy1uNPm0NAAgo4_PRuu8cglJzcJE")</f>
        <v>https://drive.google.com/uc?id=1CgwqMy1uNPm0NAAgo4_PRuu8cglJzcJE</v>
      </c>
      <c r="W619" s="5" t="str">
        <f>IFERROR(__xludf.DUMMYFUNCTION("""COMPUTED_VALUE"""),"NÃO")</f>
        <v>NÃO</v>
      </c>
      <c r="X619" s="5" t="str">
        <f>IFERROR(__xludf.DUMMYFUNCTION("""COMPUTED_VALUE"""),"NÃO SE APLICA")</f>
        <v>NÃO SE APLICA</v>
      </c>
    </row>
    <row r="620">
      <c r="A620" s="5">
        <f>IFERROR(__xludf.DUMMYFUNCTION("""COMPUTED_VALUE"""),6.0)</f>
        <v>6</v>
      </c>
      <c r="B620" s="5" t="str">
        <f>IFERROR(__xludf.DUMMYFUNCTION("""COMPUTED_VALUE"""),"AN010")</f>
        <v>AN010</v>
      </c>
      <c r="C620" s="5" t="str">
        <f>IFERROR(__xludf.DUMMYFUNCTION("""COMPUTED_VALUE"""),"ABRIGO CONCRETO")</f>
        <v>ABRIGO CONCRETO</v>
      </c>
      <c r="D620" s="5" t="str">
        <f>IFERROR(__xludf.DUMMYFUNCTION("""COMPUTED_VALUE"""),"COM SUPORTE")</f>
        <v>COM SUPORTE</v>
      </c>
      <c r="E620" s="5" t="str">
        <f>IFERROR(__xludf.DUMMYFUNCTION("""COMPUTED_VALUE"""),"BAIA CONSTRUÍDA")</f>
        <v>BAIA CONSTRUÍDA</v>
      </c>
      <c r="F620" s="5" t="str">
        <f>IFERROR(__xludf.DUMMYFUNCTION("""COMPUTED_VALUE"""),"NÃO")</f>
        <v>NÃO</v>
      </c>
      <c r="G620" s="5" t="str">
        <f>IFERROR(__xludf.DUMMYFUNCTION("""COMPUTED_VALUE"""),"NÃO")</f>
        <v>NÃO</v>
      </c>
      <c r="H620" s="5" t="str">
        <f>IFERROR(__xludf.DUMMYFUNCTION("""COMPUTED_VALUE"""),"NÃO PAVIMENTADA")</f>
        <v>NÃO PAVIMENTADA</v>
      </c>
      <c r="I620" s="6" t="str">
        <f>IFERROR(__xludf.DUMMYFUNCTION("""COMPUTED_VALUE"""),"-9.581519")</f>
        <v>-9.581519</v>
      </c>
      <c r="J620" s="6" t="str">
        <f>IFERROR(__xludf.DUMMYFUNCTION("""COMPUTED_VALUE"""),"-35.735706")</f>
        <v>-35.735706</v>
      </c>
      <c r="K620" s="5" t="str">
        <f>IFERROR(__xludf.DUMMYFUNCTION("""COMPUTED_VALUE"""),"AV. MENINO MARCELO, S/N")</f>
        <v>AV. MENINO MARCELO, S/N</v>
      </c>
      <c r="L620" s="5" t="str">
        <f>IFERROR(__xludf.DUMMYFUNCTION("""COMPUTED_VALUE"""),"ARTERIAL ")</f>
        <v>ARTERIAL </v>
      </c>
      <c r="M620" s="5" t="str">
        <f>IFERROR(__xludf.DUMMYFUNCTION("""COMPUTED_VALUE"""),"ANTARES")</f>
        <v>ANTARES</v>
      </c>
      <c r="N620" s="5" t="str">
        <f>IFERROR(__xludf.DUMMYFUNCTION("""COMPUTED_VALUE"""),"BAIRRO - CENTRO")</f>
        <v>BAIRRO - CENTRO</v>
      </c>
      <c r="O620" s="5" t="str">
        <f>IFERROR(__xludf.DUMMYFUNCTION("""COMPUTED_VALUE"""),"ANTES DA CHURRASCARIA FEIJÃO VERDE")</f>
        <v>ANTES DA CHURRASCARIA FEIJÃO VERDE</v>
      </c>
      <c r="P620" s="5" t="str">
        <f>IFERROR(__xludf.DUMMYFUNCTION("""COMPUTED_VALUE"""),"PRIORIDADE BAIXA")</f>
        <v>PRIORIDADE BAIXA</v>
      </c>
      <c r="Q620" s="5" t="str">
        <f>IFERROR(__xludf.DUMMYFUNCTION("""COMPUTED_VALUE"""),"NECESSÁRIO FAZER LIMPEZA DA COBERTA, MANUTENÇÃO E LIMPEZA DA COBERTA.")</f>
        <v>NECESSÁRIO FAZER LIMPEZA DA COBERTA, MANUTENÇÃO E LIMPEZA DA COBERTA.</v>
      </c>
      <c r="R620" s="5" t="str">
        <f>IFERROR(__xludf.DUMMYFUNCTION("""COMPUTED_VALUE"""),"SUBSTITUIR ABRIGO")</f>
        <v>SUBSTITUIR ABRIGO</v>
      </c>
      <c r="S620" s="5"/>
      <c r="T620" s="5"/>
      <c r="U620" s="5"/>
      <c r="V620" s="9" t="str">
        <f>IFERROR(__xludf.DUMMYFUNCTION("""COMPUTED_VALUE"""),"https://drive.google.com/uc?id=1DKnv6coIkBmZiG0BagQ-IoUOQCFlxAoN")</f>
        <v>https://drive.google.com/uc?id=1DKnv6coIkBmZiG0BagQ-IoUOQCFlxAoN</v>
      </c>
      <c r="W620" s="5" t="str">
        <f>IFERROR(__xludf.DUMMYFUNCTION("""COMPUTED_VALUE"""),"NÃO")</f>
        <v>NÃO</v>
      </c>
      <c r="X620" s="5" t="str">
        <f>IFERROR(__xludf.DUMMYFUNCTION("""COMPUTED_VALUE"""),"NÃO SE APLICA")</f>
        <v>NÃO SE APLICA</v>
      </c>
    </row>
    <row r="621" ht="18.75" customHeight="1">
      <c r="A621" s="5">
        <f>IFERROR(__xludf.DUMMYFUNCTION("""COMPUTED_VALUE"""),6.0)</f>
        <v>6</v>
      </c>
      <c r="B621" s="5" t="str">
        <f>IFERROR(__xludf.DUMMYFUNCTION("""COMPUTED_VALUE"""),"AN011")</f>
        <v>AN011</v>
      </c>
      <c r="C621" s="5" t="str">
        <f>IFERROR(__xludf.DUMMYFUNCTION("""COMPUTED_VALUE"""),"ABRIGO CONCRETO")</f>
        <v>ABRIGO CONCRETO</v>
      </c>
      <c r="D621" s="5" t="str">
        <f>IFERROR(__xludf.DUMMYFUNCTION("""COMPUTED_VALUE"""),"COM SUPORTE")</f>
        <v>COM SUPORTE</v>
      </c>
      <c r="E621" s="5" t="str">
        <f>IFERROR(__xludf.DUMMYFUNCTION("""COMPUTED_VALUE"""),"BAIA CONSTRUÍDA")</f>
        <v>BAIA CONSTRUÍDA</v>
      </c>
      <c r="F621" s="5" t="str">
        <f>IFERROR(__xludf.DUMMYFUNCTION("""COMPUTED_VALUE"""),"NÃO")</f>
        <v>NÃO</v>
      </c>
      <c r="G621" s="5" t="str">
        <f>IFERROR(__xludf.DUMMYFUNCTION("""COMPUTED_VALUE"""),"NÃO")</f>
        <v>NÃO</v>
      </c>
      <c r="H621" s="5" t="str">
        <f>IFERROR(__xludf.DUMMYFUNCTION("""COMPUTED_VALUE"""),"PAVIMENTADA")</f>
        <v>PAVIMENTADA</v>
      </c>
      <c r="I621" s="6" t="str">
        <f>IFERROR(__xludf.DUMMYFUNCTION("""COMPUTED_VALUE"""),"-9.584392")</f>
        <v>-9.584392</v>
      </c>
      <c r="J621" s="6" t="str">
        <f>IFERROR(__xludf.DUMMYFUNCTION("""COMPUTED_VALUE"""),"-35.734385
")</f>
        <v>-35.734385
</v>
      </c>
      <c r="K621" s="5" t="str">
        <f>IFERROR(__xludf.DUMMYFUNCTION("""COMPUTED_VALUE"""),"AV. MENINO MARCELO, S/N")</f>
        <v>AV. MENINO MARCELO, S/N</v>
      </c>
      <c r="L621" s="5" t="str">
        <f>IFERROR(__xludf.DUMMYFUNCTION("""COMPUTED_VALUE"""),"ARTERIAL ")</f>
        <v>ARTERIAL </v>
      </c>
      <c r="M621" s="5" t="str">
        <f>IFERROR(__xludf.DUMMYFUNCTION("""COMPUTED_VALUE"""),"ANTARES")</f>
        <v>ANTARES</v>
      </c>
      <c r="N621" s="5" t="str">
        <f>IFERROR(__xludf.DUMMYFUNCTION("""COMPUTED_VALUE"""),"BAIRRO - CENTRO")</f>
        <v>BAIRRO - CENTRO</v>
      </c>
      <c r="O621" s="5" t="str">
        <f>IFERROR(__xludf.DUMMYFUNCTION("""COMPUTED_VALUE"""),"EM FRENTE A UNIFRIOS DISTRIBUIDORA")</f>
        <v>EM FRENTE A UNIFRIOS DISTRIBUIDORA</v>
      </c>
      <c r="P621" s="5" t="str">
        <f>IFERROR(__xludf.DUMMYFUNCTION("""COMPUTED_VALUE"""),"PRIORIDADE BAIXA")</f>
        <v>PRIORIDADE BAIXA</v>
      </c>
      <c r="Q621" s="5" t="str">
        <f>IFERROR(__xludf.DUMMYFUNCTION("""COMPUTED_VALUE"""),"NECESSÁRIO FAZER LIMPEZA DA COBERTA, MANUTENÇÃO E LIMPEZA DA COBERTA.")</f>
        <v>NECESSÁRIO FAZER LIMPEZA DA COBERTA, MANUTENÇÃO E LIMPEZA DA COBERTA.</v>
      </c>
      <c r="R621" s="5" t="str">
        <f>IFERROR(__xludf.DUMMYFUNCTION("""COMPUTED_VALUE"""),"SUBSTITUIR ABRIGO")</f>
        <v>SUBSTITUIR ABRIGO</v>
      </c>
      <c r="S621" s="5"/>
      <c r="T621" s="5"/>
      <c r="U621" s="5"/>
      <c r="V621" s="9" t="str">
        <f>IFERROR(__xludf.DUMMYFUNCTION("""COMPUTED_VALUE"""),"https://drive.google.com/uc?id=1cTWQNNl85uihbwpVlEmQgCHgNnWdXFTj")</f>
        <v>https://drive.google.com/uc?id=1cTWQNNl85uihbwpVlEmQgCHgNnWdXFTj</v>
      </c>
      <c r="W621" s="5" t="str">
        <f>IFERROR(__xludf.DUMMYFUNCTION("""COMPUTED_VALUE"""),"NÃO")</f>
        <v>NÃO</v>
      </c>
      <c r="X621" s="5" t="str">
        <f>IFERROR(__xludf.DUMMYFUNCTION("""COMPUTED_VALUE"""),"NÃO SE APLICA")</f>
        <v>NÃO SE APLICA</v>
      </c>
    </row>
    <row r="622" hidden="1">
      <c r="A622" s="5">
        <f>IFERROR(__xludf.DUMMYFUNCTION("""COMPUTED_VALUE"""),6.0)</f>
        <v>6</v>
      </c>
      <c r="B622" s="5" t="str">
        <f>IFERROR(__xludf.DUMMYFUNCTION("""COMPUTED_VALUE"""),"AN012")</f>
        <v>AN012</v>
      </c>
      <c r="C622" s="5" t="str">
        <f>IFERROR(__xludf.DUMMYFUNCTION("""COMPUTED_VALUE"""),"NÃO POSSUI")</f>
        <v>NÃO POSSUI</v>
      </c>
      <c r="D622" s="5" t="str">
        <f>IFERROR(__xludf.DUMMYFUNCTION("""COMPUTED_VALUE"""),"FIXADA EM POSTE")</f>
        <v>FIXADA EM POSTE</v>
      </c>
      <c r="E622" s="5" t="str">
        <f>IFERROR(__xludf.DUMMYFUNCTION("""COMPUTED_VALUE"""),"SEM BAIA")</f>
        <v>SEM BAIA</v>
      </c>
      <c r="F622" s="5" t="str">
        <f>IFERROR(__xludf.DUMMYFUNCTION("""COMPUTED_VALUE"""),"NÃO")</f>
        <v>NÃO</v>
      </c>
      <c r="G622" s="5" t="str">
        <f>IFERROR(__xludf.DUMMYFUNCTION("""COMPUTED_VALUE"""),"NÃO")</f>
        <v>NÃO</v>
      </c>
      <c r="H622" s="5" t="str">
        <f>IFERROR(__xludf.DUMMYFUNCTION("""COMPUTED_VALUE"""),"PAVIMENTADA")</f>
        <v>PAVIMENTADA</v>
      </c>
      <c r="I622" s="6" t="str">
        <f>IFERROR(__xludf.DUMMYFUNCTION("""COMPUTED_VALUE"""),"-9.573258")</f>
        <v>-9.573258</v>
      </c>
      <c r="J622" s="6" t="str">
        <f>IFERROR(__xludf.DUMMYFUNCTION("""COMPUTED_VALUE""")," -35.741045")</f>
        <v> -35.741045</v>
      </c>
      <c r="K622" s="5" t="str">
        <f>IFERROR(__xludf.DUMMYFUNCTION("""COMPUTED_VALUE"""),"RUA P, S/N
")</f>
        <v>RUA P, S/N
</v>
      </c>
      <c r="L622" s="5" t="str">
        <f>IFERROR(__xludf.DUMMYFUNCTION("""COMPUTED_VALUE"""),"COLETORA")</f>
        <v>COLETORA</v>
      </c>
      <c r="M622" s="5" t="str">
        <f>IFERROR(__xludf.DUMMYFUNCTION("""COMPUTED_VALUE"""),"ANTARES")</f>
        <v>ANTARES</v>
      </c>
      <c r="N622" s="5" t="str">
        <f>IFERROR(__xludf.DUMMYFUNCTION("""COMPUTED_VALUE"""),"BAIRRO - CENTRO")</f>
        <v>BAIRRO - CENTRO</v>
      </c>
      <c r="O622" s="5" t="str">
        <f>IFERROR(__xludf.DUMMYFUNCTION("""COMPUTED_VALUE"""),"Ao lado do Escola Municipal Doutora Nise da Silveira")</f>
        <v>Ao lado do Escola Municipal Doutora Nise da Silveira</v>
      </c>
      <c r="P622" s="5" t="str">
        <f>IFERROR(__xludf.DUMMYFUNCTION("""COMPUTED_VALUE"""),"PRIORIDADE BAIXA")</f>
        <v>PRIORIDADE BAIXA</v>
      </c>
      <c r="Q622" s="5" t="str">
        <f>IFERROR(__xludf.DUMMYFUNCTION("""COMPUTED_VALUE"""),"READEQUAÇÃO DE CALÇADA COM ACESSIBILIDADE")</f>
        <v>READEQUAÇÃO DE CALÇADA COM ACESSIBILIDADE</v>
      </c>
      <c r="R622" s="5" t="str">
        <f>IFERROR(__xludf.DUMMYFUNCTION("""COMPUTED_VALUE"""),"IMPLANTAR ABRIGO")</f>
        <v>IMPLANTAR ABRIGO</v>
      </c>
      <c r="S622" s="5"/>
      <c r="T622" s="5"/>
      <c r="U622" s="5"/>
      <c r="V622" s="9" t="str">
        <f>IFERROR(__xludf.DUMMYFUNCTION("""COMPUTED_VALUE"""),"https://drive.google.com/uc?id=1hD3yqcNyd7aOClM8KDY0rM7N2eSglzF1")</f>
        <v>https://drive.google.com/uc?id=1hD3yqcNyd7aOClM8KDY0rM7N2eSglzF1</v>
      </c>
      <c r="W622" s="5" t="str">
        <f>IFERROR(__xludf.DUMMYFUNCTION("""COMPUTED_VALUE"""),"NÃO")</f>
        <v>NÃO</v>
      </c>
      <c r="X622" s="5"/>
    </row>
    <row r="623">
      <c r="A623" s="5">
        <f>IFERROR(__xludf.DUMMYFUNCTION("""COMPUTED_VALUE"""),6.0)</f>
        <v>6</v>
      </c>
      <c r="B623" s="5" t="str">
        <f>IFERROR(__xludf.DUMMYFUNCTION("""COMPUTED_VALUE"""),"AN013")</f>
        <v>AN013</v>
      </c>
      <c r="C623" s="5" t="str">
        <f>IFERROR(__xludf.DUMMYFUNCTION("""COMPUTED_VALUE"""),"ABRIGO CONCRETO")</f>
        <v>ABRIGO CONCRETO</v>
      </c>
      <c r="D623" s="5" t="str">
        <f>IFERROR(__xludf.DUMMYFUNCTION("""COMPUTED_VALUE"""),"SEM PLACA")</f>
        <v>SEM PLACA</v>
      </c>
      <c r="E623" s="5" t="str">
        <f>IFERROR(__xludf.DUMMYFUNCTION("""COMPUTED_VALUE"""),"SEM BAIA")</f>
        <v>SEM BAIA</v>
      </c>
      <c r="F623" s="5" t="str">
        <f>IFERROR(__xludf.DUMMYFUNCTION("""COMPUTED_VALUE"""),"NÃO")</f>
        <v>NÃO</v>
      </c>
      <c r="G623" s="5" t="str">
        <f>IFERROR(__xludf.DUMMYFUNCTION("""COMPUTED_VALUE"""),"NÃO")</f>
        <v>NÃO</v>
      </c>
      <c r="H623" s="5" t="str">
        <f>IFERROR(__xludf.DUMMYFUNCTION("""COMPUTED_VALUE"""),"PAVIMENTADA")</f>
        <v>PAVIMENTADA</v>
      </c>
      <c r="I623" s="6" t="str">
        <f>IFERROR(__xludf.DUMMYFUNCTION("""COMPUTED_VALUE"""),"-9.573254")</f>
        <v>-9.573254</v>
      </c>
      <c r="J623" s="6" t="str">
        <f>IFERROR(__xludf.DUMMYFUNCTION("""COMPUTED_VALUE"""),"-35.741415")</f>
        <v>-35.741415</v>
      </c>
      <c r="K623" s="5" t="str">
        <f>IFERROR(__xludf.DUMMYFUNCTION("""COMPUTED_VALUE"""),"RUA P, S/N
")</f>
        <v>RUA P, S/N
</v>
      </c>
      <c r="L623" s="5" t="str">
        <f>IFERROR(__xludf.DUMMYFUNCTION("""COMPUTED_VALUE"""),"COLETORA")</f>
        <v>COLETORA</v>
      </c>
      <c r="M623" s="5" t="str">
        <f>IFERROR(__xludf.DUMMYFUNCTION("""COMPUTED_VALUE"""),"ANTARES")</f>
        <v>ANTARES</v>
      </c>
      <c r="N623" s="5" t="str">
        <f>IFERROR(__xludf.DUMMYFUNCTION("""COMPUTED_VALUE"""),"CENTRO - BAIRRO")</f>
        <v>CENTRO - BAIRRO</v>
      </c>
      <c r="O623" s="5" t="str">
        <f>IFERROR(__xludf.DUMMYFUNCTION("""COMPUTED_VALUE"""),"APÓS A SAÍDA DO BIG BOMPREÇO ANTARES")</f>
        <v>APÓS A SAÍDA DO BIG BOMPREÇO ANTARES</v>
      </c>
      <c r="P623" s="5" t="str">
        <f>IFERROR(__xludf.DUMMYFUNCTION("""COMPUTED_VALUE"""),"PRIORIDADE BAIXA")</f>
        <v>PRIORIDADE BAIXA</v>
      </c>
      <c r="Q623" s="5" t="str">
        <f>IFERROR(__xludf.DUMMYFUNCTION("""COMPUTED_VALUE"""),"READEQUAÇÃO DE CALÇADA COM ACESSIBILIDADE")</f>
        <v>READEQUAÇÃO DE CALÇADA COM ACESSIBILIDADE</v>
      </c>
      <c r="R623" s="5" t="str">
        <f>IFERROR(__xludf.DUMMYFUNCTION("""COMPUTED_VALUE"""),"SUBSTITUIR ABRIGO")</f>
        <v>SUBSTITUIR ABRIGO</v>
      </c>
      <c r="S623" s="5"/>
      <c r="T623" s="5"/>
      <c r="U623" s="5"/>
      <c r="V623" s="9" t="str">
        <f>IFERROR(__xludf.DUMMYFUNCTION("""COMPUTED_VALUE"""),"https://drive.google.com/uc?id=1hDW1GV2wI2yUeQQmrMA6sP2nB_1hB0e2")</f>
        <v>https://drive.google.com/uc?id=1hDW1GV2wI2yUeQQmrMA6sP2nB_1hB0e2</v>
      </c>
      <c r="W623" s="5" t="str">
        <f>IFERROR(__xludf.DUMMYFUNCTION("""COMPUTED_VALUE"""),"NÃO")</f>
        <v>NÃO</v>
      </c>
      <c r="X623" s="5"/>
    </row>
    <row r="624">
      <c r="A624" s="5">
        <f>IFERROR(__xludf.DUMMYFUNCTION("""COMPUTED_VALUE"""),6.0)</f>
        <v>6</v>
      </c>
      <c r="B624" s="5" t="str">
        <f>IFERROR(__xludf.DUMMYFUNCTION("""COMPUTED_VALUE"""),"AN014")</f>
        <v>AN014</v>
      </c>
      <c r="C624" s="5" t="str">
        <f>IFERROR(__xludf.DUMMYFUNCTION("""COMPUTED_VALUE"""),"ABRIGO CONCRETO")</f>
        <v>ABRIGO CONCRETO</v>
      </c>
      <c r="D624" s="5" t="str">
        <f>IFERROR(__xludf.DUMMYFUNCTION("""COMPUTED_VALUE"""),"COM SUPORTE")</f>
        <v>COM SUPORTE</v>
      </c>
      <c r="E624" s="5" t="str">
        <f>IFERROR(__xludf.DUMMYFUNCTION("""COMPUTED_VALUE"""),"SEM BAIA")</f>
        <v>SEM BAIA</v>
      </c>
      <c r="F624" s="5" t="str">
        <f>IFERROR(__xludf.DUMMYFUNCTION("""COMPUTED_VALUE"""),"NÃO")</f>
        <v>NÃO</v>
      </c>
      <c r="G624" s="5" t="str">
        <f>IFERROR(__xludf.DUMMYFUNCTION("""COMPUTED_VALUE"""),"NÃO")</f>
        <v>NÃO</v>
      </c>
      <c r="H624" s="5" t="str">
        <f>IFERROR(__xludf.DUMMYFUNCTION("""COMPUTED_VALUE"""),"PAVIMENTADA")</f>
        <v>PAVIMENTADA</v>
      </c>
      <c r="I624" s="6" t="str">
        <f>IFERROR(__xludf.DUMMYFUNCTION("""COMPUTED_VALUE"""),"-9.573668")</f>
        <v>-9.573668</v>
      </c>
      <c r="J624" s="6" t="str">
        <f>IFERROR(__xludf.DUMMYFUNCTION("""COMPUTED_VALUE"""),"-35.742708
")</f>
        <v>-35.742708
</v>
      </c>
      <c r="K624" s="5" t="str">
        <f>IFERROR(__xludf.DUMMYFUNCTION("""COMPUTED_VALUE"""),"RUA P, S/N
")</f>
        <v>RUA P, S/N
</v>
      </c>
      <c r="L624" s="5" t="str">
        <f>IFERROR(__xludf.DUMMYFUNCTION("""COMPUTED_VALUE"""),"COLETORA")</f>
        <v>COLETORA</v>
      </c>
      <c r="M624" s="5" t="str">
        <f>IFERROR(__xludf.DUMMYFUNCTION("""COMPUTED_VALUE"""),"ANTARES")</f>
        <v>ANTARES</v>
      </c>
      <c r="N624" s="5" t="str">
        <f>IFERROR(__xludf.DUMMYFUNCTION("""COMPUTED_VALUE"""),"BAIRRO - CENTRO")</f>
        <v>BAIRRO - CENTRO</v>
      </c>
      <c r="O624" s="5" t="str">
        <f>IFERROR(__xludf.DUMMYFUNCTION("""COMPUTED_VALUE"""),"EM FRENTE AO FOOD PARK")</f>
        <v>EM FRENTE AO FOOD PARK</v>
      </c>
      <c r="P624" s="5" t="str">
        <f>IFERROR(__xludf.DUMMYFUNCTION("""COMPUTED_VALUE"""),"PRIORIDADE BAIXA")</f>
        <v>PRIORIDADE BAIXA</v>
      </c>
      <c r="Q624" s="5" t="str">
        <f>IFERROR(__xludf.DUMMYFUNCTION("""COMPUTED_VALUE"""),"PINTURA DE TODA A ESTRUTURA, MANUTENÇÃO E LIMPEZA DA COBERTA,PINTURA DA SINALIZAÇÃO DA BAÍA NO ASFALTO, READEQUAÇÃO DE CALÇADA COM ACESSIBILIDADE.")</f>
        <v>PINTURA DE TODA A ESTRUTURA, MANUTENÇÃO E LIMPEZA DA COBERTA,PINTURA DA SINALIZAÇÃO DA BAÍA NO ASFALTO, READEQUAÇÃO DE CALÇADA COM ACESSIBILIDADE.</v>
      </c>
      <c r="R624" s="5" t="str">
        <f>IFERROR(__xludf.DUMMYFUNCTION("""COMPUTED_VALUE"""),"SUBSTITUIR ABRIGO")</f>
        <v>SUBSTITUIR ABRIGO</v>
      </c>
      <c r="S624" s="5"/>
      <c r="T624" s="5"/>
      <c r="U624" s="5"/>
      <c r="V624" s="9" t="str">
        <f>IFERROR(__xludf.DUMMYFUNCTION("""COMPUTED_VALUE"""),"https://drive.google.com/uc?id=1hF_rsWMW7U1m4a52scXEIwYnHN486o50")</f>
        <v>https://drive.google.com/uc?id=1hF_rsWMW7U1m4a52scXEIwYnHN486o50</v>
      </c>
      <c r="W624" s="5" t="str">
        <f>IFERROR(__xludf.DUMMYFUNCTION("""COMPUTED_VALUE"""),"NÃO")</f>
        <v>NÃO</v>
      </c>
      <c r="X624" s="5"/>
    </row>
    <row r="625" hidden="1">
      <c r="A625" s="5">
        <f>IFERROR(__xludf.DUMMYFUNCTION("""COMPUTED_VALUE"""),6.0)</f>
        <v>6</v>
      </c>
      <c r="B625" s="5" t="str">
        <f>IFERROR(__xludf.DUMMYFUNCTION("""COMPUTED_VALUE"""),"AN015")</f>
        <v>AN015</v>
      </c>
      <c r="C625" s="5" t="str">
        <f>IFERROR(__xludf.DUMMYFUNCTION("""COMPUTED_VALUE"""),"NÃO POSSUI")</f>
        <v>NÃO POSSUI</v>
      </c>
      <c r="D625" s="5" t="str">
        <f>IFERROR(__xludf.DUMMYFUNCTION("""COMPUTED_VALUE"""),"COM SUPORTE")</f>
        <v>COM SUPORTE</v>
      </c>
      <c r="E625" s="5" t="str">
        <f>IFERROR(__xludf.DUMMYFUNCTION("""COMPUTED_VALUE"""),"SEM BAIA")</f>
        <v>SEM BAIA</v>
      </c>
      <c r="F625" s="5" t="str">
        <f>IFERROR(__xludf.DUMMYFUNCTION("""COMPUTED_VALUE"""),"NÃO")</f>
        <v>NÃO</v>
      </c>
      <c r="G625" s="5" t="str">
        <f>IFERROR(__xludf.DUMMYFUNCTION("""COMPUTED_VALUE"""),"NÃO")</f>
        <v>NÃO</v>
      </c>
      <c r="H625" s="5" t="str">
        <f>IFERROR(__xludf.DUMMYFUNCTION("""COMPUTED_VALUE"""),"PAVIMENTADA")</f>
        <v>PAVIMENTADA</v>
      </c>
      <c r="I625" s="6" t="str">
        <f>IFERROR(__xludf.DUMMYFUNCTION("""COMPUTED_VALUE"""),"-9.573689")</f>
        <v>-9.573689</v>
      </c>
      <c r="J625" s="6" t="str">
        <f>IFERROR(__xludf.DUMMYFUNCTION("""COMPUTED_VALUE"""),"-35.743151")</f>
        <v>-35.743151</v>
      </c>
      <c r="K625" s="5" t="str">
        <f>IFERROR(__xludf.DUMMYFUNCTION("""COMPUTED_VALUE"""),"RUA P, S/N
")</f>
        <v>RUA P, S/N
</v>
      </c>
      <c r="L625" s="5" t="str">
        <f>IFERROR(__xludf.DUMMYFUNCTION("""COMPUTED_VALUE"""),"COLETORA")</f>
        <v>COLETORA</v>
      </c>
      <c r="M625" s="5" t="str">
        <f>IFERROR(__xludf.DUMMYFUNCTION("""COMPUTED_VALUE"""),"ANTARES")</f>
        <v>ANTARES</v>
      </c>
      <c r="N625" s="5" t="str">
        <f>IFERROR(__xludf.DUMMYFUNCTION("""COMPUTED_VALUE"""),"CENTRO - BAIRRO")</f>
        <v>CENTRO - BAIRRO</v>
      </c>
      <c r="O625" s="5" t="str">
        <f>IFERROR(__xludf.DUMMYFUNCTION("""COMPUTED_VALUE"""),"EM FRENTE A FARMÁCIA VIDA FARMA")</f>
        <v>EM FRENTE A FARMÁCIA VIDA FARMA</v>
      </c>
      <c r="P625" s="5" t="str">
        <f>IFERROR(__xludf.DUMMYFUNCTION("""COMPUTED_VALUE"""),"PRIORIDADE BAIXA")</f>
        <v>PRIORIDADE BAIXA</v>
      </c>
      <c r="Q625" s="5" t="str">
        <f>IFERROR(__xludf.DUMMYFUNCTION("""COMPUTED_VALUE"""),"READEQUAÇÃO DE CALÇADA COM ACESSIBILIDADE")</f>
        <v>READEQUAÇÃO DE CALÇADA COM ACESSIBILIDADE</v>
      </c>
      <c r="R625" s="5" t="str">
        <f>IFERROR(__xludf.DUMMYFUNCTION("""COMPUTED_VALUE"""),"NENHUMA DAS OPÇÕES")</f>
        <v>NENHUMA DAS OPÇÕES</v>
      </c>
      <c r="S625" s="5"/>
      <c r="T625" s="5"/>
      <c r="U625" s="5"/>
      <c r="V625" s="9" t="str">
        <f>IFERROR(__xludf.DUMMYFUNCTION("""COMPUTED_VALUE"""),"https://drive.google.com/uc?id=1hND5mFzBpBghPRwGUEzcQ8Jg1ztvS_po")</f>
        <v>https://drive.google.com/uc?id=1hND5mFzBpBghPRwGUEzcQ8Jg1ztvS_po</v>
      </c>
      <c r="W625" s="5" t="str">
        <f>IFERROR(__xludf.DUMMYFUNCTION("""COMPUTED_VALUE"""),"NÃO")</f>
        <v>NÃO</v>
      </c>
      <c r="X625" s="5"/>
    </row>
    <row r="626">
      <c r="A626" s="5">
        <f>IFERROR(__xludf.DUMMYFUNCTION("""COMPUTED_VALUE"""),6.0)</f>
        <v>6</v>
      </c>
      <c r="B626" s="5" t="str">
        <f>IFERROR(__xludf.DUMMYFUNCTION("""COMPUTED_VALUE"""),"AN016")</f>
        <v>AN016</v>
      </c>
      <c r="C626" s="5" t="str">
        <f>IFERROR(__xludf.DUMMYFUNCTION("""COMPUTED_VALUE"""),"ABRIGO CONCRETO")</f>
        <v>ABRIGO CONCRETO</v>
      </c>
      <c r="D626" s="5" t="str">
        <f>IFERROR(__xludf.DUMMYFUNCTION("""COMPUTED_VALUE"""),"SEM PLACA")</f>
        <v>SEM PLACA</v>
      </c>
      <c r="E626" s="5" t="str">
        <f>IFERROR(__xludf.DUMMYFUNCTION("""COMPUTED_VALUE"""),"SEM BAIA")</f>
        <v>SEM BAIA</v>
      </c>
      <c r="F626" s="5" t="str">
        <f>IFERROR(__xludf.DUMMYFUNCTION("""COMPUTED_VALUE"""),"NÃO")</f>
        <v>NÃO</v>
      </c>
      <c r="G626" s="5" t="str">
        <f>IFERROR(__xludf.DUMMYFUNCTION("""COMPUTED_VALUE"""),"NÃO")</f>
        <v>NÃO</v>
      </c>
      <c r="H626" s="5" t="str">
        <f>IFERROR(__xludf.DUMMYFUNCTION("""COMPUTED_VALUE"""),"PAVIMENTADA")</f>
        <v>PAVIMENTADA</v>
      </c>
      <c r="I626" s="6" t="str">
        <f>IFERROR(__xludf.DUMMYFUNCTION("""COMPUTED_VALUE"""),"-9.574383")</f>
        <v>-9.574383</v>
      </c>
      <c r="J626" s="6" t="str">
        <f>IFERROR(__xludf.DUMMYFUNCTION("""COMPUTED_VALUE"""),"-35.746099")</f>
        <v>-35.746099</v>
      </c>
      <c r="K626" s="5" t="str">
        <f>IFERROR(__xludf.DUMMYFUNCTION("""COMPUTED_VALUE"""),"RUA P, S/N
")</f>
        <v>RUA P, S/N
</v>
      </c>
      <c r="L626" s="5" t="str">
        <f>IFERROR(__xludf.DUMMYFUNCTION("""COMPUTED_VALUE"""),"COLETORA")</f>
        <v>COLETORA</v>
      </c>
      <c r="M626" s="5" t="str">
        <f>IFERROR(__xludf.DUMMYFUNCTION("""COMPUTED_VALUE"""),"ANTARES")</f>
        <v>ANTARES</v>
      </c>
      <c r="N626" s="5" t="str">
        <f>IFERROR(__xludf.DUMMYFUNCTION("""COMPUTED_VALUE"""),"CENTRO - BAIRRO")</f>
        <v>CENTRO - BAIRRO</v>
      </c>
      <c r="O626" s="5" t="str">
        <f>IFERROR(__xludf.DUMMYFUNCTION("""COMPUTED_VALUE"""),"EM FRENTE AO RES. VALE DOS CORAIS")</f>
        <v>EM FRENTE AO RES. VALE DOS CORAIS</v>
      </c>
      <c r="P626" s="5" t="str">
        <f>IFERROR(__xludf.DUMMYFUNCTION("""COMPUTED_VALUE"""),"PRIORIDADE BAIXA")</f>
        <v>PRIORIDADE BAIXA</v>
      </c>
      <c r="Q626" s="5" t="str">
        <f>IFERROR(__xludf.DUMMYFUNCTION("""COMPUTED_VALUE"""),"READEQUAÇÃO DE CALÇADA COM ACESSIBILIDADE")</f>
        <v>READEQUAÇÃO DE CALÇADA COM ACESSIBILIDADE</v>
      </c>
      <c r="R626" s="5" t="str">
        <f>IFERROR(__xludf.DUMMYFUNCTION("""COMPUTED_VALUE"""),"SUBSTITUIR ABRIGO")</f>
        <v>SUBSTITUIR ABRIGO</v>
      </c>
      <c r="S626" s="5"/>
      <c r="T626" s="5"/>
      <c r="U626" s="5"/>
      <c r="V626" s="9" t="str">
        <f>IFERROR(__xludf.DUMMYFUNCTION("""COMPUTED_VALUE"""),"https://drive.google.com/uc?id=1HciWLdaB_3Bl8Achvnz7vWwuwdlDYhNK")</f>
        <v>https://drive.google.com/uc?id=1HciWLdaB_3Bl8Achvnz7vWwuwdlDYhNK</v>
      </c>
      <c r="W626" s="5" t="str">
        <f>IFERROR(__xludf.DUMMYFUNCTION("""COMPUTED_VALUE"""),"NÃO")</f>
        <v>NÃO</v>
      </c>
      <c r="X626" s="5"/>
    </row>
    <row r="627">
      <c r="A627" s="5">
        <f>IFERROR(__xludf.DUMMYFUNCTION("""COMPUTED_VALUE"""),6.0)</f>
        <v>6</v>
      </c>
      <c r="B627" s="5" t="str">
        <f>IFERROR(__xludf.DUMMYFUNCTION("""COMPUTED_VALUE"""),"AN017")</f>
        <v>AN017</v>
      </c>
      <c r="C627" s="5" t="str">
        <f>IFERROR(__xludf.DUMMYFUNCTION("""COMPUTED_VALUE"""),"ABRIGO CONCRETO")</f>
        <v>ABRIGO CONCRETO</v>
      </c>
      <c r="D627" s="5" t="str">
        <f>IFERROR(__xludf.DUMMYFUNCTION("""COMPUTED_VALUE"""),"COM SUPORTE")</f>
        <v>COM SUPORTE</v>
      </c>
      <c r="E627" s="5" t="str">
        <f>IFERROR(__xludf.DUMMYFUNCTION("""COMPUTED_VALUE"""),"SEM BAIA")</f>
        <v>SEM BAIA</v>
      </c>
      <c r="F627" s="5" t="str">
        <f>IFERROR(__xludf.DUMMYFUNCTION("""COMPUTED_VALUE"""),"NÃO")</f>
        <v>NÃO</v>
      </c>
      <c r="G627" s="5" t="str">
        <f>IFERROR(__xludf.DUMMYFUNCTION("""COMPUTED_VALUE"""),"NÃO")</f>
        <v>NÃO</v>
      </c>
      <c r="H627" s="5" t="str">
        <f>IFERROR(__xludf.DUMMYFUNCTION("""COMPUTED_VALUE"""),"PAVIMENTADA")</f>
        <v>PAVIMENTADA</v>
      </c>
      <c r="I627" s="6" t="str">
        <f>IFERROR(__xludf.DUMMYFUNCTION("""COMPUTED_VALUE"""),"-9.574416")</f>
        <v>-9.574416</v>
      </c>
      <c r="J627" s="6" t="str">
        <f>IFERROR(__xludf.DUMMYFUNCTION("""COMPUTED_VALUE"""),"-35.746002")</f>
        <v>-35.746002</v>
      </c>
      <c r="K627" s="5" t="str">
        <f>IFERROR(__xludf.DUMMYFUNCTION("""COMPUTED_VALUE"""),"RUA P, S/N
")</f>
        <v>RUA P, S/N
</v>
      </c>
      <c r="L627" s="5" t="str">
        <f>IFERROR(__xludf.DUMMYFUNCTION("""COMPUTED_VALUE"""),"COLETORA")</f>
        <v>COLETORA</v>
      </c>
      <c r="M627" s="5" t="str">
        <f>IFERROR(__xludf.DUMMYFUNCTION("""COMPUTED_VALUE"""),"ANTARES")</f>
        <v>ANTARES</v>
      </c>
      <c r="N627" s="5" t="str">
        <f>IFERROR(__xludf.DUMMYFUNCTION("""COMPUTED_VALUE"""),"BAIRRO - CENTRO")</f>
        <v>BAIRRO - CENTRO</v>
      </c>
      <c r="O627" s="5" t="str">
        <f>IFERROR(__xludf.DUMMYFUNCTION("""COMPUTED_VALUE"""),"EM FRENTE A CASA 667")</f>
        <v>EM FRENTE A CASA 667</v>
      </c>
      <c r="P627" s="5" t="str">
        <f>IFERROR(__xludf.DUMMYFUNCTION("""COMPUTED_VALUE"""),"PRIORIDADE BAIXA")</f>
        <v>PRIORIDADE BAIXA</v>
      </c>
      <c r="Q627" s="5" t="str">
        <f>IFERROR(__xludf.DUMMYFUNCTION("""COMPUTED_VALUE"""),"PINTURA DE TODA A ESTRUTURA, MANUTENÇÃO E LIMPEZA DA COBERTA,PINTURA DA SINALIZAÇÃO DA BAÍA NO ASFALTO, READEQUAÇÃO DE CALÇADA COM ACESSIBILIDADE.")</f>
        <v>PINTURA DE TODA A ESTRUTURA, MANUTENÇÃO E LIMPEZA DA COBERTA,PINTURA DA SINALIZAÇÃO DA BAÍA NO ASFALTO, READEQUAÇÃO DE CALÇADA COM ACESSIBILIDADE.</v>
      </c>
      <c r="R627" s="5" t="str">
        <f>IFERROR(__xludf.DUMMYFUNCTION("""COMPUTED_VALUE"""),"SUBSTITUIR ABRIGO")</f>
        <v>SUBSTITUIR ABRIGO</v>
      </c>
      <c r="S627" s="5"/>
      <c r="T627" s="5"/>
      <c r="U627" s="5"/>
      <c r="V627" s="9" t="str">
        <f>IFERROR(__xludf.DUMMYFUNCTION("""COMPUTED_VALUE"""),"https://drive.google.com/uc?id=1fdhPi1YC0KQV1Acibh_LSVoPe7o56LVL")</f>
        <v>https://drive.google.com/uc?id=1fdhPi1YC0KQV1Acibh_LSVoPe7o56LVL</v>
      </c>
      <c r="W627" s="5" t="str">
        <f>IFERROR(__xludf.DUMMYFUNCTION("""COMPUTED_VALUE"""),"NÃO")</f>
        <v>NÃO</v>
      </c>
      <c r="X627" s="5"/>
    </row>
    <row r="628" hidden="1">
      <c r="A628" s="5">
        <f>IFERROR(__xludf.DUMMYFUNCTION("""COMPUTED_VALUE"""),6.0)</f>
        <v>6</v>
      </c>
      <c r="B628" s="5" t="str">
        <f>IFERROR(__xludf.DUMMYFUNCTION("""COMPUTED_VALUE"""),"AN018")</f>
        <v>AN018</v>
      </c>
      <c r="C628" s="5" t="str">
        <f>IFERROR(__xludf.DUMMYFUNCTION("""COMPUTED_VALUE"""),"NÃO POSSUI")</f>
        <v>NÃO POSSUI</v>
      </c>
      <c r="D628" s="5" t="str">
        <f>IFERROR(__xludf.DUMMYFUNCTION("""COMPUTED_VALUE"""),"COM SUPORTE")</f>
        <v>COM SUPORTE</v>
      </c>
      <c r="E628" s="5" t="str">
        <f>IFERROR(__xludf.DUMMYFUNCTION("""COMPUTED_VALUE"""),"SEM BAIA")</f>
        <v>SEM BAIA</v>
      </c>
      <c r="F628" s="5" t="str">
        <f>IFERROR(__xludf.DUMMYFUNCTION("""COMPUTED_VALUE"""),"NÃO")</f>
        <v>NÃO</v>
      </c>
      <c r="G628" s="5" t="str">
        <f>IFERROR(__xludf.DUMMYFUNCTION("""COMPUTED_VALUE"""),"NÃO")</f>
        <v>NÃO</v>
      </c>
      <c r="H628" s="5" t="str">
        <f>IFERROR(__xludf.DUMMYFUNCTION("""COMPUTED_VALUE"""),"PAVIMENTADA")</f>
        <v>PAVIMENTADA</v>
      </c>
      <c r="I628" s="6" t="str">
        <f>IFERROR(__xludf.DUMMYFUNCTION("""COMPUTED_VALUE"""),"-9.565361")</f>
        <v>-9.565361</v>
      </c>
      <c r="J628" s="6" t="str">
        <f>IFERROR(__xludf.DUMMYFUNCTION("""COMPUTED_VALUE"""),"-35.743684")</f>
        <v>-35.743684</v>
      </c>
      <c r="K628" s="5" t="str">
        <f>IFERROR(__xludf.DUMMYFUNCTION("""COMPUTED_VALUE"""),"RUA P, S/N
")</f>
        <v>RUA P, S/N
</v>
      </c>
      <c r="L628" s="5" t="str">
        <f>IFERROR(__xludf.DUMMYFUNCTION("""COMPUTED_VALUE"""),"COLETORA")</f>
        <v>COLETORA</v>
      </c>
      <c r="M628" s="5" t="str">
        <f>IFERROR(__xludf.DUMMYFUNCTION("""COMPUTED_VALUE"""),"ANTARES")</f>
        <v>ANTARES</v>
      </c>
      <c r="N628" s="5" t="str">
        <f>IFERROR(__xludf.DUMMYFUNCTION("""COMPUTED_VALUE"""),"CENTRO - BAIRRO")</f>
        <v>CENTRO - BAIRRO</v>
      </c>
      <c r="O628" s="5" t="str">
        <f>IFERROR(__xludf.DUMMYFUNCTION("""COMPUTED_VALUE"""),"ENTRADA LATERAL DA CASA 8")</f>
        <v>ENTRADA LATERAL DA CASA 8</v>
      </c>
      <c r="P628" s="5" t="str">
        <f>IFERROR(__xludf.DUMMYFUNCTION("""COMPUTED_VALUE"""),"PRIORIDADE BAIXA")</f>
        <v>PRIORIDADE BAIXA</v>
      </c>
      <c r="Q628" s="5" t="str">
        <f>IFERROR(__xludf.DUMMYFUNCTION("""COMPUTED_VALUE"""),"READEQUAÇÃO DE CALÇADA COM ACESSIBILIDADE")</f>
        <v>READEQUAÇÃO DE CALÇADA COM ACESSIBILIDADE</v>
      </c>
      <c r="R628" s="5" t="str">
        <f>IFERROR(__xludf.DUMMYFUNCTION("""COMPUTED_VALUE"""),"NENHUMA DAS OPÇÕES")</f>
        <v>NENHUMA DAS OPÇÕES</v>
      </c>
      <c r="S628" s="5"/>
      <c r="T628" s="5"/>
      <c r="U628" s="5"/>
      <c r="V628" s="9" t="str">
        <f>IFERROR(__xludf.DUMMYFUNCTION("""COMPUTED_VALUE"""),"https://drive.google.com/uc?id=1hC9fHP1Cr5l10ozkuRS7Qz4D_SZ2Vhcn")</f>
        <v>https://drive.google.com/uc?id=1hC9fHP1Cr5l10ozkuRS7Qz4D_SZ2Vhcn</v>
      </c>
      <c r="W628" s="5" t="str">
        <f>IFERROR(__xludf.DUMMYFUNCTION("""COMPUTED_VALUE"""),"NÃO")</f>
        <v>NÃO</v>
      </c>
      <c r="X628" s="5"/>
    </row>
    <row r="629" ht="17.25" hidden="1" customHeight="1">
      <c r="A629" s="5">
        <f>IFERROR(__xludf.DUMMYFUNCTION("""COMPUTED_VALUE"""),6.0)</f>
        <v>6</v>
      </c>
      <c r="B629" s="5" t="str">
        <f>IFERROR(__xludf.DUMMYFUNCTION("""COMPUTED_VALUE"""),"AN019")</f>
        <v>AN019</v>
      </c>
      <c r="C629" s="5" t="str">
        <f>IFERROR(__xludf.DUMMYFUNCTION("""COMPUTED_VALUE"""),"NÃO POSSUI")</f>
        <v>NÃO POSSUI</v>
      </c>
      <c r="D629" s="5" t="str">
        <f>IFERROR(__xludf.DUMMYFUNCTION("""COMPUTED_VALUE"""),"COM SUPORTE")</f>
        <v>COM SUPORTE</v>
      </c>
      <c r="E629" s="5" t="str">
        <f>IFERROR(__xludf.DUMMYFUNCTION("""COMPUTED_VALUE"""),"SEM BAIA")</f>
        <v>SEM BAIA</v>
      </c>
      <c r="F629" s="5" t="str">
        <f>IFERROR(__xludf.DUMMYFUNCTION("""COMPUTED_VALUE"""),"NÃO")</f>
        <v>NÃO</v>
      </c>
      <c r="G629" s="5" t="str">
        <f>IFERROR(__xludf.DUMMYFUNCTION("""COMPUTED_VALUE"""),"NÃO")</f>
        <v>NÃO</v>
      </c>
      <c r="H629" s="5" t="str">
        <f>IFERROR(__xludf.DUMMYFUNCTION("""COMPUTED_VALUE"""),"PAVIMENTADA")</f>
        <v>PAVIMENTADA</v>
      </c>
      <c r="I629" s="6" t="str">
        <f>IFERROR(__xludf.DUMMYFUNCTION("""COMPUTED_VALUE"""),"-9.565044")</f>
        <v>-9.565044</v>
      </c>
      <c r="J629" s="6" t="str">
        <f>IFERROR(__xludf.DUMMYFUNCTION("""COMPUTED_VALUE"""),"-35.743458")</f>
        <v>-35.743458</v>
      </c>
      <c r="K629" s="5" t="str">
        <f>IFERROR(__xludf.DUMMYFUNCTION("""COMPUTED_VALUE"""),"RUA P, S/N
")</f>
        <v>RUA P, S/N
</v>
      </c>
      <c r="L629" s="5" t="str">
        <f>IFERROR(__xludf.DUMMYFUNCTION("""COMPUTED_VALUE"""),"COLETORA")</f>
        <v>COLETORA</v>
      </c>
      <c r="M629" s="5" t="str">
        <f>IFERROR(__xludf.DUMMYFUNCTION("""COMPUTED_VALUE"""),"ANTARES")</f>
        <v>ANTARES</v>
      </c>
      <c r="N629" s="5" t="str">
        <f>IFERROR(__xludf.DUMMYFUNCTION("""COMPUTED_VALUE"""),"BAIRRO - CENTRO")</f>
        <v>BAIRRO - CENTRO</v>
      </c>
      <c r="O629" s="5" t="str">
        <f>IFERROR(__xludf.DUMMYFUNCTION("""COMPUTED_VALUE"""),"ENTRADA LATERAL DA CASA 7")</f>
        <v>ENTRADA LATERAL DA CASA 7</v>
      </c>
      <c r="P629" s="5" t="str">
        <f>IFERROR(__xludf.DUMMYFUNCTION("""COMPUTED_VALUE"""),"PRIORIDADE BAIXA")</f>
        <v>PRIORIDADE BAIXA</v>
      </c>
      <c r="Q629" s="5" t="str">
        <f>IFERROR(__xludf.DUMMYFUNCTION("""COMPUTED_VALUE"""),"READEQUAÇÃO DE CALÇADA COM ACESSIBILIDADE")</f>
        <v>READEQUAÇÃO DE CALÇADA COM ACESSIBILIDADE</v>
      </c>
      <c r="R629" s="5" t="str">
        <f>IFERROR(__xludf.DUMMYFUNCTION("""COMPUTED_VALUE"""),"IMPLANTAR ABRIGO")</f>
        <v>IMPLANTAR ABRIGO</v>
      </c>
      <c r="S629" s="5"/>
      <c r="T629" s="5"/>
      <c r="U629" s="5"/>
      <c r="V629" s="9" t="str">
        <f>IFERROR(__xludf.DUMMYFUNCTION("""COMPUTED_VALUE"""),"https://drive.google.com/uc?id=1h6-W249LtQ1GKMZMBPTg4hR2XcGa5I-_")</f>
        <v>https://drive.google.com/uc?id=1h6-W249LtQ1GKMZMBPTg4hR2XcGa5I-_</v>
      </c>
      <c r="W629" s="5" t="str">
        <f>IFERROR(__xludf.DUMMYFUNCTION("""COMPUTED_VALUE"""),"NÃO")</f>
        <v>NÃO</v>
      </c>
      <c r="X629" s="5"/>
    </row>
    <row r="630" hidden="1">
      <c r="A630" s="5">
        <f>IFERROR(__xludf.DUMMYFUNCTION("""COMPUTED_VALUE"""),6.0)</f>
        <v>6</v>
      </c>
      <c r="B630" s="5" t="str">
        <f>IFERROR(__xludf.DUMMYFUNCTION("""COMPUTED_VALUE"""),"AN020")</f>
        <v>AN020</v>
      </c>
      <c r="C630" s="5" t="str">
        <f>IFERROR(__xludf.DUMMYFUNCTION("""COMPUTED_VALUE"""),"NÃO POSSUI")</f>
        <v>NÃO POSSUI</v>
      </c>
      <c r="D630" s="5" t="str">
        <f>IFERROR(__xludf.DUMMYFUNCTION("""COMPUTED_VALUE"""),"COM SUPORTE")</f>
        <v>COM SUPORTE</v>
      </c>
      <c r="E630" s="5" t="str">
        <f>IFERROR(__xludf.DUMMYFUNCTION("""COMPUTED_VALUE"""),"SEM BAIA")</f>
        <v>SEM BAIA</v>
      </c>
      <c r="F630" s="5" t="str">
        <f>IFERROR(__xludf.DUMMYFUNCTION("""COMPUTED_VALUE"""),"NÃO")</f>
        <v>NÃO</v>
      </c>
      <c r="G630" s="5" t="str">
        <f>IFERROR(__xludf.DUMMYFUNCTION("""COMPUTED_VALUE"""),"NÃO")</f>
        <v>NÃO</v>
      </c>
      <c r="H630" s="5" t="str">
        <f>IFERROR(__xludf.DUMMYFUNCTION("""COMPUTED_VALUE"""),"PAVIMENTADA")</f>
        <v>PAVIMENTADA</v>
      </c>
      <c r="I630" s="6" t="str">
        <f>IFERROR(__xludf.DUMMYFUNCTION("""COMPUTED_VALUE"""),"-9.563382")</f>
        <v>-9.563382</v>
      </c>
      <c r="J630" s="6" t="str">
        <f>IFERROR(__xludf.DUMMYFUNCTION("""COMPUTED_VALUE"""),"-35.741692")</f>
        <v>-35.741692</v>
      </c>
      <c r="K630" s="5" t="str">
        <f>IFERROR(__xludf.DUMMYFUNCTION("""COMPUTED_VALUE"""),"RUA P, S/N
")</f>
        <v>RUA P, S/N
</v>
      </c>
      <c r="L630" s="5" t="str">
        <f>IFERROR(__xludf.DUMMYFUNCTION("""COMPUTED_VALUE"""),"COLETORA")</f>
        <v>COLETORA</v>
      </c>
      <c r="M630" s="5" t="str">
        <f>IFERROR(__xludf.DUMMYFUNCTION("""COMPUTED_VALUE"""),"ANTARES")</f>
        <v>ANTARES</v>
      </c>
      <c r="N630" s="5" t="str">
        <f>IFERROR(__xludf.DUMMYFUNCTION("""COMPUTED_VALUE"""),"BAIRRO - CENTRO")</f>
        <v>BAIRRO - CENTRO</v>
      </c>
      <c r="O630" s="5" t="str">
        <f>IFERROR(__xludf.DUMMYFUNCTION("""COMPUTED_VALUE"""),"AO LADO DA FARMACIA DO TRABALHADOR")</f>
        <v>AO LADO DA FARMACIA DO TRABALHADOR</v>
      </c>
      <c r="P630" s="5" t="str">
        <f>IFERROR(__xludf.DUMMYFUNCTION("""COMPUTED_VALUE"""),"PRIORIDADE BAIXA")</f>
        <v>PRIORIDADE BAIXA</v>
      </c>
      <c r="Q630" s="5" t="str">
        <f>IFERROR(__xludf.DUMMYFUNCTION("""COMPUTED_VALUE"""),"READEQUAÇÃO DE CALÇADA COM ACESSIBILIDADE")</f>
        <v>READEQUAÇÃO DE CALÇADA COM ACESSIBILIDADE</v>
      </c>
      <c r="R630" s="5" t="str">
        <f>IFERROR(__xludf.DUMMYFUNCTION("""COMPUTED_VALUE"""),"NENHUMA DAS OPÇÕES")</f>
        <v>NENHUMA DAS OPÇÕES</v>
      </c>
      <c r="S630" s="5"/>
      <c r="T630" s="5"/>
      <c r="U630" s="5"/>
      <c r="V630" s="9" t="str">
        <f>IFERROR(__xludf.DUMMYFUNCTION("""COMPUTED_VALUE"""),"https://drive.google.com/uc?id=1h44ivh2Q2dayrshjpdFPB0YWrAgqhtsY")</f>
        <v>https://drive.google.com/uc?id=1h44ivh2Q2dayrshjpdFPB0YWrAgqhtsY</v>
      </c>
      <c r="W630" s="5" t="str">
        <f>IFERROR(__xludf.DUMMYFUNCTION("""COMPUTED_VALUE"""),"NÃO")</f>
        <v>NÃO</v>
      </c>
      <c r="X630" s="5"/>
    </row>
    <row r="631" hidden="1">
      <c r="A631" s="5">
        <f>IFERROR(__xludf.DUMMYFUNCTION("""COMPUTED_VALUE"""),6.0)</f>
        <v>6</v>
      </c>
      <c r="B631" s="5" t="str">
        <f>IFERROR(__xludf.DUMMYFUNCTION("""COMPUTED_VALUE"""),"AN021")</f>
        <v>AN021</v>
      </c>
      <c r="C631" s="5" t="str">
        <f>IFERROR(__xludf.DUMMYFUNCTION("""COMPUTED_VALUE"""),"NÃO POSSUI")</f>
        <v>NÃO POSSUI</v>
      </c>
      <c r="D631" s="5" t="str">
        <f>IFERROR(__xludf.DUMMYFUNCTION("""COMPUTED_VALUE"""),"COM SUPORTE")</f>
        <v>COM SUPORTE</v>
      </c>
      <c r="E631" s="5" t="str">
        <f>IFERROR(__xludf.DUMMYFUNCTION("""COMPUTED_VALUE"""),"SEM BAIA")</f>
        <v>SEM BAIA</v>
      </c>
      <c r="F631" s="5" t="str">
        <f>IFERROR(__xludf.DUMMYFUNCTION("""COMPUTED_VALUE"""),"NÃO")</f>
        <v>NÃO</v>
      </c>
      <c r="G631" s="5" t="str">
        <f>IFERROR(__xludf.DUMMYFUNCTION("""COMPUTED_VALUE"""),"NÃO")</f>
        <v>NÃO</v>
      </c>
      <c r="H631" s="5" t="str">
        <f>IFERROR(__xludf.DUMMYFUNCTION("""COMPUTED_VALUE"""),"PAVIMENTADA")</f>
        <v>PAVIMENTADA</v>
      </c>
      <c r="I631" s="6" t="str">
        <f>IFERROR(__xludf.DUMMYFUNCTION("""COMPUTED_VALUE"""),"-9.563229")</f>
        <v>-9.563229</v>
      </c>
      <c r="J631" s="6" t="str">
        <f>IFERROR(__xludf.DUMMYFUNCTION("""COMPUTED_VALUE"""),"-35.741619")</f>
        <v>-35.741619</v>
      </c>
      <c r="K631" s="5" t="str">
        <f>IFERROR(__xludf.DUMMYFUNCTION("""COMPUTED_VALUE"""),"RUA P, S/N
")</f>
        <v>RUA P, S/N
</v>
      </c>
      <c r="L631" s="5" t="str">
        <f>IFERROR(__xludf.DUMMYFUNCTION("""COMPUTED_VALUE"""),"COLETORA")</f>
        <v>COLETORA</v>
      </c>
      <c r="M631" s="5" t="str">
        <f>IFERROR(__xludf.DUMMYFUNCTION("""COMPUTED_VALUE"""),"ANTARES")</f>
        <v>ANTARES</v>
      </c>
      <c r="N631" s="5" t="str">
        <f>IFERROR(__xludf.DUMMYFUNCTION("""COMPUTED_VALUE"""),"BAIRRO - CENTRO")</f>
        <v>BAIRRO - CENTRO</v>
      </c>
      <c r="O631" s="5" t="str">
        <f>IFERROR(__xludf.DUMMYFUNCTION("""COMPUTED_VALUE"""),"AO LADO DA IGREJA MANANCIAL")</f>
        <v>AO LADO DA IGREJA MANANCIAL</v>
      </c>
      <c r="P631" s="5" t="str">
        <f>IFERROR(__xludf.DUMMYFUNCTION("""COMPUTED_VALUE"""),"PRIORIDADE BAIXA")</f>
        <v>PRIORIDADE BAIXA</v>
      </c>
      <c r="Q631" s="5" t="str">
        <f>IFERROR(__xludf.DUMMYFUNCTION("""COMPUTED_VALUE"""),"READEQUAÇÃO DE CALÇADA COM ACESSIBILIDADE")</f>
        <v>READEQUAÇÃO DE CALÇADA COM ACESSIBILIDADE</v>
      </c>
      <c r="R631" s="5" t="str">
        <f>IFERROR(__xludf.DUMMYFUNCTION("""COMPUTED_VALUE"""),"NENHUMA DAS OPÇÕES")</f>
        <v>NENHUMA DAS OPÇÕES</v>
      </c>
      <c r="S631" s="5"/>
      <c r="T631" s="5"/>
      <c r="U631" s="5"/>
      <c r="V631" s="9" t="str">
        <f>IFERROR(__xludf.DUMMYFUNCTION("""COMPUTED_VALUE"""),"https://drive.google.com/uc?id=1h1ChqqQVenyuSbktz2dzyqRz5IoF1nMi")</f>
        <v>https://drive.google.com/uc?id=1h1ChqqQVenyuSbktz2dzyqRz5IoF1nMi</v>
      </c>
      <c r="W631" s="5" t="str">
        <f>IFERROR(__xludf.DUMMYFUNCTION("""COMPUTED_VALUE"""),"NÃO")</f>
        <v>NÃO</v>
      </c>
      <c r="X631" s="5"/>
    </row>
    <row r="632" hidden="1">
      <c r="A632" s="5">
        <f>IFERROR(__xludf.DUMMYFUNCTION("""COMPUTED_VALUE"""),6.0)</f>
        <v>6</v>
      </c>
      <c r="B632" s="5" t="str">
        <f>IFERROR(__xludf.DUMMYFUNCTION("""COMPUTED_VALUE"""),"AN022")</f>
        <v>AN022</v>
      </c>
      <c r="C632" s="5" t="str">
        <f>IFERROR(__xludf.DUMMYFUNCTION("""COMPUTED_VALUE"""),"NÃO POSSUI")</f>
        <v>NÃO POSSUI</v>
      </c>
      <c r="D632" s="5" t="str">
        <f>IFERROR(__xludf.DUMMYFUNCTION("""COMPUTED_VALUE"""),"FIXADA EM POSTE")</f>
        <v>FIXADA EM POSTE</v>
      </c>
      <c r="E632" s="5" t="str">
        <f>IFERROR(__xludf.DUMMYFUNCTION("""COMPUTED_VALUE"""),"SEM BAIA")</f>
        <v>SEM BAIA</v>
      </c>
      <c r="F632" s="5" t="str">
        <f>IFERROR(__xludf.DUMMYFUNCTION("""COMPUTED_VALUE"""),"SIM")</f>
        <v>SIM</v>
      </c>
      <c r="G632" s="5" t="str">
        <f>IFERROR(__xludf.DUMMYFUNCTION("""COMPUTED_VALUE"""),"SIM")</f>
        <v>SIM</v>
      </c>
      <c r="H632" s="5" t="str">
        <f>IFERROR(__xludf.DUMMYFUNCTION("""COMPUTED_VALUE"""),"PAVIMENTADA")</f>
        <v>PAVIMENTADA</v>
      </c>
      <c r="I632" s="6" t="str">
        <f>IFERROR(__xludf.DUMMYFUNCTION("""COMPUTED_VALUE"""),"-9.558732")</f>
        <v>-9.558732</v>
      </c>
      <c r="J632" s="6" t="str">
        <f>IFERROR(__xludf.DUMMYFUNCTION("""COMPUTED_VALUE"""),"-35.742316")</f>
        <v>-35.742316</v>
      </c>
      <c r="K632" s="5" t="str">
        <f>IFERROR(__xludf.DUMMYFUNCTION("""COMPUTED_VALUE"""),"AV. CACHOEIRA DO MEIRIM, S/N")</f>
        <v>AV. CACHOEIRA DO MEIRIM, S/N</v>
      </c>
      <c r="L632" s="5" t="str">
        <f>IFERROR(__xludf.DUMMYFUNCTION("""COMPUTED_VALUE"""),"ARTERIAL ")</f>
        <v>ARTERIAL </v>
      </c>
      <c r="M632" s="5" t="str">
        <f>IFERROR(__xludf.DUMMYFUNCTION("""COMPUTED_VALUE"""),"ANTARES")</f>
        <v>ANTARES</v>
      </c>
      <c r="N632" s="5" t="str">
        <f>IFERROR(__xludf.DUMMYFUNCTION("""COMPUTED_VALUE"""),"BAIRRO - CENTRO")</f>
        <v>BAIRRO - CENTRO</v>
      </c>
      <c r="O632" s="5" t="str">
        <f>IFERROR(__xludf.DUMMYFUNCTION("""COMPUTED_VALUE"""),"AO LADO NA SERRALHARIA  R. A.")</f>
        <v>AO LADO NA SERRALHARIA  R. A.</v>
      </c>
      <c r="P632" s="5" t="str">
        <f>IFERROR(__xludf.DUMMYFUNCTION("""COMPUTED_VALUE"""),"PRIORIDADE BAIXA")</f>
        <v>PRIORIDADE BAIXA</v>
      </c>
      <c r="Q632" s="5"/>
      <c r="R632" s="5" t="str">
        <f>IFERROR(__xludf.DUMMYFUNCTION("""COMPUTED_VALUE"""),"IMPLANTAR ABRIGO")</f>
        <v>IMPLANTAR ABRIGO</v>
      </c>
      <c r="S632" s="5"/>
      <c r="T632" s="5"/>
      <c r="U632" s="5"/>
      <c r="V632" s="9" t="str">
        <f>IFERROR(__xludf.DUMMYFUNCTION("""COMPUTED_VALUE"""),"https://drive.google.com/uc?id=16JWpNq5LeckWfeRWqA6mrJqC2r-aXiUI")</f>
        <v>https://drive.google.com/uc?id=16JWpNq5LeckWfeRWqA6mrJqC2r-aXiUI</v>
      </c>
      <c r="W632" s="5" t="str">
        <f>IFERROR(__xludf.DUMMYFUNCTION("""COMPUTED_VALUE"""),"NÃO")</f>
        <v>NÃO</v>
      </c>
      <c r="X632" s="5"/>
    </row>
    <row r="633" hidden="1">
      <c r="A633" s="5">
        <f>IFERROR(__xludf.DUMMYFUNCTION("""COMPUTED_VALUE"""),6.0)</f>
        <v>6</v>
      </c>
      <c r="B633" s="5" t="str">
        <f>IFERROR(__xludf.DUMMYFUNCTION("""COMPUTED_VALUE"""),"AN023")</f>
        <v>AN023</v>
      </c>
      <c r="C633" s="5" t="str">
        <f>IFERROR(__xludf.DUMMYFUNCTION("""COMPUTED_VALUE"""),"NÃO POSSUI")</f>
        <v>NÃO POSSUI</v>
      </c>
      <c r="D633" s="5" t="str">
        <f>IFERROR(__xludf.DUMMYFUNCTION("""COMPUTED_VALUE"""),"FIXADA EM POSTE")</f>
        <v>FIXADA EM POSTE</v>
      </c>
      <c r="E633" s="5" t="str">
        <f>IFERROR(__xludf.DUMMYFUNCTION("""COMPUTED_VALUE"""),"SEM BAIA")</f>
        <v>SEM BAIA</v>
      </c>
      <c r="F633" s="5" t="str">
        <f>IFERROR(__xludf.DUMMYFUNCTION("""COMPUTED_VALUE"""),"SIM")</f>
        <v>SIM</v>
      </c>
      <c r="G633" s="5" t="str">
        <f>IFERROR(__xludf.DUMMYFUNCTION("""COMPUTED_VALUE"""),"SIM")</f>
        <v>SIM</v>
      </c>
      <c r="H633" s="5" t="str">
        <f>IFERROR(__xludf.DUMMYFUNCTION("""COMPUTED_VALUE"""),"PAVIMENTADA")</f>
        <v>PAVIMENTADA</v>
      </c>
      <c r="I633" s="6" t="str">
        <f>IFERROR(__xludf.DUMMYFUNCTION("""COMPUTED_VALUE"""),"-9.558108")</f>
        <v>-9.558108</v>
      </c>
      <c r="J633" s="6" t="str">
        <f>IFERROR(__xludf.DUMMYFUNCTION("""COMPUTED_VALUE"""),"-35.741760")</f>
        <v>-35.741760</v>
      </c>
      <c r="K633" s="5" t="str">
        <f>IFERROR(__xludf.DUMMYFUNCTION("""COMPUTED_VALUE"""),"AV. CACHOEIRA DO MEIRIM, S/N")</f>
        <v>AV. CACHOEIRA DO MEIRIM, S/N</v>
      </c>
      <c r="L633" s="5" t="str">
        <f>IFERROR(__xludf.DUMMYFUNCTION("""COMPUTED_VALUE"""),"ARTERIAL ")</f>
        <v>ARTERIAL </v>
      </c>
      <c r="M633" s="5" t="str">
        <f>IFERROR(__xludf.DUMMYFUNCTION("""COMPUTED_VALUE"""),"ANTARES")</f>
        <v>ANTARES</v>
      </c>
      <c r="N633" s="5" t="str">
        <f>IFERROR(__xludf.DUMMYFUNCTION("""COMPUTED_VALUE"""),"BAIRRO - CENTRO")</f>
        <v>BAIRRO - CENTRO</v>
      </c>
      <c r="O633" s="5" t="str">
        <f>IFERROR(__xludf.DUMMYFUNCTION("""COMPUTED_VALUE"""),"AO LADO DO SUCATÃO IDEAL")</f>
        <v>AO LADO DO SUCATÃO IDEAL</v>
      </c>
      <c r="P633" s="5" t="str">
        <f>IFERROR(__xludf.DUMMYFUNCTION("""COMPUTED_VALUE"""),"PRIORIDADE BAIXA")</f>
        <v>PRIORIDADE BAIXA</v>
      </c>
      <c r="Q633" s="5"/>
      <c r="R633" s="5" t="str">
        <f>IFERROR(__xludf.DUMMYFUNCTION("""COMPUTED_VALUE"""),"IMPLANTAR ABRIGO")</f>
        <v>IMPLANTAR ABRIGO</v>
      </c>
      <c r="S633" s="5"/>
      <c r="T633" s="5"/>
      <c r="U633" s="5"/>
      <c r="V633" s="9" t="str">
        <f>IFERROR(__xludf.DUMMYFUNCTION("""COMPUTED_VALUE"""),"https://drive.google.com/uc?id=1r6mw9JMur82xpUMCf8uqsLS5f5DtCvap")</f>
        <v>https://drive.google.com/uc?id=1r6mw9JMur82xpUMCf8uqsLS5f5DtCvap</v>
      </c>
      <c r="W633" s="5" t="str">
        <f>IFERROR(__xludf.DUMMYFUNCTION("""COMPUTED_VALUE"""),"NÃO")</f>
        <v>NÃO</v>
      </c>
      <c r="X633" s="5"/>
    </row>
    <row r="634">
      <c r="A634" s="5">
        <f>IFERROR(__xludf.DUMMYFUNCTION("""COMPUTED_VALUE"""),6.0)</f>
        <v>6</v>
      </c>
      <c r="B634" s="5" t="str">
        <f>IFERROR(__xludf.DUMMYFUNCTION("""COMPUTED_VALUE"""),"AN024")</f>
        <v>AN024</v>
      </c>
      <c r="C634" s="5" t="str">
        <f>IFERROR(__xludf.DUMMYFUNCTION("""COMPUTED_VALUE"""),"ABRIGO METÁLICO GRANDE PORTE")</f>
        <v>ABRIGO METÁLICO GRANDE PORTE</v>
      </c>
      <c r="D634" s="5" t="str">
        <f>IFERROR(__xludf.DUMMYFUNCTION("""COMPUTED_VALUE"""),"FIXADA EM POSTE")</f>
        <v>FIXADA EM POSTE</v>
      </c>
      <c r="E634" s="5" t="str">
        <f>IFERROR(__xludf.DUMMYFUNCTION("""COMPUTED_VALUE"""),"SEM BAIA")</f>
        <v>SEM BAIA</v>
      </c>
      <c r="F634" s="5" t="str">
        <f>IFERROR(__xludf.DUMMYFUNCTION("""COMPUTED_VALUE"""),"SIM")</f>
        <v>SIM</v>
      </c>
      <c r="G634" s="5" t="str">
        <f>IFERROR(__xludf.DUMMYFUNCTION("""COMPUTED_VALUE"""),"SIM")</f>
        <v>SIM</v>
      </c>
      <c r="H634" s="5" t="str">
        <f>IFERROR(__xludf.DUMMYFUNCTION("""COMPUTED_VALUE"""),"PAVIMENTADA")</f>
        <v>PAVIMENTADA</v>
      </c>
      <c r="I634" s="6" t="str">
        <f>IFERROR(__xludf.DUMMYFUNCTION("""COMPUTED_VALUE"""),"-9.560712")</f>
        <v>-9.560712</v>
      </c>
      <c r="J634" s="6" t="str">
        <f>IFERROR(__xludf.DUMMYFUNCTION("""COMPUTED_VALUE"""),"-35.744541")</f>
        <v>-35.744541</v>
      </c>
      <c r="K634" s="5" t="str">
        <f>IFERROR(__xludf.DUMMYFUNCTION("""COMPUTED_VALUE"""),"AV. CACHOEIRA DO MEIRIM, S/N")</f>
        <v>AV. CACHOEIRA DO MEIRIM, S/N</v>
      </c>
      <c r="L634" s="5" t="str">
        <f>IFERROR(__xludf.DUMMYFUNCTION("""COMPUTED_VALUE"""),"ARTERIAL ")</f>
        <v>ARTERIAL </v>
      </c>
      <c r="M634" s="5" t="str">
        <f>IFERROR(__xludf.DUMMYFUNCTION("""COMPUTED_VALUE"""),"ANTARES")</f>
        <v>ANTARES</v>
      </c>
      <c r="N634" s="5" t="str">
        <f>IFERROR(__xludf.DUMMYFUNCTION("""COMPUTED_VALUE"""),"BAIRRO - CENTRO")</f>
        <v>BAIRRO - CENTRO</v>
      </c>
      <c r="O634" s="5" t="str">
        <f>IFERROR(__xludf.DUMMYFUNCTION("""COMPUTED_VALUE"""),"SHOPPING BENEDITO BENTES")</f>
        <v>SHOPPING BENEDITO BENTES</v>
      </c>
      <c r="P634" s="5" t="str">
        <f>IFERROR(__xludf.DUMMYFUNCTION("""COMPUTED_VALUE"""),"PRIORIDADE BAIXA")</f>
        <v>PRIORIDADE BAIXA</v>
      </c>
      <c r="Q634" s="5"/>
      <c r="R634" s="5" t="str">
        <f>IFERROR(__xludf.DUMMYFUNCTION("""COMPUTED_VALUE"""),"NENHUMA DAS OPÇÕES")</f>
        <v>NENHUMA DAS OPÇÕES</v>
      </c>
      <c r="S634" s="5"/>
      <c r="T634" s="5"/>
      <c r="U634" s="5"/>
      <c r="V634" s="9" t="str">
        <f>IFERROR(__xludf.DUMMYFUNCTION("""COMPUTED_VALUE"""),"https://drive.google.com/uc?id=1bDGR0Us7L3DkLho4ivweMeRLuzznwsWK")</f>
        <v>https://drive.google.com/uc?id=1bDGR0Us7L3DkLho4ivweMeRLuzznwsWK</v>
      </c>
      <c r="W634" s="5" t="str">
        <f>IFERROR(__xludf.DUMMYFUNCTION("""COMPUTED_VALUE"""),"NÃO")</f>
        <v>NÃO</v>
      </c>
      <c r="X634" s="5"/>
    </row>
    <row r="635">
      <c r="A635" s="5">
        <f>IFERROR(__xludf.DUMMYFUNCTION("""COMPUTED_VALUE"""),6.0)</f>
        <v>6</v>
      </c>
      <c r="B635" s="5" t="str">
        <f>IFERROR(__xludf.DUMMYFUNCTION("""COMPUTED_VALUE"""),"AN025")</f>
        <v>AN025</v>
      </c>
      <c r="C635" s="5" t="str">
        <f>IFERROR(__xludf.DUMMYFUNCTION("""COMPUTED_VALUE"""),"ABRIGO METÁLICO GRANDE PORTE")</f>
        <v>ABRIGO METÁLICO GRANDE PORTE</v>
      </c>
      <c r="D635" s="5" t="str">
        <f>IFERROR(__xludf.DUMMYFUNCTION("""COMPUTED_VALUE"""),"FIXADA EM POSTE")</f>
        <v>FIXADA EM POSTE</v>
      </c>
      <c r="E635" s="5" t="str">
        <f>IFERROR(__xludf.DUMMYFUNCTION("""COMPUTED_VALUE"""),"BAIA CONSTRUÍDA")</f>
        <v>BAIA CONSTRUÍDA</v>
      </c>
      <c r="F635" s="5" t="str">
        <f>IFERROR(__xludf.DUMMYFUNCTION("""COMPUTED_VALUE"""),"SIM")</f>
        <v>SIM</v>
      </c>
      <c r="G635" s="5" t="str">
        <f>IFERROR(__xludf.DUMMYFUNCTION("""COMPUTED_VALUE"""),"NÃO")</f>
        <v>NÃO</v>
      </c>
      <c r="H635" s="5" t="str">
        <f>IFERROR(__xludf.DUMMYFUNCTION("""COMPUTED_VALUE"""),"PAVIMENTADA")</f>
        <v>PAVIMENTADA</v>
      </c>
      <c r="I635" s="6" t="str">
        <f>IFERROR(__xludf.DUMMYFUNCTION("""COMPUTED_VALUE"""),"-9.561736")</f>
        <v>-9.561736</v>
      </c>
      <c r="J635" s="6" t="str">
        <f>IFERROR(__xludf.DUMMYFUNCTION("""COMPUTED_VALUE"""),"-35.745189")</f>
        <v>-35.745189</v>
      </c>
      <c r="K635" s="5" t="str">
        <f>IFERROR(__xludf.DUMMYFUNCTION("""COMPUTED_VALUE"""),"AV. CACHOEIRA DO MEIRIM, S/N")</f>
        <v>AV. CACHOEIRA DO MEIRIM, S/N</v>
      </c>
      <c r="L635" s="5" t="str">
        <f>IFERROR(__xludf.DUMMYFUNCTION("""COMPUTED_VALUE"""),"ARTERIAL ")</f>
        <v>ARTERIAL </v>
      </c>
      <c r="M635" s="5" t="str">
        <f>IFERROR(__xludf.DUMMYFUNCTION("""COMPUTED_VALUE"""),"ANTARES")</f>
        <v>ANTARES</v>
      </c>
      <c r="N635" s="5" t="str">
        <f>IFERROR(__xludf.DUMMYFUNCTION("""COMPUTED_VALUE"""),"BAIRRO - CENTRO")</f>
        <v>BAIRRO - CENTRO</v>
      </c>
      <c r="O635" s="5" t="str">
        <f>IFERROR(__xludf.DUMMYFUNCTION("""COMPUTED_VALUE"""),"LADO OPOSTO AO SHOPPING BENEDITO BENTES")</f>
        <v>LADO OPOSTO AO SHOPPING BENEDITO BENTES</v>
      </c>
      <c r="P635" s="5" t="str">
        <f>IFERROR(__xludf.DUMMYFUNCTION("""COMPUTED_VALUE"""),"PRIORIDADE BAIXA")</f>
        <v>PRIORIDADE BAIXA</v>
      </c>
      <c r="Q635" s="5"/>
      <c r="R635" s="5" t="str">
        <f>IFERROR(__xludf.DUMMYFUNCTION("""COMPUTED_VALUE"""),"NENHUMA DAS OPÇÕES")</f>
        <v>NENHUMA DAS OPÇÕES</v>
      </c>
      <c r="S635" s="5"/>
      <c r="T635" s="5"/>
      <c r="U635" s="5"/>
      <c r="V635" s="9" t="str">
        <f>IFERROR(__xludf.DUMMYFUNCTION("""COMPUTED_VALUE"""),"https://drive.google.com/uc?id=1TLKQx2NMZERmzAbI7Dwv1u9oBUnWi2J-")</f>
        <v>https://drive.google.com/uc?id=1TLKQx2NMZERmzAbI7Dwv1u9oBUnWi2J-</v>
      </c>
      <c r="W635" s="5" t="str">
        <f>IFERROR(__xludf.DUMMYFUNCTION("""COMPUTED_VALUE"""),"NÃO")</f>
        <v>NÃO</v>
      </c>
      <c r="X635" s="5"/>
    </row>
    <row r="636" ht="18.75" hidden="1" customHeight="1">
      <c r="A636" s="5">
        <f>IFERROR(__xludf.DUMMYFUNCTION("IMPORTRANGE(""https://docs.google.com/spreadsheets/d/1Q3fZMfjzEbdmSDDxTWip5DZzefd1jJPGSpZs8nXQ6_k"",""BENEDITO BENTES!A3:X157"")"),6.0)</f>
        <v>6</v>
      </c>
      <c r="B636" s="5" t="str">
        <f>IFERROR(__xludf.DUMMYFUNCTION("""COMPUTED_VALUE"""),"BB001")</f>
        <v>BB001</v>
      </c>
      <c r="C636" s="5" t="str">
        <f>IFERROR(__xludf.DUMMYFUNCTION("""COMPUTED_VALUE"""),"NÃO POSSUI")</f>
        <v>NÃO POSSUI</v>
      </c>
      <c r="D636" s="5" t="str">
        <f>IFERROR(__xludf.DUMMYFUNCTION("""COMPUTED_VALUE"""),"COM SUPORTE")</f>
        <v>COM SUPORTE</v>
      </c>
      <c r="E636" s="5" t="str">
        <f>IFERROR(__xludf.DUMMYFUNCTION("""COMPUTED_VALUE"""),"SEM BAIA")</f>
        <v>SEM BAIA</v>
      </c>
      <c r="F636" s="5" t="str">
        <f>IFERROR(__xludf.DUMMYFUNCTION("""COMPUTED_VALUE"""),"NÃO")</f>
        <v>NÃO</v>
      </c>
      <c r="G636" s="5" t="str">
        <f>IFERROR(__xludf.DUMMYFUNCTION("""COMPUTED_VALUE"""),"NÃO")</f>
        <v>NÃO</v>
      </c>
      <c r="H636" s="5" t="str">
        <f>IFERROR(__xludf.DUMMYFUNCTION("""COMPUTED_VALUE"""),"PAVIMENTADA")</f>
        <v>PAVIMENTADA</v>
      </c>
      <c r="I636" s="6" t="str">
        <f>IFERROR(__xludf.DUMMYFUNCTION("""COMPUTED_VALUE"""),"-9.5439575")</f>
        <v>-9.5439575</v>
      </c>
      <c r="J636" s="6" t="str">
        <f>IFERROR(__xludf.DUMMYFUNCTION("""COMPUTED_VALUE"""),"-35.739998")</f>
        <v>-35.739998</v>
      </c>
      <c r="K636" s="5" t="str">
        <f>IFERROR(__xludf.DUMMYFUNCTION("""COMPUTED_VALUE"""),"Av. ASSIS CHATEAUBRIAND,  VALE BENTES")</f>
        <v>Av. ASSIS CHATEAUBRIAND,  VALE BENTES</v>
      </c>
      <c r="L636" s="5" t="str">
        <f>IFERROR(__xludf.DUMMYFUNCTION("""COMPUTED_VALUE"""),"COLETORA")</f>
        <v>COLETORA</v>
      </c>
      <c r="M636" s="5" t="str">
        <f>IFERROR(__xludf.DUMMYFUNCTION("""COMPUTED_VALUE"""),"BENEDITO BENTES")</f>
        <v>BENEDITO BENTES</v>
      </c>
      <c r="N636" s="5" t="str">
        <f>IFERROR(__xludf.DUMMYFUNCTION("""COMPUTED_VALUE"""),"CENTRO - BAIRRO")</f>
        <v>CENTRO - BAIRRO</v>
      </c>
      <c r="O636" s="5" t="str">
        <f>IFERROR(__xludf.DUMMYFUNCTION("""COMPUTED_VALUE"""),"ANTES DA ENTRADA DO CONDOMÍNIO RECANTO DAS CORES")</f>
        <v>ANTES DA ENTRADA DO CONDOMÍNIO RECANTO DAS CORES</v>
      </c>
      <c r="P636" s="5" t="str">
        <f>IFERROR(__xludf.DUMMYFUNCTION("""COMPUTED_VALUE"""),"PRIORIDADE BAIXA")</f>
        <v>PRIORIDADE BAIXA</v>
      </c>
      <c r="Q636" s="5" t="str">
        <f>IFERROR(__xludf.DUMMYFUNCTION("""COMPUTED_VALUE"""),"PINTURA DE BAÍA NO ASFALTO.")</f>
        <v>PINTURA DE BAÍA NO ASFALTO.</v>
      </c>
      <c r="R636" s="5" t="str">
        <f>IFERROR(__xludf.DUMMYFUNCTION("""COMPUTED_VALUE"""),"NENHUMA DAS OPÇÕES")</f>
        <v>NENHUMA DAS OPÇÕES</v>
      </c>
      <c r="S636" s="5"/>
      <c r="T636" s="5"/>
      <c r="U636" s="5"/>
      <c r="V636" s="5"/>
      <c r="W636" s="5" t="str">
        <f>IFERROR(__xludf.DUMMYFUNCTION("""COMPUTED_VALUE"""),"NÃO")</f>
        <v>NÃO</v>
      </c>
      <c r="X636" s="5" t="str">
        <f>IFERROR(__xludf.DUMMYFUNCTION("""COMPUTED_VALUE"""),"NÃO SE APLICA")</f>
        <v>NÃO SE APLICA</v>
      </c>
    </row>
    <row r="637" ht="20.25" hidden="1" customHeight="1">
      <c r="A637" s="5">
        <f>IFERROR(__xludf.DUMMYFUNCTION("""COMPUTED_VALUE"""),6.0)</f>
        <v>6</v>
      </c>
      <c r="B637" s="5" t="str">
        <f>IFERROR(__xludf.DUMMYFUNCTION("""COMPUTED_VALUE"""),"BB002")</f>
        <v>BB002</v>
      </c>
      <c r="C637" s="5" t="str">
        <f>IFERROR(__xludf.DUMMYFUNCTION("""COMPUTED_VALUE"""),"NÃO POSSUI")</f>
        <v>NÃO POSSUI</v>
      </c>
      <c r="D637" s="5" t="str">
        <f>IFERROR(__xludf.DUMMYFUNCTION("""COMPUTED_VALUE"""),"FIXADA EM POSTE")</f>
        <v>FIXADA EM POSTE</v>
      </c>
      <c r="E637" s="5" t="str">
        <f>IFERROR(__xludf.DUMMYFUNCTION("""COMPUTED_VALUE"""),"SEM BAIA")</f>
        <v>SEM BAIA</v>
      </c>
      <c r="F637" s="5" t="str">
        <f>IFERROR(__xludf.DUMMYFUNCTION("""COMPUTED_VALUE"""),"NÃO")</f>
        <v>NÃO</v>
      </c>
      <c r="G637" s="5" t="str">
        <f>IFERROR(__xludf.DUMMYFUNCTION("""COMPUTED_VALUE"""),"NÃO")</f>
        <v>NÃO</v>
      </c>
      <c r="H637" s="5" t="str">
        <f>IFERROR(__xludf.DUMMYFUNCTION("""COMPUTED_VALUE"""),"PAVIMENTADA")</f>
        <v>PAVIMENTADA</v>
      </c>
      <c r="I637" s="6" t="str">
        <f>IFERROR(__xludf.DUMMYFUNCTION("""COMPUTED_VALUE"""),"-9.542133")</f>
        <v>-9.542133</v>
      </c>
      <c r="J637" s="6" t="str">
        <f>IFERROR(__xludf.DUMMYFUNCTION("""COMPUTED_VALUE"""),"-35.741255")</f>
        <v>-35.741255</v>
      </c>
      <c r="K637" s="5" t="str">
        <f>IFERROR(__xludf.DUMMYFUNCTION("""COMPUTED_VALUE"""),"Av. ASSIS CHATEAUBRIAND,  VALE BENTES")</f>
        <v>Av. ASSIS CHATEAUBRIAND,  VALE BENTES</v>
      </c>
      <c r="L637" s="5" t="str">
        <f>IFERROR(__xludf.DUMMYFUNCTION("""COMPUTED_VALUE"""),"COLETORA")</f>
        <v>COLETORA</v>
      </c>
      <c r="M637" s="5" t="str">
        <f>IFERROR(__xludf.DUMMYFUNCTION("""COMPUTED_VALUE"""),"BENEDITO BENTES")</f>
        <v>BENEDITO BENTES</v>
      </c>
      <c r="N637" s="5" t="str">
        <f>IFERROR(__xludf.DUMMYFUNCTION("""COMPUTED_VALUE"""),"INTEGRAÇÃO")</f>
        <v>INTEGRAÇÃO</v>
      </c>
      <c r="O637" s="5" t="str">
        <f>IFERROR(__xludf.DUMMYFUNCTION("""COMPUTED_VALUE"""),"LADO OPOSTO AO RESIDENCIAL")</f>
        <v>LADO OPOSTO AO RESIDENCIAL</v>
      </c>
      <c r="P637" s="5" t="str">
        <f>IFERROR(__xludf.DUMMYFUNCTION("""COMPUTED_VALUE"""),"PRIORIDADE BAIXA")</f>
        <v>PRIORIDADE BAIXA</v>
      </c>
      <c r="Q637" s="5" t="str">
        <f>IFERROR(__xludf.DUMMYFUNCTION("""COMPUTED_VALUE"""),"PINTURA DE BAÍA NO ASFALTO, IMPLANTAÇÃO DE PLACA EM BARROTE.")</f>
        <v>PINTURA DE BAÍA NO ASFALTO, IMPLANTAÇÃO DE PLACA EM BARROTE.</v>
      </c>
      <c r="R637" s="5" t="str">
        <f>IFERROR(__xludf.DUMMYFUNCTION("""COMPUTED_VALUE"""),"IMPLANTAR ABRIGO")</f>
        <v>IMPLANTAR ABRIGO</v>
      </c>
      <c r="S637" s="5"/>
      <c r="T637" s="5"/>
      <c r="U637" s="5"/>
      <c r="V637" s="9" t="str">
        <f>IFERROR(__xludf.DUMMYFUNCTION("""COMPUTED_VALUE"""),"https://drive.google.com/uc?id=13wq-RaGj7JrhsbG4MlMzZuiD_hALAM7t")</f>
        <v>https://drive.google.com/uc?id=13wq-RaGj7JrhsbG4MlMzZuiD_hALAM7t</v>
      </c>
      <c r="W637" s="5" t="str">
        <f>IFERROR(__xludf.DUMMYFUNCTION("""COMPUTED_VALUE"""),"NÃO")</f>
        <v>NÃO</v>
      </c>
      <c r="X637" s="5" t="str">
        <f>IFERROR(__xludf.DUMMYFUNCTION("""COMPUTED_VALUE"""),"NÃO SE APLICA")</f>
        <v>NÃO SE APLICA</v>
      </c>
    </row>
    <row r="638" ht="21.75" customHeight="1">
      <c r="A638" s="5">
        <f>IFERROR(__xludf.DUMMYFUNCTION("""COMPUTED_VALUE"""),6.0)</f>
        <v>6</v>
      </c>
      <c r="B638" s="5" t="str">
        <f>IFERROR(__xludf.DUMMYFUNCTION("""COMPUTED_VALUE"""),"BB003")</f>
        <v>BB003</v>
      </c>
      <c r="C638" s="5" t="str">
        <f>IFERROR(__xludf.DUMMYFUNCTION("""COMPUTED_VALUE"""),"ABRIGO EUCALIPTO PEQUENO PORTE")</f>
        <v>ABRIGO EUCALIPTO PEQUENO PORTE</v>
      </c>
      <c r="D638" s="5" t="str">
        <f>IFERROR(__xludf.DUMMYFUNCTION("""COMPUTED_VALUE"""),"SEM PLACA")</f>
        <v>SEM PLACA</v>
      </c>
      <c r="E638" s="5" t="str">
        <f>IFERROR(__xludf.DUMMYFUNCTION("""COMPUTED_VALUE"""),"SEM BAIA")</f>
        <v>SEM BAIA</v>
      </c>
      <c r="F638" s="5" t="str">
        <f>IFERROR(__xludf.DUMMYFUNCTION("""COMPUTED_VALUE"""),"NÃO")</f>
        <v>NÃO</v>
      </c>
      <c r="G638" s="5" t="str">
        <f>IFERROR(__xludf.DUMMYFUNCTION("""COMPUTED_VALUE"""),"NÃO")</f>
        <v>NÃO</v>
      </c>
      <c r="H638" s="5" t="str">
        <f>IFERROR(__xludf.DUMMYFUNCTION("""COMPUTED_VALUE"""),"PAVIMENTADA")</f>
        <v>PAVIMENTADA</v>
      </c>
      <c r="I638" s="6" t="str">
        <f>IFERROR(__xludf.DUMMYFUNCTION("""COMPUTED_VALUE"""),"-9.534333")</f>
        <v>-9.534333</v>
      </c>
      <c r="J638" s="6" t="str">
        <f>IFERROR(__xludf.DUMMYFUNCTION("""COMPUTED_VALUE"""),"-35.744983")</f>
        <v>-35.744983</v>
      </c>
      <c r="K638" s="5" t="str">
        <f>IFERROR(__xludf.DUMMYFUNCTION("""COMPUTED_VALUE"""),"Av. ASSIS CHATEAUBRIAND,  VALE BENTES")</f>
        <v>Av. ASSIS CHATEAUBRIAND,  VALE BENTES</v>
      </c>
      <c r="L638" s="5" t="str">
        <f>IFERROR(__xludf.DUMMYFUNCTION("""COMPUTED_VALUE"""),"COLETORA")</f>
        <v>COLETORA</v>
      </c>
      <c r="M638" s="5" t="str">
        <f>IFERROR(__xludf.DUMMYFUNCTION("""COMPUTED_VALUE"""),"BENEDITO BENTES")</f>
        <v>BENEDITO BENTES</v>
      </c>
      <c r="N638" s="5" t="str">
        <f>IFERROR(__xludf.DUMMYFUNCTION("""COMPUTED_VALUE"""),"INTEGRAÇÃO")</f>
        <v>INTEGRAÇÃO</v>
      </c>
      <c r="O638" s="5" t="str">
        <f>IFERROR(__xludf.DUMMYFUNCTION("""COMPUTED_VALUE"""),"APÓS AÇUDE")</f>
        <v>APÓS AÇUDE</v>
      </c>
      <c r="P638" s="5" t="str">
        <f>IFERROR(__xludf.DUMMYFUNCTION("""COMPUTED_VALUE"""),"PRIORIDADE BAIXA")</f>
        <v>PRIORIDADE BAIXA</v>
      </c>
      <c r="Q638" s="5" t="str">
        <f>IFERROR(__xludf.DUMMYFUNCTION("""COMPUTED_VALUE"""),"NECESSÁRIO IMPLANTAÇÃO DE PLACA FIXADA EM POSTE E PINTURA DE BAÍA NO ASFALTO.")</f>
        <v>NECESSÁRIO IMPLANTAÇÃO DE PLACA FIXADA EM POSTE E PINTURA DE BAÍA NO ASFALTO.</v>
      </c>
      <c r="R638" s="5" t="str">
        <f>IFERROR(__xludf.DUMMYFUNCTION("""COMPUTED_VALUE"""),"NENHUMA DAS OPÇÕES")</f>
        <v>NENHUMA DAS OPÇÕES</v>
      </c>
      <c r="S638" s="5"/>
      <c r="T638" s="5"/>
      <c r="U638" s="5"/>
      <c r="V638" s="9" t="str">
        <f>IFERROR(__xludf.DUMMYFUNCTION("""COMPUTED_VALUE"""),"https://drive.google.com/uc?id=1QSrTmF296Ov20br5T-MrSPYhDP6vSRer")</f>
        <v>https://drive.google.com/uc?id=1QSrTmF296Ov20br5T-MrSPYhDP6vSRer</v>
      </c>
      <c r="W638" s="5" t="str">
        <f>IFERROR(__xludf.DUMMYFUNCTION("""COMPUTED_VALUE"""),"NÃO")</f>
        <v>NÃO</v>
      </c>
      <c r="X638" s="5" t="str">
        <f>IFERROR(__xludf.DUMMYFUNCTION("""COMPUTED_VALUE"""),"NÃO SE APLICA")</f>
        <v>NÃO SE APLICA</v>
      </c>
    </row>
    <row r="639" hidden="1">
      <c r="A639" s="5">
        <f>IFERROR(__xludf.DUMMYFUNCTION("""COMPUTED_VALUE"""),6.0)</f>
        <v>6</v>
      </c>
      <c r="B639" s="5" t="str">
        <f>IFERROR(__xludf.DUMMYFUNCTION("""COMPUTED_VALUE"""),"BB004")</f>
        <v>BB004</v>
      </c>
      <c r="C639" s="5" t="str">
        <f>IFERROR(__xludf.DUMMYFUNCTION("""COMPUTED_VALUE"""),"NÃO POSSUI")</f>
        <v>NÃO POSSUI</v>
      </c>
      <c r="D639" s="5" t="str">
        <f>IFERROR(__xludf.DUMMYFUNCTION("""COMPUTED_VALUE"""),"SEM PLACA")</f>
        <v>SEM PLACA</v>
      </c>
      <c r="E639" s="5" t="str">
        <f>IFERROR(__xludf.DUMMYFUNCTION("""COMPUTED_VALUE"""),"SEM BAIA")</f>
        <v>SEM BAIA</v>
      </c>
      <c r="F639" s="5" t="str">
        <f>IFERROR(__xludf.DUMMYFUNCTION("""COMPUTED_VALUE"""),"NÃO")</f>
        <v>NÃO</v>
      </c>
      <c r="G639" s="5" t="str">
        <f>IFERROR(__xludf.DUMMYFUNCTION("""COMPUTED_VALUE"""),"NÃO")</f>
        <v>NÃO</v>
      </c>
      <c r="H639" s="5" t="str">
        <f>IFERROR(__xludf.DUMMYFUNCTION("""COMPUTED_VALUE"""),"PAVIMENTADA")</f>
        <v>PAVIMENTADA</v>
      </c>
      <c r="I639" s="6" t="str">
        <f>IFERROR(__xludf.DUMMYFUNCTION("""COMPUTED_VALUE"""),"-9.535097")</f>
        <v>-9.535097</v>
      </c>
      <c r="J639" s="6" t="str">
        <f>IFERROR(__xludf.DUMMYFUNCTION("""COMPUTED_VALUE"""),"-35.744762")</f>
        <v>-35.744762</v>
      </c>
      <c r="K639" s="5" t="str">
        <f>IFERROR(__xludf.DUMMYFUNCTION("""COMPUTED_VALUE"""),"Av. ASSIS CHATEAUBRIAND,  VALE BENTES")</f>
        <v>Av. ASSIS CHATEAUBRIAND,  VALE BENTES</v>
      </c>
      <c r="L639" s="5" t="str">
        <f>IFERROR(__xludf.DUMMYFUNCTION("""COMPUTED_VALUE"""),"COLETORA")</f>
        <v>COLETORA</v>
      </c>
      <c r="M639" s="5" t="str">
        <f>IFERROR(__xludf.DUMMYFUNCTION("""COMPUTED_VALUE"""),"BENEDITO BENTES")</f>
        <v>BENEDITO BENTES</v>
      </c>
      <c r="N639" s="5" t="str">
        <f>IFERROR(__xludf.DUMMYFUNCTION("""COMPUTED_VALUE"""),"INTEGRAÇÃO")</f>
        <v>INTEGRAÇÃO</v>
      </c>
      <c r="O639" s="5" t="str">
        <f>IFERROR(__xludf.DUMMYFUNCTION("""COMPUTED_VALUE"""),"RESIDENCIAL OITICICA I,EM FRENTE AO CELL")</f>
        <v>RESIDENCIAL OITICICA I,EM FRENTE AO CELL</v>
      </c>
      <c r="P639" s="5" t="str">
        <f>IFERROR(__xludf.DUMMYFUNCTION("""COMPUTED_VALUE"""),"PRIORIDADE MÉDIA")</f>
        <v>PRIORIDADE MÉDIA</v>
      </c>
      <c r="Q639" s="5" t="str">
        <f>IFERROR(__xludf.DUMMYFUNCTION("""COMPUTED_VALUE"""),"IMPLANTAÇÃO DE ABRIGO E  PLACA EM BARROTE.")</f>
        <v>IMPLANTAÇÃO DE ABRIGO E  PLACA EM BARROTE.</v>
      </c>
      <c r="R639" s="5" t="str">
        <f>IFERROR(__xludf.DUMMYFUNCTION("""COMPUTED_VALUE"""),"IMPLANTAR ABRIGO")</f>
        <v>IMPLANTAR ABRIGO</v>
      </c>
      <c r="S639" s="5"/>
      <c r="T639" s="5"/>
      <c r="U639" s="5"/>
      <c r="V639" s="9" t="str">
        <f>IFERROR(__xludf.DUMMYFUNCTION("""COMPUTED_VALUE"""),"https://drive.google.com/uc?id=18hEgwAiZxzxrKhNW1oD-1CIaPS2MgFPS")</f>
        <v>https://drive.google.com/uc?id=18hEgwAiZxzxrKhNW1oD-1CIaPS2MgFPS</v>
      </c>
      <c r="W639" s="5" t="str">
        <f>IFERROR(__xludf.DUMMYFUNCTION("""COMPUTED_VALUE"""),"NÃO")</f>
        <v>NÃO</v>
      </c>
      <c r="X639" s="5" t="str">
        <f>IFERROR(__xludf.DUMMYFUNCTION("""COMPUTED_VALUE"""),"NÃO SE APLICA")</f>
        <v>NÃO SE APLICA</v>
      </c>
    </row>
    <row r="640" ht="15.75" hidden="1" customHeight="1">
      <c r="A640" s="5">
        <f>IFERROR(__xludf.DUMMYFUNCTION("""COMPUTED_VALUE"""),6.0)</f>
        <v>6</v>
      </c>
      <c r="B640" s="5" t="str">
        <f>IFERROR(__xludf.DUMMYFUNCTION("""COMPUTED_VALUE"""),"BB005")</f>
        <v>BB005</v>
      </c>
      <c r="C640" s="5" t="str">
        <f>IFERROR(__xludf.DUMMYFUNCTION("""COMPUTED_VALUE"""),"NÃO POSSUI")</f>
        <v>NÃO POSSUI</v>
      </c>
      <c r="D640" s="5" t="str">
        <f>IFERROR(__xludf.DUMMYFUNCTION("""COMPUTED_VALUE"""),"SEM PLACA")</f>
        <v>SEM PLACA</v>
      </c>
      <c r="E640" s="5" t="str">
        <f>IFERROR(__xludf.DUMMYFUNCTION("""COMPUTED_VALUE"""),"SEM BAIA")</f>
        <v>SEM BAIA</v>
      </c>
      <c r="F640" s="5" t="str">
        <f>IFERROR(__xludf.DUMMYFUNCTION("""COMPUTED_VALUE"""),"NÃO")</f>
        <v>NÃO</v>
      </c>
      <c r="G640" s="5" t="str">
        <f>IFERROR(__xludf.DUMMYFUNCTION("""COMPUTED_VALUE"""),"NÃO")</f>
        <v>NÃO</v>
      </c>
      <c r="H640" s="5" t="str">
        <f>IFERROR(__xludf.DUMMYFUNCTION("""COMPUTED_VALUE"""),"PAVIMENTADA")</f>
        <v>PAVIMENTADA</v>
      </c>
      <c r="I640" s="6" t="str">
        <f>IFERROR(__xludf.DUMMYFUNCTION("""COMPUTED_VALUE"""),"-9.537903")</f>
        <v>-9.537903</v>
      </c>
      <c r="J640" s="6" t="str">
        <f>IFERROR(__xludf.DUMMYFUNCTION("""COMPUTED_VALUE"""),"-35.743340")</f>
        <v>-35.743340</v>
      </c>
      <c r="K640" s="5" t="str">
        <f>IFERROR(__xludf.DUMMYFUNCTION("""COMPUTED_VALUE"""),"Av. ASSIS CHATEAUBRIAND,  VALE BENTES")</f>
        <v>Av. ASSIS CHATEAUBRIAND,  VALE BENTES</v>
      </c>
      <c r="L640" s="5" t="str">
        <f>IFERROR(__xludf.DUMMYFUNCTION("""COMPUTED_VALUE"""),"COLETORA")</f>
        <v>COLETORA</v>
      </c>
      <c r="M640" s="5" t="str">
        <f>IFERROR(__xludf.DUMMYFUNCTION("""COMPUTED_VALUE"""),"BENEDITO BENTES")</f>
        <v>BENEDITO BENTES</v>
      </c>
      <c r="N640" s="5" t="str">
        <f>IFERROR(__xludf.DUMMYFUNCTION("""COMPUTED_VALUE"""),"INTEGRAÇÃO")</f>
        <v>INTEGRAÇÃO</v>
      </c>
      <c r="O640" s="5" t="str">
        <f>IFERROR(__xludf.DUMMYFUNCTION("""COMPUTED_VALUE"""),"RESIDENCIAL OITICICA I, BLOCO 6, LADO OPOSTO AO COMEÇO DO AÇUDE.")</f>
        <v>RESIDENCIAL OITICICA I, BLOCO 6, LADO OPOSTO AO COMEÇO DO AÇUDE.</v>
      </c>
      <c r="P640" s="5" t="str">
        <f>IFERROR(__xludf.DUMMYFUNCTION("""COMPUTED_VALUE"""),"PRIORIDADE MÉDIA")</f>
        <v>PRIORIDADE MÉDIA</v>
      </c>
      <c r="Q640" s="5" t="str">
        <f>IFERROR(__xludf.DUMMYFUNCTION("""COMPUTED_VALUE"""),"READEQUAÇÃO DE CALÇADA COM ACESSIBILIDADE, PINTURA DE BAÍA NO ASFALTO, IMPLANTAÇÃO DE PLACA EM BARROTE. ")</f>
        <v>READEQUAÇÃO DE CALÇADA COM ACESSIBILIDADE, PINTURA DE BAÍA NO ASFALTO, IMPLANTAÇÃO DE PLACA EM BARROTE. </v>
      </c>
      <c r="R640" s="5" t="str">
        <f>IFERROR(__xludf.DUMMYFUNCTION("""COMPUTED_VALUE"""),"IMPLANTAR ABRIGO")</f>
        <v>IMPLANTAR ABRIGO</v>
      </c>
      <c r="S640" s="5"/>
      <c r="T640" s="5"/>
      <c r="U640" s="5"/>
      <c r="V640" s="9" t="str">
        <f>IFERROR(__xludf.DUMMYFUNCTION("""COMPUTED_VALUE"""),"https://drive.google.com/uc?id=17rewtHKUNXEwcS3Rii2nGBeI6QOnwkY4")</f>
        <v>https://drive.google.com/uc?id=17rewtHKUNXEwcS3Rii2nGBeI6QOnwkY4</v>
      </c>
      <c r="W640" s="5" t="str">
        <f>IFERROR(__xludf.DUMMYFUNCTION("""COMPUTED_VALUE"""),"NÃO")</f>
        <v>NÃO</v>
      </c>
      <c r="X640" s="5" t="str">
        <f>IFERROR(__xludf.DUMMYFUNCTION("""COMPUTED_VALUE"""),"NÃO SE APLICA")</f>
        <v>NÃO SE APLICA</v>
      </c>
    </row>
    <row r="641" ht="17.25" hidden="1" customHeight="1">
      <c r="A641" s="5">
        <f>IFERROR(__xludf.DUMMYFUNCTION("""COMPUTED_VALUE"""),6.0)</f>
        <v>6</v>
      </c>
      <c r="B641" s="5" t="str">
        <f>IFERROR(__xludf.DUMMYFUNCTION("""COMPUTED_VALUE"""),"BB006")</f>
        <v>BB006</v>
      </c>
      <c r="C641" s="5" t="str">
        <f>IFERROR(__xludf.DUMMYFUNCTION("""COMPUTED_VALUE"""),"NÃO POSSUI")</f>
        <v>NÃO POSSUI</v>
      </c>
      <c r="D641" s="5" t="str">
        <f>IFERROR(__xludf.DUMMYFUNCTION("""COMPUTED_VALUE"""),"COM SUPORTE")</f>
        <v>COM SUPORTE</v>
      </c>
      <c r="E641" s="5" t="str">
        <f>IFERROR(__xludf.DUMMYFUNCTION("""COMPUTED_VALUE"""),"SEM BAIA")</f>
        <v>SEM BAIA</v>
      </c>
      <c r="F641" s="5" t="str">
        <f>IFERROR(__xludf.DUMMYFUNCTION("""COMPUTED_VALUE"""),"NÃO")</f>
        <v>NÃO</v>
      </c>
      <c r="G641" s="5" t="str">
        <f>IFERROR(__xludf.DUMMYFUNCTION("""COMPUTED_VALUE"""),"NÃO")</f>
        <v>NÃO</v>
      </c>
      <c r="H641" s="5" t="str">
        <f>IFERROR(__xludf.DUMMYFUNCTION("""COMPUTED_VALUE"""),"PAVIMENTADA")</f>
        <v>PAVIMENTADA</v>
      </c>
      <c r="I641" s="6" t="str">
        <f>IFERROR(__xludf.DUMMYFUNCTION("""COMPUTED_VALUE"""),"-9.537889")</f>
        <v>-9.537889</v>
      </c>
      <c r="J641" s="6" t="str">
        <f>IFERROR(__xludf.DUMMYFUNCTION("""COMPUTED_VALUE"""),"-35.743160")</f>
        <v>-35.743160</v>
      </c>
      <c r="K641" s="5" t="str">
        <f>IFERROR(__xludf.DUMMYFUNCTION("""COMPUTED_VALUE"""),"Av. ASSIS CHATEAUBRIAND,  VALE BENTES")</f>
        <v>Av. ASSIS CHATEAUBRIAND,  VALE BENTES</v>
      </c>
      <c r="L641" s="5" t="str">
        <f>IFERROR(__xludf.DUMMYFUNCTION("""COMPUTED_VALUE"""),"COLETORA")</f>
        <v>COLETORA</v>
      </c>
      <c r="M641" s="5" t="str">
        <f>IFERROR(__xludf.DUMMYFUNCTION("""COMPUTED_VALUE"""),"BENEDITO BENTES")</f>
        <v>BENEDITO BENTES</v>
      </c>
      <c r="N641" s="5" t="str">
        <f>IFERROR(__xludf.DUMMYFUNCTION("""COMPUTED_VALUE"""),"INTEGRAÇÃO")</f>
        <v>INTEGRAÇÃO</v>
      </c>
      <c r="O641" s="5" t="str">
        <f>IFERROR(__xludf.DUMMYFUNCTION("""COMPUTED_VALUE"""),"RESIDENCIAL OITICICA I, BLOCO 6, NO COMEÇO DO AÇUDE.")</f>
        <v>RESIDENCIAL OITICICA I, BLOCO 6, NO COMEÇO DO AÇUDE.</v>
      </c>
      <c r="P641" s="5" t="str">
        <f>IFERROR(__xludf.DUMMYFUNCTION("""COMPUTED_VALUE"""),"PRIORIDADE MÉDIA")</f>
        <v>PRIORIDADE MÉDIA</v>
      </c>
      <c r="Q641" s="5" t="str">
        <f>IFERROR(__xludf.DUMMYFUNCTION("""COMPUTED_VALUE"""),"READEQUAÇÃO DE CALÇADA COM ACESSIBILIDADE, PINTURA DE BAÍA NO ASFALTO, IMPLANTAÇÃO DE PLACA EM BARROTE. ")</f>
        <v>READEQUAÇÃO DE CALÇADA COM ACESSIBILIDADE, PINTURA DE BAÍA NO ASFALTO, IMPLANTAÇÃO DE PLACA EM BARROTE. </v>
      </c>
      <c r="R641" s="5" t="str">
        <f>IFERROR(__xludf.DUMMYFUNCTION("""COMPUTED_VALUE"""),"IMPLANTAR ABRIGO")</f>
        <v>IMPLANTAR ABRIGO</v>
      </c>
      <c r="S641" s="5"/>
      <c r="T641" s="5"/>
      <c r="U641" s="5"/>
      <c r="V641" s="9" t="str">
        <f>IFERROR(__xludf.DUMMYFUNCTION("""COMPUTED_VALUE"""),"https://drive.google.com/uc?id=1oYvfVQBZ1IN9F51nK3D-_Cp2fMQ3LrdJ")</f>
        <v>https://drive.google.com/uc?id=1oYvfVQBZ1IN9F51nK3D-_Cp2fMQ3LrdJ</v>
      </c>
      <c r="W641" s="5" t="str">
        <f>IFERROR(__xludf.DUMMYFUNCTION("""COMPUTED_VALUE"""),"NÃO")</f>
        <v>NÃO</v>
      </c>
      <c r="X641" s="5" t="str">
        <f>IFERROR(__xludf.DUMMYFUNCTION("""COMPUTED_VALUE"""),"NÃO SE APLICA")</f>
        <v>NÃO SE APLICA</v>
      </c>
    </row>
    <row r="642">
      <c r="A642" s="5">
        <f>IFERROR(__xludf.DUMMYFUNCTION("""COMPUTED_VALUE"""),6.0)</f>
        <v>6</v>
      </c>
      <c r="B642" s="5" t="str">
        <f>IFERROR(__xludf.DUMMYFUNCTION("""COMPUTED_VALUE"""),"BB007")</f>
        <v>BB007</v>
      </c>
      <c r="C642" s="5" t="str">
        <f>IFERROR(__xludf.DUMMYFUNCTION("""COMPUTED_VALUE"""),"ABRIGO METÁLICO PEQUENO PORTE")</f>
        <v>ABRIGO METÁLICO PEQUENO PORTE</v>
      </c>
      <c r="D642" s="5" t="str">
        <f>IFERROR(__xludf.DUMMYFUNCTION("""COMPUTED_VALUE"""),"SEM PLACA")</f>
        <v>SEM PLACA</v>
      </c>
      <c r="E642" s="5" t="str">
        <f>IFERROR(__xludf.DUMMYFUNCTION("""COMPUTED_VALUE"""),"SEM BAIA")</f>
        <v>SEM BAIA</v>
      </c>
      <c r="F642" s="5" t="str">
        <f>IFERROR(__xludf.DUMMYFUNCTION("""COMPUTED_VALUE"""),"NÃO")</f>
        <v>NÃO</v>
      </c>
      <c r="G642" s="5" t="str">
        <f>IFERROR(__xludf.DUMMYFUNCTION("""COMPUTED_VALUE"""),"SIM")</f>
        <v>SIM</v>
      </c>
      <c r="H642" s="5" t="str">
        <f>IFERROR(__xludf.DUMMYFUNCTION("""COMPUTED_VALUE"""),"PAVIMENTADA")</f>
        <v>PAVIMENTADA</v>
      </c>
      <c r="I642" s="6" t="str">
        <f>IFERROR(__xludf.DUMMYFUNCTION("""COMPUTED_VALUE"""),"-9.556262")</f>
        <v>-9.556262</v>
      </c>
      <c r="J642" s="6" t="str">
        <f>IFERROR(__xludf.DUMMYFUNCTION("""COMPUTED_VALUE"""),"-35.739648")</f>
        <v>-35.739648</v>
      </c>
      <c r="K642" s="5" t="str">
        <f>IFERROR(__xludf.DUMMYFUNCTION("""COMPUTED_VALUE"""),"Av. ASSIS CHATEAUBRIAND,  VALE BENTES")</f>
        <v>Av. ASSIS CHATEAUBRIAND,  VALE BENTES</v>
      </c>
      <c r="L642" s="5" t="str">
        <f>IFERROR(__xludf.DUMMYFUNCTION("""COMPUTED_VALUE"""),"COLETORA")</f>
        <v>COLETORA</v>
      </c>
      <c r="M642" s="5" t="str">
        <f>IFERROR(__xludf.DUMMYFUNCTION("""COMPUTED_VALUE"""),"BENEDITO BENTES")</f>
        <v>BENEDITO BENTES</v>
      </c>
      <c r="N642" s="5" t="str">
        <f>IFERROR(__xludf.DUMMYFUNCTION("""COMPUTED_VALUE"""),"CENTRO - BAIRRO")</f>
        <v>CENTRO - BAIRRO</v>
      </c>
      <c r="O642" s="5" t="str">
        <f>IFERROR(__xludf.DUMMYFUNCTION("""COMPUTED_VALUE"""),"RESIDENCIAL BOSQUE DAS CASUARINAS")</f>
        <v>RESIDENCIAL BOSQUE DAS CASUARINAS</v>
      </c>
      <c r="P642" s="5" t="str">
        <f>IFERROR(__xludf.DUMMYFUNCTION("""COMPUTED_VALUE"""),"PRIORIDADE BAIXA")</f>
        <v>PRIORIDADE BAIXA</v>
      </c>
      <c r="Q642" s="5" t="str">
        <f>IFERROR(__xludf.DUMMYFUNCTION("""COMPUTED_VALUE"""),"PINTURA DE BAIA NO ASFALTO")</f>
        <v>PINTURA DE BAIA NO ASFALTO</v>
      </c>
      <c r="R642" s="5" t="str">
        <f>IFERROR(__xludf.DUMMYFUNCTION("""COMPUTED_VALUE"""),"NENHUMA DAS OPÇÕES")</f>
        <v>NENHUMA DAS OPÇÕES</v>
      </c>
      <c r="S642" s="5"/>
      <c r="T642" s="5"/>
      <c r="U642" s="5"/>
      <c r="V642" s="9" t="str">
        <f>IFERROR(__xludf.DUMMYFUNCTION("""COMPUTED_VALUE"""),"https://drive.google.com/uc?id=1gopfYkJxUV8G-n2DfarenF6Ktko0Esuf")</f>
        <v>https://drive.google.com/uc?id=1gopfYkJxUV8G-n2DfarenF6Ktko0Esuf</v>
      </c>
      <c r="W642" s="5" t="str">
        <f>IFERROR(__xludf.DUMMYFUNCTION("""COMPUTED_VALUE"""),"NÃO")</f>
        <v>NÃO</v>
      </c>
      <c r="X642" s="5" t="str">
        <f>IFERROR(__xludf.DUMMYFUNCTION("""COMPUTED_VALUE"""),"SIM")</f>
        <v>SIM</v>
      </c>
    </row>
    <row r="643" ht="16.5" hidden="1" customHeight="1">
      <c r="A643" s="5">
        <f>IFERROR(__xludf.DUMMYFUNCTION("""COMPUTED_VALUE"""),6.0)</f>
        <v>6</v>
      </c>
      <c r="B643" s="5" t="str">
        <f>IFERROR(__xludf.DUMMYFUNCTION("""COMPUTED_VALUE"""),"BB008")</f>
        <v>BB008</v>
      </c>
      <c r="C643" s="5" t="str">
        <f>IFERROR(__xludf.DUMMYFUNCTION("""COMPUTED_VALUE"""),"NÃO POSSUI")</f>
        <v>NÃO POSSUI</v>
      </c>
      <c r="D643" s="5" t="str">
        <f>IFERROR(__xludf.DUMMYFUNCTION("""COMPUTED_VALUE"""),"FIXADA EM POSTE")</f>
        <v>FIXADA EM POSTE</v>
      </c>
      <c r="E643" s="5" t="str">
        <f>IFERROR(__xludf.DUMMYFUNCTION("""COMPUTED_VALUE"""),"SEM BAIA")</f>
        <v>SEM BAIA</v>
      </c>
      <c r="F643" s="5" t="str">
        <f>IFERROR(__xludf.DUMMYFUNCTION("""COMPUTED_VALUE"""),"SIM")</f>
        <v>SIM</v>
      </c>
      <c r="G643" s="5" t="str">
        <f>IFERROR(__xludf.DUMMYFUNCTION("""COMPUTED_VALUE"""),"SIM")</f>
        <v>SIM</v>
      </c>
      <c r="H643" s="5" t="str">
        <f>IFERROR(__xludf.DUMMYFUNCTION("""COMPUTED_VALUE"""),"PAVIMENTADA")</f>
        <v>PAVIMENTADA</v>
      </c>
      <c r="I643" s="6" t="str">
        <f>IFERROR(__xludf.DUMMYFUNCTION("""COMPUTED_VALUE"""),"-9.552002")</f>
        <v>-9.552002</v>
      </c>
      <c r="J643" s="6" t="str">
        <f>IFERROR(__xludf.DUMMYFUNCTION("""COMPUTED_VALUE"""),"-35.735200
")</f>
        <v>-35.735200
</v>
      </c>
      <c r="K643" s="5" t="str">
        <f>IFERROR(__xludf.DUMMYFUNCTION("""COMPUTED_VALUE"""),"Av. ASSIS CHATEAUBRIAND,  VALE BENTES")</f>
        <v>Av. ASSIS CHATEAUBRIAND,  VALE BENTES</v>
      </c>
      <c r="L643" s="5" t="str">
        <f>IFERROR(__xludf.DUMMYFUNCTION("""COMPUTED_VALUE"""),"COLETORA")</f>
        <v>COLETORA</v>
      </c>
      <c r="M643" s="5" t="str">
        <f>IFERROR(__xludf.DUMMYFUNCTION("""COMPUTED_VALUE"""),"BENEDITO BENTES")</f>
        <v>BENEDITO BENTES</v>
      </c>
      <c r="N643" s="5" t="str">
        <f>IFERROR(__xludf.DUMMYFUNCTION("""COMPUTED_VALUE"""),"CENTRO - BAIRRO")</f>
        <v>CENTRO - BAIRRO</v>
      </c>
      <c r="O643" s="5" t="str">
        <f>IFERROR(__xludf.DUMMYFUNCTION("""COMPUTED_VALUE"""),"AV. CACHOEIRO DO MEIRIM 9602")</f>
        <v>AV. CACHOEIRO DO MEIRIM 9602</v>
      </c>
      <c r="P643" s="5" t="str">
        <f>IFERROR(__xludf.DUMMYFUNCTION("""COMPUTED_VALUE"""),"PRIORIDADE BAIXA")</f>
        <v>PRIORIDADE BAIXA</v>
      </c>
      <c r="Q643" s="5"/>
      <c r="R643" s="5" t="str">
        <f>IFERROR(__xludf.DUMMYFUNCTION("""COMPUTED_VALUE"""),"IMPLANTAR ABRIGO")</f>
        <v>IMPLANTAR ABRIGO</v>
      </c>
      <c r="S643" s="5"/>
      <c r="T643" s="5"/>
      <c r="U643" s="5"/>
      <c r="V643" s="9" t="str">
        <f>IFERROR(__xludf.DUMMYFUNCTION("""COMPUTED_VALUE"""),"https://drive.google.com/uc?id=1gnRX_IWHwBn4V7wga4cCbAr2WE1LMTTr")</f>
        <v>https://drive.google.com/uc?id=1gnRX_IWHwBn4V7wga4cCbAr2WE1LMTTr</v>
      </c>
      <c r="W643" s="5" t="str">
        <f>IFERROR(__xludf.DUMMYFUNCTION("""COMPUTED_VALUE"""),"NÃO")</f>
        <v>NÃO</v>
      </c>
      <c r="X643" s="5" t="str">
        <f>IFERROR(__xludf.DUMMYFUNCTION("""COMPUTED_VALUE"""),"NÃO SE APLICA")</f>
        <v>NÃO SE APLICA</v>
      </c>
    </row>
    <row r="644" ht="16.5" customHeight="1">
      <c r="A644" s="5">
        <f>IFERROR(__xludf.DUMMYFUNCTION("""COMPUTED_VALUE"""),6.0)</f>
        <v>6</v>
      </c>
      <c r="B644" s="5" t="str">
        <f>IFERROR(__xludf.DUMMYFUNCTION("""COMPUTED_VALUE"""),"BB009")</f>
        <v>BB009</v>
      </c>
      <c r="C644" s="5" t="str">
        <f>IFERROR(__xludf.DUMMYFUNCTION("""COMPUTED_VALUE"""),"ABRIGO METÁLICO PEQUENO PORTE")</f>
        <v>ABRIGO METÁLICO PEQUENO PORTE</v>
      </c>
      <c r="D644" s="5" t="str">
        <f>IFERROR(__xludf.DUMMYFUNCTION("""COMPUTED_VALUE"""),"SEM PLACA")</f>
        <v>SEM PLACA</v>
      </c>
      <c r="E644" s="5" t="str">
        <f>IFERROR(__xludf.DUMMYFUNCTION("""COMPUTED_VALUE"""),"SEM BAIA")</f>
        <v>SEM BAIA</v>
      </c>
      <c r="F644" s="5" t="str">
        <f>IFERROR(__xludf.DUMMYFUNCTION("""COMPUTED_VALUE"""),"NÃO")</f>
        <v>NÃO</v>
      </c>
      <c r="G644" s="5" t="str">
        <f>IFERROR(__xludf.DUMMYFUNCTION("""COMPUTED_VALUE"""),"SIM")</f>
        <v>SIM</v>
      </c>
      <c r="H644" s="5" t="str">
        <f>IFERROR(__xludf.DUMMYFUNCTION("""COMPUTED_VALUE"""),"PAVIMENTADA")</f>
        <v>PAVIMENTADA</v>
      </c>
      <c r="I644" s="6" t="str">
        <f>IFERROR(__xludf.DUMMYFUNCTION("""COMPUTED_VALUE"""),"-9.549837")</f>
        <v>-9.549837</v>
      </c>
      <c r="J644" s="6" t="str">
        <f>IFERROR(__xludf.DUMMYFUNCTION("""COMPUTED_VALUE"""),"-35.733003
")</f>
        <v>-35.733003
</v>
      </c>
      <c r="K644" s="5" t="str">
        <f>IFERROR(__xludf.DUMMYFUNCTION("""COMPUTED_VALUE"""),"AV. CACHOEIRO DO MEIRIM 300")</f>
        <v>AV. CACHOEIRO DO MEIRIM 300</v>
      </c>
      <c r="L644" s="5" t="str">
        <f>IFERROR(__xludf.DUMMYFUNCTION("""COMPUTED_VALUE"""),"ARTERIAL ")</f>
        <v>ARTERIAL </v>
      </c>
      <c r="M644" s="5" t="str">
        <f>IFERROR(__xludf.DUMMYFUNCTION("""COMPUTED_VALUE"""),"BENEDITO BENTES")</f>
        <v>BENEDITO BENTES</v>
      </c>
      <c r="N644" s="5" t="str">
        <f>IFERROR(__xludf.DUMMYFUNCTION("""COMPUTED_VALUE"""),"CENTRO - BAIRRO")</f>
        <v>CENTRO - BAIRRO</v>
      </c>
      <c r="O644" s="5" t="str">
        <f>IFERROR(__xludf.DUMMYFUNCTION("""COMPUTED_VALUE"""),"EM FRENTE A ALMAVIVA")</f>
        <v>EM FRENTE A ALMAVIVA</v>
      </c>
      <c r="P644" s="5" t="str">
        <f>IFERROR(__xludf.DUMMYFUNCTION("""COMPUTED_VALUE"""),"PRIORIDADE BAIXA")</f>
        <v>PRIORIDADE BAIXA</v>
      </c>
      <c r="Q644" s="5" t="str">
        <f>IFERROR(__xludf.DUMMYFUNCTION("""COMPUTED_VALUE"""),"REALIZAR MANUTENÇÃO COMPLETA DO ABRIGO METÁLICO, REALIZAR PINTURA DA BAIA NO ASFALTO.")</f>
        <v>REALIZAR MANUTENÇÃO COMPLETA DO ABRIGO METÁLICO, REALIZAR PINTURA DA BAIA NO ASFALTO.</v>
      </c>
      <c r="R644" s="5" t="str">
        <f>IFERROR(__xludf.DUMMYFUNCTION("""COMPUTED_VALUE"""),"NENHUMA DAS OPÇÕES")</f>
        <v>NENHUMA DAS OPÇÕES</v>
      </c>
      <c r="S644" s="5"/>
      <c r="T644" s="5"/>
      <c r="U644" s="5"/>
      <c r="V644" s="9" t="str">
        <f>IFERROR(__xludf.DUMMYFUNCTION("""COMPUTED_VALUE"""),"https://drive.google.com/uc?id=1gl6G-PdL_LuHb2_aFTELpB1vu4vXi765")</f>
        <v>https://drive.google.com/uc?id=1gl6G-PdL_LuHb2_aFTELpB1vu4vXi765</v>
      </c>
      <c r="W644" s="5" t="str">
        <f>IFERROR(__xludf.DUMMYFUNCTION("""COMPUTED_VALUE"""),"NÃO")</f>
        <v>NÃO</v>
      </c>
      <c r="X644" s="5" t="str">
        <f>IFERROR(__xludf.DUMMYFUNCTION("""COMPUTED_VALUE"""),"NÃO")</f>
        <v>NÃO</v>
      </c>
    </row>
    <row r="645" ht="16.5" customHeight="1">
      <c r="A645" s="5">
        <f>IFERROR(__xludf.DUMMYFUNCTION("""COMPUTED_VALUE"""),6.0)</f>
        <v>6</v>
      </c>
      <c r="B645" s="5" t="str">
        <f>IFERROR(__xludf.DUMMYFUNCTION("""COMPUTED_VALUE"""),"BB010")</f>
        <v>BB010</v>
      </c>
      <c r="C645" s="5" t="str">
        <f>IFERROR(__xludf.DUMMYFUNCTION("""COMPUTED_VALUE"""),"ABRIGO METÁLICO PEQUENO PORTE")</f>
        <v>ABRIGO METÁLICO PEQUENO PORTE</v>
      </c>
      <c r="D645" s="5" t="str">
        <f>IFERROR(__xludf.DUMMYFUNCTION("""COMPUTED_VALUE"""),"SEM PLACA")</f>
        <v>SEM PLACA</v>
      </c>
      <c r="E645" s="5" t="str">
        <f>IFERROR(__xludf.DUMMYFUNCTION("""COMPUTED_VALUE"""),"SEM BAIA")</f>
        <v>SEM BAIA</v>
      </c>
      <c r="F645" s="5" t="str">
        <f>IFERROR(__xludf.DUMMYFUNCTION("""COMPUTED_VALUE"""),"SIM")</f>
        <v>SIM</v>
      </c>
      <c r="G645" s="5" t="str">
        <f>IFERROR(__xludf.DUMMYFUNCTION("""COMPUTED_VALUE"""),"SIM")</f>
        <v>SIM</v>
      </c>
      <c r="H645" s="5" t="str">
        <f>IFERROR(__xludf.DUMMYFUNCTION("""COMPUTED_VALUE"""),"PAVIMENTADA")</f>
        <v>PAVIMENTADA</v>
      </c>
      <c r="I645" s="6" t="str">
        <f>IFERROR(__xludf.DUMMYFUNCTION("""COMPUTED_VALUE"""),"-9.538445")</f>
        <v>-9.538445</v>
      </c>
      <c r="J645" s="6" t="str">
        <f>IFERROR(__xludf.DUMMYFUNCTION("""COMPUTED_VALUE"""),"-35.721237
")</f>
        <v>-35.721237
</v>
      </c>
      <c r="K645" s="5" t="str">
        <f>IFERROR(__xludf.DUMMYFUNCTION("""COMPUTED_VALUE"""),"RUA TRÊS F 76")</f>
        <v>RUA TRÊS F 76</v>
      </c>
      <c r="L645" s="5" t="str">
        <f>IFERROR(__xludf.DUMMYFUNCTION("""COMPUTED_VALUE"""),"LOCAL")</f>
        <v>LOCAL</v>
      </c>
      <c r="M645" s="5" t="str">
        <f>IFERROR(__xludf.DUMMYFUNCTION("""COMPUTED_VALUE"""),"BENEDITO BENTES")</f>
        <v>BENEDITO BENTES</v>
      </c>
      <c r="N645" s="5" t="str">
        <f>IFERROR(__xludf.DUMMYFUNCTION("""COMPUTED_VALUE"""),"BAIRRO - CENTRO")</f>
        <v>BAIRRO - CENTRO</v>
      </c>
      <c r="O645" s="5" t="str">
        <f>IFERROR(__xludf.DUMMYFUNCTION("""COMPUTED_VALUE"""),"APÓS O TERMINAL ")</f>
        <v>APÓS O TERMINAL </v>
      </c>
      <c r="P645" s="5" t="str">
        <f>IFERROR(__xludf.DUMMYFUNCTION("""COMPUTED_VALUE"""),"PRIORIDADE MÉDIA")</f>
        <v>PRIORIDADE MÉDIA</v>
      </c>
      <c r="Q645" s="5" t="str">
        <f>IFERROR(__xludf.DUMMYFUNCTION("""COMPUTED_VALUE"""),"REALIZAR IMPLANTAÇÃO DO  ASSENTO DO ABRIGO METÁLICO, REALIZAR PINTURA DA BAIA NO ASFALTO.")</f>
        <v>REALIZAR IMPLANTAÇÃO DO  ASSENTO DO ABRIGO METÁLICO, REALIZAR PINTURA DA BAIA NO ASFALTO.</v>
      </c>
      <c r="R645" s="5" t="str">
        <f>IFERROR(__xludf.DUMMYFUNCTION("""COMPUTED_VALUE"""),"NENHUMA DAS OPÇÕES")</f>
        <v>NENHUMA DAS OPÇÕES</v>
      </c>
      <c r="S645" s="5"/>
      <c r="T645" s="5"/>
      <c r="U645" s="5"/>
      <c r="V645" s="9" t="str">
        <f>IFERROR(__xludf.DUMMYFUNCTION("""COMPUTED_VALUE"""),"https://drive.google.com/uc?id=1gksz365dOe61tc_4LhqQxEg6M0wjtmKL")</f>
        <v>https://drive.google.com/uc?id=1gksz365dOe61tc_4LhqQxEg6M0wjtmKL</v>
      </c>
      <c r="W645" s="5" t="str">
        <f>IFERROR(__xludf.DUMMYFUNCTION("""COMPUTED_VALUE"""),"NÃO")</f>
        <v>NÃO</v>
      </c>
      <c r="X645" s="5" t="str">
        <f>IFERROR(__xludf.DUMMYFUNCTION("""COMPUTED_VALUE"""),"SIM")</f>
        <v>SIM</v>
      </c>
    </row>
    <row r="646" ht="14.25" customHeight="1">
      <c r="A646" s="5">
        <f>IFERROR(__xludf.DUMMYFUNCTION("""COMPUTED_VALUE"""),6.0)</f>
        <v>6</v>
      </c>
      <c r="B646" s="5" t="str">
        <f>IFERROR(__xludf.DUMMYFUNCTION("""COMPUTED_VALUE"""),"BB011")</f>
        <v>BB011</v>
      </c>
      <c r="C646" s="5" t="str">
        <f>IFERROR(__xludf.DUMMYFUNCTION("""COMPUTED_VALUE"""),"ABRIGO CONCRETO")</f>
        <v>ABRIGO CONCRETO</v>
      </c>
      <c r="D646" s="5" t="str">
        <f>IFERROR(__xludf.DUMMYFUNCTION("""COMPUTED_VALUE"""),"SEM PLACA")</f>
        <v>SEM PLACA</v>
      </c>
      <c r="E646" s="5" t="str">
        <f>IFERROR(__xludf.DUMMYFUNCTION("""COMPUTED_VALUE"""),"BAIA PINTADA")</f>
        <v>BAIA PINTADA</v>
      </c>
      <c r="F646" s="5" t="str">
        <f>IFERROR(__xludf.DUMMYFUNCTION("""COMPUTED_VALUE"""),"NÃO")</f>
        <v>NÃO</v>
      </c>
      <c r="G646" s="5" t="str">
        <f>IFERROR(__xludf.DUMMYFUNCTION("""COMPUTED_VALUE"""),"NÃO")</f>
        <v>NÃO</v>
      </c>
      <c r="H646" s="5" t="str">
        <f>IFERROR(__xludf.DUMMYFUNCTION("""COMPUTED_VALUE"""),"PAVIMENTADA")</f>
        <v>PAVIMENTADA</v>
      </c>
      <c r="I646" s="6" t="str">
        <f>IFERROR(__xludf.DUMMYFUNCTION("""COMPUTED_VALUE"""),"-9.539653")</f>
        <v>-9.539653</v>
      </c>
      <c r="J646" s="6" t="str">
        <f>IFERROR(__xludf.DUMMYFUNCTION("""COMPUTED_VALUE"""),"-35.722095")</f>
        <v>-35.722095</v>
      </c>
      <c r="K646" s="5" t="str">
        <f>IFERROR(__xludf.DUMMYFUNCTION("""COMPUTED_VALUE"""),"AV. GARÇA TORTA 60")</f>
        <v>AV. GARÇA TORTA 60</v>
      </c>
      <c r="L646" s="5" t="str">
        <f>IFERROR(__xludf.DUMMYFUNCTION("""COMPUTED_VALUE"""),"COLETORA")</f>
        <v>COLETORA</v>
      </c>
      <c r="M646" s="5" t="str">
        <f>IFERROR(__xludf.DUMMYFUNCTION("""COMPUTED_VALUE"""),"BENEDITO BENTES")</f>
        <v>BENEDITO BENTES</v>
      </c>
      <c r="N646" s="5" t="str">
        <f>IFERROR(__xludf.DUMMYFUNCTION("""COMPUTED_VALUE"""),"CENTRO - BAIRRO")</f>
        <v>CENTRO - BAIRRO</v>
      </c>
      <c r="O646" s="5" t="str">
        <f>IFERROR(__xludf.DUMMYFUNCTION("""COMPUTED_VALUE"""),"EM FRENTE A ESCOLA ESTADUAL PASTOR JOSÉ")</f>
        <v>EM FRENTE A ESCOLA ESTADUAL PASTOR JOSÉ</v>
      </c>
      <c r="P646" s="5" t="str">
        <f>IFERROR(__xludf.DUMMYFUNCTION("""COMPUTED_VALUE"""),"PRIORIDADE BAIXA")</f>
        <v>PRIORIDADE BAIXA</v>
      </c>
      <c r="Q646" s="5" t="str">
        <f>IFERROR(__xludf.DUMMYFUNCTION("""COMPUTED_VALUE"""),"REALIZAR MANUTENÇÃO NO ABRIGO DE CONCRETO.")</f>
        <v>REALIZAR MANUTENÇÃO NO ABRIGO DE CONCRETO.</v>
      </c>
      <c r="R646" s="5" t="str">
        <f>IFERROR(__xludf.DUMMYFUNCTION("""COMPUTED_VALUE"""),"SUBSTITUIR ABRIGO")</f>
        <v>SUBSTITUIR ABRIGO</v>
      </c>
      <c r="S646" s="5"/>
      <c r="T646" s="5"/>
      <c r="U646" s="5"/>
      <c r="V646" s="9" t="str">
        <f>IFERROR(__xludf.DUMMYFUNCTION("""COMPUTED_VALUE"""),"https://drive.google.com/uc?id=1gkSQlH-bGcktg75sqaBuKoa7zcPPLT2f")</f>
        <v>https://drive.google.com/uc?id=1gkSQlH-bGcktg75sqaBuKoa7zcPPLT2f</v>
      </c>
      <c r="W646" s="5" t="str">
        <f>IFERROR(__xludf.DUMMYFUNCTION("""COMPUTED_VALUE"""),"NÃO")</f>
        <v>NÃO</v>
      </c>
      <c r="X646" s="5" t="str">
        <f>IFERROR(__xludf.DUMMYFUNCTION("""COMPUTED_VALUE"""),"NÃO SE APLICA")</f>
        <v>NÃO SE APLICA</v>
      </c>
    </row>
    <row r="647" ht="17.25" hidden="1" customHeight="1">
      <c r="A647" s="5">
        <f>IFERROR(__xludf.DUMMYFUNCTION("""COMPUTED_VALUE"""),6.0)</f>
        <v>6</v>
      </c>
      <c r="B647" s="5" t="str">
        <f>IFERROR(__xludf.DUMMYFUNCTION("""COMPUTED_VALUE"""),"BB012")</f>
        <v>BB012</v>
      </c>
      <c r="C647" s="5" t="str">
        <f>IFERROR(__xludf.DUMMYFUNCTION("""COMPUTED_VALUE"""),"NÃO POSSUI")</f>
        <v>NÃO POSSUI</v>
      </c>
      <c r="D647" s="5" t="str">
        <f>IFERROR(__xludf.DUMMYFUNCTION("""COMPUTED_VALUE"""),"SEM PLACA")</f>
        <v>SEM PLACA</v>
      </c>
      <c r="E647" s="5" t="str">
        <f>IFERROR(__xludf.DUMMYFUNCTION("""COMPUTED_VALUE"""),"SEM BAIA")</f>
        <v>SEM BAIA</v>
      </c>
      <c r="F647" s="5" t="str">
        <f>IFERROR(__xludf.DUMMYFUNCTION("""COMPUTED_VALUE"""),"NÃO")</f>
        <v>NÃO</v>
      </c>
      <c r="G647" s="5" t="str">
        <f>IFERROR(__xludf.DUMMYFUNCTION("""COMPUTED_VALUE"""),"NÃO")</f>
        <v>NÃO</v>
      </c>
      <c r="H647" s="5" t="str">
        <f>IFERROR(__xludf.DUMMYFUNCTION("""COMPUTED_VALUE"""),"PAVIMENTADA")</f>
        <v>PAVIMENTADA</v>
      </c>
      <c r="I647" s="6" t="str">
        <f>IFERROR(__xludf.DUMMYFUNCTION("""COMPUTED_VALUE"""),"-9.539891")</f>
        <v>-9.539891</v>
      </c>
      <c r="J647" s="6" t="str">
        <f>IFERROR(__xludf.DUMMYFUNCTION("""COMPUTED_VALUE"""),"-35.721735
")</f>
        <v>-35.721735
</v>
      </c>
      <c r="K647" s="5" t="str">
        <f>IFERROR(__xludf.DUMMYFUNCTION("""COMPUTED_VALUE"""),"AV. GARÇA TORTA 80")</f>
        <v>AV. GARÇA TORTA 80</v>
      </c>
      <c r="L647" s="5" t="str">
        <f>IFERROR(__xludf.DUMMYFUNCTION("""COMPUTED_VALUE"""),"COLETORA")</f>
        <v>COLETORA</v>
      </c>
      <c r="M647" s="5" t="str">
        <f>IFERROR(__xludf.DUMMYFUNCTION("""COMPUTED_VALUE"""),"BENEDITO BENTES")</f>
        <v>BENEDITO BENTES</v>
      </c>
      <c r="N647" s="5" t="str">
        <f>IFERROR(__xludf.DUMMYFUNCTION("""COMPUTED_VALUE"""),"BAIRRO - CENTRO")</f>
        <v>BAIRRO - CENTRO</v>
      </c>
      <c r="O647" s="5" t="str">
        <f>IFERROR(__xludf.DUMMYFUNCTION("""COMPUTED_VALUE"""),"EM FRENTE A ESCOLA ESTADUAL PASTOR JOSÉ")</f>
        <v>EM FRENTE A ESCOLA ESTADUAL PASTOR JOSÉ</v>
      </c>
      <c r="P647" s="5" t="str">
        <f>IFERROR(__xludf.DUMMYFUNCTION("""COMPUTED_VALUE"""),"PRIORIDADE MÉDIA")</f>
        <v>PRIORIDADE MÉDIA</v>
      </c>
      <c r="Q647" s="5" t="str">
        <f>IFERROR(__xludf.DUMMYFUNCTION("""COMPUTED_VALUE"""),"IMPLANTAR PLACA")</f>
        <v>IMPLANTAR PLACA</v>
      </c>
      <c r="R647" s="5" t="str">
        <f>IFERROR(__xludf.DUMMYFUNCTION("""COMPUTED_VALUE"""),"IMPLANTAR ABRIGO")</f>
        <v>IMPLANTAR ABRIGO</v>
      </c>
      <c r="S647" s="5"/>
      <c r="T647" s="5"/>
      <c r="U647" s="5"/>
      <c r="V647" s="9" t="str">
        <f>IFERROR(__xludf.DUMMYFUNCTION("""COMPUTED_VALUE"""),"https://drive.google.com/uc?id=1gdDUB9kOJhXA-rU0XswtVrHLm949Pdvh")</f>
        <v>https://drive.google.com/uc?id=1gdDUB9kOJhXA-rU0XswtVrHLm949Pdvh</v>
      </c>
      <c r="W647" s="5" t="str">
        <f>IFERROR(__xludf.DUMMYFUNCTION("""COMPUTED_VALUE"""),"NÃO")</f>
        <v>NÃO</v>
      </c>
      <c r="X647" s="5" t="str">
        <f>IFERROR(__xludf.DUMMYFUNCTION("""COMPUTED_VALUE"""),"NÃO SE APLICA")</f>
        <v>NÃO SE APLICA</v>
      </c>
    </row>
    <row r="648" ht="17.25" customHeight="1">
      <c r="A648" s="5">
        <f>IFERROR(__xludf.DUMMYFUNCTION("""COMPUTED_VALUE"""),6.0)</f>
        <v>6</v>
      </c>
      <c r="B648" s="5" t="str">
        <f>IFERROR(__xludf.DUMMYFUNCTION("""COMPUTED_VALUE"""),"BB013")</f>
        <v>BB013</v>
      </c>
      <c r="C648" s="5" t="str">
        <f>IFERROR(__xludf.DUMMYFUNCTION("""COMPUTED_VALUE"""),"ABRIGO CONCRETO")</f>
        <v>ABRIGO CONCRETO</v>
      </c>
      <c r="D648" s="5" t="str">
        <f>IFERROR(__xludf.DUMMYFUNCTION("""COMPUTED_VALUE"""),"SEM PLACA")</f>
        <v>SEM PLACA</v>
      </c>
      <c r="E648" s="5" t="str">
        <f>IFERROR(__xludf.DUMMYFUNCTION("""COMPUTED_VALUE"""),"SEM BAIA")</f>
        <v>SEM BAIA</v>
      </c>
      <c r="F648" s="5" t="str">
        <f>IFERROR(__xludf.DUMMYFUNCTION("""COMPUTED_VALUE"""),"NÃO")</f>
        <v>NÃO</v>
      </c>
      <c r="G648" s="5" t="str">
        <f>IFERROR(__xludf.DUMMYFUNCTION("""COMPUTED_VALUE"""),"NÃO")</f>
        <v>NÃO</v>
      </c>
      <c r="H648" s="5" t="str">
        <f>IFERROR(__xludf.DUMMYFUNCTION("""COMPUTED_VALUE"""),"PAVIMENTADA")</f>
        <v>PAVIMENTADA</v>
      </c>
      <c r="I648" s="6" t="str">
        <f>IFERROR(__xludf.DUMMYFUNCTION("""COMPUTED_VALUE"""),"-9.543222")</f>
        <v>-9.543222</v>
      </c>
      <c r="J648" s="6" t="str">
        <f>IFERROR(__xludf.DUMMYFUNCTION("""COMPUTED_VALUE"""),"-35.718555
")</f>
        <v>-35.718555
</v>
      </c>
      <c r="K648" s="5" t="str">
        <f>IFERROR(__xludf.DUMMYFUNCTION("""COMPUTED_VALUE"""),"AV. GARÇA TORTA")</f>
        <v>AV. GARÇA TORTA</v>
      </c>
      <c r="L648" s="5" t="str">
        <f>IFERROR(__xludf.DUMMYFUNCTION("""COMPUTED_VALUE"""),"COLETORA")</f>
        <v>COLETORA</v>
      </c>
      <c r="M648" s="5" t="str">
        <f>IFERROR(__xludf.DUMMYFUNCTION("""COMPUTED_VALUE"""),"BENEDITO BENTES")</f>
        <v>BENEDITO BENTES</v>
      </c>
      <c r="N648" s="5" t="str">
        <f>IFERROR(__xludf.DUMMYFUNCTION("""COMPUTED_VALUE"""),"CENTRO - BAIRRO")</f>
        <v>CENTRO - BAIRRO</v>
      </c>
      <c r="O648" s="5" t="str">
        <f>IFERROR(__xludf.DUMMYFUNCTION("""COMPUTED_VALUE"""),"EM FRENTE A MANUELA MÓVEIS")</f>
        <v>EM FRENTE A MANUELA MÓVEIS</v>
      </c>
      <c r="P648" s="5" t="str">
        <f>IFERROR(__xludf.DUMMYFUNCTION("""COMPUTED_VALUE"""),"PRIORIDADE BAIXA")</f>
        <v>PRIORIDADE BAIXA</v>
      </c>
      <c r="Q648" s="5" t="str">
        <f>IFERROR(__xludf.DUMMYFUNCTION("""COMPUTED_VALUE"""),"REALIZAR MANUTENÇÃO NO ABRIGO DE CONCRETO, PINTURA DA BAIA NO ASFALTO.")</f>
        <v>REALIZAR MANUTENÇÃO NO ABRIGO DE CONCRETO, PINTURA DA BAIA NO ASFALTO.</v>
      </c>
      <c r="R648" s="5" t="str">
        <f>IFERROR(__xludf.DUMMYFUNCTION("""COMPUTED_VALUE"""),"SUBSTITUIR ABRIGO")</f>
        <v>SUBSTITUIR ABRIGO</v>
      </c>
      <c r="S648" s="5"/>
      <c r="T648" s="5"/>
      <c r="U648" s="5"/>
      <c r="V648" s="9" t="str">
        <f>IFERROR(__xludf.DUMMYFUNCTION("""COMPUTED_VALUE"""),"https://drive.google.com/uc?id=1g_RYOCXL7HBlPUmQPm2byC3MV-6dQCpW")</f>
        <v>https://drive.google.com/uc?id=1g_RYOCXL7HBlPUmQPm2byC3MV-6dQCpW</v>
      </c>
      <c r="W648" s="5" t="str">
        <f>IFERROR(__xludf.DUMMYFUNCTION("""COMPUTED_VALUE"""),"NÃO")</f>
        <v>NÃO</v>
      </c>
      <c r="X648" s="5" t="str">
        <f>IFERROR(__xludf.DUMMYFUNCTION("""COMPUTED_VALUE"""),"NÃO SE APLICA")</f>
        <v>NÃO SE APLICA</v>
      </c>
    </row>
    <row r="649" ht="12.75" hidden="1" customHeight="1">
      <c r="A649" s="5">
        <f>IFERROR(__xludf.DUMMYFUNCTION("""COMPUTED_VALUE"""),6.0)</f>
        <v>6</v>
      </c>
      <c r="B649" s="5" t="str">
        <f>IFERROR(__xludf.DUMMYFUNCTION("""COMPUTED_VALUE"""),"BB014")</f>
        <v>BB014</v>
      </c>
      <c r="C649" s="5" t="str">
        <f>IFERROR(__xludf.DUMMYFUNCTION("""COMPUTED_VALUE"""),"NÃO POSSUI")</f>
        <v>NÃO POSSUI</v>
      </c>
      <c r="D649" s="5" t="str">
        <f>IFERROR(__xludf.DUMMYFUNCTION("""COMPUTED_VALUE"""),"SEM PLACA")</f>
        <v>SEM PLACA</v>
      </c>
      <c r="E649" s="5" t="str">
        <f>IFERROR(__xludf.DUMMYFUNCTION("""COMPUTED_VALUE"""),"SEM BAIA")</f>
        <v>SEM BAIA</v>
      </c>
      <c r="F649" s="5" t="str">
        <f>IFERROR(__xludf.DUMMYFUNCTION("""COMPUTED_VALUE"""),"NÃO")</f>
        <v>NÃO</v>
      </c>
      <c r="G649" s="5" t="str">
        <f>IFERROR(__xludf.DUMMYFUNCTION("""COMPUTED_VALUE"""),"NÃO")</f>
        <v>NÃO</v>
      </c>
      <c r="H649" s="5" t="str">
        <f>IFERROR(__xludf.DUMMYFUNCTION("""COMPUTED_VALUE"""),"PAVIMENTADA")</f>
        <v>PAVIMENTADA</v>
      </c>
      <c r="I649" s="6" t="str">
        <f>IFERROR(__xludf.DUMMYFUNCTION("""COMPUTED_VALUE"""),"-9.541584")</f>
        <v>-9.541584</v>
      </c>
      <c r="J649" s="6" t="str">
        <f>IFERROR(__xludf.DUMMYFUNCTION("""COMPUTED_VALUE"""),"-35.720118")</f>
        <v>-35.720118</v>
      </c>
      <c r="K649" s="5" t="str">
        <f>IFERROR(__xludf.DUMMYFUNCTION("""COMPUTED_VALUE"""),"AV. GARÇA TORTA")</f>
        <v>AV. GARÇA TORTA</v>
      </c>
      <c r="L649" s="5" t="str">
        <f>IFERROR(__xludf.DUMMYFUNCTION("""COMPUTED_VALUE"""),"COLETORA")</f>
        <v>COLETORA</v>
      </c>
      <c r="M649" s="5" t="str">
        <f>IFERROR(__xludf.DUMMYFUNCTION("""COMPUTED_VALUE"""),"BENEDITO BENTES")</f>
        <v>BENEDITO BENTES</v>
      </c>
      <c r="N649" s="5" t="str">
        <f>IFERROR(__xludf.DUMMYFUNCTION("""COMPUTED_VALUE"""),"CENTRO - BAIRRO")</f>
        <v>CENTRO - BAIRRO</v>
      </c>
      <c r="O649" s="5" t="str">
        <f>IFERROR(__xludf.DUMMYFUNCTION("""COMPUTED_VALUE"""),"PRÓXIMO AO XEROCÃO")</f>
        <v>PRÓXIMO AO XEROCÃO</v>
      </c>
      <c r="P649" s="5" t="str">
        <f>IFERROR(__xludf.DUMMYFUNCTION("""COMPUTED_VALUE"""),"PRIORIDADE MÉDIA")</f>
        <v>PRIORIDADE MÉDIA</v>
      </c>
      <c r="Q649" s="5" t="str">
        <f>IFERROR(__xludf.DUMMYFUNCTION("""COMPUTED_VALUE"""),"IMPLANTAR PLACA, FAZER PINTURA DA BAIA NO ASFALTO ")</f>
        <v>IMPLANTAR PLACA, FAZER PINTURA DA BAIA NO ASFALTO </v>
      </c>
      <c r="R649" s="5" t="str">
        <f>IFERROR(__xludf.DUMMYFUNCTION("""COMPUTED_VALUE"""),"IMPLANTAR ABRIGO")</f>
        <v>IMPLANTAR ABRIGO</v>
      </c>
      <c r="S649" s="5"/>
      <c r="T649" s="5"/>
      <c r="U649" s="5"/>
      <c r="V649" s="9" t="str">
        <f>IFERROR(__xludf.DUMMYFUNCTION("""COMPUTED_VALUE"""),"https://drive.google.com/uc?id=1g_1raQ7Xg-KlcqG8llD2eQVFoBsxniJJ")</f>
        <v>https://drive.google.com/uc?id=1g_1raQ7Xg-KlcqG8llD2eQVFoBsxniJJ</v>
      </c>
      <c r="W649" s="5" t="str">
        <f>IFERROR(__xludf.DUMMYFUNCTION("""COMPUTED_VALUE"""),"NÃO")</f>
        <v>NÃO</v>
      </c>
      <c r="X649" s="5" t="str">
        <f>IFERROR(__xludf.DUMMYFUNCTION("""COMPUTED_VALUE"""),"NÃO SE APLICA")</f>
        <v>NÃO SE APLICA</v>
      </c>
    </row>
    <row r="650" ht="16.5" hidden="1" customHeight="1">
      <c r="A650" s="5">
        <f>IFERROR(__xludf.DUMMYFUNCTION("""COMPUTED_VALUE"""),6.0)</f>
        <v>6</v>
      </c>
      <c r="B650" s="5" t="str">
        <f>IFERROR(__xludf.DUMMYFUNCTION("""COMPUTED_VALUE"""),"BB015")</f>
        <v>BB015</v>
      </c>
      <c r="C650" s="5" t="str">
        <f>IFERROR(__xludf.DUMMYFUNCTION("""COMPUTED_VALUE"""),"NÃO POSSUI")</f>
        <v>NÃO POSSUI</v>
      </c>
      <c r="D650" s="5" t="str">
        <f>IFERROR(__xludf.DUMMYFUNCTION("""COMPUTED_VALUE"""),"SEM PLACA")</f>
        <v>SEM PLACA</v>
      </c>
      <c r="E650" s="5" t="str">
        <f>IFERROR(__xludf.DUMMYFUNCTION("""COMPUTED_VALUE"""),"SEM BAIA")</f>
        <v>SEM BAIA</v>
      </c>
      <c r="F650" s="5" t="str">
        <f>IFERROR(__xludf.DUMMYFUNCTION("""COMPUTED_VALUE"""),"NÃO")</f>
        <v>NÃO</v>
      </c>
      <c r="G650" s="5" t="str">
        <f>IFERROR(__xludf.DUMMYFUNCTION("""COMPUTED_VALUE"""),"NÃO")</f>
        <v>NÃO</v>
      </c>
      <c r="H650" s="5" t="str">
        <f>IFERROR(__xludf.DUMMYFUNCTION("""COMPUTED_VALUE"""),"PAVIMENTADA")</f>
        <v>PAVIMENTADA</v>
      </c>
      <c r="I650" s="6" t="str">
        <f>IFERROR(__xludf.DUMMYFUNCTION("""COMPUTED_VALUE"""),"-9.541495")</f>
        <v>-9.541495</v>
      </c>
      <c r="J650" s="6" t="str">
        <f>IFERROR(__xludf.DUMMYFUNCTION("""COMPUTED_VALUE"""),"-35.720203
")</f>
        <v>-35.720203
</v>
      </c>
      <c r="K650" s="5" t="str">
        <f>IFERROR(__xludf.DUMMYFUNCTION("""COMPUTED_VALUE"""),"RUA A 32 11")</f>
        <v>RUA A 32 11</v>
      </c>
      <c r="L650" s="5" t="str">
        <f>IFERROR(__xludf.DUMMYFUNCTION("""COMPUTED_VALUE"""),"LOCAL")</f>
        <v>LOCAL</v>
      </c>
      <c r="M650" s="5" t="str">
        <f>IFERROR(__xludf.DUMMYFUNCTION("""COMPUTED_VALUE"""),"BENEDITO BENTES")</f>
        <v>BENEDITO BENTES</v>
      </c>
      <c r="N650" s="5" t="str">
        <f>IFERROR(__xludf.DUMMYFUNCTION("""COMPUTED_VALUE"""),"BAIRRO - CENTRO")</f>
        <v>BAIRRO - CENTRO</v>
      </c>
      <c r="O650" s="5" t="str">
        <f>IFERROR(__xludf.DUMMYFUNCTION("""COMPUTED_VALUE"""),"EM FRENTE A MALTA ASS. TÉCNICA")</f>
        <v>EM FRENTE A MALTA ASS. TÉCNICA</v>
      </c>
      <c r="P650" s="5" t="str">
        <f>IFERROR(__xludf.DUMMYFUNCTION("""COMPUTED_VALUE"""),"PRIORIDADE MÉDIA")</f>
        <v>PRIORIDADE MÉDIA</v>
      </c>
      <c r="Q650" s="5" t="str">
        <f>IFERROR(__xludf.DUMMYFUNCTION("""COMPUTED_VALUE"""),"REALIZAR MANUTENÇÃO NO ABRIGO DE CONCRETO, PINTURA DA BAIA NO ASFALTO.")</f>
        <v>REALIZAR MANUTENÇÃO NO ABRIGO DE CONCRETO, PINTURA DA BAIA NO ASFALTO.</v>
      </c>
      <c r="R650" s="5" t="str">
        <f>IFERROR(__xludf.DUMMYFUNCTION("""COMPUTED_VALUE"""),"IMPLANTAR ABRIGO")</f>
        <v>IMPLANTAR ABRIGO</v>
      </c>
      <c r="S650" s="5"/>
      <c r="T650" s="5"/>
      <c r="U650" s="5"/>
      <c r="V650" s="9" t="str">
        <f>IFERROR(__xludf.DUMMYFUNCTION("""COMPUTED_VALUE"""),"https://drive.google.com/uc?id=1gX8h3OKdpB2x4Fy7W-gEwDLEa_L3J4ZI")</f>
        <v>https://drive.google.com/uc?id=1gX8h3OKdpB2x4Fy7W-gEwDLEa_L3J4ZI</v>
      </c>
      <c r="W650" s="5" t="str">
        <f>IFERROR(__xludf.DUMMYFUNCTION("""COMPUTED_VALUE"""),"NÃO")</f>
        <v>NÃO</v>
      </c>
      <c r="X650" s="5" t="str">
        <f>IFERROR(__xludf.DUMMYFUNCTION("""COMPUTED_VALUE"""),"NÃO SE APLICA")</f>
        <v>NÃO SE APLICA</v>
      </c>
    </row>
    <row r="651" ht="18.0" hidden="1" customHeight="1">
      <c r="A651" s="5">
        <f>IFERROR(__xludf.DUMMYFUNCTION("""COMPUTED_VALUE"""),6.0)</f>
        <v>6</v>
      </c>
      <c r="B651" s="5" t="str">
        <f>IFERROR(__xludf.DUMMYFUNCTION("""COMPUTED_VALUE"""),"BB016")</f>
        <v>BB016</v>
      </c>
      <c r="C651" s="5" t="str">
        <f>IFERROR(__xludf.DUMMYFUNCTION("""COMPUTED_VALUE"""),"NÃO POSSUI")</f>
        <v>NÃO POSSUI</v>
      </c>
      <c r="D651" s="5" t="str">
        <f>IFERROR(__xludf.DUMMYFUNCTION("""COMPUTED_VALUE"""),"SEM PLACA")</f>
        <v>SEM PLACA</v>
      </c>
      <c r="E651" s="5" t="str">
        <f>IFERROR(__xludf.DUMMYFUNCTION("""COMPUTED_VALUE"""),"SEM BAIA")</f>
        <v>SEM BAIA</v>
      </c>
      <c r="F651" s="5" t="str">
        <f>IFERROR(__xludf.DUMMYFUNCTION("""COMPUTED_VALUE"""),"NÃO")</f>
        <v>NÃO</v>
      </c>
      <c r="G651" s="5" t="str">
        <f>IFERROR(__xludf.DUMMYFUNCTION("""COMPUTED_VALUE"""),"NÃO")</f>
        <v>NÃO</v>
      </c>
      <c r="H651" s="5" t="str">
        <f>IFERROR(__xludf.DUMMYFUNCTION("""COMPUTED_VALUE"""),"PAVIMENTADA")</f>
        <v>PAVIMENTADA</v>
      </c>
      <c r="I651" s="6" t="str">
        <f>IFERROR(__xludf.DUMMYFUNCTION("""COMPUTED_VALUE"""),"-9.544918")</f>
        <v>-9.544918</v>
      </c>
      <c r="J651" s="6" t="str">
        <f>IFERROR(__xludf.DUMMYFUNCTION("""COMPUTED_VALUE"""),"-35.717633")</f>
        <v>-35.717633</v>
      </c>
      <c r="K651" s="5" t="str">
        <f>IFERROR(__xludf.DUMMYFUNCTION("""COMPUTED_VALUE"""),"AV. GARÇA TORTA ")</f>
        <v>AV. GARÇA TORTA </v>
      </c>
      <c r="L651" s="5" t="str">
        <f>IFERROR(__xludf.DUMMYFUNCTION("""COMPUTED_VALUE"""),"COLETORA")</f>
        <v>COLETORA</v>
      </c>
      <c r="M651" s="5" t="str">
        <f>IFERROR(__xludf.DUMMYFUNCTION("""COMPUTED_VALUE"""),"BENEDITO BENTES")</f>
        <v>BENEDITO BENTES</v>
      </c>
      <c r="N651" s="5" t="str">
        <f>IFERROR(__xludf.DUMMYFUNCTION("""COMPUTED_VALUE"""),"BAIRRO - CENTRO")</f>
        <v>BAIRRO - CENTRO</v>
      </c>
      <c r="O651" s="5" t="str">
        <f>IFERROR(__xludf.DUMMYFUNCTION("""COMPUTED_VALUE"""),"EM FRENTE A MALTA ASS. TÉCNICA")</f>
        <v>EM FRENTE A MALTA ASS. TÉCNICA</v>
      </c>
      <c r="P651" s="5" t="str">
        <f>IFERROR(__xludf.DUMMYFUNCTION("""COMPUTED_VALUE"""),"PRIORIDADE MÉDIA")</f>
        <v>PRIORIDADE MÉDIA</v>
      </c>
      <c r="Q651" s="5" t="str">
        <f>IFERROR(__xludf.DUMMYFUNCTION("""COMPUTED_VALUE"""),"IMPLANTAR PLACA, PINTURA DA BAIA NO ASFALTO.")</f>
        <v>IMPLANTAR PLACA, PINTURA DA BAIA NO ASFALTO.</v>
      </c>
      <c r="R651" s="5" t="str">
        <f>IFERROR(__xludf.DUMMYFUNCTION("""COMPUTED_VALUE"""),"IMPLANTAR ABRIGO")</f>
        <v>IMPLANTAR ABRIGO</v>
      </c>
      <c r="S651" s="5"/>
      <c r="T651" s="5"/>
      <c r="U651" s="5"/>
      <c r="V651" s="9" t="str">
        <f>IFERROR(__xludf.DUMMYFUNCTION("""COMPUTED_VALUE"""),"https://drive.google.com/uc?id=1gTcnCHHR_71L7weh4q0hZSouAYL0nhLo")</f>
        <v>https://drive.google.com/uc?id=1gTcnCHHR_71L7weh4q0hZSouAYL0nhLo</v>
      </c>
      <c r="W651" s="5" t="str">
        <f>IFERROR(__xludf.DUMMYFUNCTION("""COMPUTED_VALUE"""),"NÃO")</f>
        <v>NÃO</v>
      </c>
      <c r="X651" s="5" t="str">
        <f>IFERROR(__xludf.DUMMYFUNCTION("""COMPUTED_VALUE"""),"NÃO SE APLICA")</f>
        <v>NÃO SE APLICA</v>
      </c>
    </row>
    <row r="652" hidden="1">
      <c r="A652" s="5">
        <f>IFERROR(__xludf.DUMMYFUNCTION("""COMPUTED_VALUE"""),6.0)</f>
        <v>6</v>
      </c>
      <c r="B652" s="5" t="str">
        <f>IFERROR(__xludf.DUMMYFUNCTION("""COMPUTED_VALUE"""),"BB017")</f>
        <v>BB017</v>
      </c>
      <c r="C652" s="5" t="str">
        <f>IFERROR(__xludf.DUMMYFUNCTION("""COMPUTED_VALUE"""),"NÃO POSSUI")</f>
        <v>NÃO POSSUI</v>
      </c>
      <c r="D652" s="5" t="str">
        <f>IFERROR(__xludf.DUMMYFUNCTION("""COMPUTED_VALUE"""),"SEM PLACA")</f>
        <v>SEM PLACA</v>
      </c>
      <c r="E652" s="5" t="str">
        <f>IFERROR(__xludf.DUMMYFUNCTION("""COMPUTED_VALUE"""),"SEM BAIA")</f>
        <v>SEM BAIA</v>
      </c>
      <c r="F652" s="5" t="str">
        <f>IFERROR(__xludf.DUMMYFUNCTION("""COMPUTED_VALUE"""),"NÃO")</f>
        <v>NÃO</v>
      </c>
      <c r="G652" s="5" t="str">
        <f>IFERROR(__xludf.DUMMYFUNCTION("""COMPUTED_VALUE"""),"NÃO")</f>
        <v>NÃO</v>
      </c>
      <c r="H652" s="5" t="str">
        <f>IFERROR(__xludf.DUMMYFUNCTION("""COMPUTED_VALUE"""),"PAVIMENTADA")</f>
        <v>PAVIMENTADA</v>
      </c>
      <c r="I652" s="6" t="str">
        <f>IFERROR(__xludf.DUMMYFUNCTION("""COMPUTED_VALUE"""),"-9.545051")</f>
        <v>-9.545051</v>
      </c>
      <c r="J652" s="6" t="str">
        <f>IFERROR(__xludf.DUMMYFUNCTION("""COMPUTED_VALUE"""),"-35.717500")</f>
        <v>-35.717500</v>
      </c>
      <c r="K652" s="5" t="str">
        <f>IFERROR(__xludf.DUMMYFUNCTION("""COMPUTED_VALUE"""),"AV. GARÇA TORTA ")</f>
        <v>AV. GARÇA TORTA </v>
      </c>
      <c r="L652" s="5" t="str">
        <f>IFERROR(__xludf.DUMMYFUNCTION("""COMPUTED_VALUE"""),"COLETORA")</f>
        <v>COLETORA</v>
      </c>
      <c r="M652" s="5" t="str">
        <f>IFERROR(__xludf.DUMMYFUNCTION("""COMPUTED_VALUE"""),"BENEDITO BENTES")</f>
        <v>BENEDITO BENTES</v>
      </c>
      <c r="N652" s="5" t="str">
        <f>IFERROR(__xludf.DUMMYFUNCTION("""COMPUTED_VALUE"""),"BAIRRO - CENTRO")</f>
        <v>BAIRRO - CENTRO</v>
      </c>
      <c r="O652" s="5" t="str">
        <f>IFERROR(__xludf.DUMMYFUNCTION("""COMPUTED_VALUE"""),"EM FRENTE CASA 01")</f>
        <v>EM FRENTE CASA 01</v>
      </c>
      <c r="P652" s="5" t="str">
        <f>IFERROR(__xludf.DUMMYFUNCTION("""COMPUTED_VALUE"""),"PRIORIDADE MÉDIA")</f>
        <v>PRIORIDADE MÉDIA</v>
      </c>
      <c r="Q652" s="5" t="str">
        <f>IFERROR(__xludf.DUMMYFUNCTION("""COMPUTED_VALUE"""),"IMPLANTAR PLACA, PINTURA DA BAIA NO ASFALTO.")</f>
        <v>IMPLANTAR PLACA, PINTURA DA BAIA NO ASFALTO.</v>
      </c>
      <c r="R652" s="5" t="str">
        <f>IFERROR(__xludf.DUMMYFUNCTION("""COMPUTED_VALUE"""),"IMPLANTAR ABRIGO")</f>
        <v>IMPLANTAR ABRIGO</v>
      </c>
      <c r="S652" s="5"/>
      <c r="T652" s="5"/>
      <c r="U652" s="5"/>
      <c r="V652" s="9" t="str">
        <f>IFERROR(__xludf.DUMMYFUNCTION("""COMPUTED_VALUE"""),"https://drive.google.com/uc?id=1gNJi83LtQ3EfjIKuu5ivZGhaG-betRrB")</f>
        <v>https://drive.google.com/uc?id=1gNJi83LtQ3EfjIKuu5ivZGhaG-betRrB</v>
      </c>
      <c r="W652" s="5" t="str">
        <f>IFERROR(__xludf.DUMMYFUNCTION("""COMPUTED_VALUE"""),"NÃO")</f>
        <v>NÃO</v>
      </c>
      <c r="X652" s="5" t="str">
        <f>IFERROR(__xludf.DUMMYFUNCTION("""COMPUTED_VALUE"""),"NÃO SE APLICA")</f>
        <v>NÃO SE APLICA</v>
      </c>
    </row>
    <row r="653" ht="15.75" customHeight="1">
      <c r="A653" s="5">
        <f>IFERROR(__xludf.DUMMYFUNCTION("""COMPUTED_VALUE"""),6.0)</f>
        <v>6</v>
      </c>
      <c r="B653" s="5" t="str">
        <f>IFERROR(__xludf.DUMMYFUNCTION("""COMPUTED_VALUE"""),"BB018")</f>
        <v>BB018</v>
      </c>
      <c r="C653" s="5" t="str">
        <f>IFERROR(__xludf.DUMMYFUNCTION("""COMPUTED_VALUE"""),"ABRIGO CONCRETO")</f>
        <v>ABRIGO CONCRETO</v>
      </c>
      <c r="D653" s="5" t="str">
        <f>IFERROR(__xludf.DUMMYFUNCTION("""COMPUTED_VALUE"""),"SEM PLACA")</f>
        <v>SEM PLACA</v>
      </c>
      <c r="E653" s="5" t="str">
        <f>IFERROR(__xludf.DUMMYFUNCTION("""COMPUTED_VALUE"""),"SEM BAIA")</f>
        <v>SEM BAIA</v>
      </c>
      <c r="F653" s="5" t="str">
        <f>IFERROR(__xludf.DUMMYFUNCTION("""COMPUTED_VALUE"""),"NÃO")</f>
        <v>NÃO</v>
      </c>
      <c r="G653" s="5" t="str">
        <f>IFERROR(__xludf.DUMMYFUNCTION("""COMPUTED_VALUE"""),"NÃO")</f>
        <v>NÃO</v>
      </c>
      <c r="H653" s="5" t="str">
        <f>IFERROR(__xludf.DUMMYFUNCTION("""COMPUTED_VALUE"""),"PAVIMENTADA")</f>
        <v>PAVIMENTADA</v>
      </c>
      <c r="I653" s="6" t="str">
        <f>IFERROR(__xludf.DUMMYFUNCTION("""COMPUTED_VALUE"""),"-9.545997")</f>
        <v>-9.545997</v>
      </c>
      <c r="J653" s="6" t="str">
        <f>IFERROR(__xludf.DUMMYFUNCTION("""COMPUTED_VALUE"""),"-35.717845")</f>
        <v>-35.717845</v>
      </c>
      <c r="K653" s="5" t="str">
        <f>IFERROR(__xludf.DUMMYFUNCTION("""COMPUTED_VALUE"""),"AV. GARÇA TORTA 427")</f>
        <v>AV. GARÇA TORTA 427</v>
      </c>
      <c r="L653" s="5" t="str">
        <f>IFERROR(__xludf.DUMMYFUNCTION("""COMPUTED_VALUE"""),"COLETORA")</f>
        <v>COLETORA</v>
      </c>
      <c r="M653" s="5" t="str">
        <f>IFERROR(__xludf.DUMMYFUNCTION("""COMPUTED_VALUE"""),"BENEDITO BENTES")</f>
        <v>BENEDITO BENTES</v>
      </c>
      <c r="N653" s="5" t="str">
        <f>IFERROR(__xludf.DUMMYFUNCTION("""COMPUTED_VALUE"""),"CENTRO - BAIRRO")</f>
        <v>CENTRO - BAIRRO</v>
      </c>
      <c r="O653" s="5" t="str">
        <f>IFERROR(__xludf.DUMMYFUNCTION("""COMPUTED_VALUE"""),"CRECHE BRENO AGRA
")</f>
        <v>CRECHE BRENO AGRA
</v>
      </c>
      <c r="P653" s="5" t="str">
        <f>IFERROR(__xludf.DUMMYFUNCTION("""COMPUTED_VALUE"""),"PRIORIDADE BAIXA")</f>
        <v>PRIORIDADE BAIXA</v>
      </c>
      <c r="Q653" s="5" t="str">
        <f>IFERROR(__xludf.DUMMYFUNCTION("""COMPUTED_VALUE"""),"READEQUAÇÃO DA CALÇADA COM ACESSIBILIDADE E PINTURA DA BAIA NO ASFALTO. 
")</f>
        <v>READEQUAÇÃO DA CALÇADA COM ACESSIBILIDADE E PINTURA DA BAIA NO ASFALTO. 
</v>
      </c>
      <c r="R653" s="5" t="str">
        <f>IFERROR(__xludf.DUMMYFUNCTION("""COMPUTED_VALUE"""),"SUBSTITUIR ABRIGO")</f>
        <v>SUBSTITUIR ABRIGO</v>
      </c>
      <c r="S653" s="5"/>
      <c r="T653" s="5"/>
      <c r="U653" s="5"/>
      <c r="V653" s="9" t="str">
        <f>IFERROR(__xludf.DUMMYFUNCTION("""COMPUTED_VALUE"""),"https://drive.google.com/uc?id=1gLyZx7_jf1L2JGgcJ4zlvWkBVqZ8n2yz")</f>
        <v>https://drive.google.com/uc?id=1gLyZx7_jf1L2JGgcJ4zlvWkBVqZ8n2yz</v>
      </c>
      <c r="W653" s="5" t="str">
        <f>IFERROR(__xludf.DUMMYFUNCTION("""COMPUTED_VALUE"""),"NÃO")</f>
        <v>NÃO</v>
      </c>
      <c r="X653" s="5" t="str">
        <f>IFERROR(__xludf.DUMMYFUNCTION("""COMPUTED_VALUE"""),"NÃO SE APLICA")</f>
        <v>NÃO SE APLICA</v>
      </c>
    </row>
    <row r="654" hidden="1">
      <c r="A654" s="5">
        <f>IFERROR(__xludf.DUMMYFUNCTION("""COMPUTED_VALUE"""),6.0)</f>
        <v>6</v>
      </c>
      <c r="B654" s="5" t="str">
        <f>IFERROR(__xludf.DUMMYFUNCTION("""COMPUTED_VALUE"""),"BB019")</f>
        <v>BB019</v>
      </c>
      <c r="C654" s="5" t="str">
        <f>IFERROR(__xludf.DUMMYFUNCTION("""COMPUTED_VALUE"""),"NÃO POSSUI")</f>
        <v>NÃO POSSUI</v>
      </c>
      <c r="D654" s="5" t="str">
        <f>IFERROR(__xludf.DUMMYFUNCTION("""COMPUTED_VALUE"""),"SEM PLACA")</f>
        <v>SEM PLACA</v>
      </c>
      <c r="E654" s="5" t="str">
        <f>IFERROR(__xludf.DUMMYFUNCTION("""COMPUTED_VALUE"""),"SEM BAIA")</f>
        <v>SEM BAIA</v>
      </c>
      <c r="F654" s="5" t="str">
        <f>IFERROR(__xludf.DUMMYFUNCTION("""COMPUTED_VALUE"""),"NÃO")</f>
        <v>NÃO</v>
      </c>
      <c r="G654" s="5" t="str">
        <f>IFERROR(__xludf.DUMMYFUNCTION("""COMPUTED_VALUE"""),"NÃO")</f>
        <v>NÃO</v>
      </c>
      <c r="H654" s="5" t="str">
        <f>IFERROR(__xludf.DUMMYFUNCTION("""COMPUTED_VALUE"""),"PAVIMENTADA")</f>
        <v>PAVIMENTADA</v>
      </c>
      <c r="I654" s="6" t="str">
        <f>IFERROR(__xludf.DUMMYFUNCTION("""COMPUTED_VALUE"""),"-9.548298")</f>
        <v>-9.548298</v>
      </c>
      <c r="J654" s="6" t="str">
        <f>IFERROR(__xludf.DUMMYFUNCTION("""COMPUTED_VALUE"""),"-35.720160")</f>
        <v>-35.720160</v>
      </c>
      <c r="K654" s="5" t="str">
        <f>IFERROR(__xludf.DUMMYFUNCTION("""COMPUTED_VALUE"""),"AV. GARÇA TORTA 55")</f>
        <v>AV. GARÇA TORTA 55</v>
      </c>
      <c r="L654" s="5" t="str">
        <f>IFERROR(__xludf.DUMMYFUNCTION("""COMPUTED_VALUE"""),"COLETORA")</f>
        <v>COLETORA</v>
      </c>
      <c r="M654" s="5" t="str">
        <f>IFERROR(__xludf.DUMMYFUNCTION("""COMPUTED_VALUE"""),"BENEDITO BENTES")</f>
        <v>BENEDITO BENTES</v>
      </c>
      <c r="N654" s="5" t="str">
        <f>IFERROR(__xludf.DUMMYFUNCTION("""COMPUTED_VALUE"""),"CENTRO - BAIRRO")</f>
        <v>CENTRO - BAIRRO</v>
      </c>
      <c r="O654" s="5" t="str">
        <f>IFERROR(__xludf.DUMMYFUNCTION("""COMPUTED_VALUE"""),"EM FRENTE A CASA 55")</f>
        <v>EM FRENTE A CASA 55</v>
      </c>
      <c r="P654" s="5" t="str">
        <f>IFERROR(__xludf.DUMMYFUNCTION("""COMPUTED_VALUE"""),"PRIORIDADE MÉDIA")</f>
        <v>PRIORIDADE MÉDIA</v>
      </c>
      <c r="Q654" s="5" t="str">
        <f>IFERROR(__xludf.DUMMYFUNCTION("""COMPUTED_VALUE"""),"READEQUAÇÃO DE CALÇADA COM ACESSIBILIDADE")</f>
        <v>READEQUAÇÃO DE CALÇADA COM ACESSIBILIDADE</v>
      </c>
      <c r="R654" s="5" t="str">
        <f>IFERROR(__xludf.DUMMYFUNCTION("""COMPUTED_VALUE"""),"IMPLANTAR ABRIGO")</f>
        <v>IMPLANTAR ABRIGO</v>
      </c>
      <c r="S654" s="5"/>
      <c r="T654" s="5"/>
      <c r="U654" s="5"/>
      <c r="V654" s="9" t="str">
        <f>IFERROR(__xludf.DUMMYFUNCTION("""COMPUTED_VALUE"""),"https://drive.google.com/uc?id=1gLlrkcpQrka6Sq0C3jC2dcosWtYyqC7V")</f>
        <v>https://drive.google.com/uc?id=1gLlrkcpQrka6Sq0C3jC2dcosWtYyqC7V</v>
      </c>
      <c r="W654" s="5" t="str">
        <f>IFERROR(__xludf.DUMMYFUNCTION("""COMPUTED_VALUE"""),"NÃO")</f>
        <v>NÃO</v>
      </c>
      <c r="X654" s="5" t="str">
        <f>IFERROR(__xludf.DUMMYFUNCTION("""COMPUTED_VALUE"""),"NÃO SE APLICA")</f>
        <v>NÃO SE APLICA</v>
      </c>
    </row>
    <row r="655" ht="19.5" hidden="1" customHeight="1">
      <c r="A655" s="5">
        <f>IFERROR(__xludf.DUMMYFUNCTION("""COMPUTED_VALUE"""),6.0)</f>
        <v>6</v>
      </c>
      <c r="B655" s="5" t="str">
        <f>IFERROR(__xludf.DUMMYFUNCTION("""COMPUTED_VALUE"""),"BB020")</f>
        <v>BB020</v>
      </c>
      <c r="C655" s="5" t="str">
        <f>IFERROR(__xludf.DUMMYFUNCTION("""COMPUTED_VALUE"""),"NÃO POSSUI")</f>
        <v>NÃO POSSUI</v>
      </c>
      <c r="D655" s="5" t="str">
        <f>IFERROR(__xludf.DUMMYFUNCTION("""COMPUTED_VALUE"""),"SEM PLACA")</f>
        <v>SEM PLACA</v>
      </c>
      <c r="E655" s="5" t="str">
        <f>IFERROR(__xludf.DUMMYFUNCTION("""COMPUTED_VALUE"""),"SEM BAIA")</f>
        <v>SEM BAIA</v>
      </c>
      <c r="F655" s="5" t="str">
        <f>IFERROR(__xludf.DUMMYFUNCTION("""COMPUTED_VALUE"""),"NÃO")</f>
        <v>NÃO</v>
      </c>
      <c r="G655" s="5" t="str">
        <f>IFERROR(__xludf.DUMMYFUNCTION("""COMPUTED_VALUE"""),"NÃO")</f>
        <v>NÃO</v>
      </c>
      <c r="H655" s="5" t="str">
        <f>IFERROR(__xludf.DUMMYFUNCTION("""COMPUTED_VALUE"""),"PAVIMENTADA")</f>
        <v>PAVIMENTADA</v>
      </c>
      <c r="I655" s="6" t="str">
        <f>IFERROR(__xludf.DUMMYFUNCTION("""COMPUTED_VALUE"""),"-9.548390")</f>
        <v>-9.548390</v>
      </c>
      <c r="J655" s="6" t="str">
        <f>IFERROR(__xludf.DUMMYFUNCTION("""COMPUTED_VALUE"""),"-35.720090")</f>
        <v>-35.720090</v>
      </c>
      <c r="K655" s="5" t="str">
        <f>IFERROR(__xludf.DUMMYFUNCTION("""COMPUTED_VALUE"""),"AV. GARÇA TORTA ")</f>
        <v>AV. GARÇA TORTA </v>
      </c>
      <c r="L655" s="5" t="str">
        <f>IFERROR(__xludf.DUMMYFUNCTION("""COMPUTED_VALUE"""),"COLETORA")</f>
        <v>COLETORA</v>
      </c>
      <c r="M655" s="5" t="str">
        <f>IFERROR(__xludf.DUMMYFUNCTION("""COMPUTED_VALUE"""),"BENEDITO BENTES")</f>
        <v>BENEDITO BENTES</v>
      </c>
      <c r="N655" s="5" t="str">
        <f>IFERROR(__xludf.DUMMYFUNCTION("""COMPUTED_VALUE"""),"BAIRRO - CENTRO")</f>
        <v>BAIRRO - CENTRO</v>
      </c>
      <c r="O655" s="5" t="str">
        <f>IFERROR(__xludf.DUMMYFUNCTION("""COMPUTED_VALUE"""),"PRÓXIMO A BORRACHARIA ")</f>
        <v>PRÓXIMO A BORRACHARIA </v>
      </c>
      <c r="P655" s="5" t="str">
        <f>IFERROR(__xludf.DUMMYFUNCTION("""COMPUTED_VALUE"""),"PRIORIDADE MÉDIA")</f>
        <v>PRIORIDADE MÉDIA</v>
      </c>
      <c r="Q655" s="5" t="str">
        <f>IFERROR(__xludf.DUMMYFUNCTION("""COMPUTED_VALUE"""),"READEQUAÇÃO DE CALÇADA COM ACESSIBILIDADEIMPLANTAR PLACA")</f>
        <v>READEQUAÇÃO DE CALÇADA COM ACESSIBILIDADEIMPLANTAR PLACA</v>
      </c>
      <c r="R655" s="5" t="str">
        <f>IFERROR(__xludf.DUMMYFUNCTION("""COMPUTED_VALUE"""),"IMPLANTAR ABRIGO")</f>
        <v>IMPLANTAR ABRIGO</v>
      </c>
      <c r="S655" s="5"/>
      <c r="T655" s="5"/>
      <c r="U655" s="5"/>
      <c r="V655" s="9" t="str">
        <f>IFERROR(__xludf.DUMMYFUNCTION("""COMPUTED_VALUE"""),"https://drive.google.com/uc?id=1fy5J9vOtGc17k2P7LwtIwLcsk-zonP-P")</f>
        <v>https://drive.google.com/uc?id=1fy5J9vOtGc17k2P7LwtIwLcsk-zonP-P</v>
      </c>
      <c r="W655" s="5" t="str">
        <f>IFERROR(__xludf.DUMMYFUNCTION("""COMPUTED_VALUE"""),"NÃO")</f>
        <v>NÃO</v>
      </c>
      <c r="X655" s="5" t="str">
        <f>IFERROR(__xludf.DUMMYFUNCTION("""COMPUTED_VALUE"""),"NÃO SE APLICA")</f>
        <v>NÃO SE APLICA</v>
      </c>
    </row>
    <row r="656">
      <c r="A656" s="5">
        <f>IFERROR(__xludf.DUMMYFUNCTION("""COMPUTED_VALUE"""),6.0)</f>
        <v>6</v>
      </c>
      <c r="B656" s="5" t="str">
        <f>IFERROR(__xludf.DUMMYFUNCTION("""COMPUTED_VALUE"""),"BB021")</f>
        <v>BB021</v>
      </c>
      <c r="C656" s="5" t="str">
        <f>IFERROR(__xludf.DUMMYFUNCTION("""COMPUTED_VALUE"""),"ABRIGO CONCRETO")</f>
        <v>ABRIGO CONCRETO</v>
      </c>
      <c r="D656" s="5" t="str">
        <f>IFERROR(__xludf.DUMMYFUNCTION("""COMPUTED_VALUE"""),"SEM PLACA")</f>
        <v>SEM PLACA</v>
      </c>
      <c r="E656" s="5" t="str">
        <f>IFERROR(__xludf.DUMMYFUNCTION("""COMPUTED_VALUE"""),"SEM BAIA")</f>
        <v>SEM BAIA</v>
      </c>
      <c r="F656" s="5" t="str">
        <f>IFERROR(__xludf.DUMMYFUNCTION("""COMPUTED_VALUE"""),"NÃO")</f>
        <v>NÃO</v>
      </c>
      <c r="G656" s="5" t="str">
        <f>IFERROR(__xludf.DUMMYFUNCTION("""COMPUTED_VALUE"""),"NÃO")</f>
        <v>NÃO</v>
      </c>
      <c r="H656" s="5" t="str">
        <f>IFERROR(__xludf.DUMMYFUNCTION("""COMPUTED_VALUE"""),"PAVIMENTADA")</f>
        <v>PAVIMENTADA</v>
      </c>
      <c r="I656" s="6" t="str">
        <f>IFERROR(__xludf.DUMMYFUNCTION("""COMPUTED_VALUE"""),"-9.547438")</f>
        <v>-9.547438</v>
      </c>
      <c r="J656" s="6" t="str">
        <f>IFERROR(__xludf.DUMMYFUNCTION("""COMPUTED_VALUE"""),"-35.721862")</f>
        <v>-35.721862</v>
      </c>
      <c r="K656" s="5" t="str">
        <f>IFERROR(__xludf.DUMMYFUNCTION("""COMPUTED_VALUE"""),"AV. GARÇA TORTA ")</f>
        <v>AV. GARÇA TORTA </v>
      </c>
      <c r="L656" s="5" t="str">
        <f>IFERROR(__xludf.DUMMYFUNCTION("""COMPUTED_VALUE"""),"COLETORA")</f>
        <v>COLETORA</v>
      </c>
      <c r="M656" s="5" t="str">
        <f>IFERROR(__xludf.DUMMYFUNCTION("""COMPUTED_VALUE"""),"BENEDITO BENTES")</f>
        <v>BENEDITO BENTES</v>
      </c>
      <c r="N656" s="5" t="str">
        <f>IFERROR(__xludf.DUMMYFUNCTION("""COMPUTED_VALUE"""),"BAIRRO - CENTRO")</f>
        <v>BAIRRO - CENTRO</v>
      </c>
      <c r="O656" s="5" t="str">
        <f>IFERROR(__xludf.DUMMYFUNCTION("""COMPUTED_VALUE"""),"IOLANDA CABELOS UNISE")</f>
        <v>IOLANDA CABELOS UNISE</v>
      </c>
      <c r="P656" s="5" t="str">
        <f>IFERROR(__xludf.DUMMYFUNCTION("""COMPUTED_VALUE"""),"PRIORIDADE BAIXA")</f>
        <v>PRIORIDADE BAIXA</v>
      </c>
      <c r="Q656" s="5" t="str">
        <f>IFERROR(__xludf.DUMMYFUNCTION("""COMPUTED_VALUE"""),"MANUTENÇÃO DO ABRIGO DE CONCRETO, REALIZAR PINTURA DA BIA NO ASFALTO.")</f>
        <v>MANUTENÇÃO DO ABRIGO DE CONCRETO, REALIZAR PINTURA DA BIA NO ASFALTO.</v>
      </c>
      <c r="R656" s="5" t="str">
        <f>IFERROR(__xludf.DUMMYFUNCTION("""COMPUTED_VALUE"""),"SUBSTITUIR ABRIGO")</f>
        <v>SUBSTITUIR ABRIGO</v>
      </c>
      <c r="S656" s="5"/>
      <c r="T656" s="5"/>
      <c r="U656" s="5"/>
      <c r="V656" s="9" t="str">
        <f>IFERROR(__xludf.DUMMYFUNCTION("""COMPUTED_VALUE"""),"https://drive.google.com/uc?id=1fs74RIsiOzNd-AQs3OW8kpL5JMNdIKic")</f>
        <v>https://drive.google.com/uc?id=1fs74RIsiOzNd-AQs3OW8kpL5JMNdIKic</v>
      </c>
      <c r="W656" s="5" t="str">
        <f>IFERROR(__xludf.DUMMYFUNCTION("""COMPUTED_VALUE"""),"NÃO")</f>
        <v>NÃO</v>
      </c>
      <c r="X656" s="5" t="str">
        <f>IFERROR(__xludf.DUMMYFUNCTION("""COMPUTED_VALUE"""),"NÃO SE APLICA")</f>
        <v>NÃO SE APLICA</v>
      </c>
    </row>
    <row r="657" hidden="1">
      <c r="A657" s="5">
        <f>IFERROR(__xludf.DUMMYFUNCTION("""COMPUTED_VALUE"""),6.0)</f>
        <v>6</v>
      </c>
      <c r="B657" s="5" t="str">
        <f>IFERROR(__xludf.DUMMYFUNCTION("""COMPUTED_VALUE"""),"BB022")</f>
        <v>BB022</v>
      </c>
      <c r="C657" s="5" t="str">
        <f>IFERROR(__xludf.DUMMYFUNCTION("""COMPUTED_VALUE"""),"NÃO POSSUI")</f>
        <v>NÃO POSSUI</v>
      </c>
      <c r="D657" s="5" t="str">
        <f>IFERROR(__xludf.DUMMYFUNCTION("""COMPUTED_VALUE"""),"FIXADA EM POSTE")</f>
        <v>FIXADA EM POSTE</v>
      </c>
      <c r="E657" s="5" t="str">
        <f>IFERROR(__xludf.DUMMYFUNCTION("""COMPUTED_VALUE"""),"SEM BAIA")</f>
        <v>SEM BAIA</v>
      </c>
      <c r="F657" s="5" t="str">
        <f>IFERROR(__xludf.DUMMYFUNCTION("""COMPUTED_VALUE"""),"NÃO")</f>
        <v>NÃO</v>
      </c>
      <c r="G657" s="5" t="str">
        <f>IFERROR(__xludf.DUMMYFUNCTION("""COMPUTED_VALUE"""),"NÃO")</f>
        <v>NÃO</v>
      </c>
      <c r="H657" s="5" t="str">
        <f>IFERROR(__xludf.DUMMYFUNCTION("""COMPUTED_VALUE"""),"PAVIMENTADA")</f>
        <v>PAVIMENTADA</v>
      </c>
      <c r="I657" s="6" t="str">
        <f>IFERROR(__xludf.DUMMYFUNCTION("""COMPUTED_VALUE"""),"-9.548788")</f>
        <v>-9.548788</v>
      </c>
      <c r="J657" s="6" t="str">
        <f>IFERROR(__xludf.DUMMYFUNCTION("""COMPUTED_VALUE"""),"-35.724659")</f>
        <v>-35.724659</v>
      </c>
      <c r="K657" s="5" t="str">
        <f>IFERROR(__xludf.DUMMYFUNCTION("""COMPUTED_VALUE"""),"AV. NORMA PIMENTEL COSTA")</f>
        <v>AV. NORMA PIMENTEL COSTA</v>
      </c>
      <c r="L657" s="5" t="str">
        <f>IFERROR(__xludf.DUMMYFUNCTION("""COMPUTED_VALUE"""),"COLETORA")</f>
        <v>COLETORA</v>
      </c>
      <c r="M657" s="5" t="str">
        <f>IFERROR(__xludf.DUMMYFUNCTION("""COMPUTED_VALUE"""),"BENEDITO BENTES")</f>
        <v>BENEDITO BENTES</v>
      </c>
      <c r="N657" s="5" t="str">
        <f>IFERROR(__xludf.DUMMYFUNCTION("""COMPUTED_VALUE"""),"BAIRRO - CENTRO")</f>
        <v>BAIRRO - CENTRO</v>
      </c>
      <c r="O657" s="5" t="str">
        <f>IFERROR(__xludf.DUMMYFUNCTION("""COMPUTED_VALUE"""),"TEMPLO DA IGREJA BATISTA ")</f>
        <v>TEMPLO DA IGREJA BATISTA </v>
      </c>
      <c r="P657" s="5" t="str">
        <f>IFERROR(__xludf.DUMMYFUNCTION("""COMPUTED_VALUE"""),"PRIORIDADE BAIXA")</f>
        <v>PRIORIDADE BAIXA</v>
      </c>
      <c r="Q657" s="5" t="str">
        <f>IFERROR(__xludf.DUMMYFUNCTION("""COMPUTED_VALUE"""),"PINTURA DA BAIA NO ASFALTO ")</f>
        <v>PINTURA DA BAIA NO ASFALTO </v>
      </c>
      <c r="R657" s="5" t="str">
        <f>IFERROR(__xludf.DUMMYFUNCTION("""COMPUTED_VALUE"""),"IMPLANTAR ABRIGO")</f>
        <v>IMPLANTAR ABRIGO</v>
      </c>
      <c r="S657" s="5"/>
      <c r="T657" s="5"/>
      <c r="U657" s="5"/>
      <c r="V657" s="9" t="str">
        <f>IFERROR(__xludf.DUMMYFUNCTION("""COMPUTED_VALUE"""),"https://drive.google.com/uc?id=1fg627jFN67CGL7FY4EMIELrTxNVJ2mKW")</f>
        <v>https://drive.google.com/uc?id=1fg627jFN67CGL7FY4EMIELrTxNVJ2mKW</v>
      </c>
      <c r="W657" s="5" t="str">
        <f>IFERROR(__xludf.DUMMYFUNCTION("""COMPUTED_VALUE"""),"NÃO")</f>
        <v>NÃO</v>
      </c>
      <c r="X657" s="5" t="str">
        <f>IFERROR(__xludf.DUMMYFUNCTION("""COMPUTED_VALUE"""),"NÃO SE APLICA")</f>
        <v>NÃO SE APLICA</v>
      </c>
    </row>
    <row r="658">
      <c r="A658" s="5">
        <f>IFERROR(__xludf.DUMMYFUNCTION("""COMPUTED_VALUE"""),6.0)</f>
        <v>6</v>
      </c>
      <c r="B658" s="5" t="str">
        <f>IFERROR(__xludf.DUMMYFUNCTION("""COMPUTED_VALUE"""),"BB023")</f>
        <v>BB023</v>
      </c>
      <c r="C658" s="5" t="str">
        <f>IFERROR(__xludf.DUMMYFUNCTION("""COMPUTED_VALUE"""),"ABRIGO METÁLICO PEQUENO PORTE")</f>
        <v>ABRIGO METÁLICO PEQUENO PORTE</v>
      </c>
      <c r="D658" s="5" t="str">
        <f>IFERROR(__xludf.DUMMYFUNCTION("""COMPUTED_VALUE"""),"SEM PLACA")</f>
        <v>SEM PLACA</v>
      </c>
      <c r="E658" s="5" t="str">
        <f>IFERROR(__xludf.DUMMYFUNCTION("""COMPUTED_VALUE"""),"SEM BAIA")</f>
        <v>SEM BAIA</v>
      </c>
      <c r="F658" s="5" t="str">
        <f>IFERROR(__xludf.DUMMYFUNCTION("""COMPUTED_VALUE"""),"SIM")</f>
        <v>SIM</v>
      </c>
      <c r="G658" s="5" t="str">
        <f>IFERROR(__xludf.DUMMYFUNCTION("""COMPUTED_VALUE"""),"SIM")</f>
        <v>SIM</v>
      </c>
      <c r="H658" s="5" t="str">
        <f>IFERROR(__xludf.DUMMYFUNCTION("""COMPUTED_VALUE"""),"PAVIMENTADA")</f>
        <v>PAVIMENTADA</v>
      </c>
      <c r="I658" s="6" t="str">
        <f>IFERROR(__xludf.DUMMYFUNCTION("""COMPUTED_VALUE"""),"-9.549262")</f>
        <v>-9.549262</v>
      </c>
      <c r="J658" s="6" t="str">
        <f>IFERROR(__xludf.DUMMYFUNCTION("""COMPUTED_VALUE"""),"-35.732565")</f>
        <v>-35.732565</v>
      </c>
      <c r="K658" s="5" t="str">
        <f>IFERROR(__xludf.DUMMYFUNCTION("""COMPUTED_VALUE"""),"AV. CACHOEIRA DO MEIRIM ")</f>
        <v>AV. CACHOEIRA DO MEIRIM </v>
      </c>
      <c r="L658" s="5" t="str">
        <f>IFERROR(__xludf.DUMMYFUNCTION("""COMPUTED_VALUE"""),"ARTERIAL ")</f>
        <v>ARTERIAL </v>
      </c>
      <c r="M658" s="5" t="str">
        <f>IFERROR(__xludf.DUMMYFUNCTION("""COMPUTED_VALUE"""),"BENEDITO BENTES")</f>
        <v>BENEDITO BENTES</v>
      </c>
      <c r="N658" s="5" t="str">
        <f>IFERROR(__xludf.DUMMYFUNCTION("""COMPUTED_VALUE"""),"BAIRRO - CENTRO")</f>
        <v>BAIRRO - CENTRO</v>
      </c>
      <c r="O658" s="5" t="str">
        <f>IFERROR(__xludf.DUMMYFUNCTION("""COMPUTED_VALUE"""),"EM FRENTE A ALMAVIVA")</f>
        <v>EM FRENTE A ALMAVIVA</v>
      </c>
      <c r="P658" s="5" t="str">
        <f>IFERROR(__xludf.DUMMYFUNCTION("""COMPUTED_VALUE"""),"PRIORIDADE BAIXA")</f>
        <v>PRIORIDADE BAIXA</v>
      </c>
      <c r="Q658" s="5" t="str">
        <f>IFERROR(__xludf.DUMMYFUNCTION("""COMPUTED_VALUE"""),"PINTURA DA BAIA NO ASFALTO ")</f>
        <v>PINTURA DA BAIA NO ASFALTO </v>
      </c>
      <c r="R658" s="5" t="str">
        <f>IFERROR(__xludf.DUMMYFUNCTION("""COMPUTED_VALUE"""),"NENHUMA DAS OPÇÕES")</f>
        <v>NENHUMA DAS OPÇÕES</v>
      </c>
      <c r="S658" s="5"/>
      <c r="T658" s="5"/>
      <c r="U658" s="5"/>
      <c r="V658" s="9" t="str">
        <f>IFERROR(__xludf.DUMMYFUNCTION("""COMPUTED_VALUE"""),"https://drive.google.com/uc?id=1fm5H9Pox7oL5iLXqsNytf7kZU5-eqt7A")</f>
        <v>https://drive.google.com/uc?id=1fm5H9Pox7oL5iLXqsNytf7kZU5-eqt7A</v>
      </c>
      <c r="W658" s="5" t="str">
        <f>IFERROR(__xludf.DUMMYFUNCTION("""COMPUTED_VALUE"""),"NÃO")</f>
        <v>NÃO</v>
      </c>
      <c r="X658" s="5" t="str">
        <f>IFERROR(__xludf.DUMMYFUNCTION("""COMPUTED_VALUE"""),"NÃO")</f>
        <v>NÃO</v>
      </c>
    </row>
    <row r="659">
      <c r="A659" s="5">
        <f>IFERROR(__xludf.DUMMYFUNCTION("""COMPUTED_VALUE"""),6.0)</f>
        <v>6</v>
      </c>
      <c r="B659" s="5" t="str">
        <f>IFERROR(__xludf.DUMMYFUNCTION("""COMPUTED_VALUE"""),"BB024")</f>
        <v>BB024</v>
      </c>
      <c r="C659" s="5" t="str">
        <f>IFERROR(__xludf.DUMMYFUNCTION("""COMPUTED_VALUE"""),"ABRIGO METÁLICO PEQUENO PORTE")</f>
        <v>ABRIGO METÁLICO PEQUENO PORTE</v>
      </c>
      <c r="D659" s="5" t="str">
        <f>IFERROR(__xludf.DUMMYFUNCTION("""COMPUTED_VALUE"""),"SEM PLACA")</f>
        <v>SEM PLACA</v>
      </c>
      <c r="E659" s="5" t="str">
        <f>IFERROR(__xludf.DUMMYFUNCTION("""COMPUTED_VALUE"""),"BAIA CONSTRUÍDA")</f>
        <v>BAIA CONSTRUÍDA</v>
      </c>
      <c r="F659" s="5" t="str">
        <f>IFERROR(__xludf.DUMMYFUNCTION("""COMPUTED_VALUE"""),"NÃO")</f>
        <v>NÃO</v>
      </c>
      <c r="G659" s="5" t="str">
        <f>IFERROR(__xludf.DUMMYFUNCTION("""COMPUTED_VALUE"""),"NÃO")</f>
        <v>NÃO</v>
      </c>
      <c r="H659" s="5" t="str">
        <f>IFERROR(__xludf.DUMMYFUNCTION("""COMPUTED_VALUE"""),"PAVIMENTADA")</f>
        <v>PAVIMENTADA</v>
      </c>
      <c r="I659" s="6" t="str">
        <f>IFERROR(__xludf.DUMMYFUNCTION("""COMPUTED_VALUE"""),"-9.551700")</f>
        <v>-9.551700</v>
      </c>
      <c r="J659" s="6" t="str">
        <f>IFERROR(__xludf.DUMMYFUNCTION("""COMPUTED_VALUE"""),"-35.735153")</f>
        <v>-35.735153</v>
      </c>
      <c r="K659" s="5" t="str">
        <f>IFERROR(__xludf.DUMMYFUNCTION("""COMPUTED_VALUE"""),"AV. CACHOEIRA DO MEIRIM ")</f>
        <v>AV. CACHOEIRA DO MEIRIM </v>
      </c>
      <c r="L659" s="5" t="str">
        <f>IFERROR(__xludf.DUMMYFUNCTION("""COMPUTED_VALUE"""),"ARTERIAL ")</f>
        <v>ARTERIAL </v>
      </c>
      <c r="M659" s="5" t="str">
        <f>IFERROR(__xludf.DUMMYFUNCTION("""COMPUTED_VALUE"""),"BENEDITO BENTES")</f>
        <v>BENEDITO BENTES</v>
      </c>
      <c r="N659" s="5" t="str">
        <f>IFERROR(__xludf.DUMMYFUNCTION("""COMPUTED_VALUE"""),"BAIRRO - CENTRO")</f>
        <v>BAIRRO - CENTRO</v>
      </c>
      <c r="O659" s="5" t="str">
        <f>IFERROR(__xludf.DUMMYFUNCTION("""COMPUTED_VALUE"""),"EM FRENTE UPA")</f>
        <v>EM FRENTE UPA</v>
      </c>
      <c r="P659" s="5" t="str">
        <f>IFERROR(__xludf.DUMMYFUNCTION("""COMPUTED_VALUE"""),"PRIORIDADE BAIXA")</f>
        <v>PRIORIDADE BAIXA</v>
      </c>
      <c r="Q659" s="5" t="str">
        <f>IFERROR(__xludf.DUMMYFUNCTION("""COMPUTED_VALUE"""),"MANUTENÇÃO EM ABRIGO METÁLICO - BAIXA PRIORIDADE ")</f>
        <v>MANUTENÇÃO EM ABRIGO METÁLICO - BAIXA PRIORIDADE </v>
      </c>
      <c r="R659" s="5" t="str">
        <f>IFERROR(__xludf.DUMMYFUNCTION("""COMPUTED_VALUE"""),"NENHUMA DAS OPÇÕES")</f>
        <v>NENHUMA DAS OPÇÕES</v>
      </c>
      <c r="S659" s="5"/>
      <c r="T659" s="5"/>
      <c r="U659" s="5"/>
      <c r="V659" s="9" t="str">
        <f>IFERROR(__xludf.DUMMYFUNCTION("""COMPUTED_VALUE"""),"https://drive.google.com/uc?id=1fd2oCo5vIqVelIRsTHqQgT7ErigXwUH9")</f>
        <v>https://drive.google.com/uc?id=1fd2oCo5vIqVelIRsTHqQgT7ErigXwUH9</v>
      </c>
      <c r="W659" s="5" t="str">
        <f>IFERROR(__xludf.DUMMYFUNCTION("""COMPUTED_VALUE"""),"NÃO")</f>
        <v>NÃO</v>
      </c>
      <c r="X659" s="5" t="str">
        <f>IFERROR(__xludf.DUMMYFUNCTION("""COMPUTED_VALUE"""),"SIM")</f>
        <v>SIM</v>
      </c>
    </row>
    <row r="660">
      <c r="A660" s="5">
        <f>IFERROR(__xludf.DUMMYFUNCTION("""COMPUTED_VALUE"""),6.0)</f>
        <v>6</v>
      </c>
      <c r="B660" s="5" t="str">
        <f>IFERROR(__xludf.DUMMYFUNCTION("""COMPUTED_VALUE"""),"BB025")</f>
        <v>BB025</v>
      </c>
      <c r="C660" s="5" t="str">
        <f>IFERROR(__xludf.DUMMYFUNCTION("""COMPUTED_VALUE"""),"ABRIGO METÁLICO MÉDIO PORTE")</f>
        <v>ABRIGO METÁLICO MÉDIO PORTE</v>
      </c>
      <c r="D660" s="5" t="str">
        <f>IFERROR(__xludf.DUMMYFUNCTION("""COMPUTED_VALUE"""),"FIXADA EM POSTE")</f>
        <v>FIXADA EM POSTE</v>
      </c>
      <c r="E660" s="5" t="str">
        <f>IFERROR(__xludf.DUMMYFUNCTION("""COMPUTED_VALUE"""),"BAIA CONSTRUÍDA")</f>
        <v>BAIA CONSTRUÍDA</v>
      </c>
      <c r="F660" s="5" t="str">
        <f>IFERROR(__xludf.DUMMYFUNCTION("""COMPUTED_VALUE"""),"SIM")</f>
        <v>SIM</v>
      </c>
      <c r="G660" s="5" t="str">
        <f>IFERROR(__xludf.DUMMYFUNCTION("""COMPUTED_VALUE"""),"SIM")</f>
        <v>SIM</v>
      </c>
      <c r="H660" s="5" t="str">
        <f>IFERROR(__xludf.DUMMYFUNCTION("""COMPUTED_VALUE"""),"PAVIMENTADA")</f>
        <v>PAVIMENTADA</v>
      </c>
      <c r="I660" s="6" t="str">
        <f>IFERROR(__xludf.DUMMYFUNCTION("""COMPUTED_VALUE"""),"-9.554771")</f>
        <v>-9.554771</v>
      </c>
      <c r="J660" s="6" t="str">
        <f>IFERROR(__xludf.DUMMYFUNCTION("""COMPUTED_VALUE"""),"-35.738313")</f>
        <v>-35.738313</v>
      </c>
      <c r="K660" s="5" t="str">
        <f>IFERROR(__xludf.DUMMYFUNCTION("""COMPUTED_VALUE"""),"AV. CACHOEIRA DO MEIRIM ")</f>
        <v>AV. CACHOEIRA DO MEIRIM </v>
      </c>
      <c r="L660" s="5" t="str">
        <f>IFERROR(__xludf.DUMMYFUNCTION("""COMPUTED_VALUE"""),"ARTERIAL ")</f>
        <v>ARTERIAL </v>
      </c>
      <c r="M660" s="5" t="str">
        <f>IFERROR(__xludf.DUMMYFUNCTION("""COMPUTED_VALUE"""),"BENEDITO BENTES")</f>
        <v>BENEDITO BENTES</v>
      </c>
      <c r="N660" s="5" t="str">
        <f>IFERROR(__xludf.DUMMYFUNCTION("""COMPUTED_VALUE"""),"CENTRO - BAIRRO")</f>
        <v>CENTRO - BAIRRO</v>
      </c>
      <c r="O660" s="5" t="str">
        <f>IFERROR(__xludf.DUMMYFUNCTION("""COMPUTED_VALUE"""),"EM FRENTE À ESCOLA MUN. PADRE BRANDÃOO")</f>
        <v>EM FRENTE À ESCOLA MUN. PADRE BRANDÃOO</v>
      </c>
      <c r="P660" s="5" t="str">
        <f>IFERROR(__xludf.DUMMYFUNCTION("""COMPUTED_VALUE"""),"PRIORIDADE BAIXA")</f>
        <v>PRIORIDADE BAIXA</v>
      </c>
      <c r="Q660" s="5" t="str">
        <f>IFERROR(__xludf.DUMMYFUNCTION("""COMPUTED_VALUE"""),"MANUTENÇÃO EM ABRIGO METÁLICO - BAIXA PRIORIDADE ")</f>
        <v>MANUTENÇÃO EM ABRIGO METÁLICO - BAIXA PRIORIDADE </v>
      </c>
      <c r="R660" s="5" t="str">
        <f>IFERROR(__xludf.DUMMYFUNCTION("""COMPUTED_VALUE"""),"NENHUMA DAS OPÇÕES")</f>
        <v>NENHUMA DAS OPÇÕES</v>
      </c>
      <c r="S660" s="5"/>
      <c r="T660" s="5"/>
      <c r="U660" s="5"/>
      <c r="V660" s="9" t="str">
        <f>IFERROR(__xludf.DUMMYFUNCTION("""COMPUTED_VALUE"""),"https://drive.google.com/uc?id=1fXG8-nOucJ1zDYmJY1fpfDHepcwlKbUE")</f>
        <v>https://drive.google.com/uc?id=1fXG8-nOucJ1zDYmJY1fpfDHepcwlKbUE</v>
      </c>
      <c r="W660" s="5" t="str">
        <f>IFERROR(__xludf.DUMMYFUNCTION("""COMPUTED_VALUE"""),"NÃO")</f>
        <v>NÃO</v>
      </c>
      <c r="X660" s="5" t="str">
        <f>IFERROR(__xludf.DUMMYFUNCTION("""COMPUTED_VALUE"""),"NÃO SE APLICA")</f>
        <v>NÃO SE APLICA</v>
      </c>
    </row>
    <row r="661" hidden="1">
      <c r="A661" s="5">
        <f>IFERROR(__xludf.DUMMYFUNCTION("""COMPUTED_VALUE"""),6.0)</f>
        <v>6</v>
      </c>
      <c r="B661" s="5" t="str">
        <f>IFERROR(__xludf.DUMMYFUNCTION("""COMPUTED_VALUE"""),"BB026")</f>
        <v>BB026</v>
      </c>
      <c r="C661" s="5" t="str">
        <f>IFERROR(__xludf.DUMMYFUNCTION("""COMPUTED_VALUE"""),"NÃO POSSUI")</f>
        <v>NÃO POSSUI</v>
      </c>
      <c r="D661" s="5" t="str">
        <f>IFERROR(__xludf.DUMMYFUNCTION("""COMPUTED_VALUE"""),"FIXADA EM POSTE")</f>
        <v>FIXADA EM POSTE</v>
      </c>
      <c r="E661" s="5" t="str">
        <f>IFERROR(__xludf.DUMMYFUNCTION("""COMPUTED_VALUE"""),"SEM BAIA")</f>
        <v>SEM BAIA</v>
      </c>
      <c r="F661" s="5" t="str">
        <f>IFERROR(__xludf.DUMMYFUNCTION("""COMPUTED_VALUE"""),"NÃO")</f>
        <v>NÃO</v>
      </c>
      <c r="G661" s="5" t="str">
        <f>IFERROR(__xludf.DUMMYFUNCTION("""COMPUTED_VALUE"""),"NÃO")</f>
        <v>NÃO</v>
      </c>
      <c r="H661" s="5" t="str">
        <f>IFERROR(__xludf.DUMMYFUNCTION("""COMPUTED_VALUE"""),"PAVIMENTADA")</f>
        <v>PAVIMENTADA</v>
      </c>
      <c r="I661" s="6" t="str">
        <f>IFERROR(__xludf.DUMMYFUNCTION("""COMPUTED_VALUE"""),"-9.549042")</f>
        <v>-9.549042</v>
      </c>
      <c r="J661" s="6" t="str">
        <f>IFERROR(__xludf.DUMMYFUNCTION("""COMPUTED_VALUE"""),"-35.737632")</f>
        <v>-35.737632</v>
      </c>
      <c r="K661" s="5" t="str">
        <f>IFERROR(__xludf.DUMMYFUNCTION("""COMPUTED_VALUE"""),"AVENIDA ANTONIO LISBOA DE AMORIM")</f>
        <v>AVENIDA ANTONIO LISBOA DE AMORIM</v>
      </c>
      <c r="L661" s="5" t="str">
        <f>IFERROR(__xludf.DUMMYFUNCTION("""COMPUTED_VALUE"""),"COLETORA")</f>
        <v>COLETORA</v>
      </c>
      <c r="M661" s="5" t="str">
        <f>IFERROR(__xludf.DUMMYFUNCTION("""COMPUTED_VALUE"""),"BENEDITO BENTES")</f>
        <v>BENEDITO BENTES</v>
      </c>
      <c r="N661" s="5" t="str">
        <f>IFERROR(__xludf.DUMMYFUNCTION("""COMPUTED_VALUE"""),"INTEGRAÇÃO")</f>
        <v>INTEGRAÇÃO</v>
      </c>
      <c r="O661" s="5" t="str">
        <f>IFERROR(__xludf.DUMMYFUNCTION("""COMPUTED_VALUE"""),"EM FRENTE A ENTRADA DO RES. RECANTO DOS PÁSSAROS.")</f>
        <v>EM FRENTE A ENTRADA DO RES. RECANTO DOS PÁSSAROS.</v>
      </c>
      <c r="P661" s="5" t="str">
        <f>IFERROR(__xludf.DUMMYFUNCTION("""COMPUTED_VALUE"""),"PRIORIDADE BAIXA")</f>
        <v>PRIORIDADE BAIXA</v>
      </c>
      <c r="Q661" s="5" t="str">
        <f>IFERROR(__xludf.DUMMYFUNCTION("""COMPUTED_VALUE"""),"BAIXA PRIORIDADE")</f>
        <v>BAIXA PRIORIDADE</v>
      </c>
      <c r="R661" s="5" t="str">
        <f>IFERROR(__xludf.DUMMYFUNCTION("""COMPUTED_VALUE"""),"NENHUMA DAS OPÇÕES")</f>
        <v>NENHUMA DAS OPÇÕES</v>
      </c>
      <c r="S661" s="5"/>
      <c r="T661" s="5"/>
      <c r="U661" s="5"/>
      <c r="V661" s="9" t="str">
        <f>IFERROR(__xludf.DUMMYFUNCTION("""COMPUTED_VALUE"""),"https://drive.google.com/uc?id=1FM-zY0Yhr-NkCClGCS53vbDshxOB_Bg4")</f>
        <v>https://drive.google.com/uc?id=1FM-zY0Yhr-NkCClGCS53vbDshxOB_Bg4</v>
      </c>
      <c r="W661" s="5" t="str">
        <f>IFERROR(__xludf.DUMMYFUNCTION("""COMPUTED_VALUE"""),"NÃO")</f>
        <v>NÃO</v>
      </c>
      <c r="X661" s="5" t="str">
        <f>IFERROR(__xludf.DUMMYFUNCTION("""COMPUTED_VALUE"""),"NÃO SE APLICA")</f>
        <v>NÃO SE APLICA</v>
      </c>
    </row>
    <row r="662" hidden="1">
      <c r="A662" s="5">
        <f>IFERROR(__xludf.DUMMYFUNCTION("""COMPUTED_VALUE"""),6.0)</f>
        <v>6</v>
      </c>
      <c r="B662" s="5" t="str">
        <f>IFERROR(__xludf.DUMMYFUNCTION("""COMPUTED_VALUE"""),"BB027")</f>
        <v>BB027</v>
      </c>
      <c r="C662" s="5" t="str">
        <f>IFERROR(__xludf.DUMMYFUNCTION("""COMPUTED_VALUE"""),"NÃO POSSUI")</f>
        <v>NÃO POSSUI</v>
      </c>
      <c r="D662" s="5" t="str">
        <f>IFERROR(__xludf.DUMMYFUNCTION("""COMPUTED_VALUE"""),"FIXADA EM POSTE")</f>
        <v>FIXADA EM POSTE</v>
      </c>
      <c r="E662" s="5" t="str">
        <f>IFERROR(__xludf.DUMMYFUNCTION("""COMPUTED_VALUE"""),"SEM BAIA")</f>
        <v>SEM BAIA</v>
      </c>
      <c r="F662" s="5" t="str">
        <f>IFERROR(__xludf.DUMMYFUNCTION("""COMPUTED_VALUE"""),"NÃO")</f>
        <v>NÃO</v>
      </c>
      <c r="G662" s="5" t="str">
        <f>IFERROR(__xludf.DUMMYFUNCTION("""COMPUTED_VALUE"""),"NÃO")</f>
        <v>NÃO</v>
      </c>
      <c r="H662" s="5" t="str">
        <f>IFERROR(__xludf.DUMMYFUNCTION("""COMPUTED_VALUE"""),"PAVIMENTADA")</f>
        <v>PAVIMENTADA</v>
      </c>
      <c r="I662" s="6" t="str">
        <f>IFERROR(__xludf.DUMMYFUNCTION("""COMPUTED_VALUE"""),"-9.552005")</f>
        <v>-9.552005</v>
      </c>
      <c r="J662" s="6" t="str">
        <f>IFERROR(__xludf.DUMMYFUNCTION("""COMPUTED_VALUE"""),"-35.736083")</f>
        <v>-35.736083</v>
      </c>
      <c r="K662" s="5" t="str">
        <f>IFERROR(__xludf.DUMMYFUNCTION("""COMPUTED_VALUE"""),"AVENIDA ANTONIO LISBOA DE AMORIM")</f>
        <v>AVENIDA ANTONIO LISBOA DE AMORIM</v>
      </c>
      <c r="L662" s="5" t="str">
        <f>IFERROR(__xludf.DUMMYFUNCTION("""COMPUTED_VALUE"""),"COLETORA")</f>
        <v>COLETORA</v>
      </c>
      <c r="M662" s="5" t="str">
        <f>IFERROR(__xludf.DUMMYFUNCTION("""COMPUTED_VALUE"""),"BENEDITO BENTES")</f>
        <v>BENEDITO BENTES</v>
      </c>
      <c r="N662" s="5" t="str">
        <f>IFERROR(__xludf.DUMMYFUNCTION("""COMPUTED_VALUE"""),"INTEGRAÇÃO")</f>
        <v>INTEGRAÇÃO</v>
      </c>
      <c r="O662" s="5" t="str">
        <f>IFERROR(__xludf.DUMMYFUNCTION("""COMPUTED_VALUE"""),"AO LADO DA UPA BENEDITO BENTES.")</f>
        <v>AO LADO DA UPA BENEDITO BENTES.</v>
      </c>
      <c r="P662" s="5" t="str">
        <f>IFERROR(__xludf.DUMMYFUNCTION("""COMPUTED_VALUE"""),"PRIORIDADE MÉDIA")</f>
        <v>PRIORIDADE MÉDIA</v>
      </c>
      <c r="Q662" s="5" t="str">
        <f>IFERROR(__xludf.DUMMYFUNCTION("""COMPUTED_VALUE"""),"TROCAR SUPORTE DE PLACA")</f>
        <v>TROCAR SUPORTE DE PLACA</v>
      </c>
      <c r="R662" s="5" t="str">
        <f>IFERROR(__xludf.DUMMYFUNCTION("""COMPUTED_VALUE"""),"NENHUMA DAS OPÇÕES")</f>
        <v>NENHUMA DAS OPÇÕES</v>
      </c>
      <c r="S662" s="5"/>
      <c r="T662" s="5"/>
      <c r="U662" s="5"/>
      <c r="V662" s="9" t="str">
        <f>IFERROR(__xludf.DUMMYFUNCTION("""COMPUTED_VALUE"""),"https://drive.google.com/uc?id=1S10wk3X96D2R_OZkqpuUUxeqqXxFtr3x")</f>
        <v>https://drive.google.com/uc?id=1S10wk3X96D2R_OZkqpuUUxeqqXxFtr3x</v>
      </c>
      <c r="W662" s="5" t="str">
        <f>IFERROR(__xludf.DUMMYFUNCTION("""COMPUTED_VALUE"""),"NÃO")</f>
        <v>NÃO</v>
      </c>
      <c r="X662" s="5" t="str">
        <f>IFERROR(__xludf.DUMMYFUNCTION("""COMPUTED_VALUE"""),"NÃO SE APLICA")</f>
        <v>NÃO SE APLICA</v>
      </c>
    </row>
    <row r="663" hidden="1">
      <c r="A663" s="5">
        <f>IFERROR(__xludf.DUMMYFUNCTION("""COMPUTED_VALUE"""),6.0)</f>
        <v>6</v>
      </c>
      <c r="B663" s="5" t="str">
        <f>IFERROR(__xludf.DUMMYFUNCTION("""COMPUTED_VALUE"""),"BB028")</f>
        <v>BB028</v>
      </c>
      <c r="C663" s="5" t="str">
        <f>IFERROR(__xludf.DUMMYFUNCTION("""COMPUTED_VALUE"""),"NÃO POSSUI")</f>
        <v>NÃO POSSUI</v>
      </c>
      <c r="D663" s="5" t="str">
        <f>IFERROR(__xludf.DUMMYFUNCTION("""COMPUTED_VALUE"""),"COM SUPORTE")</f>
        <v>COM SUPORTE</v>
      </c>
      <c r="E663" s="5" t="str">
        <f>IFERROR(__xludf.DUMMYFUNCTION("""COMPUTED_VALUE"""),"SEM BAIA")</f>
        <v>SEM BAIA</v>
      </c>
      <c r="F663" s="5" t="str">
        <f>IFERROR(__xludf.DUMMYFUNCTION("""COMPUTED_VALUE"""),"SIM")</f>
        <v>SIM</v>
      </c>
      <c r="G663" s="5" t="str">
        <f>IFERROR(__xludf.DUMMYFUNCTION("""COMPUTED_VALUE"""),"NÃO")</f>
        <v>NÃO</v>
      </c>
      <c r="H663" s="5" t="str">
        <f>IFERROR(__xludf.DUMMYFUNCTION("""COMPUTED_VALUE"""),"PAVIMENTADA")</f>
        <v>PAVIMENTADA</v>
      </c>
      <c r="I663" s="6" t="str">
        <f>IFERROR(__xludf.DUMMYFUNCTION("""COMPUTED_VALUE"""),"-9.549672")</f>
        <v>-9.549672</v>
      </c>
      <c r="J663" s="6" t="str">
        <f>IFERROR(__xludf.DUMMYFUNCTION("""COMPUTED_VALUE"""),"-35.737030")</f>
        <v>-35.737030</v>
      </c>
      <c r="K663" s="5" t="str">
        <f>IFERROR(__xludf.DUMMYFUNCTION("""COMPUTED_VALUE"""),"AVENIDA ANTONIO LISBOA DE AMORIM")</f>
        <v>AVENIDA ANTONIO LISBOA DE AMORIM</v>
      </c>
      <c r="L663" s="5" t="str">
        <f>IFERROR(__xludf.DUMMYFUNCTION("""COMPUTED_VALUE"""),"COLETORA")</f>
        <v>COLETORA</v>
      </c>
      <c r="M663" s="5" t="str">
        <f>IFERROR(__xludf.DUMMYFUNCTION("""COMPUTED_VALUE"""),"BENEDITO BENTES")</f>
        <v>BENEDITO BENTES</v>
      </c>
      <c r="N663" s="5" t="str">
        <f>IFERROR(__xludf.DUMMYFUNCTION("""COMPUTED_VALUE"""),"INTEGRAÇÃO")</f>
        <v>INTEGRAÇÃO</v>
      </c>
      <c r="O663" s="5" t="str">
        <f>IFERROR(__xludf.DUMMYFUNCTION("""COMPUTED_VALUE"""),"EM FRENTE AO CON. VILLAGE DAS ARTES")</f>
        <v>EM FRENTE AO CON. VILLAGE DAS ARTES</v>
      </c>
      <c r="P663" s="5" t="str">
        <f>IFERROR(__xludf.DUMMYFUNCTION("""COMPUTED_VALUE"""),"PRIORIDADE BAIXA")</f>
        <v>PRIORIDADE BAIXA</v>
      </c>
      <c r="Q663" s="5"/>
      <c r="R663" s="5" t="str">
        <f>IFERROR(__xludf.DUMMYFUNCTION("""COMPUTED_VALUE"""),"NENHUMA DAS OPÇÕES")</f>
        <v>NENHUMA DAS OPÇÕES</v>
      </c>
      <c r="S663" s="5"/>
      <c r="T663" s="5"/>
      <c r="U663" s="5"/>
      <c r="V663" s="9" t="str">
        <f>IFERROR(__xludf.DUMMYFUNCTION("""COMPUTED_VALUE"""),"https://drive.google.com/uc?id=1bBVte0ZkVom-drLFHYallyzl1Q9ZGAon")</f>
        <v>https://drive.google.com/uc?id=1bBVte0ZkVom-drLFHYallyzl1Q9ZGAon</v>
      </c>
      <c r="W663" s="5" t="str">
        <f>IFERROR(__xludf.DUMMYFUNCTION("""COMPUTED_VALUE"""),"NÃO")</f>
        <v>NÃO</v>
      </c>
      <c r="X663" s="5" t="str">
        <f>IFERROR(__xludf.DUMMYFUNCTION("""COMPUTED_VALUE"""),"NÃO")</f>
        <v>NÃO</v>
      </c>
    </row>
    <row r="664" hidden="1">
      <c r="A664" s="5">
        <f>IFERROR(__xludf.DUMMYFUNCTION("""COMPUTED_VALUE"""),6.0)</f>
        <v>6</v>
      </c>
      <c r="B664" s="5" t="str">
        <f>IFERROR(__xludf.DUMMYFUNCTION("""COMPUTED_VALUE"""),"BB029")</f>
        <v>BB029</v>
      </c>
      <c r="C664" s="5" t="str">
        <f>IFERROR(__xludf.DUMMYFUNCTION("""COMPUTED_VALUE"""),"NÃO POSSUI")</f>
        <v>NÃO POSSUI</v>
      </c>
      <c r="D664" s="5" t="str">
        <f>IFERROR(__xludf.DUMMYFUNCTION("""COMPUTED_VALUE"""),"COM SUPORTE")</f>
        <v>COM SUPORTE</v>
      </c>
      <c r="E664" s="5" t="str">
        <f>IFERROR(__xludf.DUMMYFUNCTION("""COMPUTED_VALUE"""),"SEM BAIA")</f>
        <v>SEM BAIA</v>
      </c>
      <c r="F664" s="5" t="str">
        <f>IFERROR(__xludf.DUMMYFUNCTION("""COMPUTED_VALUE"""),"SIM")</f>
        <v>SIM</v>
      </c>
      <c r="G664" s="5" t="str">
        <f>IFERROR(__xludf.DUMMYFUNCTION("""COMPUTED_VALUE"""),"SIM")</f>
        <v>SIM</v>
      </c>
      <c r="H664" s="5" t="str">
        <f>IFERROR(__xludf.DUMMYFUNCTION("""COMPUTED_VALUE"""),"PAVIMENTADA")</f>
        <v>PAVIMENTADA</v>
      </c>
      <c r="I664" s="6" t="str">
        <f>IFERROR(__xludf.DUMMYFUNCTION("""COMPUTED_VALUE"""),"-9.541048")</f>
        <v>-9.541048</v>
      </c>
      <c r="J664" s="6" t="str">
        <f>IFERROR(__xludf.DUMMYFUNCTION("""COMPUTED_VALUE"""),"-35.741538")</f>
        <v>-35.741538</v>
      </c>
      <c r="K664" s="5" t="str">
        <f>IFERROR(__xludf.DUMMYFUNCTION("""COMPUTED_VALUE"""),"Av. ASSIS CHATEAUBRIAND,  VALE BENTES")</f>
        <v>Av. ASSIS CHATEAUBRIAND,  VALE BENTES</v>
      </c>
      <c r="L664" s="5" t="str">
        <f>IFERROR(__xludf.DUMMYFUNCTION("""COMPUTED_VALUE"""),"COLETORA")</f>
        <v>COLETORA</v>
      </c>
      <c r="M664" s="5" t="str">
        <f>IFERROR(__xludf.DUMMYFUNCTION("""COMPUTED_VALUE"""),"BENEDITO BENTES")</f>
        <v>BENEDITO BENTES</v>
      </c>
      <c r="N664" s="5" t="str">
        <f>IFERROR(__xludf.DUMMYFUNCTION("""COMPUTED_VALUE"""),"INTEGRAÇÃO")</f>
        <v>INTEGRAÇÃO</v>
      </c>
      <c r="O664" s="5" t="str">
        <f>IFERROR(__xludf.DUMMYFUNCTION("""COMPUTED_VALUE"""),"EM FRENTE AO RES. VALLE BENTES I")</f>
        <v>EM FRENTE AO RES. VALLE BENTES I</v>
      </c>
      <c r="P664" s="5" t="str">
        <f>IFERROR(__xludf.DUMMYFUNCTION("""COMPUTED_VALUE"""),"PRIORIDADE BAIXA")</f>
        <v>PRIORIDADE BAIXA</v>
      </c>
      <c r="Q664" s="5"/>
      <c r="R664" s="5" t="str">
        <f>IFERROR(__xludf.DUMMYFUNCTION("""COMPUTED_VALUE"""),"IMPLANTAR ABRIGO")</f>
        <v>IMPLANTAR ABRIGO</v>
      </c>
      <c r="S664" s="5"/>
      <c r="T664" s="5"/>
      <c r="U664" s="5"/>
      <c r="V664" s="9" t="str">
        <f>IFERROR(__xludf.DUMMYFUNCTION("""COMPUTED_VALUE"""),"https://drive.google.com/uc?id=1kTD0wMxh0yVK-uKDBW9isj3huhLAJPHr")</f>
        <v>https://drive.google.com/uc?id=1kTD0wMxh0yVK-uKDBW9isj3huhLAJPHr</v>
      </c>
      <c r="W664" s="5" t="str">
        <f>IFERROR(__xludf.DUMMYFUNCTION("""COMPUTED_VALUE"""),"NÃO")</f>
        <v>NÃO</v>
      </c>
      <c r="X664" s="5" t="str">
        <f>IFERROR(__xludf.DUMMYFUNCTION("""COMPUTED_VALUE"""),"NÃO SE APLICA")</f>
        <v>NÃO SE APLICA</v>
      </c>
    </row>
    <row r="665" hidden="1">
      <c r="A665" s="5">
        <f>IFERROR(__xludf.DUMMYFUNCTION("""COMPUTED_VALUE"""),6.0)</f>
        <v>6</v>
      </c>
      <c r="B665" s="5" t="str">
        <f>IFERROR(__xludf.DUMMYFUNCTION("""COMPUTED_VALUE"""),"BB030")</f>
        <v>BB030</v>
      </c>
      <c r="C665" s="5" t="str">
        <f>IFERROR(__xludf.DUMMYFUNCTION("""COMPUTED_VALUE"""),"NÃO POSSUI")</f>
        <v>NÃO POSSUI</v>
      </c>
      <c r="D665" s="5" t="str">
        <f>IFERROR(__xludf.DUMMYFUNCTION("""COMPUTED_VALUE"""),"SEM PLACA")</f>
        <v>SEM PLACA</v>
      </c>
      <c r="E665" s="5" t="str">
        <f>IFERROR(__xludf.DUMMYFUNCTION("""COMPUTED_VALUE"""),"SEM BAIA")</f>
        <v>SEM BAIA</v>
      </c>
      <c r="F665" s="5" t="str">
        <f>IFERROR(__xludf.DUMMYFUNCTION("""COMPUTED_VALUE"""),"NÃO")</f>
        <v>NÃO</v>
      </c>
      <c r="G665" s="5" t="str">
        <f>IFERROR(__xludf.DUMMYFUNCTION("""COMPUTED_VALUE"""),"NÃO")</f>
        <v>NÃO</v>
      </c>
      <c r="H665" s="5" t="str">
        <f>IFERROR(__xludf.DUMMYFUNCTION("""COMPUTED_VALUE"""),"PAVIMENTADA")</f>
        <v>PAVIMENTADA</v>
      </c>
      <c r="I665" s="6" t="str">
        <f>IFERROR(__xludf.DUMMYFUNCTION("""COMPUTED_VALUE"""),"-9.533027")</f>
        <v>-9.533027</v>
      </c>
      <c r="J665" s="6" t="str">
        <f>IFERROR(__xludf.DUMMYFUNCTION("""COMPUTED_VALUE"""),"-35.744400")</f>
        <v>-35.744400</v>
      </c>
      <c r="K665" s="5" t="str">
        <f>IFERROR(__xludf.DUMMYFUNCTION("""COMPUTED_VALUE"""),"RUA DA PAZ")</f>
        <v>RUA DA PAZ</v>
      </c>
      <c r="L665" s="5" t="str">
        <f>IFERROR(__xludf.DUMMYFUNCTION("""COMPUTED_VALUE"""),"COLETORA")</f>
        <v>COLETORA</v>
      </c>
      <c r="M665" s="5" t="str">
        <f>IFERROR(__xludf.DUMMYFUNCTION("""COMPUTED_VALUE"""),"BENEDITO BENTES")</f>
        <v>BENEDITO BENTES</v>
      </c>
      <c r="N665" s="5" t="str">
        <f>IFERROR(__xludf.DUMMYFUNCTION("""COMPUTED_VALUE"""),"INTEGRAÇÃO")</f>
        <v>INTEGRAÇÃO</v>
      </c>
      <c r="O665" s="5" t="str">
        <f>IFERROR(__xludf.DUMMYFUNCTION("""COMPUTED_VALUE"""),"EM FRENTE AO RES. ALAMEDA JATIÚCA")</f>
        <v>EM FRENTE AO RES. ALAMEDA JATIÚCA</v>
      </c>
      <c r="P665" s="5" t="str">
        <f>IFERROR(__xludf.DUMMYFUNCTION("""COMPUTED_VALUE"""),"PRIORIDADE BAIXA")</f>
        <v>PRIORIDADE BAIXA</v>
      </c>
      <c r="Q665" s="5"/>
      <c r="R665" s="5" t="str">
        <f>IFERROR(__xludf.DUMMYFUNCTION("""COMPUTED_VALUE"""),"IMPLANTAR ABRIGO")</f>
        <v>IMPLANTAR ABRIGO</v>
      </c>
      <c r="S665" s="5"/>
      <c r="T665" s="5"/>
      <c r="U665" s="5"/>
      <c r="V665" s="9" t="str">
        <f>IFERROR(__xludf.DUMMYFUNCTION("""COMPUTED_VALUE"""),"https://drive.google.com/uc?id=1BDn5qJFpQnt0FW0FjqoZo1MW3SgXzjwE")</f>
        <v>https://drive.google.com/uc?id=1BDn5qJFpQnt0FW0FjqoZo1MW3SgXzjwE</v>
      </c>
      <c r="W665" s="5" t="str">
        <f>IFERROR(__xludf.DUMMYFUNCTION("""COMPUTED_VALUE"""),"NÃO")</f>
        <v>NÃO</v>
      </c>
      <c r="X665" s="5" t="str">
        <f>IFERROR(__xludf.DUMMYFUNCTION("""COMPUTED_VALUE"""),"NÃO SE APLICA")</f>
        <v>NÃO SE APLICA</v>
      </c>
    </row>
    <row r="666">
      <c r="A666" s="5">
        <f>IFERROR(__xludf.DUMMYFUNCTION("""COMPUTED_VALUE"""),6.0)</f>
        <v>6</v>
      </c>
      <c r="B666" s="5" t="str">
        <f>IFERROR(__xludf.DUMMYFUNCTION("""COMPUTED_VALUE"""),"BB031")</f>
        <v>BB031</v>
      </c>
      <c r="C666" s="5" t="str">
        <f>IFERROR(__xludf.DUMMYFUNCTION("""COMPUTED_VALUE"""),"ABRIGO MADEIRA PERSONALIZADO")</f>
        <v>ABRIGO MADEIRA PERSONALIZADO</v>
      </c>
      <c r="D666" s="5" t="str">
        <f>IFERROR(__xludf.DUMMYFUNCTION("""COMPUTED_VALUE"""),"SEM PLACA")</f>
        <v>SEM PLACA</v>
      </c>
      <c r="E666" s="5" t="str">
        <f>IFERROR(__xludf.DUMMYFUNCTION("""COMPUTED_VALUE"""),"SEM BAIA")</f>
        <v>SEM BAIA</v>
      </c>
      <c r="F666" s="5" t="str">
        <f>IFERROR(__xludf.DUMMYFUNCTION("""COMPUTED_VALUE"""),"NÃO")</f>
        <v>NÃO</v>
      </c>
      <c r="G666" s="5" t="str">
        <f>IFERROR(__xludf.DUMMYFUNCTION("""COMPUTED_VALUE"""),"NÃO")</f>
        <v>NÃO</v>
      </c>
      <c r="H666" s="5" t="str">
        <f>IFERROR(__xludf.DUMMYFUNCTION("""COMPUTED_VALUE"""),"PAVIMENTADA")</f>
        <v>PAVIMENTADA</v>
      </c>
      <c r="I666" s="6" t="str">
        <f>IFERROR(__xludf.DUMMYFUNCTION("""COMPUTED_VALUE"""),"-9.534522")</f>
        <v>-9.534522</v>
      </c>
      <c r="J666" s="6" t="str">
        <f>IFERROR(__xludf.DUMMYFUNCTION("""COMPUTED_VALUE"""),"-35.742110")</f>
        <v>-35.742110</v>
      </c>
      <c r="K666" s="5" t="str">
        <f>IFERROR(__xludf.DUMMYFUNCTION("""COMPUTED_VALUE"""),"Av. ASSIS CHATEAUBRIAND,  VALE BENTES")</f>
        <v>Av. ASSIS CHATEAUBRIAND,  VALE BENTES</v>
      </c>
      <c r="L666" s="5" t="str">
        <f>IFERROR(__xludf.DUMMYFUNCTION("""COMPUTED_VALUE"""),"COLETORA")</f>
        <v>COLETORA</v>
      </c>
      <c r="M666" s="5" t="str">
        <f>IFERROR(__xludf.DUMMYFUNCTION("""COMPUTED_VALUE"""),"BENEDITO BENTES")</f>
        <v>BENEDITO BENTES</v>
      </c>
      <c r="N666" s="5" t="str">
        <f>IFERROR(__xludf.DUMMYFUNCTION("""COMPUTED_VALUE"""),"INTEGRAÇÃO")</f>
        <v>INTEGRAÇÃO</v>
      </c>
      <c r="O666" s="5" t="str">
        <f>IFERROR(__xludf.DUMMYFUNCTION("""COMPUTED_VALUE"""),"EM FRENTE AO RES. OITICICA I")</f>
        <v>EM FRENTE AO RES. OITICICA I</v>
      </c>
      <c r="P666" s="5" t="str">
        <f>IFERROR(__xludf.DUMMYFUNCTION("""COMPUTED_VALUE"""),"PRIORIDADE BAIXA")</f>
        <v>PRIORIDADE BAIXA</v>
      </c>
      <c r="Q666" s="5"/>
      <c r="R666" s="5" t="str">
        <f>IFERROR(__xludf.DUMMYFUNCTION("""COMPUTED_VALUE"""),"NENHUMA DAS OPÇÕES")</f>
        <v>NENHUMA DAS OPÇÕES</v>
      </c>
      <c r="S666" s="5"/>
      <c r="T666" s="5"/>
      <c r="U666" s="5"/>
      <c r="V666" s="9" t="str">
        <f>IFERROR(__xludf.DUMMYFUNCTION("""COMPUTED_VALUE"""),"https://drive.google.com/uc?id=10mqhwBns_RkGii9NW2-jXoFj4ltiIP0-")</f>
        <v>https://drive.google.com/uc?id=10mqhwBns_RkGii9NW2-jXoFj4ltiIP0-</v>
      </c>
      <c r="W666" s="5" t="str">
        <f>IFERROR(__xludf.DUMMYFUNCTION("""COMPUTED_VALUE"""),"NÃO")</f>
        <v>NÃO</v>
      </c>
      <c r="X666" s="5" t="str">
        <f>IFERROR(__xludf.DUMMYFUNCTION("""COMPUTED_VALUE"""),"NÃO SE APLICA")</f>
        <v>NÃO SE APLICA</v>
      </c>
    </row>
    <row r="667">
      <c r="A667" s="5">
        <f>IFERROR(__xludf.DUMMYFUNCTION("""COMPUTED_VALUE"""),6.0)</f>
        <v>6</v>
      </c>
      <c r="B667" s="5" t="str">
        <f>IFERROR(__xludf.DUMMYFUNCTION("""COMPUTED_VALUE"""),"BB032")</f>
        <v>BB032</v>
      </c>
      <c r="C667" s="5" t="str">
        <f>IFERROR(__xludf.DUMMYFUNCTION("""COMPUTED_VALUE"""),"ABRIGO MADEIRA PERSONALIZADO")</f>
        <v>ABRIGO MADEIRA PERSONALIZADO</v>
      </c>
      <c r="D667" s="5" t="str">
        <f>IFERROR(__xludf.DUMMYFUNCTION("""COMPUTED_VALUE"""),"SEM PLACA")</f>
        <v>SEM PLACA</v>
      </c>
      <c r="E667" s="5" t="str">
        <f>IFERROR(__xludf.DUMMYFUNCTION("""COMPUTED_VALUE"""),"SEM BAIA")</f>
        <v>SEM BAIA</v>
      </c>
      <c r="F667" s="5" t="str">
        <f>IFERROR(__xludf.DUMMYFUNCTION("""COMPUTED_VALUE"""),"NÃO")</f>
        <v>NÃO</v>
      </c>
      <c r="G667" s="5" t="str">
        <f>IFERROR(__xludf.DUMMYFUNCTION("""COMPUTED_VALUE"""),"NÃO")</f>
        <v>NÃO</v>
      </c>
      <c r="H667" s="5" t="str">
        <f>IFERROR(__xludf.DUMMYFUNCTION("""COMPUTED_VALUE"""),"PAVIMENTADA")</f>
        <v>PAVIMENTADA</v>
      </c>
      <c r="I667" s="6" t="str">
        <f>IFERROR(__xludf.DUMMYFUNCTION("""COMPUTED_VALUE"""),"-9.537603")</f>
        <v>-9.537603</v>
      </c>
      <c r="J667" s="6" t="str">
        <f>IFERROR(__xludf.DUMMYFUNCTION("""COMPUTED_VALUE"""),"-35.740503")</f>
        <v>-35.740503</v>
      </c>
      <c r="K667" s="5" t="str">
        <f>IFERROR(__xludf.DUMMYFUNCTION("""COMPUTED_VALUE"""),"Av. ASSIS CHATEAUBRIAND,  VALE BENTES")</f>
        <v>Av. ASSIS CHATEAUBRIAND,  VALE BENTES</v>
      </c>
      <c r="L667" s="5" t="str">
        <f>IFERROR(__xludf.DUMMYFUNCTION("""COMPUTED_VALUE"""),"COLETORA")</f>
        <v>COLETORA</v>
      </c>
      <c r="M667" s="5" t="str">
        <f>IFERROR(__xludf.DUMMYFUNCTION("""COMPUTED_VALUE"""),"BENEDITO BENTES")</f>
        <v>BENEDITO BENTES</v>
      </c>
      <c r="N667" s="5" t="str">
        <f>IFERROR(__xludf.DUMMYFUNCTION("""COMPUTED_VALUE"""),"INTEGRAÇÃO")</f>
        <v>INTEGRAÇÃO</v>
      </c>
      <c r="O667" s="5" t="str">
        <f>IFERROR(__xludf.DUMMYFUNCTION("""COMPUTED_VALUE"""),"PRÓX. A AÇUDE.")</f>
        <v>PRÓX. A AÇUDE.</v>
      </c>
      <c r="P667" s="5" t="str">
        <f>IFERROR(__xludf.DUMMYFUNCTION("""COMPUTED_VALUE"""),"PRIORIDADE BAIXA")</f>
        <v>PRIORIDADE BAIXA</v>
      </c>
      <c r="Q667" s="5"/>
      <c r="R667" s="5" t="str">
        <f>IFERROR(__xludf.DUMMYFUNCTION("""COMPUTED_VALUE"""),"NENHUMA DAS OPÇÕES")</f>
        <v>NENHUMA DAS OPÇÕES</v>
      </c>
      <c r="S667" s="5"/>
      <c r="T667" s="5"/>
      <c r="U667" s="5"/>
      <c r="V667" s="9" t="str">
        <f>IFERROR(__xludf.DUMMYFUNCTION("""COMPUTED_VALUE"""),"https://drive.google.com/uc?id=1LGp14O30-Nx9kR0X8yXS2v5Yxitt8ylz")</f>
        <v>https://drive.google.com/uc?id=1LGp14O30-Nx9kR0X8yXS2v5Yxitt8ylz</v>
      </c>
      <c r="W667" s="5" t="str">
        <f>IFERROR(__xludf.DUMMYFUNCTION("""COMPUTED_VALUE"""),"NÃO")</f>
        <v>NÃO</v>
      </c>
      <c r="X667" s="5" t="str">
        <f>IFERROR(__xludf.DUMMYFUNCTION("""COMPUTED_VALUE"""),"NÃO SE APLICA")</f>
        <v>NÃO SE APLICA</v>
      </c>
    </row>
    <row r="668" hidden="1">
      <c r="A668" s="5">
        <f>IFERROR(__xludf.DUMMYFUNCTION("""COMPUTED_VALUE"""),6.0)</f>
        <v>6</v>
      </c>
      <c r="B668" s="5" t="str">
        <f>IFERROR(__xludf.DUMMYFUNCTION("""COMPUTED_VALUE"""),"BB033")</f>
        <v>BB033</v>
      </c>
      <c r="C668" s="5" t="str">
        <f>IFERROR(__xludf.DUMMYFUNCTION("""COMPUTED_VALUE"""),"NÃO POSSUI")</f>
        <v>NÃO POSSUI</v>
      </c>
      <c r="D668" s="5" t="str">
        <f>IFERROR(__xludf.DUMMYFUNCTION("""COMPUTED_VALUE"""),"FIXADA EM POSTE")</f>
        <v>FIXADA EM POSTE</v>
      </c>
      <c r="E668" s="5" t="str">
        <f>IFERROR(__xludf.DUMMYFUNCTION("""COMPUTED_VALUE"""),"SEM BAIA")</f>
        <v>SEM BAIA</v>
      </c>
      <c r="F668" s="5" t="str">
        <f>IFERROR(__xludf.DUMMYFUNCTION("""COMPUTED_VALUE"""),"NÃO")</f>
        <v>NÃO</v>
      </c>
      <c r="G668" s="5" t="str">
        <f>IFERROR(__xludf.DUMMYFUNCTION("""COMPUTED_VALUE"""),"NÃO")</f>
        <v>NÃO</v>
      </c>
      <c r="H668" s="5" t="str">
        <f>IFERROR(__xludf.DUMMYFUNCTION("""COMPUTED_VALUE"""),"PAVIMENTADA")</f>
        <v>PAVIMENTADA</v>
      </c>
      <c r="I668" s="6" t="str">
        <f>IFERROR(__xludf.DUMMYFUNCTION("""COMPUTED_VALUE"""),"-9.543480")</f>
        <v>-9.543480</v>
      </c>
      <c r="J668" s="6" t="str">
        <f>IFERROR(__xludf.DUMMYFUNCTION("""COMPUTED_VALUE"""),"-35.737408")</f>
        <v>-35.737408</v>
      </c>
      <c r="K668" s="5" t="str">
        <f>IFERROR(__xludf.DUMMYFUNCTION("""COMPUTED_VALUE"""),"RUA SEM NOME")</f>
        <v>RUA SEM NOME</v>
      </c>
      <c r="L668" s="5" t="str">
        <f>IFERROR(__xludf.DUMMYFUNCTION("""COMPUTED_VALUE"""),"COLETORA")</f>
        <v>COLETORA</v>
      </c>
      <c r="M668" s="5" t="str">
        <f>IFERROR(__xludf.DUMMYFUNCTION("""COMPUTED_VALUE"""),"BENEDITO BENTES")</f>
        <v>BENEDITO BENTES</v>
      </c>
      <c r="N668" s="5" t="str">
        <f>IFERROR(__xludf.DUMMYFUNCTION("""COMPUTED_VALUE"""),"INTEGRAÇÃO")</f>
        <v>INTEGRAÇÃO</v>
      </c>
      <c r="O668" s="5" t="str">
        <f>IFERROR(__xludf.DUMMYFUNCTION("""COMPUTED_VALUE"""),"PROXIMO A ENTRADA COND. VILLAGE ALVORADA")</f>
        <v>PROXIMO A ENTRADA COND. VILLAGE ALVORADA</v>
      </c>
      <c r="P668" s="5" t="str">
        <f>IFERROR(__xludf.DUMMYFUNCTION("""COMPUTED_VALUE"""),"PRIORIDADE BAIXA")</f>
        <v>PRIORIDADE BAIXA</v>
      </c>
      <c r="Q668" s="5"/>
      <c r="R668" s="5" t="str">
        <f>IFERROR(__xludf.DUMMYFUNCTION("""COMPUTED_VALUE"""),"NENHUMA DAS OPÇÕES")</f>
        <v>NENHUMA DAS OPÇÕES</v>
      </c>
      <c r="S668" s="5"/>
      <c r="T668" s="5"/>
      <c r="U668" s="5"/>
      <c r="V668" s="9" t="str">
        <f>IFERROR(__xludf.DUMMYFUNCTION("""COMPUTED_VALUE"""),"https://drive.google.com/uc?id=1dCi6LNIpiRmk1niD2QEfIlrS1BFqmdzh")</f>
        <v>https://drive.google.com/uc?id=1dCi6LNIpiRmk1niD2QEfIlrS1BFqmdzh</v>
      </c>
      <c r="W668" s="5" t="str">
        <f>IFERROR(__xludf.DUMMYFUNCTION("""COMPUTED_VALUE"""),"NÃO")</f>
        <v>NÃO</v>
      </c>
      <c r="X668" s="5" t="str">
        <f>IFERROR(__xludf.DUMMYFUNCTION("""COMPUTED_VALUE"""),"NÃO SE APLICA")</f>
        <v>NÃO SE APLICA</v>
      </c>
    </row>
    <row r="669" hidden="1">
      <c r="A669" s="5">
        <f>IFERROR(__xludf.DUMMYFUNCTION("""COMPUTED_VALUE"""),6.0)</f>
        <v>6</v>
      </c>
      <c r="B669" s="5" t="str">
        <f>IFERROR(__xludf.DUMMYFUNCTION("""COMPUTED_VALUE"""),"BB034")</f>
        <v>BB034</v>
      </c>
      <c r="C669" s="5" t="str">
        <f>IFERROR(__xludf.DUMMYFUNCTION("""COMPUTED_VALUE"""),"NÃO POSSUI")</f>
        <v>NÃO POSSUI</v>
      </c>
      <c r="D669" s="5" t="str">
        <f>IFERROR(__xludf.DUMMYFUNCTION("""COMPUTED_VALUE"""),"FIXADA EM POSTE")</f>
        <v>FIXADA EM POSTE</v>
      </c>
      <c r="E669" s="5" t="str">
        <f>IFERROR(__xludf.DUMMYFUNCTION("""COMPUTED_VALUE"""),"SEM BAIA")</f>
        <v>SEM BAIA</v>
      </c>
      <c r="F669" s="5" t="str">
        <f>IFERROR(__xludf.DUMMYFUNCTION("""COMPUTED_VALUE"""),"NÃO")</f>
        <v>NÃO</v>
      </c>
      <c r="G669" s="5" t="str">
        <f>IFERROR(__xludf.DUMMYFUNCTION("""COMPUTED_VALUE"""),"NÃO")</f>
        <v>NÃO</v>
      </c>
      <c r="H669" s="5" t="str">
        <f>IFERROR(__xludf.DUMMYFUNCTION("""COMPUTED_VALUE"""),"PAVIMENTADA")</f>
        <v>PAVIMENTADA</v>
      </c>
      <c r="I669" s="6" t="str">
        <f>IFERROR(__xludf.DUMMYFUNCTION("""COMPUTED_VALUE"""),"-9.547737")</f>
        <v>-9.547737</v>
      </c>
      <c r="J669" s="6" t="str">
        <f>IFERROR(__xludf.DUMMYFUNCTION("""COMPUTED_VALUE"""),"-35.735187")</f>
        <v>-35.735187</v>
      </c>
      <c r="K669" s="5" t="str">
        <f>IFERROR(__xludf.DUMMYFUNCTION("""COMPUTED_VALUE"""),"RUA SEM NOME")</f>
        <v>RUA SEM NOME</v>
      </c>
      <c r="L669" s="5" t="str">
        <f>IFERROR(__xludf.DUMMYFUNCTION("""COMPUTED_VALUE"""),"COLETORA")</f>
        <v>COLETORA</v>
      </c>
      <c r="M669" s="5" t="str">
        <f>IFERROR(__xludf.DUMMYFUNCTION("""COMPUTED_VALUE"""),"BENEDITO BENTES")</f>
        <v>BENEDITO BENTES</v>
      </c>
      <c r="N669" s="5" t="str">
        <f>IFERROR(__xludf.DUMMYFUNCTION("""COMPUTED_VALUE"""),"INTEGRAÇÃO")</f>
        <v>INTEGRAÇÃO</v>
      </c>
      <c r="O669" s="5" t="str">
        <f>IFERROR(__xludf.DUMMYFUNCTION("""COMPUTED_VALUE"""),"PROXIMO A ENTRADA COND. RECANTO DOS SONHOS ")</f>
        <v>PROXIMO A ENTRADA COND. RECANTO DOS SONHOS </v>
      </c>
      <c r="P669" s="5" t="str">
        <f>IFERROR(__xludf.DUMMYFUNCTION("""COMPUTED_VALUE"""),"PRIORIDADE BAIXA")</f>
        <v>PRIORIDADE BAIXA</v>
      </c>
      <c r="Q669" s="5"/>
      <c r="R669" s="5" t="str">
        <f>IFERROR(__xludf.DUMMYFUNCTION("""COMPUTED_VALUE"""),"NENHUMA DAS OPÇÕES")</f>
        <v>NENHUMA DAS OPÇÕES</v>
      </c>
      <c r="S669" s="5"/>
      <c r="T669" s="5"/>
      <c r="U669" s="5"/>
      <c r="V669" s="9" t="str">
        <f>IFERROR(__xludf.DUMMYFUNCTION("""COMPUTED_VALUE"""),"https://drive.google.com/uc?id=1CmfWWnLiEg38P9guHFEQrxxwoyH9fMur")</f>
        <v>https://drive.google.com/uc?id=1CmfWWnLiEg38P9guHFEQrxxwoyH9fMur</v>
      </c>
      <c r="W669" s="5" t="str">
        <f>IFERROR(__xludf.DUMMYFUNCTION("""COMPUTED_VALUE"""),"NÃO")</f>
        <v>NÃO</v>
      </c>
      <c r="X669" s="5" t="str">
        <f>IFERROR(__xludf.DUMMYFUNCTION("""COMPUTED_VALUE"""),"NÃO SE APLICA")</f>
        <v>NÃO SE APLICA</v>
      </c>
    </row>
    <row r="670" hidden="1">
      <c r="A670" s="5">
        <f>IFERROR(__xludf.DUMMYFUNCTION("""COMPUTED_VALUE"""),6.0)</f>
        <v>6</v>
      </c>
      <c r="B670" s="5" t="str">
        <f>IFERROR(__xludf.DUMMYFUNCTION("""COMPUTED_VALUE"""),"BB035")</f>
        <v>BB035</v>
      </c>
      <c r="C670" s="5" t="str">
        <f>IFERROR(__xludf.DUMMYFUNCTION("""COMPUTED_VALUE"""),"NÃO POSSUI")</f>
        <v>NÃO POSSUI</v>
      </c>
      <c r="D670" s="5" t="str">
        <f>IFERROR(__xludf.DUMMYFUNCTION("""COMPUTED_VALUE"""),"FIXADA EM POSTE")</f>
        <v>FIXADA EM POSTE</v>
      </c>
      <c r="E670" s="5" t="str">
        <f>IFERROR(__xludf.DUMMYFUNCTION("""COMPUTED_VALUE"""),"SEM BAIA")</f>
        <v>SEM BAIA</v>
      </c>
      <c r="F670" s="5" t="str">
        <f>IFERROR(__xludf.DUMMYFUNCTION("""COMPUTED_VALUE"""),"NÃO")</f>
        <v>NÃO</v>
      </c>
      <c r="G670" s="5" t="str">
        <f>IFERROR(__xludf.DUMMYFUNCTION("""COMPUTED_VALUE"""),"NÃO")</f>
        <v>NÃO</v>
      </c>
      <c r="H670" s="5" t="str">
        <f>IFERROR(__xludf.DUMMYFUNCTION("""COMPUTED_VALUE"""),"PAVIMENTADA")</f>
        <v>PAVIMENTADA</v>
      </c>
      <c r="I670" s="6" t="str">
        <f>IFERROR(__xludf.DUMMYFUNCTION("""COMPUTED_VALUE"""),"-9.548094")</f>
        <v>-9.548094</v>
      </c>
      <c r="J670" s="6" t="str">
        <f>IFERROR(__xludf.DUMMYFUNCTION("""COMPUTED_VALUE"""),"-35.734753")</f>
        <v>-35.734753</v>
      </c>
      <c r="K670" s="5" t="str">
        <f>IFERROR(__xludf.DUMMYFUNCTION("""COMPUTED_VALUE"""),"RUA SEM NOME")</f>
        <v>RUA SEM NOME</v>
      </c>
      <c r="L670" s="5" t="str">
        <f>IFERROR(__xludf.DUMMYFUNCTION("""COMPUTED_VALUE"""),"COLETORA")</f>
        <v>COLETORA</v>
      </c>
      <c r="M670" s="5" t="str">
        <f>IFERROR(__xludf.DUMMYFUNCTION("""COMPUTED_VALUE"""),"BENEDITO BENTES")</f>
        <v>BENEDITO BENTES</v>
      </c>
      <c r="N670" s="5" t="str">
        <f>IFERROR(__xludf.DUMMYFUNCTION("""COMPUTED_VALUE"""),"INTEGRAÇÃO")</f>
        <v>INTEGRAÇÃO</v>
      </c>
      <c r="O670" s="5" t="str">
        <f>IFERROR(__xludf.DUMMYFUNCTION("""COMPUTED_VALUE"""),"PRÓXIMO A ENTRADA COND. RECANTO DAS FLORES")</f>
        <v>PRÓXIMO A ENTRADA COND. RECANTO DAS FLORES</v>
      </c>
      <c r="P670" s="5" t="str">
        <f>IFERROR(__xludf.DUMMYFUNCTION("""COMPUTED_VALUE"""),"PRIORIDADE BAIXA")</f>
        <v>PRIORIDADE BAIXA</v>
      </c>
      <c r="Q670" s="5"/>
      <c r="R670" s="5" t="str">
        <f>IFERROR(__xludf.DUMMYFUNCTION("""COMPUTED_VALUE"""),"NENHUMA DAS OPÇÕES")</f>
        <v>NENHUMA DAS OPÇÕES</v>
      </c>
      <c r="S670" s="5"/>
      <c r="T670" s="5"/>
      <c r="U670" s="5"/>
      <c r="V670" s="9" t="str">
        <f>IFERROR(__xludf.DUMMYFUNCTION("""COMPUTED_VALUE"""),"https://drive.google.com/uc?id=1KVm10igUHpW3eq-4YB1DEXAeyEh-VApV")</f>
        <v>https://drive.google.com/uc?id=1KVm10igUHpW3eq-4YB1DEXAeyEh-VApV</v>
      </c>
      <c r="W670" s="5" t="str">
        <f>IFERROR(__xludf.DUMMYFUNCTION("""COMPUTED_VALUE"""),"NÃO")</f>
        <v>NÃO</v>
      </c>
      <c r="X670" s="5" t="str">
        <f>IFERROR(__xludf.DUMMYFUNCTION("""COMPUTED_VALUE"""),"NÃO SE APLICA")</f>
        <v>NÃO SE APLICA</v>
      </c>
    </row>
    <row r="671" hidden="1">
      <c r="A671" s="5">
        <f>IFERROR(__xludf.DUMMYFUNCTION("""COMPUTED_VALUE"""),6.0)</f>
        <v>6</v>
      </c>
      <c r="B671" s="5" t="str">
        <f>IFERROR(__xludf.DUMMYFUNCTION("""COMPUTED_VALUE"""),"BB036")</f>
        <v>BB036</v>
      </c>
      <c r="C671" s="5" t="str">
        <f>IFERROR(__xludf.DUMMYFUNCTION("""COMPUTED_VALUE"""),"NÃO POSSUI")</f>
        <v>NÃO POSSUI</v>
      </c>
      <c r="D671" s="5" t="str">
        <f>IFERROR(__xludf.DUMMYFUNCTION("""COMPUTED_VALUE"""),"FIXADA EM POSTE")</f>
        <v>FIXADA EM POSTE</v>
      </c>
      <c r="E671" s="5" t="str">
        <f>IFERROR(__xludf.DUMMYFUNCTION("""COMPUTED_VALUE"""),"SEM BAIA")</f>
        <v>SEM BAIA</v>
      </c>
      <c r="F671" s="5" t="str">
        <f>IFERROR(__xludf.DUMMYFUNCTION("""COMPUTED_VALUE"""),"NÃO")</f>
        <v>NÃO</v>
      </c>
      <c r="G671" s="5" t="str">
        <f>IFERROR(__xludf.DUMMYFUNCTION("""COMPUTED_VALUE"""),"NÃO")</f>
        <v>NÃO</v>
      </c>
      <c r="H671" s="5" t="str">
        <f>IFERROR(__xludf.DUMMYFUNCTION("""COMPUTED_VALUE"""),"PAVIMENTADA")</f>
        <v>PAVIMENTADA</v>
      </c>
      <c r="I671" s="6" t="str">
        <f>IFERROR(__xludf.DUMMYFUNCTION("""COMPUTED_VALUE"""),"-9.543402")</f>
        <v>-9.543402</v>
      </c>
      <c r="J671" s="6" t="str">
        <f>IFERROR(__xludf.DUMMYFUNCTION("""COMPUTED_VALUE"""),"-35.737205")</f>
        <v>-35.737205</v>
      </c>
      <c r="K671" s="5" t="str">
        <f>IFERROR(__xludf.DUMMYFUNCTION("""COMPUTED_VALUE"""),"RUA SEM NOME")</f>
        <v>RUA SEM NOME</v>
      </c>
      <c r="L671" s="5" t="str">
        <f>IFERROR(__xludf.DUMMYFUNCTION("""COMPUTED_VALUE"""),"COLETORA")</f>
        <v>COLETORA</v>
      </c>
      <c r="M671" s="5" t="str">
        <f>IFERROR(__xludf.DUMMYFUNCTION("""COMPUTED_VALUE"""),"BENEDITO BENTES")</f>
        <v>BENEDITO BENTES</v>
      </c>
      <c r="N671" s="5" t="str">
        <f>IFERROR(__xludf.DUMMYFUNCTION("""COMPUTED_VALUE"""),"INTEGRAÇÃO")</f>
        <v>INTEGRAÇÃO</v>
      </c>
      <c r="O671" s="5" t="str">
        <f>IFERROR(__xludf.DUMMYFUNCTION("""COMPUTED_VALUE"""),"PRÓXIMO A ENTRADA RESIDENCIAL VILLAGE DAS FONTES")</f>
        <v>PRÓXIMO A ENTRADA RESIDENCIAL VILLAGE DAS FONTES</v>
      </c>
      <c r="P671" s="5" t="str">
        <f>IFERROR(__xludf.DUMMYFUNCTION("""COMPUTED_VALUE"""),"PRIORIDADE BAIXA")</f>
        <v>PRIORIDADE BAIXA</v>
      </c>
      <c r="Q671" s="5"/>
      <c r="R671" s="5" t="str">
        <f>IFERROR(__xludf.DUMMYFUNCTION("""COMPUTED_VALUE"""),"IMPLANTAR ABRIGO")</f>
        <v>IMPLANTAR ABRIGO</v>
      </c>
      <c r="S671" s="5"/>
      <c r="T671" s="5"/>
      <c r="U671" s="5"/>
      <c r="V671" s="9" t="str">
        <f>IFERROR(__xludf.DUMMYFUNCTION("""COMPUTED_VALUE"""),"https://drive.google.com/uc?id=1Q0uwSN_cDy7xVqonjJ-s5maeJK4ja5T2")</f>
        <v>https://drive.google.com/uc?id=1Q0uwSN_cDy7xVqonjJ-s5maeJK4ja5T2</v>
      </c>
      <c r="W671" s="5" t="str">
        <f>IFERROR(__xludf.DUMMYFUNCTION("""COMPUTED_VALUE"""),"NÃO")</f>
        <v>NÃO</v>
      </c>
      <c r="X671" s="5" t="str">
        <f>IFERROR(__xludf.DUMMYFUNCTION("""COMPUTED_VALUE"""),"NÃO SE APLICA")</f>
        <v>NÃO SE APLICA</v>
      </c>
    </row>
    <row r="672">
      <c r="A672" s="5">
        <f>IFERROR(__xludf.DUMMYFUNCTION("""COMPUTED_VALUE"""),6.0)</f>
        <v>6</v>
      </c>
      <c r="B672" s="5" t="str">
        <f>IFERROR(__xludf.DUMMYFUNCTION("""COMPUTED_VALUE"""),"BB037")</f>
        <v>BB037</v>
      </c>
      <c r="C672" s="5" t="str">
        <f>IFERROR(__xludf.DUMMYFUNCTION("""COMPUTED_VALUE"""),"ABRIGO MADEIRA PERSONALIZADO")</f>
        <v>ABRIGO MADEIRA PERSONALIZADO</v>
      </c>
      <c r="D672" s="5" t="str">
        <f>IFERROR(__xludf.DUMMYFUNCTION("""COMPUTED_VALUE"""),"SEM PLACA")</f>
        <v>SEM PLACA</v>
      </c>
      <c r="E672" s="5" t="str">
        <f>IFERROR(__xludf.DUMMYFUNCTION("""COMPUTED_VALUE"""),"SEM BAIA")</f>
        <v>SEM BAIA</v>
      </c>
      <c r="F672" s="5" t="str">
        <f>IFERROR(__xludf.DUMMYFUNCTION("""COMPUTED_VALUE"""),"NÃO")</f>
        <v>NÃO</v>
      </c>
      <c r="G672" s="5" t="str">
        <f>IFERROR(__xludf.DUMMYFUNCTION("""COMPUTED_VALUE"""),"NÃO")</f>
        <v>NÃO</v>
      </c>
      <c r="H672" s="5" t="str">
        <f>IFERROR(__xludf.DUMMYFUNCTION("""COMPUTED_VALUE"""),"PAVIMENTADA")</f>
        <v>PAVIMENTADA</v>
      </c>
      <c r="I672" s="6" t="str">
        <f>IFERROR(__xludf.DUMMYFUNCTION("""COMPUTED_VALUE"""),"-9.537573")</f>
        <v>-9.537573</v>
      </c>
      <c r="J672" s="6" t="str">
        <f>IFERROR(__xludf.DUMMYFUNCTION("""COMPUTED_VALUE"""),"-35.740272")</f>
        <v>-35.740272</v>
      </c>
      <c r="K672" s="5" t="str">
        <f>IFERROR(__xludf.DUMMYFUNCTION("""COMPUTED_VALUE"""),"RUA SEM NOME")</f>
        <v>RUA SEM NOME</v>
      </c>
      <c r="L672" s="5" t="str">
        <f>IFERROR(__xludf.DUMMYFUNCTION("""COMPUTED_VALUE"""),"COLETORA")</f>
        <v>COLETORA</v>
      </c>
      <c r="M672" s="5" t="str">
        <f>IFERROR(__xludf.DUMMYFUNCTION("""COMPUTED_VALUE"""),"BENEDITO BENTES")</f>
        <v>BENEDITO BENTES</v>
      </c>
      <c r="N672" s="5" t="str">
        <f>IFERROR(__xludf.DUMMYFUNCTION("""COMPUTED_VALUE"""),"INTEGRAÇÃO")</f>
        <v>INTEGRAÇÃO</v>
      </c>
      <c r="O672" s="5" t="str">
        <f>IFERROR(__xludf.DUMMYFUNCTION("""COMPUTED_VALUE"""),"EM FRENTE AÇUDE NA VIA DE ACESSO AO VALE BENTES")</f>
        <v>EM FRENTE AÇUDE NA VIA DE ACESSO AO VALE BENTES</v>
      </c>
      <c r="P672" s="5" t="str">
        <f>IFERROR(__xludf.DUMMYFUNCTION("""COMPUTED_VALUE"""),"PRIORIDADE BAIXA")</f>
        <v>PRIORIDADE BAIXA</v>
      </c>
      <c r="Q672" s="5"/>
      <c r="R672" s="5" t="str">
        <f>IFERROR(__xludf.DUMMYFUNCTION("""COMPUTED_VALUE"""),"NENHUMA DAS OPÇÕES")</f>
        <v>NENHUMA DAS OPÇÕES</v>
      </c>
      <c r="S672" s="5"/>
      <c r="T672" s="5"/>
      <c r="U672" s="5"/>
      <c r="V672" s="9" t="str">
        <f>IFERROR(__xludf.DUMMYFUNCTION("""COMPUTED_VALUE"""),"https://drive.google.com/uc?id=1rWZG7x14pExaPwuBfI2_hBtkulr9xOBi")</f>
        <v>https://drive.google.com/uc?id=1rWZG7x14pExaPwuBfI2_hBtkulr9xOBi</v>
      </c>
      <c r="W672" s="5" t="str">
        <f>IFERROR(__xludf.DUMMYFUNCTION("""COMPUTED_VALUE"""),"NÃO")</f>
        <v>NÃO</v>
      </c>
      <c r="X672" s="5" t="str">
        <f>IFERROR(__xludf.DUMMYFUNCTION("""COMPUTED_VALUE"""),"NÃO SE APLICA")</f>
        <v>NÃO SE APLICA</v>
      </c>
    </row>
    <row r="673" hidden="1">
      <c r="A673" s="5">
        <f>IFERROR(__xludf.DUMMYFUNCTION("""COMPUTED_VALUE"""),6.0)</f>
        <v>6</v>
      </c>
      <c r="B673" s="5" t="str">
        <f>IFERROR(__xludf.DUMMYFUNCTION("""COMPUTED_VALUE"""),"BB038")</f>
        <v>BB038</v>
      </c>
      <c r="C673" s="5" t="str">
        <f>IFERROR(__xludf.DUMMYFUNCTION("""COMPUTED_VALUE"""),"NÃO POSSUI")</f>
        <v>NÃO POSSUI</v>
      </c>
      <c r="D673" s="5" t="str">
        <f>IFERROR(__xludf.DUMMYFUNCTION("""COMPUTED_VALUE"""),"SEM PLACA")</f>
        <v>SEM PLACA</v>
      </c>
      <c r="E673" s="5" t="str">
        <f>IFERROR(__xludf.DUMMYFUNCTION("""COMPUTED_VALUE"""),"SEM BAIA")</f>
        <v>SEM BAIA</v>
      </c>
      <c r="F673" s="5" t="str">
        <f>IFERROR(__xludf.DUMMYFUNCTION("""COMPUTED_VALUE"""),"NÃO")</f>
        <v>NÃO</v>
      </c>
      <c r="G673" s="5" t="str">
        <f>IFERROR(__xludf.DUMMYFUNCTION("""COMPUTED_VALUE"""),"NÃO")</f>
        <v>NÃO</v>
      </c>
      <c r="H673" s="5" t="str">
        <f>IFERROR(__xludf.DUMMYFUNCTION("""COMPUTED_VALUE"""),"PAVIMENTADA")</f>
        <v>PAVIMENTADA</v>
      </c>
      <c r="I673" s="6" t="str">
        <f>IFERROR(__xludf.DUMMYFUNCTION("""COMPUTED_VALUE"""),"-9.534548")</f>
        <v>-9.534548</v>
      </c>
      <c r="J673" s="6" t="str">
        <f>IFERROR(__xludf.DUMMYFUNCTION("""COMPUTED_VALUE"""),"-35.741868")</f>
        <v>-35.741868</v>
      </c>
      <c r="K673" s="5" t="str">
        <f>IFERROR(__xludf.DUMMYFUNCTION("""COMPUTED_VALUE"""),"RUA SEM NOME")</f>
        <v>RUA SEM NOME</v>
      </c>
      <c r="L673" s="5" t="str">
        <f>IFERROR(__xludf.DUMMYFUNCTION("""COMPUTED_VALUE"""),"COLETORA")</f>
        <v>COLETORA</v>
      </c>
      <c r="M673" s="5" t="str">
        <f>IFERROR(__xludf.DUMMYFUNCTION("""COMPUTED_VALUE"""),"BENEDITO BENTES")</f>
        <v>BENEDITO BENTES</v>
      </c>
      <c r="N673" s="5" t="str">
        <f>IFERROR(__xludf.DUMMYFUNCTION("""COMPUTED_VALUE"""),"INTEGRAÇÃO")</f>
        <v>INTEGRAÇÃO</v>
      </c>
      <c r="O673" s="5" t="str">
        <f>IFERROR(__xludf.DUMMYFUNCTION("""COMPUTED_VALUE"""),"EM FRENTE AO RESIDENCIAL OITICICA 1")</f>
        <v>EM FRENTE AO RESIDENCIAL OITICICA 1</v>
      </c>
      <c r="P673" s="5" t="str">
        <f>IFERROR(__xludf.DUMMYFUNCTION("""COMPUTED_VALUE"""),"PRIORIDADE ALTA")</f>
        <v>PRIORIDADE ALTA</v>
      </c>
      <c r="Q673" s="5"/>
      <c r="R673" s="5" t="str">
        <f>IFERROR(__xludf.DUMMYFUNCTION("""COMPUTED_VALUE"""),"IMPLANTAR ABRIGO")</f>
        <v>IMPLANTAR ABRIGO</v>
      </c>
      <c r="S673" s="5"/>
      <c r="T673" s="5"/>
      <c r="U673" s="5"/>
      <c r="V673" s="9" t="str">
        <f>IFERROR(__xludf.DUMMYFUNCTION("""COMPUTED_VALUE"""),"https://drive.google.com/uc?id=1pEbQwCHYu7nAYw_SYwSfrNKy1rY3C7k5")</f>
        <v>https://drive.google.com/uc?id=1pEbQwCHYu7nAYw_SYwSfrNKy1rY3C7k5</v>
      </c>
      <c r="W673" s="5" t="str">
        <f>IFERROR(__xludf.DUMMYFUNCTION("""COMPUTED_VALUE"""),"NÃO")</f>
        <v>NÃO</v>
      </c>
      <c r="X673" s="5" t="str">
        <f>IFERROR(__xludf.DUMMYFUNCTION("""COMPUTED_VALUE"""),"NÃO SE APLICA")</f>
        <v>NÃO SE APLICA</v>
      </c>
    </row>
    <row r="674" hidden="1">
      <c r="A674" s="5">
        <f>IFERROR(__xludf.DUMMYFUNCTION("""COMPUTED_VALUE"""),6.0)</f>
        <v>6</v>
      </c>
      <c r="B674" s="5" t="str">
        <f>IFERROR(__xludf.DUMMYFUNCTION("""COMPUTED_VALUE"""),"BB039")</f>
        <v>BB039</v>
      </c>
      <c r="C674" s="5" t="str">
        <f>IFERROR(__xludf.DUMMYFUNCTION("""COMPUTED_VALUE"""),"NÃO POSSUI")</f>
        <v>NÃO POSSUI</v>
      </c>
      <c r="D674" s="5" t="str">
        <f>IFERROR(__xludf.DUMMYFUNCTION("""COMPUTED_VALUE"""),"SEM PLACA")</f>
        <v>SEM PLACA</v>
      </c>
      <c r="E674" s="5" t="str">
        <f>IFERROR(__xludf.DUMMYFUNCTION("""COMPUTED_VALUE"""),"SEM BAIA")</f>
        <v>SEM BAIA</v>
      </c>
      <c r="F674" s="5" t="str">
        <f>IFERROR(__xludf.DUMMYFUNCTION("""COMPUTED_VALUE"""),"NÃO")</f>
        <v>NÃO</v>
      </c>
      <c r="G674" s="5" t="str">
        <f>IFERROR(__xludf.DUMMYFUNCTION("""COMPUTED_VALUE"""),"NÃO")</f>
        <v>NÃO</v>
      </c>
      <c r="H674" s="5" t="str">
        <f>IFERROR(__xludf.DUMMYFUNCTION("""COMPUTED_VALUE"""),"PAVIMENTADA")</f>
        <v>PAVIMENTADA</v>
      </c>
      <c r="I674" s="6" t="str">
        <f>IFERROR(__xludf.DUMMYFUNCTION("""COMPUTED_VALUE"""),"-9.532945")</f>
        <v>-9.532945</v>
      </c>
      <c r="J674" s="6" t="str">
        <f>IFERROR(__xludf.DUMMYFUNCTION("""COMPUTED_VALUE"""),"-35.744338")</f>
        <v>-35.744338</v>
      </c>
      <c r="K674" s="5" t="str">
        <f>IFERROR(__xludf.DUMMYFUNCTION("""COMPUTED_VALUE"""),"RUA DA PAZ")</f>
        <v>RUA DA PAZ</v>
      </c>
      <c r="L674" s="5" t="str">
        <f>IFERROR(__xludf.DUMMYFUNCTION("""COMPUTED_VALUE"""),"COLETORA")</f>
        <v>COLETORA</v>
      </c>
      <c r="M674" s="5" t="str">
        <f>IFERROR(__xludf.DUMMYFUNCTION("""COMPUTED_VALUE"""),"BENEDITO BENTES")</f>
        <v>BENEDITO BENTES</v>
      </c>
      <c r="N674" s="5" t="str">
        <f>IFERROR(__xludf.DUMMYFUNCTION("""COMPUTED_VALUE"""),"INTEGRAÇÃO")</f>
        <v>INTEGRAÇÃO</v>
      </c>
      <c r="O674" s="5" t="str">
        <f>IFERROR(__xludf.DUMMYFUNCTION("""COMPUTED_VALUE"""),"EM FRENTE AO RESIDENCIAL ALAMEDA JATIÚCA")</f>
        <v>EM FRENTE AO RESIDENCIAL ALAMEDA JATIÚCA</v>
      </c>
      <c r="P674" s="5" t="str">
        <f>IFERROR(__xludf.DUMMYFUNCTION("""COMPUTED_VALUE"""),"PRIORIDADE ALTA")</f>
        <v>PRIORIDADE ALTA</v>
      </c>
      <c r="Q674" s="5"/>
      <c r="R674" s="5" t="str">
        <f>IFERROR(__xludf.DUMMYFUNCTION("""COMPUTED_VALUE"""),"IMPLANTAR ABRIGO")</f>
        <v>IMPLANTAR ABRIGO</v>
      </c>
      <c r="S674" s="5"/>
      <c r="T674" s="5"/>
      <c r="U674" s="5"/>
      <c r="V674" s="9" t="str">
        <f>IFERROR(__xludf.DUMMYFUNCTION("""COMPUTED_VALUE"""),"https://drive.google.com/uc?id=1nWA_JccObqMtPCOjOdXba531X8JCMCEO")</f>
        <v>https://drive.google.com/uc?id=1nWA_JccObqMtPCOjOdXba531X8JCMCEO</v>
      </c>
      <c r="W674" s="5" t="str">
        <f>IFERROR(__xludf.DUMMYFUNCTION("""COMPUTED_VALUE"""),"NÃO")</f>
        <v>NÃO</v>
      </c>
      <c r="X674" s="5" t="str">
        <f>IFERROR(__xludf.DUMMYFUNCTION("""COMPUTED_VALUE"""),"NÃO SE APLICA")</f>
        <v>NÃO SE APLICA</v>
      </c>
    </row>
    <row r="675" hidden="1">
      <c r="A675" s="5">
        <f>IFERROR(__xludf.DUMMYFUNCTION("""COMPUTED_VALUE"""),6.0)</f>
        <v>6</v>
      </c>
      <c r="B675" s="5" t="str">
        <f>IFERROR(__xludf.DUMMYFUNCTION("""COMPUTED_VALUE"""),"BB040")</f>
        <v>BB040</v>
      </c>
      <c r="C675" s="5" t="str">
        <f>IFERROR(__xludf.DUMMYFUNCTION("""COMPUTED_VALUE"""),"NÃO POSSUI")</f>
        <v>NÃO POSSUI</v>
      </c>
      <c r="D675" s="5" t="str">
        <f>IFERROR(__xludf.DUMMYFUNCTION("""COMPUTED_VALUE"""),"SEM PLACA")</f>
        <v>SEM PLACA</v>
      </c>
      <c r="E675" s="5" t="str">
        <f>IFERROR(__xludf.DUMMYFUNCTION("""COMPUTED_VALUE"""),"BAIA CONSTRUÍDA")</f>
        <v>BAIA CONSTRUÍDA</v>
      </c>
      <c r="F675" s="5" t="str">
        <f>IFERROR(__xludf.DUMMYFUNCTION("""COMPUTED_VALUE"""),"SIM")</f>
        <v>SIM</v>
      </c>
      <c r="G675" s="5" t="str">
        <f>IFERROR(__xludf.DUMMYFUNCTION("""COMPUTED_VALUE"""),"NÃO")</f>
        <v>NÃO</v>
      </c>
      <c r="H675" s="5" t="str">
        <f>IFERROR(__xludf.DUMMYFUNCTION("""COMPUTED_VALUE"""),"PAVIMENTADA")</f>
        <v>PAVIMENTADA</v>
      </c>
      <c r="I675" s="6" t="str">
        <f>IFERROR(__xludf.DUMMYFUNCTION("""COMPUTED_VALUE"""),"-9.534252")</f>
        <v>-9.534252</v>
      </c>
      <c r="J675" s="6" t="str">
        <f>IFERROR(__xludf.DUMMYFUNCTION("""COMPUTED_VALUE"""),"-35.745242")</f>
        <v>-35.745242</v>
      </c>
      <c r="K675" s="5" t="str">
        <f>IFERROR(__xludf.DUMMYFUNCTION("""COMPUTED_VALUE"""),"AV. ASSIS CHATEAUBRIAND,  VALE BENTES")</f>
        <v>AV. ASSIS CHATEAUBRIAND,  VALE BENTES</v>
      </c>
      <c r="L675" s="5" t="str">
        <f>IFERROR(__xludf.DUMMYFUNCTION("""COMPUTED_VALUE"""),"COLETORA")</f>
        <v>COLETORA</v>
      </c>
      <c r="M675" s="5" t="str">
        <f>IFERROR(__xludf.DUMMYFUNCTION("""COMPUTED_VALUE"""),"BENEDITO BENTES")</f>
        <v>BENEDITO BENTES</v>
      </c>
      <c r="N675" s="5" t="str">
        <f>IFERROR(__xludf.DUMMYFUNCTION("""COMPUTED_VALUE"""),"INTEGRAÇÃO")</f>
        <v>INTEGRAÇÃO</v>
      </c>
      <c r="O675" s="5" t="str">
        <f>IFERROR(__xludf.DUMMYFUNCTION("""COMPUTED_VALUE"""),"BAIA CONSTRUÍDA -  PRÓXIMO AO RESIDENCIAL ALAMEDA JATIÚCA")</f>
        <v>BAIA CONSTRUÍDA -  PRÓXIMO AO RESIDENCIAL ALAMEDA JATIÚCA</v>
      </c>
      <c r="P675" s="5" t="str">
        <f>IFERROR(__xludf.DUMMYFUNCTION("""COMPUTED_VALUE"""),"PRIORIDADE ALTA")</f>
        <v>PRIORIDADE ALTA</v>
      </c>
      <c r="Q675" s="5"/>
      <c r="R675" s="5" t="str">
        <f>IFERROR(__xludf.DUMMYFUNCTION("""COMPUTED_VALUE"""),"IMPLANTAR ABRIGO")</f>
        <v>IMPLANTAR ABRIGO</v>
      </c>
      <c r="S675" s="5"/>
      <c r="T675" s="5"/>
      <c r="U675" s="5"/>
      <c r="V675" s="9" t="str">
        <f>IFERROR(__xludf.DUMMYFUNCTION("""COMPUTED_VALUE"""),"https://drive.google.com/uc?id=1XTh2RUKPOFpPREqXL54ihqGLABDHL_Jq")</f>
        <v>https://drive.google.com/uc?id=1XTh2RUKPOFpPREqXL54ihqGLABDHL_Jq</v>
      </c>
      <c r="W675" s="5" t="str">
        <f>IFERROR(__xludf.DUMMYFUNCTION("""COMPUTED_VALUE"""),"NÃO")</f>
        <v>NÃO</v>
      </c>
      <c r="X675" s="5" t="str">
        <f>IFERROR(__xludf.DUMMYFUNCTION("""COMPUTED_VALUE"""),"NÃO SE APLICA")</f>
        <v>NÃO SE APLICA</v>
      </c>
    </row>
    <row r="676" hidden="1">
      <c r="A676" s="5">
        <f>IFERROR(__xludf.DUMMYFUNCTION("""COMPUTED_VALUE"""),6.0)</f>
        <v>6</v>
      </c>
      <c r="B676" s="5" t="str">
        <f>IFERROR(__xludf.DUMMYFUNCTION("""COMPUTED_VALUE"""),"BB041")</f>
        <v>BB041</v>
      </c>
      <c r="C676" s="5" t="str">
        <f>IFERROR(__xludf.DUMMYFUNCTION("""COMPUTED_VALUE"""),"NÃO POSSUI")</f>
        <v>NÃO POSSUI</v>
      </c>
      <c r="D676" s="5" t="str">
        <f>IFERROR(__xludf.DUMMYFUNCTION("""COMPUTED_VALUE"""),"SEM PLACA")</f>
        <v>SEM PLACA</v>
      </c>
      <c r="E676" s="5" t="str">
        <f>IFERROR(__xludf.DUMMYFUNCTION("""COMPUTED_VALUE"""),"BAIA CONSTRUÍDA")</f>
        <v>BAIA CONSTRUÍDA</v>
      </c>
      <c r="F676" s="5" t="str">
        <f>IFERROR(__xludf.DUMMYFUNCTION("""COMPUTED_VALUE"""),"SIM")</f>
        <v>SIM</v>
      </c>
      <c r="G676" s="5" t="str">
        <f>IFERROR(__xludf.DUMMYFUNCTION("""COMPUTED_VALUE"""),"NÃO")</f>
        <v>NÃO</v>
      </c>
      <c r="H676" s="5" t="str">
        <f>IFERROR(__xludf.DUMMYFUNCTION("""COMPUTED_VALUE"""),"PAVIMENTADA")</f>
        <v>PAVIMENTADA</v>
      </c>
      <c r="I676" s="6" t="str">
        <f>IFERROR(__xludf.DUMMYFUNCTION("""COMPUTED_VALUE"""),"-9.535257")</f>
        <v>-9.535257</v>
      </c>
      <c r="J676" s="6" t="str">
        <f>IFERROR(__xludf.DUMMYFUNCTION("""COMPUTED_VALUE"""),"-35.744755")</f>
        <v>-35.744755</v>
      </c>
      <c r="K676" s="5" t="str">
        <f>IFERROR(__xludf.DUMMYFUNCTION("""COMPUTED_VALUE"""),"AV. ASSIS CHATEAUBRIAND,  VALE BENTES")</f>
        <v>AV. ASSIS CHATEAUBRIAND,  VALE BENTES</v>
      </c>
      <c r="L676" s="5" t="str">
        <f>IFERROR(__xludf.DUMMYFUNCTION("""COMPUTED_VALUE"""),"COLETORA")</f>
        <v>COLETORA</v>
      </c>
      <c r="M676" s="5" t="str">
        <f>IFERROR(__xludf.DUMMYFUNCTION("""COMPUTED_VALUE"""),"BENEDITO BENTES")</f>
        <v>BENEDITO BENTES</v>
      </c>
      <c r="N676" s="5" t="str">
        <f>IFERROR(__xludf.DUMMYFUNCTION("""COMPUTED_VALUE"""),"INTEGRAÇÃO")</f>
        <v>INTEGRAÇÃO</v>
      </c>
      <c r="O676" s="5" t="str">
        <f>IFERROR(__xludf.DUMMYFUNCTION("""COMPUTED_VALUE"""),"BAIA CONSTRUÍDA - PRÓXIMO AO RESIDENCIAL ALAMEDA JATIÚCA.")</f>
        <v>BAIA CONSTRUÍDA - PRÓXIMO AO RESIDENCIAL ALAMEDA JATIÚCA.</v>
      </c>
      <c r="P676" s="5" t="str">
        <f>IFERROR(__xludf.DUMMYFUNCTION("""COMPUTED_VALUE"""),"PRIORIDADE ALTA")</f>
        <v>PRIORIDADE ALTA</v>
      </c>
      <c r="Q676" s="5"/>
      <c r="R676" s="5" t="str">
        <f>IFERROR(__xludf.DUMMYFUNCTION("""COMPUTED_VALUE"""),"IMPLANTAR ABRIGO")</f>
        <v>IMPLANTAR ABRIGO</v>
      </c>
      <c r="S676" s="5"/>
      <c r="T676" s="5"/>
      <c r="U676" s="5"/>
      <c r="V676" s="9" t="str">
        <f>IFERROR(__xludf.DUMMYFUNCTION("""COMPUTED_VALUE"""),"https://drive.google.com/uc?id=10n9yLhVjMd26pQw0QX_RGus-MAXZkxNU")</f>
        <v>https://drive.google.com/uc?id=10n9yLhVjMd26pQw0QX_RGus-MAXZkxNU</v>
      </c>
      <c r="W676" s="5" t="str">
        <f>IFERROR(__xludf.DUMMYFUNCTION("""COMPUTED_VALUE"""),"NÃO")</f>
        <v>NÃO</v>
      </c>
      <c r="X676" s="5" t="str">
        <f>IFERROR(__xludf.DUMMYFUNCTION("""COMPUTED_VALUE"""),"NÃO SE APLICA")</f>
        <v>NÃO SE APLICA</v>
      </c>
    </row>
    <row r="677" hidden="1">
      <c r="A677" s="5">
        <f>IFERROR(__xludf.DUMMYFUNCTION("""COMPUTED_VALUE"""),6.0)</f>
        <v>6</v>
      </c>
      <c r="B677" s="5" t="str">
        <f>IFERROR(__xludf.DUMMYFUNCTION("""COMPUTED_VALUE"""),"BB042")</f>
        <v>BB042</v>
      </c>
      <c r="C677" s="5" t="str">
        <f>IFERROR(__xludf.DUMMYFUNCTION("""COMPUTED_VALUE"""),"NÃO POSSUI")</f>
        <v>NÃO POSSUI</v>
      </c>
      <c r="D677" s="5" t="str">
        <f>IFERROR(__xludf.DUMMYFUNCTION("""COMPUTED_VALUE"""),"SEM PLACA")</f>
        <v>SEM PLACA</v>
      </c>
      <c r="E677" s="5" t="str">
        <f>IFERROR(__xludf.DUMMYFUNCTION("""COMPUTED_VALUE"""),"BAIA CONSTRUÍDA")</f>
        <v>BAIA CONSTRUÍDA</v>
      </c>
      <c r="F677" s="5" t="str">
        <f>IFERROR(__xludf.DUMMYFUNCTION("""COMPUTED_VALUE"""),"SIM")</f>
        <v>SIM</v>
      </c>
      <c r="G677" s="5" t="str">
        <f>IFERROR(__xludf.DUMMYFUNCTION("""COMPUTED_VALUE"""),"NÃO")</f>
        <v>NÃO</v>
      </c>
      <c r="H677" s="5" t="str">
        <f>IFERROR(__xludf.DUMMYFUNCTION("""COMPUTED_VALUE"""),"PAVIMENTADA")</f>
        <v>PAVIMENTADA</v>
      </c>
      <c r="I677" s="6" t="str">
        <f>IFERROR(__xludf.DUMMYFUNCTION("""COMPUTED_VALUE"""),"-9.539305")</f>
        <v>-9.539305</v>
      </c>
      <c r="J677" s="6" t="str">
        <f>IFERROR(__xludf.DUMMYFUNCTION("""COMPUTED_VALUE"""),"-35.742620")</f>
        <v>-35.742620</v>
      </c>
      <c r="K677" s="5" t="str">
        <f>IFERROR(__xludf.DUMMYFUNCTION("""COMPUTED_VALUE"""),"AV. ASSIS CHATEAUBRIAND,  VALE BENTES")</f>
        <v>AV. ASSIS CHATEAUBRIAND,  VALE BENTES</v>
      </c>
      <c r="L677" s="5" t="str">
        <f>IFERROR(__xludf.DUMMYFUNCTION("""COMPUTED_VALUE"""),"COLETORA")</f>
        <v>COLETORA</v>
      </c>
      <c r="M677" s="5" t="str">
        <f>IFERROR(__xludf.DUMMYFUNCTION("""COMPUTED_VALUE"""),"BENEDITO BENTES")</f>
        <v>BENEDITO BENTES</v>
      </c>
      <c r="N677" s="5" t="str">
        <f>IFERROR(__xludf.DUMMYFUNCTION("""COMPUTED_VALUE"""),"INTEGRAÇÃO")</f>
        <v>INTEGRAÇÃO</v>
      </c>
      <c r="O677" s="5" t="str">
        <f>IFERROR(__xludf.DUMMYFUNCTION("""COMPUTED_VALUE"""),"BAIA CONSTRUÍDA - APÓS O RESIDENCIAL OITICICA 2")</f>
        <v>BAIA CONSTRUÍDA - APÓS O RESIDENCIAL OITICICA 2</v>
      </c>
      <c r="P677" s="5" t="str">
        <f>IFERROR(__xludf.DUMMYFUNCTION("""COMPUTED_VALUE"""),"PRIORIDADE ALTA")</f>
        <v>PRIORIDADE ALTA</v>
      </c>
      <c r="Q677" s="5"/>
      <c r="R677" s="5" t="str">
        <f>IFERROR(__xludf.DUMMYFUNCTION("""COMPUTED_VALUE"""),"IMPLANTAR ABRIGO")</f>
        <v>IMPLANTAR ABRIGO</v>
      </c>
      <c r="S677" s="5"/>
      <c r="T677" s="5"/>
      <c r="U677" s="5"/>
      <c r="V677" s="9" t="str">
        <f>IFERROR(__xludf.DUMMYFUNCTION("""COMPUTED_VALUE"""),"https://drive.google.com/uc?id=14-3sFEJNhsXZ4BmStiRKcI4PD1jIyqKx")</f>
        <v>https://drive.google.com/uc?id=14-3sFEJNhsXZ4BmStiRKcI4PD1jIyqKx</v>
      </c>
      <c r="W677" s="5" t="str">
        <f>IFERROR(__xludf.DUMMYFUNCTION("""COMPUTED_VALUE"""),"NÃO")</f>
        <v>NÃO</v>
      </c>
      <c r="X677" s="5" t="str">
        <f>IFERROR(__xludf.DUMMYFUNCTION("""COMPUTED_VALUE"""),"NÃO SE APLICA")</f>
        <v>NÃO SE APLICA</v>
      </c>
    </row>
    <row r="678" hidden="1">
      <c r="A678" s="5">
        <f>IFERROR(__xludf.DUMMYFUNCTION("""COMPUTED_VALUE"""),6.0)</f>
        <v>6</v>
      </c>
      <c r="B678" s="5" t="str">
        <f>IFERROR(__xludf.DUMMYFUNCTION("""COMPUTED_VALUE"""),"BB043")</f>
        <v>BB043</v>
      </c>
      <c r="C678" s="5" t="str">
        <f>IFERROR(__xludf.DUMMYFUNCTION("""COMPUTED_VALUE"""),"NÃO POSSUI")</f>
        <v>NÃO POSSUI</v>
      </c>
      <c r="D678" s="5" t="str">
        <f>IFERROR(__xludf.DUMMYFUNCTION("""COMPUTED_VALUE"""),"FIXADA EM POSTE")</f>
        <v>FIXADA EM POSTE</v>
      </c>
      <c r="E678" s="5" t="str">
        <f>IFERROR(__xludf.DUMMYFUNCTION("""COMPUTED_VALUE"""),"SEM BAIA")</f>
        <v>SEM BAIA</v>
      </c>
      <c r="F678" s="5" t="str">
        <f>IFERROR(__xludf.DUMMYFUNCTION("""COMPUTED_VALUE"""),"SIM")</f>
        <v>SIM</v>
      </c>
      <c r="G678" s="5" t="str">
        <f>IFERROR(__xludf.DUMMYFUNCTION("""COMPUTED_VALUE"""),"SIM")</f>
        <v>SIM</v>
      </c>
      <c r="H678" s="5" t="str">
        <f>IFERROR(__xludf.DUMMYFUNCTION("""COMPUTED_VALUE"""),"PAVIMENTADA")</f>
        <v>PAVIMENTADA</v>
      </c>
      <c r="I678" s="6" t="str">
        <f>IFERROR(__xludf.DUMMYFUNCTION("""COMPUTED_VALUE"""),"-9.545797")</f>
        <v>-9.545797</v>
      </c>
      <c r="J678" s="6" t="str">
        <f>IFERROR(__xludf.DUMMYFUNCTION("""COMPUTED_VALUE"""),"-35.736466")</f>
        <v>-35.736466</v>
      </c>
      <c r="K678" s="5" t="str">
        <f>IFERROR(__xludf.DUMMYFUNCTION("""COMPUTED_VALUE"""),"RUA DENIS AGRA")</f>
        <v>RUA DENIS AGRA</v>
      </c>
      <c r="L678" s="5" t="str">
        <f>IFERROR(__xludf.DUMMYFUNCTION("""COMPUTED_VALUE"""),"COLETORA")</f>
        <v>COLETORA</v>
      </c>
      <c r="M678" s="5" t="str">
        <f>IFERROR(__xludf.DUMMYFUNCTION("""COMPUTED_VALUE"""),"BENEDITO BENTES")</f>
        <v>BENEDITO BENTES</v>
      </c>
      <c r="N678" s="5" t="str">
        <f>IFERROR(__xludf.DUMMYFUNCTION("""COMPUTED_VALUE"""),"INTEGRAÇÃO")</f>
        <v>INTEGRAÇÃO</v>
      </c>
      <c r="O678" s="5" t="str">
        <f>IFERROR(__xludf.DUMMYFUNCTION("""COMPUTED_VALUE"""),"VIA LATERAL AO COND. RECANTO DOS SONHOS")</f>
        <v>VIA LATERAL AO COND. RECANTO DOS SONHOS</v>
      </c>
      <c r="P678" s="5" t="str">
        <f>IFERROR(__xludf.DUMMYFUNCTION("""COMPUTED_VALUE"""),"PRIORIDADE BAIXA")</f>
        <v>PRIORIDADE BAIXA</v>
      </c>
      <c r="Q678" s="5"/>
      <c r="R678" s="5" t="str">
        <f>IFERROR(__xludf.DUMMYFUNCTION("""COMPUTED_VALUE"""),"NENHUMA DAS OPÇÕES")</f>
        <v>NENHUMA DAS OPÇÕES</v>
      </c>
      <c r="S678" s="5"/>
      <c r="T678" s="5"/>
      <c r="U678" s="5"/>
      <c r="V678" s="9" t="str">
        <f>IFERROR(__xludf.DUMMYFUNCTION("""COMPUTED_VALUE"""),"https://drive.google.com/uc?id=1ux3vG3_GUcW-384E1RMLcYDRp_S6kJjB")</f>
        <v>https://drive.google.com/uc?id=1ux3vG3_GUcW-384E1RMLcYDRp_S6kJjB</v>
      </c>
      <c r="W678" s="5" t="str">
        <f>IFERROR(__xludf.DUMMYFUNCTION("""COMPUTED_VALUE"""),"NÃO")</f>
        <v>NÃO</v>
      </c>
      <c r="X678" s="5" t="str">
        <f>IFERROR(__xludf.DUMMYFUNCTION("""COMPUTED_VALUE"""),"NÃO SE APLICA")</f>
        <v>NÃO SE APLICA</v>
      </c>
    </row>
    <row r="679" hidden="1">
      <c r="A679" s="5">
        <f>IFERROR(__xludf.DUMMYFUNCTION("""COMPUTED_VALUE"""),6.0)</f>
        <v>6</v>
      </c>
      <c r="B679" s="5" t="str">
        <f>IFERROR(__xludf.DUMMYFUNCTION("""COMPUTED_VALUE"""),"BB044")</f>
        <v>BB044</v>
      </c>
      <c r="C679" s="5" t="str">
        <f>IFERROR(__xludf.DUMMYFUNCTION("""COMPUTED_VALUE"""),"NÃO POSSUI")</f>
        <v>NÃO POSSUI</v>
      </c>
      <c r="D679" s="5" t="str">
        <f>IFERROR(__xludf.DUMMYFUNCTION("""COMPUTED_VALUE"""),"SEM PLACA")</f>
        <v>SEM PLACA</v>
      </c>
      <c r="E679" s="5" t="str">
        <f>IFERROR(__xludf.DUMMYFUNCTION("""COMPUTED_VALUE"""),"SEM BAIA")</f>
        <v>SEM BAIA</v>
      </c>
      <c r="F679" s="5" t="str">
        <f>IFERROR(__xludf.DUMMYFUNCTION("""COMPUTED_VALUE"""),"NÃO")</f>
        <v>NÃO</v>
      </c>
      <c r="G679" s="5" t="str">
        <f>IFERROR(__xludf.DUMMYFUNCTION("""COMPUTED_VALUE"""),"SIM")</f>
        <v>SIM</v>
      </c>
      <c r="H679" s="5" t="str">
        <f>IFERROR(__xludf.DUMMYFUNCTION("""COMPUTED_VALUE"""),"PAVIMENTADA")</f>
        <v>PAVIMENTADA</v>
      </c>
      <c r="I679" s="6" t="str">
        <f>IFERROR(__xludf.DUMMYFUNCTION("""COMPUTED_VALUE"""),"-9.545058")</f>
        <v>-9.545058</v>
      </c>
      <c r="J679" s="6" t="str">
        <f>IFERROR(__xludf.DUMMYFUNCTION("""COMPUTED_VALUE"""),"-35.735875")</f>
        <v>-35.735875</v>
      </c>
      <c r="K679" s="5" t="str">
        <f>IFERROR(__xludf.DUMMYFUNCTION("""COMPUTED_VALUE"""),"RUA DENIS AGRA")</f>
        <v>RUA DENIS AGRA</v>
      </c>
      <c r="L679" s="5" t="str">
        <f>IFERROR(__xludf.DUMMYFUNCTION("""COMPUTED_VALUE"""),"COLETORA")</f>
        <v>COLETORA</v>
      </c>
      <c r="M679" s="5" t="str">
        <f>IFERROR(__xludf.DUMMYFUNCTION("""COMPUTED_VALUE"""),"BENEDITO BENTES")</f>
        <v>BENEDITO BENTES</v>
      </c>
      <c r="N679" s="5" t="str">
        <f>IFERROR(__xludf.DUMMYFUNCTION("""COMPUTED_VALUE"""),"INTEGRAÇÃO")</f>
        <v>INTEGRAÇÃO</v>
      </c>
      <c r="O679" s="5" t="str">
        <f>IFERROR(__xludf.DUMMYFUNCTION("""COMPUTED_VALUE"""),"VIA LATERAL AO COND. RECANTO DOS SONHOS")</f>
        <v>VIA LATERAL AO COND. RECANTO DOS SONHOS</v>
      </c>
      <c r="P679" s="5" t="str">
        <f>IFERROR(__xludf.DUMMYFUNCTION("""COMPUTED_VALUE"""),"PRIORIDADE ALTA")</f>
        <v>PRIORIDADE ALTA</v>
      </c>
      <c r="Q679" s="5"/>
      <c r="R679" s="5" t="str">
        <f>IFERROR(__xludf.DUMMYFUNCTION("""COMPUTED_VALUE"""),"IMPLANTAR ABRIGO")</f>
        <v>IMPLANTAR ABRIGO</v>
      </c>
      <c r="S679" s="5"/>
      <c r="T679" s="5"/>
      <c r="U679" s="5"/>
      <c r="V679" s="9" t="str">
        <f>IFERROR(__xludf.DUMMYFUNCTION("""COMPUTED_VALUE"""),"https://drive.google.com/uc?id=1V4_zAaA9RDUnbynzRqlGBrchMJyHOMhu")</f>
        <v>https://drive.google.com/uc?id=1V4_zAaA9RDUnbynzRqlGBrchMJyHOMhu</v>
      </c>
      <c r="W679" s="5" t="str">
        <f>IFERROR(__xludf.DUMMYFUNCTION("""COMPUTED_VALUE"""),"NÃO")</f>
        <v>NÃO</v>
      </c>
      <c r="X679" s="5" t="str">
        <f>IFERROR(__xludf.DUMMYFUNCTION("""COMPUTED_VALUE"""),"NÃO SE APLICA")</f>
        <v>NÃO SE APLICA</v>
      </c>
    </row>
    <row r="680" hidden="1">
      <c r="A680" s="5">
        <f>IFERROR(__xludf.DUMMYFUNCTION("""COMPUTED_VALUE"""),6.0)</f>
        <v>6</v>
      </c>
      <c r="B680" s="5" t="str">
        <f>IFERROR(__xludf.DUMMYFUNCTION("""COMPUTED_VALUE"""),"BB045")</f>
        <v>BB045</v>
      </c>
      <c r="C680" s="5" t="str">
        <f>IFERROR(__xludf.DUMMYFUNCTION("""COMPUTED_VALUE"""),"NÃO POSSUI")</f>
        <v>NÃO POSSUI</v>
      </c>
      <c r="D680" s="5" t="str">
        <f>IFERROR(__xludf.DUMMYFUNCTION("""COMPUTED_VALUE"""),"FIXADA EM POSTE")</f>
        <v>FIXADA EM POSTE</v>
      </c>
      <c r="E680" s="5" t="str">
        <f>IFERROR(__xludf.DUMMYFUNCTION("""COMPUTED_VALUE"""),"SEM BAIA")</f>
        <v>SEM BAIA</v>
      </c>
      <c r="F680" s="5" t="str">
        <f>IFERROR(__xludf.DUMMYFUNCTION("""COMPUTED_VALUE"""),"NÃO")</f>
        <v>NÃO</v>
      </c>
      <c r="G680" s="5" t="str">
        <f>IFERROR(__xludf.DUMMYFUNCTION("""COMPUTED_VALUE"""),"NÃO")</f>
        <v>NÃO</v>
      </c>
      <c r="H680" s="5" t="str">
        <f>IFERROR(__xludf.DUMMYFUNCTION("""COMPUTED_VALUE"""),"NÃO PAVIMENTADA")</f>
        <v>NÃO PAVIMENTADA</v>
      </c>
      <c r="I680" s="6" t="str">
        <f>IFERROR(__xludf.DUMMYFUNCTION("""COMPUTED_VALUE"""),"-9.559923")</f>
        <v>-9.559923</v>
      </c>
      <c r="J680" s="6" t="str">
        <f>IFERROR(__xludf.DUMMYFUNCTION("""COMPUTED_VALUE"""),"-35.723156")</f>
        <v>-35.723156</v>
      </c>
      <c r="K680" s="5" t="str">
        <f>IFERROR(__xludf.DUMMYFUNCTION("""COMPUTED_VALUE"""),"AV. AMÉRICA DO SUL")</f>
        <v>AV. AMÉRICA DO SUL</v>
      </c>
      <c r="L680" s="5" t="str">
        <f>IFERROR(__xludf.DUMMYFUNCTION("""COMPUTED_VALUE"""),"COLETORA")</f>
        <v>COLETORA</v>
      </c>
      <c r="M680" s="5" t="str">
        <f>IFERROR(__xludf.DUMMYFUNCTION("""COMPUTED_VALUE"""),"BENEDITO BENTES")</f>
        <v>BENEDITO BENTES</v>
      </c>
      <c r="N680" s="5" t="str">
        <f>IFERROR(__xludf.DUMMYFUNCTION("""COMPUTED_VALUE"""),"INTEGRAÇÃO")</f>
        <v>INTEGRAÇÃO</v>
      </c>
      <c r="O680" s="5"/>
      <c r="P680" s="5" t="str">
        <f>IFERROR(__xludf.DUMMYFUNCTION("""COMPUTED_VALUE"""),"PRIORIDADE BAIXA")</f>
        <v>PRIORIDADE BAIXA</v>
      </c>
      <c r="Q680" s="5"/>
      <c r="R680" s="5" t="str">
        <f>IFERROR(__xludf.DUMMYFUNCTION("""COMPUTED_VALUE"""),"NENHUMA DAS OPÇÕES")</f>
        <v>NENHUMA DAS OPÇÕES</v>
      </c>
      <c r="S680" s="5"/>
      <c r="T680" s="5"/>
      <c r="U680" s="5"/>
      <c r="V680" s="5"/>
      <c r="W680" s="5" t="str">
        <f>IFERROR(__xludf.DUMMYFUNCTION("""COMPUTED_VALUE"""),"NÃO")</f>
        <v>NÃO</v>
      </c>
      <c r="X680" s="5" t="str">
        <f>IFERROR(__xludf.DUMMYFUNCTION("""COMPUTED_VALUE"""),"NÃO SE APLICA")</f>
        <v>NÃO SE APLICA</v>
      </c>
    </row>
    <row r="681" hidden="1">
      <c r="A681" s="5">
        <f>IFERROR(__xludf.DUMMYFUNCTION("""COMPUTED_VALUE"""),6.0)</f>
        <v>6</v>
      </c>
      <c r="B681" s="5" t="str">
        <f>IFERROR(__xludf.DUMMYFUNCTION("""COMPUTED_VALUE"""),"BB046")</f>
        <v>BB046</v>
      </c>
      <c r="C681" s="5" t="str">
        <f>IFERROR(__xludf.DUMMYFUNCTION("""COMPUTED_VALUE"""),"NÃO POSSUI")</f>
        <v>NÃO POSSUI</v>
      </c>
      <c r="D681" s="5" t="str">
        <f>IFERROR(__xludf.DUMMYFUNCTION("""COMPUTED_VALUE"""),"COM SUPORTE")</f>
        <v>COM SUPORTE</v>
      </c>
      <c r="E681" s="5" t="str">
        <f>IFERROR(__xludf.DUMMYFUNCTION("""COMPUTED_VALUE"""),"SEM BAIA")</f>
        <v>SEM BAIA</v>
      </c>
      <c r="F681" s="5" t="str">
        <f>IFERROR(__xludf.DUMMYFUNCTION("""COMPUTED_VALUE"""),"NÃO")</f>
        <v>NÃO</v>
      </c>
      <c r="G681" s="5" t="str">
        <f>IFERROR(__xludf.DUMMYFUNCTION("""COMPUTED_VALUE"""),"NÃO")</f>
        <v>NÃO</v>
      </c>
      <c r="H681" s="5" t="str">
        <f>IFERROR(__xludf.DUMMYFUNCTION("""COMPUTED_VALUE"""),"PAVIMENTADA")</f>
        <v>PAVIMENTADA</v>
      </c>
      <c r="I681" s="6" t="str">
        <f>IFERROR(__xludf.DUMMYFUNCTION("""COMPUTED_VALUE"""),"-9.536104")</f>
        <v>-9.536104</v>
      </c>
      <c r="J681" s="6" t="str">
        <f>IFERROR(__xludf.DUMMYFUNCTION("""COMPUTED_VALUE"""),"-35.744108")</f>
        <v>-35.744108</v>
      </c>
      <c r="K681" s="5" t="str">
        <f>IFERROR(__xludf.DUMMYFUNCTION("""COMPUTED_VALUE"""),"AV. ASSIS CHATEAUBRIAND,  VALE BENTES")</f>
        <v>AV. ASSIS CHATEAUBRIAND,  VALE BENTES</v>
      </c>
      <c r="L681" s="5" t="str">
        <f>IFERROR(__xludf.DUMMYFUNCTION("""COMPUTED_VALUE"""),"COLETORA")</f>
        <v>COLETORA</v>
      </c>
      <c r="M681" s="5" t="str">
        <f>IFERROR(__xludf.DUMMYFUNCTION("""COMPUTED_VALUE"""),"BENEDITO BENTES")</f>
        <v>BENEDITO BENTES</v>
      </c>
      <c r="N681" s="5" t="str">
        <f>IFERROR(__xludf.DUMMYFUNCTION("""COMPUTED_VALUE"""),"INTEGRAÇÃO")</f>
        <v>INTEGRAÇÃO</v>
      </c>
      <c r="O681" s="5" t="str">
        <f>IFERROR(__xludf.DUMMYFUNCTION("""COMPUTED_VALUE"""),"PRÓXIMO AÇUDE")</f>
        <v>PRÓXIMO AÇUDE</v>
      </c>
      <c r="P681" s="5" t="str">
        <f>IFERROR(__xludf.DUMMYFUNCTION("""COMPUTED_VALUE"""),"PRIORIDADE BAIXA")</f>
        <v>PRIORIDADE BAIXA</v>
      </c>
      <c r="Q681" s="5"/>
      <c r="R681" s="5" t="str">
        <f>IFERROR(__xludf.DUMMYFUNCTION("""COMPUTED_VALUE"""),"NENHUMA DAS OPÇÕES")</f>
        <v>NENHUMA DAS OPÇÕES</v>
      </c>
      <c r="S681" s="5"/>
      <c r="T681" s="5"/>
      <c r="U681" s="5"/>
      <c r="V681" s="5"/>
      <c r="W681" s="5" t="str">
        <f>IFERROR(__xludf.DUMMYFUNCTION("""COMPUTED_VALUE"""),"NÃO")</f>
        <v>NÃO</v>
      </c>
      <c r="X681" s="5" t="str">
        <f>IFERROR(__xludf.DUMMYFUNCTION("""COMPUTED_VALUE"""),"NÃO SE APLICA")</f>
        <v>NÃO SE APLICA</v>
      </c>
    </row>
    <row r="682" hidden="1">
      <c r="A682" s="5">
        <f>IFERROR(__xludf.DUMMYFUNCTION("""COMPUTED_VALUE"""),6.0)</f>
        <v>6</v>
      </c>
      <c r="B682" s="5" t="str">
        <f>IFERROR(__xludf.DUMMYFUNCTION("""COMPUTED_VALUE"""),"BB047")</f>
        <v>BB047</v>
      </c>
      <c r="C682" s="5" t="str">
        <f>IFERROR(__xludf.DUMMYFUNCTION("""COMPUTED_VALUE"""),"NÃO POSSUI")</f>
        <v>NÃO POSSUI</v>
      </c>
      <c r="D682" s="5" t="str">
        <f>IFERROR(__xludf.DUMMYFUNCTION("""COMPUTED_VALUE"""),"SEM PLACA")</f>
        <v>SEM PLACA</v>
      </c>
      <c r="E682" s="5" t="str">
        <f>IFERROR(__xludf.DUMMYFUNCTION("""COMPUTED_VALUE"""),"SEM BAIA")</f>
        <v>SEM BAIA</v>
      </c>
      <c r="F682" s="5" t="str">
        <f>IFERROR(__xludf.DUMMYFUNCTION("""COMPUTED_VALUE"""),"SIM")</f>
        <v>SIM</v>
      </c>
      <c r="G682" s="5" t="str">
        <f>IFERROR(__xludf.DUMMYFUNCTION("""COMPUTED_VALUE"""),"SIM")</f>
        <v>SIM</v>
      </c>
      <c r="H682" s="5" t="str">
        <f>IFERROR(__xludf.DUMMYFUNCTION("""COMPUTED_VALUE"""),"PAVIMENTADA")</f>
        <v>PAVIMENTADA</v>
      </c>
      <c r="I682" s="6" t="str">
        <f>IFERROR(__xludf.DUMMYFUNCTION("""COMPUTED_VALUE"""),"-9.586785")</f>
        <v>-9.586785</v>
      </c>
      <c r="J682" s="6" t="str">
        <f>IFERROR(__xludf.DUMMYFUNCTION("""COMPUTED_VALUE"""),"-35.715150")</f>
        <v>-35.715150</v>
      </c>
      <c r="K682" s="5" t="str">
        <f>IFERROR(__xludf.DUMMYFUNCTION("""COMPUTED_VALUE"""),"RUA ROBERT LIRA")</f>
        <v>RUA ROBERT LIRA</v>
      </c>
      <c r="L682" s="5" t="str">
        <f>IFERROR(__xludf.DUMMYFUNCTION("""COMPUTED_VALUE"""),"COLETORA")</f>
        <v>COLETORA</v>
      </c>
      <c r="M682" s="5" t="str">
        <f>IFERROR(__xludf.DUMMYFUNCTION("""COMPUTED_VALUE"""),"BENEDITO BENTES")</f>
        <v>BENEDITO BENTES</v>
      </c>
      <c r="N682" s="5" t="str">
        <f>IFERROR(__xludf.DUMMYFUNCTION("""COMPUTED_VALUE"""),"INTEGRAÇÃO")</f>
        <v>INTEGRAÇÃO</v>
      </c>
      <c r="O682" s="5" t="str">
        <f>IFERROR(__xludf.DUMMYFUNCTION("""COMPUTED_VALUE"""),"ANTIGO TERMINAL LUIZ PEDRO ")</f>
        <v>ANTIGO TERMINAL LUIZ PEDRO </v>
      </c>
      <c r="P682" s="5" t="str">
        <f>IFERROR(__xludf.DUMMYFUNCTION("""COMPUTED_VALUE"""),"PRIORIDADE BAIXA")</f>
        <v>PRIORIDADE BAIXA</v>
      </c>
      <c r="Q682" s="5"/>
      <c r="R682" s="5" t="str">
        <f>IFERROR(__xludf.DUMMYFUNCTION("""COMPUTED_VALUE"""),"IMPLANTAR ABRIGO")</f>
        <v>IMPLANTAR ABRIGO</v>
      </c>
      <c r="S682" s="5"/>
      <c r="T682" s="5"/>
      <c r="U682" s="5"/>
      <c r="V682" s="9" t="str">
        <f>IFERROR(__xludf.DUMMYFUNCTION("""COMPUTED_VALUE"""),"https://drive.google.com/uc?id=1jo5YG9AczdNHqol64Se9TuKoM9m15Blu")</f>
        <v>https://drive.google.com/uc?id=1jo5YG9AczdNHqol64Se9TuKoM9m15Blu</v>
      </c>
      <c r="W682" s="5" t="str">
        <f>IFERROR(__xludf.DUMMYFUNCTION("""COMPUTED_VALUE"""),"NÃO")</f>
        <v>NÃO</v>
      </c>
      <c r="X682" s="5" t="str">
        <f>IFERROR(__xludf.DUMMYFUNCTION("""COMPUTED_VALUE"""),"NÃO SE APLICA")</f>
        <v>NÃO SE APLICA</v>
      </c>
    </row>
    <row r="683" hidden="1">
      <c r="A683" s="5">
        <f>IFERROR(__xludf.DUMMYFUNCTION("""COMPUTED_VALUE"""),6.0)</f>
        <v>6</v>
      </c>
      <c r="B683" s="5" t="str">
        <f>IFERROR(__xludf.DUMMYFUNCTION("""COMPUTED_VALUE"""),"BB048")</f>
        <v>BB048</v>
      </c>
      <c r="C683" s="5" t="str">
        <f>IFERROR(__xludf.DUMMYFUNCTION("""COMPUTED_VALUE"""),"NÃO POSSUI")</f>
        <v>NÃO POSSUI</v>
      </c>
      <c r="D683" s="5" t="str">
        <f>IFERROR(__xludf.DUMMYFUNCTION("""COMPUTED_VALUE"""),"FIXADA EM POSTE")</f>
        <v>FIXADA EM POSTE</v>
      </c>
      <c r="E683" s="5" t="str">
        <f>IFERROR(__xludf.DUMMYFUNCTION("""COMPUTED_VALUE"""),"SEM BAIA")</f>
        <v>SEM BAIA</v>
      </c>
      <c r="F683" s="5" t="str">
        <f>IFERROR(__xludf.DUMMYFUNCTION("""COMPUTED_VALUE"""),"NÃO")</f>
        <v>NÃO</v>
      </c>
      <c r="G683" s="5" t="str">
        <f>IFERROR(__xludf.DUMMYFUNCTION("""COMPUTED_VALUE"""),"NÃO")</f>
        <v>NÃO</v>
      </c>
      <c r="H683" s="5" t="str">
        <f>IFERROR(__xludf.DUMMYFUNCTION("""COMPUTED_VALUE"""),"PAVIMENTADA COM AVARIAS")</f>
        <v>PAVIMENTADA COM AVARIAS</v>
      </c>
      <c r="I683" s="6" t="str">
        <f>IFERROR(__xludf.DUMMYFUNCTION("""COMPUTED_VALUE"""),"-9.5532277")</f>
        <v>-9.5532277</v>
      </c>
      <c r="J683" s="6" t="str">
        <f>IFERROR(__xludf.DUMMYFUNCTION("""COMPUTED_VALUE"""),"-35.730028")</f>
        <v>-35.730028</v>
      </c>
      <c r="K683" s="5" t="str">
        <f>IFERROR(__xludf.DUMMYFUNCTION("""COMPUTED_VALUE"""),"AV. BENEDITO BENTES 963")</f>
        <v>AV. BENEDITO BENTES 963</v>
      </c>
      <c r="L683" s="5" t="str">
        <f>IFERROR(__xludf.DUMMYFUNCTION("""COMPUTED_VALUE"""),"COLETORA")</f>
        <v>COLETORA</v>
      </c>
      <c r="M683" s="5" t="str">
        <f>IFERROR(__xludf.DUMMYFUNCTION("""COMPUTED_VALUE"""),"BENEDITO BENTES")</f>
        <v>BENEDITO BENTES</v>
      </c>
      <c r="N683" s="5" t="str">
        <f>IFERROR(__xludf.DUMMYFUNCTION("""COMPUTED_VALUE"""),"INTEGRAÇÃO")</f>
        <v>INTEGRAÇÃO</v>
      </c>
      <c r="O683" s="5" t="str">
        <f>IFERROR(__xludf.DUMMYFUNCTION("""COMPUTED_VALUE"""),"WILLYANE MOTOS")</f>
        <v>WILLYANE MOTOS</v>
      </c>
      <c r="P683" s="5" t="str">
        <f>IFERROR(__xludf.DUMMYFUNCTION("""COMPUTED_VALUE"""),"PRIORIDADE BAIXA")</f>
        <v>PRIORIDADE BAIXA</v>
      </c>
      <c r="Q683" s="5" t="str">
        <f>IFERROR(__xludf.DUMMYFUNCTION("""COMPUTED_VALUE"""),"READEQUAÇÃO DA CALÇADA COM ACESSIBILIDADE.")</f>
        <v>READEQUAÇÃO DA CALÇADA COM ACESSIBILIDADE.</v>
      </c>
      <c r="R683" s="5" t="str">
        <f>IFERROR(__xludf.DUMMYFUNCTION("""COMPUTED_VALUE"""),"NENHUMA DAS OPÇÕES")</f>
        <v>NENHUMA DAS OPÇÕES</v>
      </c>
      <c r="S683" s="5"/>
      <c r="T683" s="5"/>
      <c r="U683" s="5"/>
      <c r="V683" s="9" t="str">
        <f>IFERROR(__xludf.DUMMYFUNCTION("""COMPUTED_VALUE"""),"https://drive.google.com/uc?id=1kfMt_-OCla9HUfHl4g8QrZ0vtgf_il7z")</f>
        <v>https://drive.google.com/uc?id=1kfMt_-OCla9HUfHl4g8QrZ0vtgf_il7z</v>
      </c>
      <c r="W683" s="5" t="str">
        <f>IFERROR(__xludf.DUMMYFUNCTION("""COMPUTED_VALUE"""),"NÃO")</f>
        <v>NÃO</v>
      </c>
      <c r="X683" s="5" t="str">
        <f>IFERROR(__xludf.DUMMYFUNCTION("""COMPUTED_VALUE"""),"NÃO SE APLICA")</f>
        <v>NÃO SE APLICA</v>
      </c>
    </row>
    <row r="684" hidden="1">
      <c r="A684" s="5">
        <f>IFERROR(__xludf.DUMMYFUNCTION("""COMPUTED_VALUE"""),6.0)</f>
        <v>6</v>
      </c>
      <c r="B684" s="5" t="str">
        <f>IFERROR(__xludf.DUMMYFUNCTION("""COMPUTED_VALUE"""),"BB049")</f>
        <v>BB049</v>
      </c>
      <c r="C684" s="5" t="str">
        <f>IFERROR(__xludf.DUMMYFUNCTION("""COMPUTED_VALUE"""),"NÃO POSSUI")</f>
        <v>NÃO POSSUI</v>
      </c>
      <c r="D684" s="5" t="str">
        <f>IFERROR(__xludf.DUMMYFUNCTION("""COMPUTED_VALUE"""),"FIXADA EM POSTE")</f>
        <v>FIXADA EM POSTE</v>
      </c>
      <c r="E684" s="5" t="str">
        <f>IFERROR(__xludf.DUMMYFUNCTION("""COMPUTED_VALUE"""),"SEM BAIA")</f>
        <v>SEM BAIA</v>
      </c>
      <c r="F684" s="5" t="str">
        <f>IFERROR(__xludf.DUMMYFUNCTION("""COMPUTED_VALUE"""),"NÃO")</f>
        <v>NÃO</v>
      </c>
      <c r="G684" s="5" t="str">
        <f>IFERROR(__xludf.DUMMYFUNCTION("""COMPUTED_VALUE"""),"NÃO")</f>
        <v>NÃO</v>
      </c>
      <c r="H684" s="5" t="str">
        <f>IFERROR(__xludf.DUMMYFUNCTION("""COMPUTED_VALUE"""),"PAVIMENTADA COM AVARIAS")</f>
        <v>PAVIMENTADA COM AVARIAS</v>
      </c>
      <c r="I684" s="6" t="str">
        <f>IFERROR(__xludf.DUMMYFUNCTION("""COMPUTED_VALUE"""),"-9.554845")</f>
        <v>-9.554845</v>
      </c>
      <c r="J684" s="6" t="str">
        <f>IFERROR(__xludf.DUMMYFUNCTION("""COMPUTED_VALUE"""),"-35.729685")</f>
        <v>-35.729685</v>
      </c>
      <c r="K684" s="5" t="str">
        <f>IFERROR(__xludf.DUMMYFUNCTION("""COMPUTED_VALUE"""),"AV. BENEDITO BENTES 136C")</f>
        <v>AV. BENEDITO BENTES 136C</v>
      </c>
      <c r="L684" s="5" t="str">
        <f>IFERROR(__xludf.DUMMYFUNCTION("""COMPUTED_VALUE"""),"COLETORA")</f>
        <v>COLETORA</v>
      </c>
      <c r="M684" s="5" t="str">
        <f>IFERROR(__xludf.DUMMYFUNCTION("""COMPUTED_VALUE"""),"BENEDITO BENTES")</f>
        <v>BENEDITO BENTES</v>
      </c>
      <c r="N684" s="5" t="str">
        <f>IFERROR(__xludf.DUMMYFUNCTION("""COMPUTED_VALUE"""),"INTEGRAÇÃO")</f>
        <v>INTEGRAÇÃO</v>
      </c>
      <c r="O684" s="5" t="str">
        <f>IFERROR(__xludf.DUMMYFUNCTION("""COMPUTED_VALUE"""),"PONTO DO PÃO ")</f>
        <v>PONTO DO PÃO </v>
      </c>
      <c r="P684" s="5" t="str">
        <f>IFERROR(__xludf.DUMMYFUNCTION("""COMPUTED_VALUE"""),"PRIORIDADE BAIXA")</f>
        <v>PRIORIDADE BAIXA</v>
      </c>
      <c r="Q684" s="5" t="str">
        <f>IFERROR(__xludf.DUMMYFUNCTION("""COMPUTED_VALUE"""),"READEQUAÇÃO DA CALÇADA COM ACESSIBILIDADE.")</f>
        <v>READEQUAÇÃO DA CALÇADA COM ACESSIBILIDADE.</v>
      </c>
      <c r="R684" s="5" t="str">
        <f>IFERROR(__xludf.DUMMYFUNCTION("""COMPUTED_VALUE"""),"NENHUMA DAS OPÇÕES")</f>
        <v>NENHUMA DAS OPÇÕES</v>
      </c>
      <c r="S684" s="5"/>
      <c r="T684" s="5"/>
      <c r="U684" s="5"/>
      <c r="V684" s="5"/>
      <c r="W684" s="5" t="str">
        <f>IFERROR(__xludf.DUMMYFUNCTION("""COMPUTED_VALUE"""),"NÃO")</f>
        <v>NÃO</v>
      </c>
      <c r="X684" s="5" t="str">
        <f>IFERROR(__xludf.DUMMYFUNCTION("""COMPUTED_VALUE"""),"NÃO SE APLICA")</f>
        <v>NÃO SE APLICA</v>
      </c>
    </row>
    <row r="685" hidden="1">
      <c r="A685" s="5">
        <f>IFERROR(__xludf.DUMMYFUNCTION("""COMPUTED_VALUE"""),6.0)</f>
        <v>6</v>
      </c>
      <c r="B685" s="5" t="str">
        <f>IFERROR(__xludf.DUMMYFUNCTION("""COMPUTED_VALUE"""),"BB050")</f>
        <v>BB050</v>
      </c>
      <c r="C685" s="5" t="str">
        <f>IFERROR(__xludf.DUMMYFUNCTION("""COMPUTED_VALUE"""),"NÃO POSSUI")</f>
        <v>NÃO POSSUI</v>
      </c>
      <c r="D685" s="5" t="str">
        <f>IFERROR(__xludf.DUMMYFUNCTION("""COMPUTED_VALUE"""),"COM SUPORTE")</f>
        <v>COM SUPORTE</v>
      </c>
      <c r="E685" s="5" t="str">
        <f>IFERROR(__xludf.DUMMYFUNCTION("""COMPUTED_VALUE"""),"SEM BAIA")</f>
        <v>SEM BAIA</v>
      </c>
      <c r="F685" s="5" t="str">
        <f>IFERROR(__xludf.DUMMYFUNCTION("""COMPUTED_VALUE"""),"SIM")</f>
        <v>SIM</v>
      </c>
      <c r="G685" s="5" t="str">
        <f>IFERROR(__xludf.DUMMYFUNCTION("""COMPUTED_VALUE"""),"NÃO")</f>
        <v>NÃO</v>
      </c>
      <c r="H685" s="5" t="str">
        <f>IFERROR(__xludf.DUMMYFUNCTION("""COMPUTED_VALUE"""),"PAVIMENTADA")</f>
        <v>PAVIMENTADA</v>
      </c>
      <c r="I685" s="6" t="str">
        <f>IFERROR(__xludf.DUMMYFUNCTION("""COMPUTED_VALUE"""),"-9.556279")</f>
        <v>-9.556279</v>
      </c>
      <c r="J685" s="6" t="str">
        <f>IFERROR(__xludf.DUMMYFUNCTION("""COMPUTED_VALUE"""),"-35.728276")</f>
        <v>-35.728276</v>
      </c>
      <c r="K685" s="5" t="str">
        <f>IFERROR(__xludf.DUMMYFUNCTION("""COMPUTED_VALUE"""),"AV. BENEDITO BENTES 120")</f>
        <v>AV. BENEDITO BENTES 120</v>
      </c>
      <c r="L685" s="5" t="str">
        <f>IFERROR(__xludf.DUMMYFUNCTION("""COMPUTED_VALUE"""),"COLETORA")</f>
        <v>COLETORA</v>
      </c>
      <c r="M685" s="5" t="str">
        <f>IFERROR(__xludf.DUMMYFUNCTION("""COMPUTED_VALUE"""),"BENEDITO BENTES")</f>
        <v>BENEDITO BENTES</v>
      </c>
      <c r="N685" s="5" t="str">
        <f>IFERROR(__xludf.DUMMYFUNCTION("""COMPUTED_VALUE"""),"INTEGRAÇÃO")</f>
        <v>INTEGRAÇÃO</v>
      </c>
      <c r="O685" s="5" t="str">
        <f>IFERROR(__xludf.DUMMYFUNCTION("""COMPUTED_VALUE"""),"MERCADINHO PREÇO BOM")</f>
        <v>MERCADINHO PREÇO BOM</v>
      </c>
      <c r="P685" s="5" t="str">
        <f>IFERROR(__xludf.DUMMYFUNCTION("""COMPUTED_VALUE"""),"PRIORIDADE BAIXA")</f>
        <v>PRIORIDADE BAIXA</v>
      </c>
      <c r="Q685" s="5"/>
      <c r="R685" s="5" t="str">
        <f>IFERROR(__xludf.DUMMYFUNCTION("""COMPUTED_VALUE"""),"NENHUMA DAS OPÇÕES")</f>
        <v>NENHUMA DAS OPÇÕES</v>
      </c>
      <c r="S685" s="5"/>
      <c r="T685" s="5"/>
      <c r="U685" s="5"/>
      <c r="V685" s="9" t="str">
        <f>IFERROR(__xludf.DUMMYFUNCTION("""COMPUTED_VALUE"""),"https://drive.google.com/uc?id=1kXAnB4rWEmNyUcAfNsh931xHgnQ2QyOE")</f>
        <v>https://drive.google.com/uc?id=1kXAnB4rWEmNyUcAfNsh931xHgnQ2QyOE</v>
      </c>
      <c r="W685" s="5" t="str">
        <f>IFERROR(__xludf.DUMMYFUNCTION("""COMPUTED_VALUE"""),"NÃO")</f>
        <v>NÃO</v>
      </c>
      <c r="X685" s="5" t="str">
        <f>IFERROR(__xludf.DUMMYFUNCTION("""COMPUTED_VALUE"""),"NÃO SE APLICA")</f>
        <v>NÃO SE APLICA</v>
      </c>
    </row>
    <row r="686" hidden="1">
      <c r="A686" s="5">
        <f>IFERROR(__xludf.DUMMYFUNCTION("""COMPUTED_VALUE"""),6.0)</f>
        <v>6</v>
      </c>
      <c r="B686" s="5" t="str">
        <f>IFERROR(__xludf.DUMMYFUNCTION("""COMPUTED_VALUE"""),"BB051")</f>
        <v>BB051</v>
      </c>
      <c r="C686" s="5" t="str">
        <f>IFERROR(__xludf.DUMMYFUNCTION("""COMPUTED_VALUE"""),"NÃO POSSUI")</f>
        <v>NÃO POSSUI</v>
      </c>
      <c r="D686" s="5" t="str">
        <f>IFERROR(__xludf.DUMMYFUNCTION("""COMPUTED_VALUE"""),"FIXADA EM POSTE")</f>
        <v>FIXADA EM POSTE</v>
      </c>
      <c r="E686" s="5" t="str">
        <f>IFERROR(__xludf.DUMMYFUNCTION("""COMPUTED_VALUE"""),"SEM BAIA")</f>
        <v>SEM BAIA</v>
      </c>
      <c r="F686" s="5" t="str">
        <f>IFERROR(__xludf.DUMMYFUNCTION("""COMPUTED_VALUE"""),"NÃO")</f>
        <v>NÃO</v>
      </c>
      <c r="G686" s="5" t="str">
        <f>IFERROR(__xludf.DUMMYFUNCTION("""COMPUTED_VALUE"""),"NÃO")</f>
        <v>NÃO</v>
      </c>
      <c r="H686" s="5" t="str">
        <f>IFERROR(__xludf.DUMMYFUNCTION("""COMPUTED_VALUE"""),"PAVIMENTADA")</f>
        <v>PAVIMENTADA</v>
      </c>
      <c r="I686" s="6" t="str">
        <f>IFERROR(__xludf.DUMMYFUNCTION("""COMPUTED_VALUE"""),"-9.557003")</f>
        <v>-9.557003</v>
      </c>
      <c r="J686" s="6" t="str">
        <f>IFERROR(__xludf.DUMMYFUNCTION("""COMPUTED_VALUE"""),"-35.727512")</f>
        <v>-35.727512</v>
      </c>
      <c r="K686" s="5" t="str">
        <f>IFERROR(__xludf.DUMMYFUNCTION("""COMPUTED_VALUE"""),"AV. BENEDITO BENTES 463")</f>
        <v>AV. BENEDITO BENTES 463</v>
      </c>
      <c r="L686" s="5" t="str">
        <f>IFERROR(__xludf.DUMMYFUNCTION("""COMPUTED_VALUE"""),"COLETORA")</f>
        <v>COLETORA</v>
      </c>
      <c r="M686" s="5" t="str">
        <f>IFERROR(__xludf.DUMMYFUNCTION("""COMPUTED_VALUE"""),"BENEDITO BENTES")</f>
        <v>BENEDITO BENTES</v>
      </c>
      <c r="N686" s="5" t="str">
        <f>IFERROR(__xludf.DUMMYFUNCTION("""COMPUTED_VALUE"""),"INTEGRAÇÃO")</f>
        <v>INTEGRAÇÃO</v>
      </c>
      <c r="O686" s="5" t="str">
        <f>IFERROR(__xludf.DUMMYFUNCTION("""COMPUTED_VALUE"""),"DNTBRAS DENTISTAS DO BRASIL")</f>
        <v>DNTBRAS DENTISTAS DO BRASIL</v>
      </c>
      <c r="P686" s="5" t="str">
        <f>IFERROR(__xludf.DUMMYFUNCTION("""COMPUTED_VALUE"""),"PRIORIDADE BAIXA")</f>
        <v>PRIORIDADE BAIXA</v>
      </c>
      <c r="Q686" s="5" t="str">
        <f>IFERROR(__xludf.DUMMYFUNCTION("""COMPUTED_VALUE"""),"READEQUAÇÃO DA CALÇADA COM ACESSIBILIDADE.")</f>
        <v>READEQUAÇÃO DA CALÇADA COM ACESSIBILIDADE.</v>
      </c>
      <c r="R686" s="5" t="str">
        <f>IFERROR(__xludf.DUMMYFUNCTION("""COMPUTED_VALUE"""),"NENHUMA DAS OPÇÕES")</f>
        <v>NENHUMA DAS OPÇÕES</v>
      </c>
      <c r="S686" s="5"/>
      <c r="T686" s="5"/>
      <c r="U686" s="5"/>
      <c r="V686" s="9" t="str">
        <f>IFERROR(__xludf.DUMMYFUNCTION("""COMPUTED_VALUE"""),"https://drive.google.com/uc?id=1kX6laQEWp5h9E46oYAa7lUoOUqyljig0")</f>
        <v>https://drive.google.com/uc?id=1kX6laQEWp5h9E46oYAa7lUoOUqyljig0</v>
      </c>
      <c r="W686" s="5" t="str">
        <f>IFERROR(__xludf.DUMMYFUNCTION("""COMPUTED_VALUE"""),"NÃO")</f>
        <v>NÃO</v>
      </c>
      <c r="X686" s="5" t="str">
        <f>IFERROR(__xludf.DUMMYFUNCTION("""COMPUTED_VALUE"""),"NÃO SE APLICA")</f>
        <v>NÃO SE APLICA</v>
      </c>
    </row>
    <row r="687" hidden="1">
      <c r="A687" s="5">
        <f>IFERROR(__xludf.DUMMYFUNCTION("""COMPUTED_VALUE"""),6.0)</f>
        <v>6</v>
      </c>
      <c r="B687" s="5" t="str">
        <f>IFERROR(__xludf.DUMMYFUNCTION("""COMPUTED_VALUE"""),"BB052")</f>
        <v>BB052</v>
      </c>
      <c r="C687" s="5" t="str">
        <f>IFERROR(__xludf.DUMMYFUNCTION("""COMPUTED_VALUE"""),"NÃO POSSUI")</f>
        <v>NÃO POSSUI</v>
      </c>
      <c r="D687" s="5" t="str">
        <f>IFERROR(__xludf.DUMMYFUNCTION("""COMPUTED_VALUE"""),"SEM PLACA")</f>
        <v>SEM PLACA</v>
      </c>
      <c r="E687" s="5" t="str">
        <f>IFERROR(__xludf.DUMMYFUNCTION("""COMPUTED_VALUE"""),"SEM BAIA")</f>
        <v>SEM BAIA</v>
      </c>
      <c r="F687" s="5" t="str">
        <f>IFERROR(__xludf.DUMMYFUNCTION("""COMPUTED_VALUE"""),"NÃO")</f>
        <v>NÃO</v>
      </c>
      <c r="G687" s="5" t="str">
        <f>IFERROR(__xludf.DUMMYFUNCTION("""COMPUTED_VALUE"""),"NÃO")</f>
        <v>NÃO</v>
      </c>
      <c r="H687" s="5" t="str">
        <f>IFERROR(__xludf.DUMMYFUNCTION("""COMPUTED_VALUE"""),"PAVIMENTADA")</f>
        <v>PAVIMENTADA</v>
      </c>
      <c r="I687" s="6" t="str">
        <f>IFERROR(__xludf.DUMMYFUNCTION("""COMPUTED_VALUE"""),"-9.559992")</f>
        <v>-9.559992</v>
      </c>
      <c r="J687" s="6" t="str">
        <f>IFERROR(__xludf.DUMMYFUNCTION("""COMPUTED_VALUE"""),"-35.725074")</f>
        <v>-35.725074</v>
      </c>
      <c r="K687" s="5" t="str">
        <f>IFERROR(__xludf.DUMMYFUNCTION("""COMPUTED_VALUE"""),"AV. BENEDITO BENTES 105")</f>
        <v>AV. BENEDITO BENTES 105</v>
      </c>
      <c r="L687" s="5" t="str">
        <f>IFERROR(__xludf.DUMMYFUNCTION("""COMPUTED_VALUE"""),"COLETORA")</f>
        <v>COLETORA</v>
      </c>
      <c r="M687" s="5" t="str">
        <f>IFERROR(__xludf.DUMMYFUNCTION("""COMPUTED_VALUE"""),"BENEDITO BENTES")</f>
        <v>BENEDITO BENTES</v>
      </c>
      <c r="N687" s="5" t="str">
        <f>IFERROR(__xludf.DUMMYFUNCTION("""COMPUTED_VALUE"""),"INTEGRAÇÃO")</f>
        <v>INTEGRAÇÃO</v>
      </c>
      <c r="O687" s="5" t="str">
        <f>IFERROR(__xludf.DUMMYFUNCTION("""COMPUTED_VALUE"""),"PRÓX. A BOMBONIERE LEÃO ")</f>
        <v>PRÓX. A BOMBONIERE LEÃO </v>
      </c>
      <c r="P687" s="5" t="str">
        <f>IFERROR(__xludf.DUMMYFUNCTION("""COMPUTED_VALUE"""),"PRIORIDADE ALTA")</f>
        <v>PRIORIDADE ALTA</v>
      </c>
      <c r="Q687" s="5"/>
      <c r="R687" s="5" t="str">
        <f>IFERROR(__xludf.DUMMYFUNCTION("""COMPUTED_VALUE"""),"IMPLANTAR ABRIGO")</f>
        <v>IMPLANTAR ABRIGO</v>
      </c>
      <c r="S687" s="5"/>
      <c r="T687" s="5"/>
      <c r="U687" s="5"/>
      <c r="V687" s="9" t="str">
        <f>IFERROR(__xludf.DUMMYFUNCTION("""COMPUTED_VALUE"""),"https://drive.google.com/uc?id=1dKECoXo-1agXJ1vb3jLkhCjYqVb1DofF
")</f>
        <v>https://drive.google.com/uc?id=1dKECoXo-1agXJ1vb3jLkhCjYqVb1DofF
</v>
      </c>
      <c r="W687" s="5" t="str">
        <f>IFERROR(__xludf.DUMMYFUNCTION("""COMPUTED_VALUE"""),"NÃO")</f>
        <v>NÃO</v>
      </c>
      <c r="X687" s="5" t="str">
        <f>IFERROR(__xludf.DUMMYFUNCTION("""COMPUTED_VALUE"""),"NÃO SE APLICA")</f>
        <v>NÃO SE APLICA</v>
      </c>
    </row>
    <row r="688" hidden="1">
      <c r="A688" s="5">
        <f>IFERROR(__xludf.DUMMYFUNCTION("""COMPUTED_VALUE"""),6.0)</f>
        <v>6</v>
      </c>
      <c r="B688" s="5" t="str">
        <f>IFERROR(__xludf.DUMMYFUNCTION("""COMPUTED_VALUE"""),"BB053")</f>
        <v>BB053</v>
      </c>
      <c r="C688" s="5" t="str">
        <f>IFERROR(__xludf.DUMMYFUNCTION("""COMPUTED_VALUE"""),"NÃO POSSUI")</f>
        <v>NÃO POSSUI</v>
      </c>
      <c r="D688" s="5" t="str">
        <f>IFERROR(__xludf.DUMMYFUNCTION("""COMPUTED_VALUE"""),"SEM PLACA")</f>
        <v>SEM PLACA</v>
      </c>
      <c r="E688" s="5" t="str">
        <f>IFERROR(__xludf.DUMMYFUNCTION("""COMPUTED_VALUE"""),"BAIA CONSTRUÍDA")</f>
        <v>BAIA CONSTRUÍDA</v>
      </c>
      <c r="F688" s="5" t="str">
        <f>IFERROR(__xludf.DUMMYFUNCTION("""COMPUTED_VALUE"""),"SIM")</f>
        <v>SIM</v>
      </c>
      <c r="G688" s="5" t="str">
        <f>IFERROR(__xludf.DUMMYFUNCTION("""COMPUTED_VALUE"""),"SIM")</f>
        <v>SIM</v>
      </c>
      <c r="H688" s="5" t="str">
        <f>IFERROR(__xludf.DUMMYFUNCTION("""COMPUTED_VALUE"""),"PAVIMENTADA")</f>
        <v>PAVIMENTADA</v>
      </c>
      <c r="I688" s="6" t="str">
        <f>IFERROR(__xludf.DUMMYFUNCTION("""COMPUTED_VALUE"""),"-9.563313")</f>
        <v>-9.563313</v>
      </c>
      <c r="J688" s="6" t="str">
        <f>IFERROR(__xludf.DUMMYFUNCTION("""COMPUTED_VALUE"""),"-35.724225")</f>
        <v>-35.724225</v>
      </c>
      <c r="K688" s="5" t="str">
        <f>IFERROR(__xludf.DUMMYFUNCTION("""COMPUTED_VALUE"""),"RUA BELA VISTA 116")</f>
        <v>RUA BELA VISTA 116</v>
      </c>
      <c r="L688" s="5" t="str">
        <f>IFERROR(__xludf.DUMMYFUNCTION("""COMPUTED_VALUE"""),"COLETORA")</f>
        <v>COLETORA</v>
      </c>
      <c r="M688" s="5" t="str">
        <f>IFERROR(__xludf.DUMMYFUNCTION("""COMPUTED_VALUE"""),"BENEDITO BENTES")</f>
        <v>BENEDITO BENTES</v>
      </c>
      <c r="N688" s="5" t="str">
        <f>IFERROR(__xludf.DUMMYFUNCTION("""COMPUTED_VALUE"""),"INTEGRAÇÃO")</f>
        <v>INTEGRAÇÃO</v>
      </c>
      <c r="O688" s="5" t="str">
        <f>IFERROR(__xludf.DUMMYFUNCTION("""COMPUTED_VALUE"""),"LADO OPOSTO AO AÇOUGUE TRÊS IRMÃOS")</f>
        <v>LADO OPOSTO AO AÇOUGUE TRÊS IRMÃOS</v>
      </c>
      <c r="P688" s="5" t="str">
        <f>IFERROR(__xludf.DUMMYFUNCTION("""COMPUTED_VALUE"""),"PRIORIDADE ALTA")</f>
        <v>PRIORIDADE ALTA</v>
      </c>
      <c r="Q688" s="5"/>
      <c r="R688" s="5" t="str">
        <f>IFERROR(__xludf.DUMMYFUNCTION("""COMPUTED_VALUE"""),"IMPLANTAR ABRIGO")</f>
        <v>IMPLANTAR ABRIGO</v>
      </c>
      <c r="S688" s="5"/>
      <c r="T688" s="5"/>
      <c r="U688" s="5"/>
      <c r="V688" s="9" t="str">
        <f>IFERROR(__xludf.DUMMYFUNCTION("""COMPUTED_VALUE"""),"https://drive.google.com/uc?id=1kRYoWKPDtNQgkp29sLgDvniv_4YVvbdJ")</f>
        <v>https://drive.google.com/uc?id=1kRYoWKPDtNQgkp29sLgDvniv_4YVvbdJ</v>
      </c>
      <c r="W688" s="5" t="str">
        <f>IFERROR(__xludf.DUMMYFUNCTION("""COMPUTED_VALUE"""),"NÃO")</f>
        <v>NÃO</v>
      </c>
      <c r="X688" s="5" t="str">
        <f>IFERROR(__xludf.DUMMYFUNCTION("""COMPUTED_VALUE"""),"NÃO SE APLICA")</f>
        <v>NÃO SE APLICA</v>
      </c>
    </row>
    <row r="689" hidden="1">
      <c r="A689" s="5">
        <f>IFERROR(__xludf.DUMMYFUNCTION("""COMPUTED_VALUE"""),6.0)</f>
        <v>6</v>
      </c>
      <c r="B689" s="5" t="str">
        <f>IFERROR(__xludf.DUMMYFUNCTION("""COMPUTED_VALUE"""),"BB054")</f>
        <v>BB054</v>
      </c>
      <c r="C689" s="5" t="str">
        <f>IFERROR(__xludf.DUMMYFUNCTION("""COMPUTED_VALUE"""),"NÃO POSSUI")</f>
        <v>NÃO POSSUI</v>
      </c>
      <c r="D689" s="5" t="str">
        <f>IFERROR(__xludf.DUMMYFUNCTION("""COMPUTED_VALUE"""),"COM SUPORTE")</f>
        <v>COM SUPORTE</v>
      </c>
      <c r="E689" s="5" t="str">
        <f>IFERROR(__xludf.DUMMYFUNCTION("""COMPUTED_VALUE"""),"SEM BAIA")</f>
        <v>SEM BAIA</v>
      </c>
      <c r="F689" s="5" t="str">
        <f>IFERROR(__xludf.DUMMYFUNCTION("""COMPUTED_VALUE"""),"NÃO")</f>
        <v>NÃO</v>
      </c>
      <c r="G689" s="5" t="str">
        <f>IFERROR(__xludf.DUMMYFUNCTION("""COMPUTED_VALUE"""),"NÃO")</f>
        <v>NÃO</v>
      </c>
      <c r="H689" s="5" t="str">
        <f>IFERROR(__xludf.DUMMYFUNCTION("""COMPUTED_VALUE"""),"PAVIMENTADA")</f>
        <v>PAVIMENTADA</v>
      </c>
      <c r="I689" s="6" t="str">
        <f>IFERROR(__xludf.DUMMYFUNCTION("""COMPUTED_VALUE"""),"-9.565480")</f>
        <v>-9.565480</v>
      </c>
      <c r="J689" s="6" t="str">
        <f>IFERROR(__xludf.DUMMYFUNCTION("""COMPUTED_VALUE"""),"-35.723100")</f>
        <v>-35.723100</v>
      </c>
      <c r="K689" s="5" t="str">
        <f>IFERROR(__xludf.DUMMYFUNCTION("""COMPUTED_VALUE"""),"AV. A 51")</f>
        <v>AV. A 51</v>
      </c>
      <c r="L689" s="5" t="str">
        <f>IFERROR(__xludf.DUMMYFUNCTION("""COMPUTED_VALUE"""),"COLETORA")</f>
        <v>COLETORA</v>
      </c>
      <c r="M689" s="5" t="str">
        <f>IFERROR(__xludf.DUMMYFUNCTION("""COMPUTED_VALUE"""),"BENEDITO BENTES")</f>
        <v>BENEDITO BENTES</v>
      </c>
      <c r="N689" s="5" t="str">
        <f>IFERROR(__xludf.DUMMYFUNCTION("""COMPUTED_VALUE"""),"INTEGRAÇÃO")</f>
        <v>INTEGRAÇÃO</v>
      </c>
      <c r="O689" s="5" t="str">
        <f>IFERROR(__xludf.DUMMYFUNCTION("""COMPUTED_VALUE"""),"LUKITA MOTOS")</f>
        <v>LUKITA MOTOS</v>
      </c>
      <c r="P689" s="5" t="str">
        <f>IFERROR(__xludf.DUMMYFUNCTION("""COMPUTED_VALUE"""),"PRIORIDADE BAIXA")</f>
        <v>PRIORIDADE BAIXA</v>
      </c>
      <c r="Q689" s="5"/>
      <c r="R689" s="5" t="str">
        <f>IFERROR(__xludf.DUMMYFUNCTION("""COMPUTED_VALUE"""),"NENHUMA DAS OPÇÕES")</f>
        <v>NENHUMA DAS OPÇÕES</v>
      </c>
      <c r="S689" s="5"/>
      <c r="T689" s="5"/>
      <c r="U689" s="5"/>
      <c r="V689" s="9" t="str">
        <f>IFERROR(__xludf.DUMMYFUNCTION("""COMPUTED_VALUE"""),"https://drive.google.com/uc?id=1kHf5GhAeGBqAYas_krhsf_SfdpB_-Cub")</f>
        <v>https://drive.google.com/uc?id=1kHf5GhAeGBqAYas_krhsf_SfdpB_-Cub</v>
      </c>
      <c r="W689" s="5" t="str">
        <f>IFERROR(__xludf.DUMMYFUNCTION("""COMPUTED_VALUE"""),"NÃO")</f>
        <v>NÃO</v>
      </c>
      <c r="X689" s="5" t="str">
        <f>IFERROR(__xludf.DUMMYFUNCTION("""COMPUTED_VALUE"""),"NÃO SE APLICA")</f>
        <v>NÃO SE APLICA</v>
      </c>
    </row>
    <row r="690" hidden="1">
      <c r="A690" s="5">
        <f>IFERROR(__xludf.DUMMYFUNCTION("""COMPUTED_VALUE"""),6.0)</f>
        <v>6</v>
      </c>
      <c r="B690" s="5" t="str">
        <f>IFERROR(__xludf.DUMMYFUNCTION("""COMPUTED_VALUE"""),"BB055")</f>
        <v>BB055</v>
      </c>
      <c r="C690" s="5" t="str">
        <f>IFERROR(__xludf.DUMMYFUNCTION("""COMPUTED_VALUE"""),"NÃO POSSUI")</f>
        <v>NÃO POSSUI</v>
      </c>
      <c r="D690" s="5" t="str">
        <f>IFERROR(__xludf.DUMMYFUNCTION("""COMPUTED_VALUE"""),"FIXADA EM POSTE")</f>
        <v>FIXADA EM POSTE</v>
      </c>
      <c r="E690" s="5" t="str">
        <f>IFERROR(__xludf.DUMMYFUNCTION("""COMPUTED_VALUE"""),"SEM BAIA")</f>
        <v>SEM BAIA</v>
      </c>
      <c r="F690" s="5" t="str">
        <f>IFERROR(__xludf.DUMMYFUNCTION("""COMPUTED_VALUE"""),"SIM")</f>
        <v>SIM</v>
      </c>
      <c r="G690" s="5" t="str">
        <f>IFERROR(__xludf.DUMMYFUNCTION("""COMPUTED_VALUE"""),"NÃO")</f>
        <v>NÃO</v>
      </c>
      <c r="H690" s="5" t="str">
        <f>IFERROR(__xludf.DUMMYFUNCTION("""COMPUTED_VALUE"""),"PAVIMENTADA")</f>
        <v>PAVIMENTADA</v>
      </c>
      <c r="I690" s="6" t="str">
        <f>IFERROR(__xludf.DUMMYFUNCTION("""COMPUTED_VALUE"""),"-9.567507")</f>
        <v>-9.567507</v>
      </c>
      <c r="J690" s="6" t="str">
        <f>IFERROR(__xludf.DUMMYFUNCTION("""COMPUTED_VALUE"""),"-35.721462")</f>
        <v>-35.721462</v>
      </c>
      <c r="K690" s="5" t="str">
        <f>IFERROR(__xludf.DUMMYFUNCTION("""COMPUTED_VALUE"""),"RUA B CJ MAJOR ANDRADE 15")</f>
        <v>RUA B CJ MAJOR ANDRADE 15</v>
      </c>
      <c r="L690" s="5" t="str">
        <f>IFERROR(__xludf.DUMMYFUNCTION("""COMPUTED_VALUE"""),"COLETORA")</f>
        <v>COLETORA</v>
      </c>
      <c r="M690" s="5" t="str">
        <f>IFERROR(__xludf.DUMMYFUNCTION("""COMPUTED_VALUE"""),"BENEDITO BENTES")</f>
        <v>BENEDITO BENTES</v>
      </c>
      <c r="N690" s="5" t="str">
        <f>IFERROR(__xludf.DUMMYFUNCTION("""COMPUTED_VALUE"""),"INTEGRAÇÃO")</f>
        <v>INTEGRAÇÃO</v>
      </c>
      <c r="O690" s="5" t="str">
        <f>IFERROR(__xludf.DUMMYFUNCTION("""COMPUTED_VALUE"""),"ESCOLA ESTADUAL DR FRANCISCO MELLO")</f>
        <v>ESCOLA ESTADUAL DR FRANCISCO MELLO</v>
      </c>
      <c r="P690" s="5" t="str">
        <f>IFERROR(__xludf.DUMMYFUNCTION("""COMPUTED_VALUE"""),"PRIORIDADE BAIXA")</f>
        <v>PRIORIDADE BAIXA</v>
      </c>
      <c r="Q690" s="5"/>
      <c r="R690" s="5" t="str">
        <f>IFERROR(__xludf.DUMMYFUNCTION("""COMPUTED_VALUE"""),"IMPLANTAR ABRIGO")</f>
        <v>IMPLANTAR ABRIGO</v>
      </c>
      <c r="S690" s="5"/>
      <c r="T690" s="5"/>
      <c r="U690" s="5"/>
      <c r="V690" s="9" t="str">
        <f>IFERROR(__xludf.DUMMYFUNCTION("""COMPUTED_VALUE"""),"https://drive.google.com/uc?id=1kDOyACUUG3YhZWVpcJgIa0CDlw2RAKw6/view?usp=share_link")</f>
        <v>https://drive.google.com/uc?id=1kDOyACUUG3YhZWVpcJgIa0CDlw2RAKw6/view?usp=share_link</v>
      </c>
      <c r="W690" s="5" t="str">
        <f>IFERROR(__xludf.DUMMYFUNCTION("""COMPUTED_VALUE"""),"NÃO")</f>
        <v>NÃO</v>
      </c>
      <c r="X690" s="5" t="str">
        <f>IFERROR(__xludf.DUMMYFUNCTION("""COMPUTED_VALUE"""),"NÃO SE APLICA")</f>
        <v>NÃO SE APLICA</v>
      </c>
    </row>
    <row r="691" hidden="1">
      <c r="A691" s="5">
        <f>IFERROR(__xludf.DUMMYFUNCTION("""COMPUTED_VALUE"""),6.0)</f>
        <v>6</v>
      </c>
      <c r="B691" s="5" t="str">
        <f>IFERROR(__xludf.DUMMYFUNCTION("""COMPUTED_VALUE"""),"BB056")</f>
        <v>BB056</v>
      </c>
      <c r="C691" s="5" t="str">
        <f>IFERROR(__xludf.DUMMYFUNCTION("""COMPUTED_VALUE"""),"NÃO POSSUI")</f>
        <v>NÃO POSSUI</v>
      </c>
      <c r="D691" s="5" t="str">
        <f>IFERROR(__xludf.DUMMYFUNCTION("""COMPUTED_VALUE"""),"SEM PLACA")</f>
        <v>SEM PLACA</v>
      </c>
      <c r="E691" s="5" t="str">
        <f>IFERROR(__xludf.DUMMYFUNCTION("""COMPUTED_VALUE"""),"SEM BAIA")</f>
        <v>SEM BAIA</v>
      </c>
      <c r="F691" s="5" t="str">
        <f>IFERROR(__xludf.DUMMYFUNCTION("""COMPUTED_VALUE"""),"NÃO")</f>
        <v>NÃO</v>
      </c>
      <c r="G691" s="5" t="str">
        <f>IFERROR(__xludf.DUMMYFUNCTION("""COMPUTED_VALUE"""),"NÃO")</f>
        <v>NÃO</v>
      </c>
      <c r="H691" s="5" t="str">
        <f>IFERROR(__xludf.DUMMYFUNCTION("""COMPUTED_VALUE"""),"PAVIMENTADA")</f>
        <v>PAVIMENTADA</v>
      </c>
      <c r="I691" s="6" t="str">
        <f>IFERROR(__xludf.DUMMYFUNCTION("""COMPUTED_VALUE"""),"-9.574973")</f>
        <v>-9.574973</v>
      </c>
      <c r="J691" s="6" t="str">
        <f>IFERROR(__xludf.DUMMYFUNCTION("""COMPUTED_VALUE"""),"-35.720338")</f>
        <v>-35.720338</v>
      </c>
      <c r="K691" s="5" t="str">
        <f>IFERROR(__xludf.DUMMYFUNCTION("""COMPUTED_VALUE"""),"AV. DO FUTURO")</f>
        <v>AV. DO FUTURO</v>
      </c>
      <c r="L691" s="5" t="str">
        <f>IFERROR(__xludf.DUMMYFUNCTION("""COMPUTED_VALUE"""),"COLETORA")</f>
        <v>COLETORA</v>
      </c>
      <c r="M691" s="5" t="str">
        <f>IFERROR(__xludf.DUMMYFUNCTION("""COMPUTED_VALUE"""),"BENEDITO BENTES")</f>
        <v>BENEDITO BENTES</v>
      </c>
      <c r="N691" s="5" t="str">
        <f>IFERROR(__xludf.DUMMYFUNCTION("""COMPUTED_VALUE"""),"INTEGRAÇÃO")</f>
        <v>INTEGRAÇÃO</v>
      </c>
      <c r="O691" s="5"/>
      <c r="P691" s="5" t="str">
        <f>IFERROR(__xludf.DUMMYFUNCTION("""COMPUTED_VALUE"""),"PRIORIDADE ALTA")</f>
        <v>PRIORIDADE ALTA</v>
      </c>
      <c r="Q691" s="5"/>
      <c r="R691" s="5" t="str">
        <f>IFERROR(__xludf.DUMMYFUNCTION("""COMPUTED_VALUE"""),"IMPLANTAR ABRIGO")</f>
        <v>IMPLANTAR ABRIGO</v>
      </c>
      <c r="S691" s="5"/>
      <c r="T691" s="5"/>
      <c r="U691" s="5"/>
      <c r="V691" s="9" t="str">
        <f>IFERROR(__xludf.DUMMYFUNCTION("""COMPUTED_VALUE"""),"https://drive.google.com/uc?id=1kB5kQQ9EjAWa2CQ218dIjPO-9RmPOXyn")</f>
        <v>https://drive.google.com/uc?id=1kB5kQQ9EjAWa2CQ218dIjPO-9RmPOXyn</v>
      </c>
      <c r="W691" s="5" t="str">
        <f>IFERROR(__xludf.DUMMYFUNCTION("""COMPUTED_VALUE"""),"NÃO")</f>
        <v>NÃO</v>
      </c>
      <c r="X691" s="5" t="str">
        <f>IFERROR(__xludf.DUMMYFUNCTION("""COMPUTED_VALUE"""),"NÃO SE APLICA")</f>
        <v>NÃO SE APLICA</v>
      </c>
    </row>
    <row r="692" hidden="1">
      <c r="A692" s="5">
        <f>IFERROR(__xludf.DUMMYFUNCTION("""COMPUTED_VALUE"""),6.0)</f>
        <v>6</v>
      </c>
      <c r="B692" s="5" t="str">
        <f>IFERROR(__xludf.DUMMYFUNCTION("""COMPUTED_VALUE"""),"BB057")</f>
        <v>BB057</v>
      </c>
      <c r="C692" s="5" t="str">
        <f>IFERROR(__xludf.DUMMYFUNCTION("""COMPUTED_VALUE"""),"NÃO POSSUI")</f>
        <v>NÃO POSSUI</v>
      </c>
      <c r="D692" s="5" t="str">
        <f>IFERROR(__xludf.DUMMYFUNCTION("""COMPUTED_VALUE"""),"SEM PLACA")</f>
        <v>SEM PLACA</v>
      </c>
      <c r="E692" s="5" t="str">
        <f>IFERROR(__xludf.DUMMYFUNCTION("""COMPUTED_VALUE"""),"SEM BAIA")</f>
        <v>SEM BAIA</v>
      </c>
      <c r="F692" s="5" t="str">
        <f>IFERROR(__xludf.DUMMYFUNCTION("""COMPUTED_VALUE"""),"NÃO")</f>
        <v>NÃO</v>
      </c>
      <c r="G692" s="5" t="str">
        <f>IFERROR(__xludf.DUMMYFUNCTION("""COMPUTED_VALUE"""),"NÃO")</f>
        <v>NÃO</v>
      </c>
      <c r="H692" s="5" t="str">
        <f>IFERROR(__xludf.DUMMYFUNCTION("""COMPUTED_VALUE"""),"PAVIMENTADA")</f>
        <v>PAVIMENTADA</v>
      </c>
      <c r="I692" s="6" t="str">
        <f>IFERROR(__xludf.DUMMYFUNCTION("""COMPUTED_VALUE"""),"-9.577397")</f>
        <v>-9.577397</v>
      </c>
      <c r="J692" s="6" t="str">
        <f>IFERROR(__xludf.DUMMYFUNCTION("""COMPUTED_VALUE"""),"-35.720493")</f>
        <v>-35.720493</v>
      </c>
      <c r="K692" s="5" t="str">
        <f>IFERROR(__xludf.DUMMYFUNCTION("""COMPUTED_VALUE"""),"AV. DO FUTURO")</f>
        <v>AV. DO FUTURO</v>
      </c>
      <c r="L692" s="5" t="str">
        <f>IFERROR(__xludf.DUMMYFUNCTION("""COMPUTED_VALUE"""),"COLETORA")</f>
        <v>COLETORA</v>
      </c>
      <c r="M692" s="5" t="str">
        <f>IFERROR(__xludf.DUMMYFUNCTION("""COMPUTED_VALUE"""),"BENEDITO BENTES")</f>
        <v>BENEDITO BENTES</v>
      </c>
      <c r="N692" s="5" t="str">
        <f>IFERROR(__xludf.DUMMYFUNCTION("""COMPUTED_VALUE"""),"INTEGRAÇÃO")</f>
        <v>INTEGRAÇÃO</v>
      </c>
      <c r="O692" s="5"/>
      <c r="P692" s="5" t="str">
        <f>IFERROR(__xludf.DUMMYFUNCTION("""COMPUTED_VALUE"""),"PRIORIDADE ALTA")</f>
        <v>PRIORIDADE ALTA</v>
      </c>
      <c r="Q692" s="5"/>
      <c r="R692" s="5" t="str">
        <f>IFERROR(__xludf.DUMMYFUNCTION("""COMPUTED_VALUE"""),"IMPLANTAR ABRIGO")</f>
        <v>IMPLANTAR ABRIGO</v>
      </c>
      <c r="S692" s="5"/>
      <c r="T692" s="5"/>
      <c r="U692" s="5"/>
      <c r="V692" s="9" t="str">
        <f>IFERROR(__xludf.DUMMYFUNCTION("""COMPUTED_VALUE"""),"https://drive.google.com/uc?id=1k6GJx3KQSDnL4I6SA4pyY5J-ctQkGkgH")</f>
        <v>https://drive.google.com/uc?id=1k6GJx3KQSDnL4I6SA4pyY5J-ctQkGkgH</v>
      </c>
      <c r="W692" s="5" t="str">
        <f>IFERROR(__xludf.DUMMYFUNCTION("""COMPUTED_VALUE"""),"NÃO")</f>
        <v>NÃO</v>
      </c>
      <c r="X692" s="5" t="str">
        <f>IFERROR(__xludf.DUMMYFUNCTION("""COMPUTED_VALUE"""),"NÃO SE APLICA")</f>
        <v>NÃO SE APLICA</v>
      </c>
    </row>
    <row r="693" hidden="1">
      <c r="A693" s="5">
        <f>IFERROR(__xludf.DUMMYFUNCTION("""COMPUTED_VALUE"""),6.0)</f>
        <v>6</v>
      </c>
      <c r="B693" s="5" t="str">
        <f>IFERROR(__xludf.DUMMYFUNCTION("""COMPUTED_VALUE"""),"BB058")</f>
        <v>BB058</v>
      </c>
      <c r="C693" s="5" t="str">
        <f>IFERROR(__xludf.DUMMYFUNCTION("""COMPUTED_VALUE"""),"NÃO POSSUI")</f>
        <v>NÃO POSSUI</v>
      </c>
      <c r="D693" s="5" t="str">
        <f>IFERROR(__xludf.DUMMYFUNCTION("""COMPUTED_VALUE"""),"SEM PLACA")</f>
        <v>SEM PLACA</v>
      </c>
      <c r="E693" s="5" t="str">
        <f>IFERROR(__xludf.DUMMYFUNCTION("""COMPUTED_VALUE"""),"SEM BAIA")</f>
        <v>SEM BAIA</v>
      </c>
      <c r="F693" s="5" t="str">
        <f>IFERROR(__xludf.DUMMYFUNCTION("""COMPUTED_VALUE"""),"NÃO")</f>
        <v>NÃO</v>
      </c>
      <c r="G693" s="5" t="str">
        <f>IFERROR(__xludf.DUMMYFUNCTION("""COMPUTED_VALUE"""),"NÃO")</f>
        <v>NÃO</v>
      </c>
      <c r="H693" s="5" t="str">
        <f>IFERROR(__xludf.DUMMYFUNCTION("""COMPUTED_VALUE"""),"NÃO PAVIMENTADA")</f>
        <v>NÃO PAVIMENTADA</v>
      </c>
      <c r="I693" s="6" t="str">
        <f>IFERROR(__xludf.DUMMYFUNCTION("""COMPUTED_VALUE"""),"-9.581232")</f>
        <v>-9.581232</v>
      </c>
      <c r="J693" s="6" t="str">
        <f>IFERROR(__xludf.DUMMYFUNCTION("""COMPUTED_VALUE"""),"-35.720046")</f>
        <v>-35.720046</v>
      </c>
      <c r="K693" s="5" t="str">
        <f>IFERROR(__xludf.DUMMYFUNCTION("""COMPUTED_VALUE"""),"AV. DO FUTURO")</f>
        <v>AV. DO FUTURO</v>
      </c>
      <c r="L693" s="5" t="str">
        <f>IFERROR(__xludf.DUMMYFUNCTION("""COMPUTED_VALUE"""),"COLETORA")</f>
        <v>COLETORA</v>
      </c>
      <c r="M693" s="5" t="str">
        <f>IFERROR(__xludf.DUMMYFUNCTION("""COMPUTED_VALUE"""),"BENEDITO BENTES")</f>
        <v>BENEDITO BENTES</v>
      </c>
      <c r="N693" s="5" t="str">
        <f>IFERROR(__xludf.DUMMYFUNCTION("""COMPUTED_VALUE"""),"INTEGRAÇÃO")</f>
        <v>INTEGRAÇÃO</v>
      </c>
      <c r="O693" s="5" t="str">
        <f>IFERROR(__xludf.DUMMYFUNCTION("""COMPUTED_VALUE"""),"PRÓXIMO A RUA H1")</f>
        <v>PRÓXIMO A RUA H1</v>
      </c>
      <c r="P693" s="5" t="str">
        <f>IFERROR(__xludf.DUMMYFUNCTION("""COMPUTED_VALUE"""),"PRIORIDADE ALTA")</f>
        <v>PRIORIDADE ALTA</v>
      </c>
      <c r="Q693" s="5"/>
      <c r="R693" s="5" t="str">
        <f>IFERROR(__xludf.DUMMYFUNCTION("""COMPUTED_VALUE"""),"IMPLANTAR ABRIGO")</f>
        <v>IMPLANTAR ABRIGO</v>
      </c>
      <c r="S693" s="5"/>
      <c r="T693" s="5"/>
      <c r="U693" s="5"/>
      <c r="V693" s="9" t="str">
        <f>IFERROR(__xludf.DUMMYFUNCTION("""COMPUTED_VALUE"""),"https://drive.google.com/uc?id=1k3VNBKr7ixgGWZ_tr4oPdrFZAvlHedtm")</f>
        <v>https://drive.google.com/uc?id=1k3VNBKr7ixgGWZ_tr4oPdrFZAvlHedtm</v>
      </c>
      <c r="W693" s="5" t="str">
        <f>IFERROR(__xludf.DUMMYFUNCTION("""COMPUTED_VALUE"""),"NÃO")</f>
        <v>NÃO</v>
      </c>
      <c r="X693" s="5" t="str">
        <f>IFERROR(__xludf.DUMMYFUNCTION("""COMPUTED_VALUE"""),"NÃO SE APLICA")</f>
        <v>NÃO SE APLICA</v>
      </c>
    </row>
    <row r="694">
      <c r="A694" s="5">
        <f>IFERROR(__xludf.DUMMYFUNCTION("""COMPUTED_VALUE"""),6.0)</f>
        <v>6</v>
      </c>
      <c r="B694" s="5" t="str">
        <f>IFERROR(__xludf.DUMMYFUNCTION("""COMPUTED_VALUE"""),"BB059")</f>
        <v>BB059</v>
      </c>
      <c r="C694" s="5" t="str">
        <f>IFERROR(__xludf.DUMMYFUNCTION("""COMPUTED_VALUE"""),"ABRIGO CONCRETO")</f>
        <v>ABRIGO CONCRETO</v>
      </c>
      <c r="D694" s="5" t="str">
        <f>IFERROR(__xludf.DUMMYFUNCTION("""COMPUTED_VALUE"""),"SEM PLACA")</f>
        <v>SEM PLACA</v>
      </c>
      <c r="E694" s="5" t="str">
        <f>IFERROR(__xludf.DUMMYFUNCTION("""COMPUTED_VALUE"""),"SEM BAIA")</f>
        <v>SEM BAIA</v>
      </c>
      <c r="F694" s="5" t="str">
        <f>IFERROR(__xludf.DUMMYFUNCTION("""COMPUTED_VALUE"""),"NÃO")</f>
        <v>NÃO</v>
      </c>
      <c r="G694" s="5" t="str">
        <f>IFERROR(__xludf.DUMMYFUNCTION("""COMPUTED_VALUE"""),"NÃO")</f>
        <v>NÃO</v>
      </c>
      <c r="H694" s="5" t="str">
        <f>IFERROR(__xludf.DUMMYFUNCTION("""COMPUTED_VALUE"""),"PAVIMENTADA")</f>
        <v>PAVIMENTADA</v>
      </c>
      <c r="I694" s="6" t="str">
        <f>IFERROR(__xludf.DUMMYFUNCTION("""COMPUTED_VALUE"""),"-9.585309")</f>
        <v>-9.585309</v>
      </c>
      <c r="J694" s="6" t="str">
        <f>IFERROR(__xludf.DUMMYFUNCTION("""COMPUTED_VALUE"""),"-35.714979")</f>
        <v>-35.714979</v>
      </c>
      <c r="K694" s="5" t="str">
        <f>IFERROR(__xludf.DUMMYFUNCTION("""COMPUTED_VALUE"""),"PRAÇA CENTRAL CONJ. LUIZ PEDRO")</f>
        <v>PRAÇA CENTRAL CONJ. LUIZ PEDRO</v>
      </c>
      <c r="L694" s="5" t="str">
        <f>IFERROR(__xludf.DUMMYFUNCTION("""COMPUTED_VALUE"""),"COLETORA")</f>
        <v>COLETORA</v>
      </c>
      <c r="M694" s="5" t="str">
        <f>IFERROR(__xludf.DUMMYFUNCTION("""COMPUTED_VALUE"""),"BENEDITO BENTES")</f>
        <v>BENEDITO BENTES</v>
      </c>
      <c r="N694" s="5" t="str">
        <f>IFERROR(__xludf.DUMMYFUNCTION("""COMPUTED_VALUE"""),"INTEGRAÇÃO")</f>
        <v>INTEGRAÇÃO</v>
      </c>
      <c r="O694" s="5" t="str">
        <f>IFERROR(__xludf.DUMMYFUNCTION("""COMPUTED_VALUE"""),"EM FRENTE A ROTATÓRIA")</f>
        <v>EM FRENTE A ROTATÓRIA</v>
      </c>
      <c r="P694" s="5" t="str">
        <f>IFERROR(__xludf.DUMMYFUNCTION("""COMPUTED_VALUE"""),"PRIORIDADE BAIXA")</f>
        <v>PRIORIDADE BAIXA</v>
      </c>
      <c r="Q694" s="5"/>
      <c r="R694" s="5" t="str">
        <f>IFERROR(__xludf.DUMMYFUNCTION("""COMPUTED_VALUE"""),"SUBSTITUIR ABRIGO")</f>
        <v>SUBSTITUIR ABRIGO</v>
      </c>
      <c r="S694" s="5"/>
      <c r="T694" s="5"/>
      <c r="U694" s="5"/>
      <c r="V694" s="9" t="str">
        <f>IFERROR(__xludf.DUMMYFUNCTION("""COMPUTED_VALUE"""),"https://drive.google.com/uc?id=1jv4Po5rpbDQC7khdIKT3_SuLi9Dal2rF")</f>
        <v>https://drive.google.com/uc?id=1jv4Po5rpbDQC7khdIKT3_SuLi9Dal2rF</v>
      </c>
      <c r="W694" s="5" t="str">
        <f>IFERROR(__xludf.DUMMYFUNCTION("""COMPUTED_VALUE"""),"NÃO")</f>
        <v>NÃO</v>
      </c>
      <c r="X694" s="5" t="str">
        <f>IFERROR(__xludf.DUMMYFUNCTION("""COMPUTED_VALUE"""),"NÃO SE APLICA")</f>
        <v>NÃO SE APLICA</v>
      </c>
    </row>
    <row r="695" hidden="1">
      <c r="A695" s="5">
        <f>IFERROR(__xludf.DUMMYFUNCTION("""COMPUTED_VALUE"""),6.0)</f>
        <v>6</v>
      </c>
      <c r="B695" s="5" t="str">
        <f>IFERROR(__xludf.DUMMYFUNCTION("""COMPUTED_VALUE"""),"BB060")</f>
        <v>BB060</v>
      </c>
      <c r="C695" s="5" t="str">
        <f>IFERROR(__xludf.DUMMYFUNCTION("""COMPUTED_VALUE"""),"NÃO POSSUI")</f>
        <v>NÃO POSSUI</v>
      </c>
      <c r="D695" s="5" t="str">
        <f>IFERROR(__xludf.DUMMYFUNCTION("""COMPUTED_VALUE"""),"SEM PLACA")</f>
        <v>SEM PLACA</v>
      </c>
      <c r="E695" s="5" t="str">
        <f>IFERROR(__xludf.DUMMYFUNCTION("""COMPUTED_VALUE"""),"SEM BAIA")</f>
        <v>SEM BAIA</v>
      </c>
      <c r="F695" s="5" t="str">
        <f>IFERROR(__xludf.DUMMYFUNCTION("""COMPUTED_VALUE"""),"NÃO")</f>
        <v>NÃO</v>
      </c>
      <c r="G695" s="5" t="str">
        <f>IFERROR(__xludf.DUMMYFUNCTION("""COMPUTED_VALUE"""),"NÃO")</f>
        <v>NÃO</v>
      </c>
      <c r="H695" s="5" t="str">
        <f>IFERROR(__xludf.DUMMYFUNCTION("""COMPUTED_VALUE"""),"PAVIMENTADA")</f>
        <v>PAVIMENTADA</v>
      </c>
      <c r="I695" s="6" t="str">
        <f>IFERROR(__xludf.DUMMYFUNCTION("""COMPUTED_VALUE"""),"-9.581403")</f>
        <v>-9.581403</v>
      </c>
      <c r="J695" s="6" t="str">
        <f>IFERROR(__xludf.DUMMYFUNCTION("""COMPUTED_VALUE"""),"-35.719750")</f>
        <v>-35.719750</v>
      </c>
      <c r="K695" s="5" t="str">
        <f>IFERROR(__xludf.DUMMYFUNCTION("""COMPUTED_VALUE"""),"AV.SENADOR CARLOS LYRA ")</f>
        <v>AV.SENADOR CARLOS LYRA </v>
      </c>
      <c r="L695" s="5" t="str">
        <f>IFERROR(__xludf.DUMMYFUNCTION("""COMPUTED_VALUE"""),"COLETORA")</f>
        <v>COLETORA</v>
      </c>
      <c r="M695" s="5" t="str">
        <f>IFERROR(__xludf.DUMMYFUNCTION("""COMPUTED_VALUE"""),"BENEDITO BENTES")</f>
        <v>BENEDITO BENTES</v>
      </c>
      <c r="N695" s="5" t="str">
        <f>IFERROR(__xludf.DUMMYFUNCTION("""COMPUTED_VALUE"""),"INTEGRAÇÃO")</f>
        <v>INTEGRAÇÃO</v>
      </c>
      <c r="O695" s="5" t="str">
        <f>IFERROR(__xludf.DUMMYFUNCTION("""COMPUTED_VALUE"""),"MERCADINHO DO PAULO ")</f>
        <v>MERCADINHO DO PAULO </v>
      </c>
      <c r="P695" s="5" t="str">
        <f>IFERROR(__xludf.DUMMYFUNCTION("""COMPUTED_VALUE"""),"PRIORIDADE ALTA")</f>
        <v>PRIORIDADE ALTA</v>
      </c>
      <c r="Q695" s="5"/>
      <c r="R695" s="5" t="str">
        <f>IFERROR(__xludf.DUMMYFUNCTION("""COMPUTED_VALUE"""),"IMPLANTAR ABRIGO")</f>
        <v>IMPLANTAR ABRIGO</v>
      </c>
      <c r="S695" s="5"/>
      <c r="T695" s="5"/>
      <c r="U695" s="5"/>
      <c r="V695" s="9" t="str">
        <f>IFERROR(__xludf.DUMMYFUNCTION("""COMPUTED_VALUE"""),"https://drive.google.com/uc?id=1jklr2pb5_56u_CzYoY8F78c45I1o_043")</f>
        <v>https://drive.google.com/uc?id=1jklr2pb5_56u_CzYoY8F78c45I1o_043</v>
      </c>
      <c r="W695" s="5" t="str">
        <f>IFERROR(__xludf.DUMMYFUNCTION("""COMPUTED_VALUE"""),"NÃO")</f>
        <v>NÃO</v>
      </c>
      <c r="X695" s="5" t="str">
        <f>IFERROR(__xludf.DUMMYFUNCTION("""COMPUTED_VALUE"""),"NÃO SE APLICA")</f>
        <v>NÃO SE APLICA</v>
      </c>
    </row>
    <row r="696">
      <c r="A696" s="5">
        <f>IFERROR(__xludf.DUMMYFUNCTION("""COMPUTED_VALUE"""),6.0)</f>
        <v>6</v>
      </c>
      <c r="B696" s="5" t="str">
        <f>IFERROR(__xludf.DUMMYFUNCTION("""COMPUTED_VALUE"""),"BB061")</f>
        <v>BB061</v>
      </c>
      <c r="C696" s="5" t="str">
        <f>IFERROR(__xludf.DUMMYFUNCTION("""COMPUTED_VALUE"""),"ABRIGO CONCRETO")</f>
        <v>ABRIGO CONCRETO</v>
      </c>
      <c r="D696" s="5" t="str">
        <f>IFERROR(__xludf.DUMMYFUNCTION("""COMPUTED_VALUE"""),"SEM PLACA")</f>
        <v>SEM PLACA</v>
      </c>
      <c r="E696" s="5" t="str">
        <f>IFERROR(__xludf.DUMMYFUNCTION("""COMPUTED_VALUE"""),"SEM BAIA")</f>
        <v>SEM BAIA</v>
      </c>
      <c r="F696" s="5" t="str">
        <f>IFERROR(__xludf.DUMMYFUNCTION("""COMPUTED_VALUE"""),"NÃO")</f>
        <v>NÃO</v>
      </c>
      <c r="G696" s="5" t="str">
        <f>IFERROR(__xludf.DUMMYFUNCTION("""COMPUTED_VALUE"""),"NÃO")</f>
        <v>NÃO</v>
      </c>
      <c r="H696" s="5" t="str">
        <f>IFERROR(__xludf.DUMMYFUNCTION("""COMPUTED_VALUE"""),"PAVIMENTADA")</f>
        <v>PAVIMENTADA</v>
      </c>
      <c r="I696" s="6" t="str">
        <f>IFERROR(__xludf.DUMMYFUNCTION("""COMPUTED_VALUE"""),"-9.578627")</f>
        <v>-9.578627</v>
      </c>
      <c r="J696" s="6" t="str">
        <f>IFERROR(__xludf.DUMMYFUNCTION("""COMPUTED_VALUE"""),"-35.720509")</f>
        <v>-35.720509</v>
      </c>
      <c r="K696" s="5" t="str">
        <f>IFERROR(__xludf.DUMMYFUNCTION("""COMPUTED_VALUE"""),"AV. DO FUTURO")</f>
        <v>AV. DO FUTURO</v>
      </c>
      <c r="L696" s="5" t="str">
        <f>IFERROR(__xludf.DUMMYFUNCTION("""COMPUTED_VALUE"""),"COLETORA")</f>
        <v>COLETORA</v>
      </c>
      <c r="M696" s="5" t="str">
        <f>IFERROR(__xludf.DUMMYFUNCTION("""COMPUTED_VALUE"""),"BENEDITO BENTES")</f>
        <v>BENEDITO BENTES</v>
      </c>
      <c r="N696" s="5" t="str">
        <f>IFERROR(__xludf.DUMMYFUNCTION("""COMPUTED_VALUE"""),"INTEGRAÇÃO")</f>
        <v>INTEGRAÇÃO</v>
      </c>
      <c r="O696" s="5" t="str">
        <f>IFERROR(__xludf.DUMMYFUNCTION("""COMPUTED_VALUE"""),"EM FRENTE A CASA 15A ")</f>
        <v>EM FRENTE A CASA 15A </v>
      </c>
      <c r="P696" s="5" t="str">
        <f>IFERROR(__xludf.DUMMYFUNCTION("""COMPUTED_VALUE"""),"PRIORIDADE BAIXA")</f>
        <v>PRIORIDADE BAIXA</v>
      </c>
      <c r="Q696" s="5"/>
      <c r="R696" s="5" t="str">
        <f>IFERROR(__xludf.DUMMYFUNCTION("""COMPUTED_VALUE"""),"SUBSTITUIR ABRIGO")</f>
        <v>SUBSTITUIR ABRIGO</v>
      </c>
      <c r="S696" s="5"/>
      <c r="T696" s="5"/>
      <c r="U696" s="5"/>
      <c r="V696" s="9" t="str">
        <f>IFERROR(__xludf.DUMMYFUNCTION("""COMPUTED_VALUE"""),"https://drive.google.com/uc?id=1jd20cF31yJFZMALWdA9SvFtgJEilWy1B")</f>
        <v>https://drive.google.com/uc?id=1jd20cF31yJFZMALWdA9SvFtgJEilWy1B</v>
      </c>
      <c r="W696" s="5" t="str">
        <f>IFERROR(__xludf.DUMMYFUNCTION("""COMPUTED_VALUE"""),"NÃO")</f>
        <v>NÃO</v>
      </c>
      <c r="X696" s="5" t="str">
        <f>IFERROR(__xludf.DUMMYFUNCTION("""COMPUTED_VALUE"""),"NÃO SE APLICA")</f>
        <v>NÃO SE APLICA</v>
      </c>
    </row>
    <row r="697">
      <c r="A697" s="5">
        <f>IFERROR(__xludf.DUMMYFUNCTION("""COMPUTED_VALUE"""),6.0)</f>
        <v>6</v>
      </c>
      <c r="B697" s="5" t="str">
        <f>IFERROR(__xludf.DUMMYFUNCTION("""COMPUTED_VALUE"""),"BB062")</f>
        <v>BB062</v>
      </c>
      <c r="C697" s="5" t="str">
        <f>IFERROR(__xludf.DUMMYFUNCTION("""COMPUTED_VALUE"""),"ABRIGO CONCRETO")</f>
        <v>ABRIGO CONCRETO</v>
      </c>
      <c r="D697" s="5" t="str">
        <f>IFERROR(__xludf.DUMMYFUNCTION("""COMPUTED_VALUE"""),"SEM PLACA")</f>
        <v>SEM PLACA</v>
      </c>
      <c r="E697" s="5" t="str">
        <f>IFERROR(__xludf.DUMMYFUNCTION("""COMPUTED_VALUE"""),"SEM BAIA")</f>
        <v>SEM BAIA</v>
      </c>
      <c r="F697" s="5" t="str">
        <f>IFERROR(__xludf.DUMMYFUNCTION("""COMPUTED_VALUE"""),"NÃO")</f>
        <v>NÃO</v>
      </c>
      <c r="G697" s="5" t="str">
        <f>IFERROR(__xludf.DUMMYFUNCTION("""COMPUTED_VALUE"""),"NÃO")</f>
        <v>NÃO</v>
      </c>
      <c r="H697" s="5" t="str">
        <f>IFERROR(__xludf.DUMMYFUNCTION("""COMPUTED_VALUE"""),"PAVIMENTADA")</f>
        <v>PAVIMENTADA</v>
      </c>
      <c r="I697" s="6" t="str">
        <f>IFERROR(__xludf.DUMMYFUNCTION("""COMPUTED_VALUE""")," -9.577218")</f>
        <v> -9.577218</v>
      </c>
      <c r="J697" s="6" t="str">
        <f>IFERROR(__xludf.DUMMYFUNCTION("""COMPUTED_VALUE"""),"-35.720312")</f>
        <v>-35.720312</v>
      </c>
      <c r="K697" s="5" t="str">
        <f>IFERROR(__xludf.DUMMYFUNCTION("""COMPUTED_VALUE"""),"DEPA SELMA BANDEIRA 19")</f>
        <v>DEPA SELMA BANDEIRA 19</v>
      </c>
      <c r="L697" s="5" t="str">
        <f>IFERROR(__xludf.DUMMYFUNCTION("""COMPUTED_VALUE"""),"COLETORA")</f>
        <v>COLETORA</v>
      </c>
      <c r="M697" s="5" t="str">
        <f>IFERROR(__xludf.DUMMYFUNCTION("""COMPUTED_VALUE"""),"BENEDITO BENTES")</f>
        <v>BENEDITO BENTES</v>
      </c>
      <c r="N697" s="5" t="str">
        <f>IFERROR(__xludf.DUMMYFUNCTION("""COMPUTED_VALUE"""),"INTEGRAÇÃO")</f>
        <v>INTEGRAÇÃO</v>
      </c>
      <c r="O697" s="5" t="str">
        <f>IFERROR(__xludf.DUMMYFUNCTION("""COMPUTED_VALUE"""),"DEPA SELMA BANDEIRA 19")</f>
        <v>DEPA SELMA BANDEIRA 19</v>
      </c>
      <c r="P697" s="5" t="str">
        <f>IFERROR(__xludf.DUMMYFUNCTION("""COMPUTED_VALUE"""),"PRIORIDADE BAIXA")</f>
        <v>PRIORIDADE BAIXA</v>
      </c>
      <c r="Q697" s="5"/>
      <c r="R697" s="5" t="str">
        <f>IFERROR(__xludf.DUMMYFUNCTION("""COMPUTED_VALUE"""),"SUBSTITUIR ABRIGO")</f>
        <v>SUBSTITUIR ABRIGO</v>
      </c>
      <c r="S697" s="5"/>
      <c r="T697" s="5"/>
      <c r="U697" s="5"/>
      <c r="V697" s="9" t="str">
        <f>IFERROR(__xludf.DUMMYFUNCTION("""COMPUTED_VALUE"""),"https://drive.google.com/uc?id=1jW6fY-eJB0eH5-hv_IcsMgVoL7OZgqVT")</f>
        <v>https://drive.google.com/uc?id=1jW6fY-eJB0eH5-hv_IcsMgVoL7OZgqVT</v>
      </c>
      <c r="W697" s="5" t="str">
        <f>IFERROR(__xludf.DUMMYFUNCTION("""COMPUTED_VALUE"""),"NÃO")</f>
        <v>NÃO</v>
      </c>
      <c r="X697" s="5" t="str">
        <f>IFERROR(__xludf.DUMMYFUNCTION("""COMPUTED_VALUE"""),"NÃO SE APLICA")</f>
        <v>NÃO SE APLICA</v>
      </c>
    </row>
    <row r="698">
      <c r="A698" s="5">
        <f>IFERROR(__xludf.DUMMYFUNCTION("""COMPUTED_VALUE"""),6.0)</f>
        <v>6</v>
      </c>
      <c r="B698" s="5" t="str">
        <f>IFERROR(__xludf.DUMMYFUNCTION("""COMPUTED_VALUE"""),"BB063")</f>
        <v>BB063</v>
      </c>
      <c r="C698" s="5" t="str">
        <f>IFERROR(__xludf.DUMMYFUNCTION("""COMPUTED_VALUE"""),"ABRIGO CONCRETO")</f>
        <v>ABRIGO CONCRETO</v>
      </c>
      <c r="D698" s="5" t="str">
        <f>IFERROR(__xludf.DUMMYFUNCTION("""COMPUTED_VALUE"""),"SEM PLACA")</f>
        <v>SEM PLACA</v>
      </c>
      <c r="E698" s="5" t="str">
        <f>IFERROR(__xludf.DUMMYFUNCTION("""COMPUTED_VALUE"""),"SEM BAIA")</f>
        <v>SEM BAIA</v>
      </c>
      <c r="F698" s="5" t="str">
        <f>IFERROR(__xludf.DUMMYFUNCTION("""COMPUTED_VALUE"""),"NÃO")</f>
        <v>NÃO</v>
      </c>
      <c r="G698" s="5" t="str">
        <f>IFERROR(__xludf.DUMMYFUNCTION("""COMPUTED_VALUE"""),"NÃO")</f>
        <v>NÃO</v>
      </c>
      <c r="H698" s="5" t="str">
        <f>IFERROR(__xludf.DUMMYFUNCTION("""COMPUTED_VALUE"""),"PAVIMENTADA")</f>
        <v>PAVIMENTADA</v>
      </c>
      <c r="I698" s="6" t="str">
        <f>IFERROR(__xludf.DUMMYFUNCTION("""COMPUTED_VALUE"""),"-9.574647")</f>
        <v>-9.574647</v>
      </c>
      <c r="J698" s="6" t="str">
        <f>IFERROR(__xludf.DUMMYFUNCTION("""COMPUTED_VALUE"""),"-35.720262")</f>
        <v>-35.720262</v>
      </c>
      <c r="K698" s="5" t="str">
        <f>IFERROR(__xludf.DUMMYFUNCTION("""COMPUTED_VALUE"""),"AV. DO FUTURO ")</f>
        <v>AV. DO FUTURO </v>
      </c>
      <c r="L698" s="5" t="str">
        <f>IFERROR(__xludf.DUMMYFUNCTION("""COMPUTED_VALUE"""),"COLETORA")</f>
        <v>COLETORA</v>
      </c>
      <c r="M698" s="5" t="str">
        <f>IFERROR(__xludf.DUMMYFUNCTION("""COMPUTED_VALUE"""),"BENEDITO BENTES")</f>
        <v>BENEDITO BENTES</v>
      </c>
      <c r="N698" s="5" t="str">
        <f>IFERROR(__xludf.DUMMYFUNCTION("""COMPUTED_VALUE"""),"INTEGRAÇÃO")</f>
        <v>INTEGRAÇÃO</v>
      </c>
      <c r="O698" s="5" t="str">
        <f>IFERROR(__xludf.DUMMYFUNCTION("""COMPUTED_VALUE"""),"ACOMOE")</f>
        <v>ACOMOE</v>
      </c>
      <c r="P698" s="5" t="str">
        <f>IFERROR(__xludf.DUMMYFUNCTION("""COMPUTED_VALUE"""),"PRIORIDADE BAIXA")</f>
        <v>PRIORIDADE BAIXA</v>
      </c>
      <c r="Q698" s="5"/>
      <c r="R698" s="5" t="str">
        <f>IFERROR(__xludf.DUMMYFUNCTION("""COMPUTED_VALUE"""),"SUBSTITUIR ABRIGO")</f>
        <v>SUBSTITUIR ABRIGO</v>
      </c>
      <c r="S698" s="5"/>
      <c r="T698" s="5"/>
      <c r="U698" s="5"/>
      <c r="V698" s="9" t="str">
        <f>IFERROR(__xludf.DUMMYFUNCTION("""COMPUTED_VALUE"""),"https://drive.google.com/uc?id=1jV6JMP5KiHB2PFT4IuKdpGjW1h0nDkSR")</f>
        <v>https://drive.google.com/uc?id=1jV6JMP5KiHB2PFT4IuKdpGjW1h0nDkSR</v>
      </c>
      <c r="W698" s="5" t="str">
        <f>IFERROR(__xludf.DUMMYFUNCTION("""COMPUTED_VALUE"""),"NÃO")</f>
        <v>NÃO</v>
      </c>
      <c r="X698" s="5" t="str">
        <f>IFERROR(__xludf.DUMMYFUNCTION("""COMPUTED_VALUE"""),"NÃO SE APLICA")</f>
        <v>NÃO SE APLICA</v>
      </c>
    </row>
    <row r="699" ht="16.5" hidden="1" customHeight="1">
      <c r="A699" s="5">
        <f>IFERROR(__xludf.DUMMYFUNCTION("""COMPUTED_VALUE"""),6.0)</f>
        <v>6</v>
      </c>
      <c r="B699" s="5" t="str">
        <f>IFERROR(__xludf.DUMMYFUNCTION("""COMPUTED_VALUE"""),"BB064")</f>
        <v>BB064</v>
      </c>
      <c r="C699" s="5" t="str">
        <f>IFERROR(__xludf.DUMMYFUNCTION("""COMPUTED_VALUE"""),"NÃO POSSUI")</f>
        <v>NÃO POSSUI</v>
      </c>
      <c r="D699" s="5" t="str">
        <f>IFERROR(__xludf.DUMMYFUNCTION("""COMPUTED_VALUE"""),"FIXADA EM POSTE")</f>
        <v>FIXADA EM POSTE</v>
      </c>
      <c r="E699" s="5" t="str">
        <f>IFERROR(__xludf.DUMMYFUNCTION("""COMPUTED_VALUE"""),"SEM BAIA")</f>
        <v>SEM BAIA</v>
      </c>
      <c r="F699" s="5" t="str">
        <f>IFERROR(__xludf.DUMMYFUNCTION("""COMPUTED_VALUE"""),"NÃO")</f>
        <v>NÃO</v>
      </c>
      <c r="G699" s="5" t="str">
        <f>IFERROR(__xludf.DUMMYFUNCTION("""COMPUTED_VALUE"""),"NÃO")</f>
        <v>NÃO</v>
      </c>
      <c r="H699" s="5" t="str">
        <f>IFERROR(__xludf.DUMMYFUNCTION("""COMPUTED_VALUE"""),"PAVIMENTADA")</f>
        <v>PAVIMENTADA</v>
      </c>
      <c r="I699" s="6" t="str">
        <f>IFERROR(__xludf.DUMMYFUNCTION("""COMPUTED_VALUE"""),"-9.570623")</f>
        <v>-9.570623</v>
      </c>
      <c r="J699" s="6" t="str">
        <f>IFERROR(__xludf.DUMMYFUNCTION("""COMPUTED_VALUE"""),"-35.721033")</f>
        <v>-35.721033</v>
      </c>
      <c r="K699" s="5" t="str">
        <f>IFERROR(__xludf.DUMMYFUNCTION("""COMPUTED_VALUE"""),"RUA B")</f>
        <v>RUA B</v>
      </c>
      <c r="L699" s="5" t="str">
        <f>IFERROR(__xludf.DUMMYFUNCTION("""COMPUTED_VALUE"""),"COLETORA")</f>
        <v>COLETORA</v>
      </c>
      <c r="M699" s="5" t="str">
        <f>IFERROR(__xludf.DUMMYFUNCTION("""COMPUTED_VALUE"""),"BENEDITO BENTES")</f>
        <v>BENEDITO BENTES</v>
      </c>
      <c r="N699" s="5" t="str">
        <f>IFERROR(__xludf.DUMMYFUNCTION("""COMPUTED_VALUE"""),"INTEGRAÇÃO")</f>
        <v>INTEGRAÇÃO</v>
      </c>
      <c r="O699" s="5" t="str">
        <f>IFERROR(__xludf.DUMMYFUNCTION("""COMPUTED_VALUE"""),"CASA 27A")</f>
        <v>CASA 27A</v>
      </c>
      <c r="P699" s="5" t="str">
        <f>IFERROR(__xludf.DUMMYFUNCTION("""COMPUTED_VALUE"""),"PRIORIDADE BAIXA")</f>
        <v>PRIORIDADE BAIXA</v>
      </c>
      <c r="Q699" s="5"/>
      <c r="R699" s="5" t="str">
        <f>IFERROR(__xludf.DUMMYFUNCTION("""COMPUTED_VALUE"""),"NENHUMA DAS OPÇÕES")</f>
        <v>NENHUMA DAS OPÇÕES</v>
      </c>
      <c r="S699" s="5"/>
      <c r="T699" s="5"/>
      <c r="U699" s="5"/>
      <c r="V699" s="9" t="str">
        <f>IFERROR(__xludf.DUMMYFUNCTION("""COMPUTED_VALUE"""),"https://drive.google.com/uc?id=1jQGrAxZxgvpkWGDwtdilQGQN634ZsF7c")</f>
        <v>https://drive.google.com/uc?id=1jQGrAxZxgvpkWGDwtdilQGQN634ZsF7c</v>
      </c>
      <c r="W699" s="5" t="str">
        <f>IFERROR(__xludf.DUMMYFUNCTION("""COMPUTED_VALUE"""),"NÃO")</f>
        <v>NÃO</v>
      </c>
      <c r="X699" s="5" t="str">
        <f>IFERROR(__xludf.DUMMYFUNCTION("""COMPUTED_VALUE"""),"NÃO SE APLICA")</f>
        <v>NÃO SE APLICA</v>
      </c>
    </row>
    <row r="700" hidden="1">
      <c r="A700" s="5">
        <f>IFERROR(__xludf.DUMMYFUNCTION("""COMPUTED_VALUE"""),6.0)</f>
        <v>6</v>
      </c>
      <c r="B700" s="5" t="str">
        <f>IFERROR(__xludf.DUMMYFUNCTION("""COMPUTED_VALUE"""),"BB065")</f>
        <v>BB065</v>
      </c>
      <c r="C700" s="5" t="str">
        <f>IFERROR(__xludf.DUMMYFUNCTION("""COMPUTED_VALUE"""),"NÃO POSSUI")</f>
        <v>NÃO POSSUI</v>
      </c>
      <c r="D700" s="5" t="str">
        <f>IFERROR(__xludf.DUMMYFUNCTION("""COMPUTED_VALUE"""),"COM SUPORTE")</f>
        <v>COM SUPORTE</v>
      </c>
      <c r="E700" s="5" t="str">
        <f>IFERROR(__xludf.DUMMYFUNCTION("""COMPUTED_VALUE"""),"SEM BAIA")</f>
        <v>SEM BAIA</v>
      </c>
      <c r="F700" s="5" t="str">
        <f>IFERROR(__xludf.DUMMYFUNCTION("""COMPUTED_VALUE"""),"NÃO")</f>
        <v>NÃO</v>
      </c>
      <c r="G700" s="5" t="str">
        <f>IFERROR(__xludf.DUMMYFUNCTION("""COMPUTED_VALUE"""),"NÃO")</f>
        <v>NÃO</v>
      </c>
      <c r="H700" s="5" t="str">
        <f>IFERROR(__xludf.DUMMYFUNCTION("""COMPUTED_VALUE"""),"PAVIMENTADA")</f>
        <v>PAVIMENTADA</v>
      </c>
      <c r="I700" s="6" t="str">
        <f>IFERROR(__xludf.DUMMYFUNCTION("""COMPUTED_VALUE"""),"-9.568157")</f>
        <v>-9.568157</v>
      </c>
      <c r="J700" s="6" t="str">
        <f>IFERROR(__xludf.DUMMYFUNCTION("""COMPUTED_VALUE"""),"-35.718858")</f>
        <v>-35.718858</v>
      </c>
      <c r="K700" s="5" t="str">
        <f>IFERROR(__xludf.DUMMYFUNCTION("""COMPUTED_VALUE"""),"RUA A 25")</f>
        <v>RUA A 25</v>
      </c>
      <c r="L700" s="5" t="str">
        <f>IFERROR(__xludf.DUMMYFUNCTION("""COMPUTED_VALUE"""),"COLETORA")</f>
        <v>COLETORA</v>
      </c>
      <c r="M700" s="5" t="str">
        <f>IFERROR(__xludf.DUMMYFUNCTION("""COMPUTED_VALUE"""),"BENEDITO BENTES")</f>
        <v>BENEDITO BENTES</v>
      </c>
      <c r="N700" s="5" t="str">
        <f>IFERROR(__xludf.DUMMYFUNCTION("""COMPUTED_VALUE"""),"INTEGRAÇÃO")</f>
        <v>INTEGRAÇÃO</v>
      </c>
      <c r="O700" s="5" t="str">
        <f>IFERROR(__xludf.DUMMYFUNCTION("""COMPUTED_VALUE"""),"RUA A 25")</f>
        <v>RUA A 25</v>
      </c>
      <c r="P700" s="5" t="str">
        <f>IFERROR(__xludf.DUMMYFUNCTION("""COMPUTED_VALUE"""),"PRIORIDADE BAIXA")</f>
        <v>PRIORIDADE BAIXA</v>
      </c>
      <c r="Q700" s="5"/>
      <c r="R700" s="5" t="str">
        <f>IFERROR(__xludf.DUMMYFUNCTION("""COMPUTED_VALUE"""),"NENHUMA DAS OPÇÕES")</f>
        <v>NENHUMA DAS OPÇÕES</v>
      </c>
      <c r="S700" s="5"/>
      <c r="T700" s="5"/>
      <c r="U700" s="5"/>
      <c r="V700" s="9" t="str">
        <f>IFERROR(__xludf.DUMMYFUNCTION("""COMPUTED_VALUE"""),"https://drive.google.com/uc?id=1jGOn1yZbtXttuKFcUpnUkwMqZAhyExC8")</f>
        <v>https://drive.google.com/uc?id=1jGOn1yZbtXttuKFcUpnUkwMqZAhyExC8</v>
      </c>
      <c r="W700" s="5" t="str">
        <f>IFERROR(__xludf.DUMMYFUNCTION("""COMPUTED_VALUE"""),"NÃO")</f>
        <v>NÃO</v>
      </c>
      <c r="X700" s="5" t="str">
        <f>IFERROR(__xludf.DUMMYFUNCTION("""COMPUTED_VALUE"""),"NÃO SE APLICA")</f>
        <v>NÃO SE APLICA</v>
      </c>
    </row>
    <row r="701" hidden="1">
      <c r="A701" s="5">
        <f>IFERROR(__xludf.DUMMYFUNCTION("""COMPUTED_VALUE"""),6.0)</f>
        <v>6</v>
      </c>
      <c r="B701" s="5" t="str">
        <f>IFERROR(__xludf.DUMMYFUNCTION("""COMPUTED_VALUE"""),"BB066")</f>
        <v>BB066</v>
      </c>
      <c r="C701" s="5" t="str">
        <f>IFERROR(__xludf.DUMMYFUNCTION("""COMPUTED_VALUE"""),"NÃO POSSUI")</f>
        <v>NÃO POSSUI</v>
      </c>
      <c r="D701" s="5" t="str">
        <f>IFERROR(__xludf.DUMMYFUNCTION("""COMPUTED_VALUE"""),"COM SUPORTE")</f>
        <v>COM SUPORTE</v>
      </c>
      <c r="E701" s="5" t="str">
        <f>IFERROR(__xludf.DUMMYFUNCTION("""COMPUTED_VALUE"""),"SEM BAIA")</f>
        <v>SEM BAIA</v>
      </c>
      <c r="F701" s="5" t="str">
        <f>IFERROR(__xludf.DUMMYFUNCTION("""COMPUTED_VALUE"""),"NÃO")</f>
        <v>NÃO</v>
      </c>
      <c r="G701" s="5" t="str">
        <f>IFERROR(__xludf.DUMMYFUNCTION("""COMPUTED_VALUE"""),"NÃO")</f>
        <v>NÃO</v>
      </c>
      <c r="H701" s="5" t="str">
        <f>IFERROR(__xludf.DUMMYFUNCTION("""COMPUTED_VALUE"""),"PAVIMENTADA")</f>
        <v>PAVIMENTADA</v>
      </c>
      <c r="I701" s="6" t="str">
        <f>IFERROR(__xludf.DUMMYFUNCTION("""COMPUTED_VALUE"""),"-9.570055")</f>
        <v>-9.570055</v>
      </c>
      <c r="J701" s="6" t="str">
        <f>IFERROR(__xludf.DUMMYFUNCTION("""COMPUTED_VALUE"""),"-35.713805")</f>
        <v>-35.713805</v>
      </c>
      <c r="K701" s="5" t="str">
        <f>IFERROR(__xludf.DUMMYFUNCTION("""COMPUTED_VALUE"""),"RUA QUATRO")</f>
        <v>RUA QUATRO</v>
      </c>
      <c r="L701" s="5" t="str">
        <f>IFERROR(__xludf.DUMMYFUNCTION("""COMPUTED_VALUE"""),"COLETORA")</f>
        <v>COLETORA</v>
      </c>
      <c r="M701" s="5" t="str">
        <f>IFERROR(__xludf.DUMMYFUNCTION("""COMPUTED_VALUE"""),"BENEDITO BENTES")</f>
        <v>BENEDITO BENTES</v>
      </c>
      <c r="N701" s="5" t="str">
        <f>IFERROR(__xludf.DUMMYFUNCTION("""COMPUTED_VALUE"""),"BAIRRO - CENTRO")</f>
        <v>BAIRRO - CENTRO</v>
      </c>
      <c r="O701" s="5" t="str">
        <f>IFERROR(__xludf.DUMMYFUNCTION("""COMPUTED_VALUE"""),"EM FRENTE AO TERMINAL SORRISO")</f>
        <v>EM FRENTE AO TERMINAL SORRISO</v>
      </c>
      <c r="P701" s="5" t="str">
        <f>IFERROR(__xludf.DUMMYFUNCTION("""COMPUTED_VALUE"""),"PRIORIDADE BAIXA")</f>
        <v>PRIORIDADE BAIXA</v>
      </c>
      <c r="Q701" s="5"/>
      <c r="R701" s="5" t="str">
        <f>IFERROR(__xludf.DUMMYFUNCTION("""COMPUTED_VALUE"""),"IMPLANTAR ABRIGO")</f>
        <v>IMPLANTAR ABRIGO</v>
      </c>
      <c r="S701" s="5"/>
      <c r="T701" s="5"/>
      <c r="U701" s="5"/>
      <c r="V701" s="9" t="str">
        <f>IFERROR(__xludf.DUMMYFUNCTION("""COMPUTED_VALUE"""),"https://drive.google.com/uc?id=1jFN49oTcnpNFujlQvLEn4Zyax_kbW_tS")</f>
        <v>https://drive.google.com/uc?id=1jFN49oTcnpNFujlQvLEn4Zyax_kbW_tS</v>
      </c>
      <c r="W701" s="5" t="str">
        <f>IFERROR(__xludf.DUMMYFUNCTION("""COMPUTED_VALUE"""),"NÃO")</f>
        <v>NÃO</v>
      </c>
      <c r="X701" s="5" t="str">
        <f>IFERROR(__xludf.DUMMYFUNCTION("""COMPUTED_VALUE"""),"NÃO SE APLICA")</f>
        <v>NÃO SE APLICA</v>
      </c>
    </row>
    <row r="702" hidden="1">
      <c r="A702" s="5">
        <f>IFERROR(__xludf.DUMMYFUNCTION("""COMPUTED_VALUE"""),6.0)</f>
        <v>6</v>
      </c>
      <c r="B702" s="5" t="str">
        <f>IFERROR(__xludf.DUMMYFUNCTION("""COMPUTED_VALUE"""),"BB067")</f>
        <v>BB067</v>
      </c>
      <c r="C702" s="5" t="str">
        <f>IFERROR(__xludf.DUMMYFUNCTION("""COMPUTED_VALUE"""),"NÃO POSSUI")</f>
        <v>NÃO POSSUI</v>
      </c>
      <c r="D702" s="5" t="str">
        <f>IFERROR(__xludf.DUMMYFUNCTION("""COMPUTED_VALUE"""),"COM SUPORTE")</f>
        <v>COM SUPORTE</v>
      </c>
      <c r="E702" s="5" t="str">
        <f>IFERROR(__xludf.DUMMYFUNCTION("""COMPUTED_VALUE"""),"SEM BAIA")</f>
        <v>SEM BAIA</v>
      </c>
      <c r="F702" s="5" t="str">
        <f>IFERROR(__xludf.DUMMYFUNCTION("""COMPUTED_VALUE"""),"NÃO")</f>
        <v>NÃO</v>
      </c>
      <c r="G702" s="5" t="str">
        <f>IFERROR(__xludf.DUMMYFUNCTION("""COMPUTED_VALUE"""),"NÃO")</f>
        <v>NÃO</v>
      </c>
      <c r="H702" s="5" t="str">
        <f>IFERROR(__xludf.DUMMYFUNCTION("""COMPUTED_VALUE"""),"PAVIMENTADA")</f>
        <v>PAVIMENTADA</v>
      </c>
      <c r="I702" s="6" t="str">
        <f>IFERROR(__xludf.DUMMYFUNCTION("""COMPUTED_VALUE"""),"-9.571183")</f>
        <v>-9.571183</v>
      </c>
      <c r="J702" s="6" t="str">
        <f>IFERROR(__xludf.DUMMYFUNCTION("""COMPUTED_VALUE"""),"-35.712515")</f>
        <v>-35.712515</v>
      </c>
      <c r="K702" s="5" t="str">
        <f>IFERROR(__xludf.DUMMYFUNCTION("""COMPUTED_VALUE"""),"AV. CJ MOACIR ANDRADE 336")</f>
        <v>AV. CJ MOACIR ANDRADE 336</v>
      </c>
      <c r="L702" s="5" t="str">
        <f>IFERROR(__xludf.DUMMYFUNCTION("""COMPUTED_VALUE"""),"COLETORA")</f>
        <v>COLETORA</v>
      </c>
      <c r="M702" s="5" t="str">
        <f>IFERROR(__xludf.DUMMYFUNCTION("""COMPUTED_VALUE"""),"BENEDITO BENTES")</f>
        <v>BENEDITO BENTES</v>
      </c>
      <c r="N702" s="5" t="str">
        <f>IFERROR(__xludf.DUMMYFUNCTION("""COMPUTED_VALUE"""),"BAIRRO - CENTRO")</f>
        <v>BAIRRO - CENTRO</v>
      </c>
      <c r="O702" s="5" t="str">
        <f>IFERROR(__xludf.DUMMYFUNCTION("""COMPUTED_VALUE"""),"MERCEARIA SÃO JORGE")</f>
        <v>MERCEARIA SÃO JORGE</v>
      </c>
      <c r="P702" s="5" t="str">
        <f>IFERROR(__xludf.DUMMYFUNCTION("""COMPUTED_VALUE"""),"PRIORIDADE BAIXA")</f>
        <v>PRIORIDADE BAIXA</v>
      </c>
      <c r="Q702" s="5"/>
      <c r="R702" s="5" t="str">
        <f>IFERROR(__xludf.DUMMYFUNCTION("""COMPUTED_VALUE"""),"IMPLANTAR ABRIGO")</f>
        <v>IMPLANTAR ABRIGO</v>
      </c>
      <c r="S702" s="5"/>
      <c r="T702" s="5"/>
      <c r="U702" s="5"/>
      <c r="V702" s="9" t="str">
        <f>IFERROR(__xludf.DUMMYFUNCTION("""COMPUTED_VALUE"""),"https://drive.google.com/uc?id=1j69Tg9EFxH8HcMEUeRxP1mxYF4EpU9XC")</f>
        <v>https://drive.google.com/uc?id=1j69Tg9EFxH8HcMEUeRxP1mxYF4EpU9XC</v>
      </c>
      <c r="W702" s="5" t="str">
        <f>IFERROR(__xludf.DUMMYFUNCTION("""COMPUTED_VALUE"""),"NÃO")</f>
        <v>NÃO</v>
      </c>
      <c r="X702" s="5" t="str">
        <f>IFERROR(__xludf.DUMMYFUNCTION("""COMPUTED_VALUE"""),"NÃO SE APLICA")</f>
        <v>NÃO SE APLICA</v>
      </c>
    </row>
    <row r="703">
      <c r="A703" s="5">
        <f>IFERROR(__xludf.DUMMYFUNCTION("""COMPUTED_VALUE"""),6.0)</f>
        <v>6</v>
      </c>
      <c r="B703" s="5" t="str">
        <f>IFERROR(__xludf.DUMMYFUNCTION("""COMPUTED_VALUE"""),"BB068")</f>
        <v>BB068</v>
      </c>
      <c r="C703" s="5" t="str">
        <f>IFERROR(__xludf.DUMMYFUNCTION("""COMPUTED_VALUE"""),"ABRIGO METÁLICO PEQUENO PORTE")</f>
        <v>ABRIGO METÁLICO PEQUENO PORTE</v>
      </c>
      <c r="D703" s="5" t="str">
        <f>IFERROR(__xludf.DUMMYFUNCTION("""COMPUTED_VALUE"""),"SEM PLACA")</f>
        <v>SEM PLACA</v>
      </c>
      <c r="E703" s="5" t="str">
        <f>IFERROR(__xludf.DUMMYFUNCTION("""COMPUTED_VALUE"""),"SEM BAIA")</f>
        <v>SEM BAIA</v>
      </c>
      <c r="F703" s="5" t="str">
        <f>IFERROR(__xludf.DUMMYFUNCTION("""COMPUTED_VALUE"""),"NÃO")</f>
        <v>NÃO</v>
      </c>
      <c r="G703" s="5" t="str">
        <f>IFERROR(__xludf.DUMMYFUNCTION("""COMPUTED_VALUE"""),"NÃO")</f>
        <v>NÃO</v>
      </c>
      <c r="H703" s="5" t="str">
        <f>IFERROR(__xludf.DUMMYFUNCTION("""COMPUTED_VALUE"""),"NÃO PAVIMENTADA")</f>
        <v>NÃO PAVIMENTADA</v>
      </c>
      <c r="I703" s="6" t="str">
        <f>IFERROR(__xludf.DUMMYFUNCTION("""COMPUTED_VALUE"""),"-9.572622")</f>
        <v>-9.572622</v>
      </c>
      <c r="J703" s="6" t="str">
        <f>IFERROR(__xludf.DUMMYFUNCTION("""COMPUTED_VALUE"""),"-35.709122")</f>
        <v>-35.709122</v>
      </c>
      <c r="K703" s="5" t="str">
        <f>IFERROR(__xludf.DUMMYFUNCTION("""COMPUTED_VALUE"""),"RUA INTERNA 30")</f>
        <v>RUA INTERNA 30</v>
      </c>
      <c r="L703" s="5" t="str">
        <f>IFERROR(__xludf.DUMMYFUNCTION("""COMPUTED_VALUE"""),"COLETORA")</f>
        <v>COLETORA</v>
      </c>
      <c r="M703" s="5" t="str">
        <f>IFERROR(__xludf.DUMMYFUNCTION("""COMPUTED_VALUE"""),"BENEDITO BENTES")</f>
        <v>BENEDITO BENTES</v>
      </c>
      <c r="N703" s="5" t="str">
        <f>IFERROR(__xludf.DUMMYFUNCTION("""COMPUTED_VALUE"""),"BAIRRO - CENTRO")</f>
        <v>BAIRRO - CENTRO</v>
      </c>
      <c r="O703" s="5"/>
      <c r="P703" s="5" t="str">
        <f>IFERROR(__xludf.DUMMYFUNCTION("""COMPUTED_VALUE"""),"PRIORIDADE BAIXA")</f>
        <v>PRIORIDADE BAIXA</v>
      </c>
      <c r="Q703" s="5"/>
      <c r="R703" s="5" t="str">
        <f>IFERROR(__xludf.DUMMYFUNCTION("""COMPUTED_VALUE"""),"NENHUMA DAS OPÇÕES")</f>
        <v>NENHUMA DAS OPÇÕES</v>
      </c>
      <c r="S703" s="5"/>
      <c r="T703" s="5"/>
      <c r="U703" s="5"/>
      <c r="V703" s="9" t="str">
        <f>IFERROR(__xludf.DUMMYFUNCTION("""COMPUTED_VALUE"""),"https://drive.google.com/uc?id=1j5X5NgM3MC4UPlhYewL5OX02POaIPEkU")</f>
        <v>https://drive.google.com/uc?id=1j5X5NgM3MC4UPlhYewL5OX02POaIPEkU</v>
      </c>
      <c r="W703" s="5" t="str">
        <f>IFERROR(__xludf.DUMMYFUNCTION("""COMPUTED_VALUE"""),"NÃO")</f>
        <v>NÃO</v>
      </c>
      <c r="X703" s="5" t="str">
        <f>IFERROR(__xludf.DUMMYFUNCTION("""COMPUTED_VALUE"""),"NÃO")</f>
        <v>NÃO</v>
      </c>
    </row>
    <row r="704">
      <c r="A704" s="5">
        <f>IFERROR(__xludf.DUMMYFUNCTION("""COMPUTED_VALUE"""),6.0)</f>
        <v>6</v>
      </c>
      <c r="B704" s="5" t="str">
        <f>IFERROR(__xludf.DUMMYFUNCTION("""COMPUTED_VALUE"""),"BB069")</f>
        <v>BB069</v>
      </c>
      <c r="C704" s="5" t="str">
        <f>IFERROR(__xludf.DUMMYFUNCTION("""COMPUTED_VALUE"""),"ABRIGO EUCALIPTO PEQUENO PORTE")</f>
        <v>ABRIGO EUCALIPTO PEQUENO PORTE</v>
      </c>
      <c r="D704" s="5" t="str">
        <f>IFERROR(__xludf.DUMMYFUNCTION("""COMPUTED_VALUE"""),"COM SUPORTE")</f>
        <v>COM SUPORTE</v>
      </c>
      <c r="E704" s="5" t="str">
        <f>IFERROR(__xludf.DUMMYFUNCTION("""COMPUTED_VALUE"""),"SEM BAIA")</f>
        <v>SEM BAIA</v>
      </c>
      <c r="F704" s="5" t="str">
        <f>IFERROR(__xludf.DUMMYFUNCTION("""COMPUTED_VALUE"""),"NÃO")</f>
        <v>NÃO</v>
      </c>
      <c r="G704" s="5" t="str">
        <f>IFERROR(__xludf.DUMMYFUNCTION("""COMPUTED_VALUE"""),"NÃO")</f>
        <v>NÃO</v>
      </c>
      <c r="H704" s="5" t="str">
        <f>IFERROR(__xludf.DUMMYFUNCTION("""COMPUTED_VALUE"""),"NÃO PAVIMENTADA")</f>
        <v>NÃO PAVIMENTADA</v>
      </c>
      <c r="I704" s="6" t="str">
        <f>IFERROR(__xludf.DUMMYFUNCTION("""COMPUTED_VALUE"""),"-9.573302")</f>
        <v>-9.573302</v>
      </c>
      <c r="J704" s="6" t="str">
        <f>IFERROR(__xludf.DUMMYFUNCTION("""COMPUTED_VALUE"""),"-35.706338")</f>
        <v>-35.706338</v>
      </c>
      <c r="K704" s="5" t="str">
        <f>IFERROR(__xludf.DUMMYFUNCTION("""COMPUTED_VALUE"""),"AV. ROTA DO MAR")</f>
        <v>AV. ROTA DO MAR</v>
      </c>
      <c r="L704" s="5" t="str">
        <f>IFERROR(__xludf.DUMMYFUNCTION("""COMPUTED_VALUE"""),"ARTERIAL ")</f>
        <v>ARTERIAL </v>
      </c>
      <c r="M704" s="5" t="str">
        <f>IFERROR(__xludf.DUMMYFUNCTION("""COMPUTED_VALUE"""),"BENEDITO BENTES")</f>
        <v>BENEDITO BENTES</v>
      </c>
      <c r="N704" s="5" t="str">
        <f>IFERROR(__xludf.DUMMYFUNCTION("""COMPUTED_VALUE"""),"BAIRRO - CENTRO")</f>
        <v>BAIRRO - CENTRO</v>
      </c>
      <c r="O704" s="5" t="str">
        <f>IFERROR(__xludf.DUMMYFUNCTION("""COMPUTED_VALUE"""),"APÓS A PRIMEIRA ROTATÓRIA")</f>
        <v>APÓS A PRIMEIRA ROTATÓRIA</v>
      </c>
      <c r="P704" s="5" t="str">
        <f>IFERROR(__xludf.DUMMYFUNCTION("""COMPUTED_VALUE"""),"PRIORIDADE BAIXA")</f>
        <v>PRIORIDADE BAIXA</v>
      </c>
      <c r="Q704" s="5"/>
      <c r="R704" s="5" t="str">
        <f>IFERROR(__xludf.DUMMYFUNCTION("""COMPUTED_VALUE"""),"IMPLANTAR ABRIGO")</f>
        <v>IMPLANTAR ABRIGO</v>
      </c>
      <c r="S704" s="5"/>
      <c r="T704" s="5"/>
      <c r="U704" s="5"/>
      <c r="V704" s="9" t="str">
        <f>IFERROR(__xludf.DUMMYFUNCTION("""COMPUTED_VALUE"""),"https://drive.google.com/uc?id=1V0Ae78hQhXrXxen7TSpnGb1N_XZK1JRv")</f>
        <v>https://drive.google.com/uc?id=1V0Ae78hQhXrXxen7TSpnGb1N_XZK1JRv</v>
      </c>
      <c r="W704" s="5" t="str">
        <f>IFERROR(__xludf.DUMMYFUNCTION("""COMPUTED_VALUE"""),"NÃO")</f>
        <v>NÃO</v>
      </c>
      <c r="X704" s="5" t="str">
        <f>IFERROR(__xludf.DUMMYFUNCTION("""COMPUTED_VALUE"""),"NÃO SE APLICA")</f>
        <v>NÃO SE APLICA</v>
      </c>
    </row>
    <row r="705">
      <c r="A705" s="5">
        <f>IFERROR(__xludf.DUMMYFUNCTION("""COMPUTED_VALUE"""),6.0)</f>
        <v>6</v>
      </c>
      <c r="B705" s="5" t="str">
        <f>IFERROR(__xludf.DUMMYFUNCTION("""COMPUTED_VALUE"""),"BB070")</f>
        <v>BB070</v>
      </c>
      <c r="C705" s="5" t="str">
        <f>IFERROR(__xludf.DUMMYFUNCTION("""COMPUTED_VALUE"""),"ABRIGO EUCALIPTO PEQUENO PORTE")</f>
        <v>ABRIGO EUCALIPTO PEQUENO PORTE</v>
      </c>
      <c r="D705" s="5" t="str">
        <f>IFERROR(__xludf.DUMMYFUNCTION("""COMPUTED_VALUE"""),"FIXADA EM POSTE")</f>
        <v>FIXADA EM POSTE</v>
      </c>
      <c r="E705" s="5" t="str">
        <f>IFERROR(__xludf.DUMMYFUNCTION("""COMPUTED_VALUE"""),"SEM BAIA")</f>
        <v>SEM BAIA</v>
      </c>
      <c r="F705" s="5" t="str">
        <f>IFERROR(__xludf.DUMMYFUNCTION("""COMPUTED_VALUE"""),"SIM")</f>
        <v>SIM</v>
      </c>
      <c r="G705" s="5" t="str">
        <f>IFERROR(__xludf.DUMMYFUNCTION("""COMPUTED_VALUE"""),"NÃO")</f>
        <v>NÃO</v>
      </c>
      <c r="H705" s="5" t="str">
        <f>IFERROR(__xludf.DUMMYFUNCTION("""COMPUTED_VALUE"""),"PAVIMENTADA")</f>
        <v>PAVIMENTADA</v>
      </c>
      <c r="I705" s="6" t="str">
        <f>IFERROR(__xludf.DUMMYFUNCTION("""COMPUTED_VALUE"""),"-9.573038")</f>
        <v>-9.573038</v>
      </c>
      <c r="J705" s="6" t="str">
        <f>IFERROR(__xludf.DUMMYFUNCTION("""COMPUTED_VALUE"""),"-35.706488")</f>
        <v>-35.706488</v>
      </c>
      <c r="K705" s="5" t="str">
        <f>IFERROR(__xludf.DUMMYFUNCTION("""COMPUTED_VALUE"""),"ROTA DO MAR")</f>
        <v>ROTA DO MAR</v>
      </c>
      <c r="L705" s="5" t="str">
        <f>IFERROR(__xludf.DUMMYFUNCTION("""COMPUTED_VALUE"""),"ARTERIAL ")</f>
        <v>ARTERIAL </v>
      </c>
      <c r="M705" s="5" t="str">
        <f>IFERROR(__xludf.DUMMYFUNCTION("""COMPUTED_VALUE"""),"BENEDITO BENTES")</f>
        <v>BENEDITO BENTES</v>
      </c>
      <c r="N705" s="5" t="str">
        <f>IFERROR(__xludf.DUMMYFUNCTION("""COMPUTED_VALUE"""),"CENTRO - BAIRRO")</f>
        <v>CENTRO - BAIRRO</v>
      </c>
      <c r="O705" s="5" t="str">
        <f>IFERROR(__xludf.DUMMYFUNCTION("""COMPUTED_VALUE"""),"FIM DA ROTA DO MAR SENTIDO BENEDITO BENTES")</f>
        <v>FIM DA ROTA DO MAR SENTIDO BENEDITO BENTES</v>
      </c>
      <c r="P705" s="5" t="str">
        <f>IFERROR(__xludf.DUMMYFUNCTION("""COMPUTED_VALUE"""),"PRIORIDADE BAIXA")</f>
        <v>PRIORIDADE BAIXA</v>
      </c>
      <c r="Q705" s="5"/>
      <c r="R705" s="5" t="str">
        <f>IFERROR(__xludf.DUMMYFUNCTION("""COMPUTED_VALUE"""),"NENHUMA DAS OPÇÕES")</f>
        <v>NENHUMA DAS OPÇÕES</v>
      </c>
      <c r="S705" s="5"/>
      <c r="T705" s="5"/>
      <c r="U705" s="5"/>
      <c r="V705" s="9" t="str">
        <f>IFERROR(__xludf.DUMMYFUNCTION("""COMPUTED_VALUE"""),"https://drive.google.com/uc?id=1rEEsSlaGKiWGhBSPlVDQcvAhDSoTGBWW")</f>
        <v>https://drive.google.com/uc?id=1rEEsSlaGKiWGhBSPlVDQcvAhDSoTGBWW</v>
      </c>
      <c r="W705" s="5" t="str">
        <f>IFERROR(__xludf.DUMMYFUNCTION("""COMPUTED_VALUE"""),"NÃO")</f>
        <v>NÃO</v>
      </c>
      <c r="X705" s="5" t="str">
        <f>IFERROR(__xludf.DUMMYFUNCTION("""COMPUTED_VALUE"""),"NÃO SE APLICA")</f>
        <v>NÃO SE APLICA</v>
      </c>
    </row>
    <row r="706">
      <c r="A706" s="5">
        <f>IFERROR(__xludf.DUMMYFUNCTION("""COMPUTED_VALUE"""),6.0)</f>
        <v>6</v>
      </c>
      <c r="B706" s="5" t="str">
        <f>IFERROR(__xludf.DUMMYFUNCTION("""COMPUTED_VALUE"""),"BB071")</f>
        <v>BB071</v>
      </c>
      <c r="C706" s="5" t="str">
        <f>IFERROR(__xludf.DUMMYFUNCTION("""COMPUTED_VALUE"""),"ABRIGO METÁLICO PEQUENO PORTE")</f>
        <v>ABRIGO METÁLICO PEQUENO PORTE</v>
      </c>
      <c r="D706" s="5" t="str">
        <f>IFERROR(__xludf.DUMMYFUNCTION("""COMPUTED_VALUE"""),"SEM PLACA")</f>
        <v>SEM PLACA</v>
      </c>
      <c r="E706" s="5" t="str">
        <f>IFERROR(__xludf.DUMMYFUNCTION("""COMPUTED_VALUE"""),"SEM BAIA")</f>
        <v>SEM BAIA</v>
      </c>
      <c r="F706" s="5" t="str">
        <f>IFERROR(__xludf.DUMMYFUNCTION("""COMPUTED_VALUE"""),"NÃO")</f>
        <v>NÃO</v>
      </c>
      <c r="G706" s="5" t="str">
        <f>IFERROR(__xludf.DUMMYFUNCTION("""COMPUTED_VALUE"""),"NÃO")</f>
        <v>NÃO</v>
      </c>
      <c r="H706" s="5" t="str">
        <f>IFERROR(__xludf.DUMMYFUNCTION("""COMPUTED_VALUE"""),"NÃO PAVIMENTADA")</f>
        <v>NÃO PAVIMENTADA</v>
      </c>
      <c r="I706" s="6" t="str">
        <f>IFERROR(__xludf.DUMMYFUNCTION("""COMPUTED_VALUE"""),"-9.572510")</f>
        <v>-9.572510</v>
      </c>
      <c r="J706" s="6" t="str">
        <f>IFERROR(__xludf.DUMMYFUNCTION("""COMPUTED_VALUE"""),"-35.709055")</f>
        <v>-35.709055</v>
      </c>
      <c r="K706" s="5" t="str">
        <f>IFERROR(__xludf.DUMMYFUNCTION("""COMPUTED_VALUE"""),"RUA INTERNA 30")</f>
        <v>RUA INTERNA 30</v>
      </c>
      <c r="L706" s="5" t="str">
        <f>IFERROR(__xludf.DUMMYFUNCTION("""COMPUTED_VALUE"""),"ARTERIAL ")</f>
        <v>ARTERIAL </v>
      </c>
      <c r="M706" s="5" t="str">
        <f>IFERROR(__xludf.DUMMYFUNCTION("""COMPUTED_VALUE"""),"BENEDITO BENTES")</f>
        <v>BENEDITO BENTES</v>
      </c>
      <c r="N706" s="5" t="str">
        <f>IFERROR(__xludf.DUMMYFUNCTION("""COMPUTED_VALUE"""),"CENTRO - BAIRRO")</f>
        <v>CENTRO - BAIRRO</v>
      </c>
      <c r="O706" s="5"/>
      <c r="P706" s="5" t="str">
        <f>IFERROR(__xludf.DUMMYFUNCTION("""COMPUTED_VALUE"""),"PRIORIDADE BAIXA")</f>
        <v>PRIORIDADE BAIXA</v>
      </c>
      <c r="Q706" s="5"/>
      <c r="R706" s="5" t="str">
        <f>IFERROR(__xludf.DUMMYFUNCTION("""COMPUTED_VALUE"""),"NENHUMA DAS OPÇÕES")</f>
        <v>NENHUMA DAS OPÇÕES</v>
      </c>
      <c r="S706" s="5"/>
      <c r="T706" s="5"/>
      <c r="U706" s="5"/>
      <c r="V706" s="9" t="str">
        <f>IFERROR(__xludf.DUMMYFUNCTION("""COMPUTED_VALUE"""),"https://drive.google.com/uc?id=1isKrpgfOrS84oHgLjwyn4_p8efGW89l_")</f>
        <v>https://drive.google.com/uc?id=1isKrpgfOrS84oHgLjwyn4_p8efGW89l_</v>
      </c>
      <c r="W706" s="5" t="str">
        <f>IFERROR(__xludf.DUMMYFUNCTION("""COMPUTED_VALUE"""),"NÃO")</f>
        <v>NÃO</v>
      </c>
      <c r="X706" s="5" t="str">
        <f>IFERROR(__xludf.DUMMYFUNCTION("""COMPUTED_VALUE"""),"NÃO SE APLICA")</f>
        <v>NÃO SE APLICA</v>
      </c>
    </row>
    <row r="707" hidden="1">
      <c r="A707" s="5">
        <f>IFERROR(__xludf.DUMMYFUNCTION("""COMPUTED_VALUE"""),6.0)</f>
        <v>6</v>
      </c>
      <c r="B707" s="5" t="str">
        <f>IFERROR(__xludf.DUMMYFUNCTION("""COMPUTED_VALUE"""),"BB072")</f>
        <v>BB072</v>
      </c>
      <c r="C707" s="5" t="str">
        <f>IFERROR(__xludf.DUMMYFUNCTION("""COMPUTED_VALUE"""),"NÃO POSSUI")</f>
        <v>NÃO POSSUI</v>
      </c>
      <c r="D707" s="5" t="str">
        <f>IFERROR(__xludf.DUMMYFUNCTION("""COMPUTED_VALUE"""),"COM SUPORTE")</f>
        <v>COM SUPORTE</v>
      </c>
      <c r="E707" s="5" t="str">
        <f>IFERROR(__xludf.DUMMYFUNCTION("""COMPUTED_VALUE"""),"SEM BAIA")</f>
        <v>SEM BAIA</v>
      </c>
      <c r="F707" s="5" t="str">
        <f>IFERROR(__xludf.DUMMYFUNCTION("""COMPUTED_VALUE"""),"NÃO")</f>
        <v>NÃO</v>
      </c>
      <c r="G707" s="5" t="str">
        <f>IFERROR(__xludf.DUMMYFUNCTION("""COMPUTED_VALUE"""),"NÃO")</f>
        <v>NÃO</v>
      </c>
      <c r="H707" s="5" t="str">
        <f>IFERROR(__xludf.DUMMYFUNCTION("""COMPUTED_VALUE"""),"NÃO PAVIMENTADA")</f>
        <v>NÃO PAVIMENTADA</v>
      </c>
      <c r="I707" s="6" t="str">
        <f>IFERROR(__xludf.DUMMYFUNCTION("""COMPUTED_VALUE"""),"-9.571278")</f>
        <v>-9.571278</v>
      </c>
      <c r="J707" s="6" t="str">
        <f>IFERROR(__xludf.DUMMYFUNCTION("""COMPUTED_VALUE"""),"-35.712300")</f>
        <v>-35.712300</v>
      </c>
      <c r="K707" s="5" t="str">
        <f>IFERROR(__xludf.DUMMYFUNCTION("""COMPUTED_VALUE"""),"AV.CJ MOACIR ANDRADE 336")</f>
        <v>AV.CJ MOACIR ANDRADE 336</v>
      </c>
      <c r="L707" s="5" t="str">
        <f>IFERROR(__xludf.DUMMYFUNCTION("""COMPUTED_VALUE"""),"COLETORA")</f>
        <v>COLETORA</v>
      </c>
      <c r="M707" s="5" t="str">
        <f>IFERROR(__xludf.DUMMYFUNCTION("""COMPUTED_VALUE"""),"BENEDITO BENTES")</f>
        <v>BENEDITO BENTES</v>
      </c>
      <c r="N707" s="5" t="str">
        <f>IFERROR(__xludf.DUMMYFUNCTION("""COMPUTED_VALUE"""),"CENTRO - BAIRRO")</f>
        <v>CENTRO - BAIRRO</v>
      </c>
      <c r="O707" s="5" t="str">
        <f>IFERROR(__xludf.DUMMYFUNCTION("""COMPUTED_VALUE"""),"PRÓX. MERCEARIA SÃO JORGE")</f>
        <v>PRÓX. MERCEARIA SÃO JORGE</v>
      </c>
      <c r="P707" s="5" t="str">
        <f>IFERROR(__xludf.DUMMYFUNCTION("""COMPUTED_VALUE"""),"PRIORIDADE BAIXA")</f>
        <v>PRIORIDADE BAIXA</v>
      </c>
      <c r="Q707" s="5"/>
      <c r="R707" s="5" t="str">
        <f>IFERROR(__xludf.DUMMYFUNCTION("""COMPUTED_VALUE"""),"IMPLANTAR ABRIGO")</f>
        <v>IMPLANTAR ABRIGO</v>
      </c>
      <c r="S707" s="5"/>
      <c r="T707" s="5"/>
      <c r="U707" s="5"/>
      <c r="V707" s="9" t="str">
        <f>IFERROR(__xludf.DUMMYFUNCTION("""COMPUTED_VALUE"""),"https://drive.google.com/uc?id=1irewmLHRx6IaRUNxn30t4RGSHJZvdRu0")</f>
        <v>https://drive.google.com/uc?id=1irewmLHRx6IaRUNxn30t4RGSHJZvdRu0</v>
      </c>
      <c r="W707" s="5" t="str">
        <f>IFERROR(__xludf.DUMMYFUNCTION("""COMPUTED_VALUE"""),"NÃO")</f>
        <v>NÃO</v>
      </c>
      <c r="X707" s="5" t="str">
        <f>IFERROR(__xludf.DUMMYFUNCTION("""COMPUTED_VALUE"""),"NÃO SE APLICA")</f>
        <v>NÃO SE APLICA</v>
      </c>
    </row>
    <row r="708" hidden="1">
      <c r="A708" s="5">
        <f>IFERROR(__xludf.DUMMYFUNCTION("""COMPUTED_VALUE"""),6.0)</f>
        <v>6</v>
      </c>
      <c r="B708" s="5" t="str">
        <f>IFERROR(__xludf.DUMMYFUNCTION("""COMPUTED_VALUE"""),"BB073")</f>
        <v>BB073</v>
      </c>
      <c r="C708" s="5" t="str">
        <f>IFERROR(__xludf.DUMMYFUNCTION("""COMPUTED_VALUE"""),"NÃO POSSUI")</f>
        <v>NÃO POSSUI</v>
      </c>
      <c r="D708" s="5" t="str">
        <f>IFERROR(__xludf.DUMMYFUNCTION("""COMPUTED_VALUE"""),"SEM PLACA")</f>
        <v>SEM PLACA</v>
      </c>
      <c r="E708" s="5" t="str">
        <f>IFERROR(__xludf.DUMMYFUNCTION("""COMPUTED_VALUE"""),"BAIA CONSTRUÍDA")</f>
        <v>BAIA CONSTRUÍDA</v>
      </c>
      <c r="F708" s="5" t="str">
        <f>IFERROR(__xludf.DUMMYFUNCTION("""COMPUTED_VALUE"""),"SIM")</f>
        <v>SIM</v>
      </c>
      <c r="G708" s="5" t="str">
        <f>IFERROR(__xludf.DUMMYFUNCTION("""COMPUTED_VALUE"""),"NÃO")</f>
        <v>NÃO</v>
      </c>
      <c r="H708" s="5" t="str">
        <f>IFERROR(__xludf.DUMMYFUNCTION("""COMPUTED_VALUE"""),"PAVIMENTADA")</f>
        <v>PAVIMENTADA</v>
      </c>
      <c r="I708" s="6" t="str">
        <f>IFERROR(__xludf.DUMMYFUNCTION("""COMPUTED_VALUE"""),"-9.569957")</f>
        <v>-9.569957</v>
      </c>
      <c r="J708" s="6" t="str">
        <f>IFERROR(__xludf.DUMMYFUNCTION("""COMPUTED_VALUE"""),"-35.713749")</f>
        <v>-35.713749</v>
      </c>
      <c r="K708" s="5" t="str">
        <f>IFERROR(__xludf.DUMMYFUNCTION("""COMPUTED_VALUE"""),"AV. MOACIR ANDRADE 1 ")</f>
        <v>AV. MOACIR ANDRADE 1 </v>
      </c>
      <c r="L708" s="5" t="str">
        <f>IFERROR(__xludf.DUMMYFUNCTION("""COMPUTED_VALUE"""),"COLETORA")</f>
        <v>COLETORA</v>
      </c>
      <c r="M708" s="5" t="str">
        <f>IFERROR(__xludf.DUMMYFUNCTION("""COMPUTED_VALUE"""),"BENEDITO BENTES")</f>
        <v>BENEDITO BENTES</v>
      </c>
      <c r="N708" s="5" t="str">
        <f>IFERROR(__xludf.DUMMYFUNCTION("""COMPUTED_VALUE"""),"CENTRO - BAIRRO")</f>
        <v>CENTRO - BAIRRO</v>
      </c>
      <c r="O708" s="5" t="str">
        <f>IFERROR(__xludf.DUMMYFUNCTION("""COMPUTED_VALUE"""),"TERMINAL SORRISO")</f>
        <v>TERMINAL SORRISO</v>
      </c>
      <c r="P708" s="5" t="str">
        <f>IFERROR(__xludf.DUMMYFUNCTION("""COMPUTED_VALUE"""),"PRIORIDADE BAIXA")</f>
        <v>PRIORIDADE BAIXA</v>
      </c>
      <c r="Q708" s="5"/>
      <c r="R708" s="5" t="str">
        <f>IFERROR(__xludf.DUMMYFUNCTION("""COMPUTED_VALUE"""),"IMPLANTAR ABRIGO")</f>
        <v>IMPLANTAR ABRIGO</v>
      </c>
      <c r="S708" s="5"/>
      <c r="T708" s="5"/>
      <c r="U708" s="5"/>
      <c r="V708" s="9" t="str">
        <f>IFERROR(__xludf.DUMMYFUNCTION("""COMPUTED_VALUE"""),"https://drive.google.com/uc?id=1ioEjavc5hFH5kULiTBYXfRMMjGFjx-zQ")</f>
        <v>https://drive.google.com/uc?id=1ioEjavc5hFH5kULiTBYXfRMMjGFjx-zQ</v>
      </c>
      <c r="W708" s="5" t="str">
        <f>IFERROR(__xludf.DUMMYFUNCTION("""COMPUTED_VALUE"""),"NÃO")</f>
        <v>NÃO</v>
      </c>
      <c r="X708" s="5" t="str">
        <f>IFERROR(__xludf.DUMMYFUNCTION("""COMPUTED_VALUE"""),"NÃO SE APLICA")</f>
        <v>NÃO SE APLICA</v>
      </c>
    </row>
    <row r="709" hidden="1">
      <c r="A709" s="5">
        <f>IFERROR(__xludf.DUMMYFUNCTION("""COMPUTED_VALUE"""),6.0)</f>
        <v>6</v>
      </c>
      <c r="B709" s="5" t="str">
        <f>IFERROR(__xludf.DUMMYFUNCTION("""COMPUTED_VALUE"""),"BB074")</f>
        <v>BB074</v>
      </c>
      <c r="C709" s="5" t="str">
        <f>IFERROR(__xludf.DUMMYFUNCTION("""COMPUTED_VALUE"""),"NÃO POSSUI")</f>
        <v>NÃO POSSUI</v>
      </c>
      <c r="D709" s="5" t="str">
        <f>IFERROR(__xludf.DUMMYFUNCTION("""COMPUTED_VALUE"""),"FIXADA EM POSTE")</f>
        <v>FIXADA EM POSTE</v>
      </c>
      <c r="E709" s="5" t="str">
        <f>IFERROR(__xludf.DUMMYFUNCTION("""COMPUTED_VALUE"""),"SEM BAIA")</f>
        <v>SEM BAIA</v>
      </c>
      <c r="F709" s="5" t="str">
        <f>IFERROR(__xludf.DUMMYFUNCTION("""COMPUTED_VALUE"""),"NÃO")</f>
        <v>NÃO</v>
      </c>
      <c r="G709" s="5" t="str">
        <f>IFERROR(__xludf.DUMMYFUNCTION("""COMPUTED_VALUE"""),"NÃO")</f>
        <v>NÃO</v>
      </c>
      <c r="H709" s="5" t="str">
        <f>IFERROR(__xludf.DUMMYFUNCTION("""COMPUTED_VALUE"""),"PAVIMENTADA")</f>
        <v>PAVIMENTADA</v>
      </c>
      <c r="I709" s="6" t="str">
        <f>IFERROR(__xludf.DUMMYFUNCTION("""COMPUTED_VALUE"""),"-9.568523")</f>
        <v>-9.568523</v>
      </c>
      <c r="J709" s="6" t="str">
        <f>IFERROR(__xludf.DUMMYFUNCTION("""COMPUTED_VALUE"""),"-35.716098")</f>
        <v>-35.716098</v>
      </c>
      <c r="K709" s="5" t="str">
        <f>IFERROR(__xludf.DUMMYFUNCTION("""COMPUTED_VALUE"""),"QUADRA G AC AV CJ MOACIR ANDRADE 95")</f>
        <v>QUADRA G AC AV CJ MOACIR ANDRADE 95</v>
      </c>
      <c r="L709" s="5" t="str">
        <f>IFERROR(__xludf.DUMMYFUNCTION("""COMPUTED_VALUE"""),"COLETORA")</f>
        <v>COLETORA</v>
      </c>
      <c r="M709" s="5" t="str">
        <f>IFERROR(__xludf.DUMMYFUNCTION("""COMPUTED_VALUE"""),"BENEDITO BENTES")</f>
        <v>BENEDITO BENTES</v>
      </c>
      <c r="N709" s="5" t="str">
        <f>IFERROR(__xludf.DUMMYFUNCTION("""COMPUTED_VALUE"""),"INTEGRAÇÃO")</f>
        <v>INTEGRAÇÃO</v>
      </c>
      <c r="O709" s="5" t="str">
        <f>IFERROR(__xludf.DUMMYFUNCTION("""COMPUTED_VALUE"""),"PRÓX. A ASSEMBLEIA DE DEUS")</f>
        <v>PRÓX. A ASSEMBLEIA DE DEUS</v>
      </c>
      <c r="P709" s="5" t="str">
        <f>IFERROR(__xludf.DUMMYFUNCTION("""COMPUTED_VALUE"""),"PRIORIDADE BAIXA")</f>
        <v>PRIORIDADE BAIXA</v>
      </c>
      <c r="Q709" s="5"/>
      <c r="R709" s="5" t="str">
        <f>IFERROR(__xludf.DUMMYFUNCTION("""COMPUTED_VALUE"""),"NENHUMA DAS OPÇÕES")</f>
        <v>NENHUMA DAS OPÇÕES</v>
      </c>
      <c r="S709" s="5"/>
      <c r="T709" s="5"/>
      <c r="U709" s="5"/>
      <c r="V709" s="9" t="str">
        <f>IFERROR(__xludf.DUMMYFUNCTION("""COMPUTED_VALUE"""),"https://drive.google.com/uc?id=1ilvSX9bMm9_gPJ7GeVLQZtHihcYvDX_s")</f>
        <v>https://drive.google.com/uc?id=1ilvSX9bMm9_gPJ7GeVLQZtHihcYvDX_s</v>
      </c>
      <c r="W709" s="5" t="str">
        <f>IFERROR(__xludf.DUMMYFUNCTION("""COMPUTED_VALUE"""),"NÃO")</f>
        <v>NÃO</v>
      </c>
      <c r="X709" s="5" t="str">
        <f>IFERROR(__xludf.DUMMYFUNCTION("""COMPUTED_VALUE"""),"NÃO SE APLICA")</f>
        <v>NÃO SE APLICA</v>
      </c>
    </row>
    <row r="710">
      <c r="A710" s="5">
        <f>IFERROR(__xludf.DUMMYFUNCTION("""COMPUTED_VALUE"""),6.0)</f>
        <v>6</v>
      </c>
      <c r="B710" s="5" t="str">
        <f>IFERROR(__xludf.DUMMYFUNCTION("""COMPUTED_VALUE"""),"BB075")</f>
        <v>BB075</v>
      </c>
      <c r="C710" s="5" t="str">
        <f>IFERROR(__xludf.DUMMYFUNCTION("""COMPUTED_VALUE"""),"ABRIGO CONCRETO")</f>
        <v>ABRIGO CONCRETO</v>
      </c>
      <c r="D710" s="5" t="str">
        <f>IFERROR(__xludf.DUMMYFUNCTION("""COMPUTED_VALUE"""),"SEM PLACA")</f>
        <v>SEM PLACA</v>
      </c>
      <c r="E710" s="5" t="str">
        <f>IFERROR(__xludf.DUMMYFUNCTION("""COMPUTED_VALUE"""),"SEM BAIA")</f>
        <v>SEM BAIA</v>
      </c>
      <c r="F710" s="5" t="str">
        <f>IFERROR(__xludf.DUMMYFUNCTION("""COMPUTED_VALUE"""),"NÃO")</f>
        <v>NÃO</v>
      </c>
      <c r="G710" s="5" t="str">
        <f>IFERROR(__xludf.DUMMYFUNCTION("""COMPUTED_VALUE"""),"NÃO")</f>
        <v>NÃO</v>
      </c>
      <c r="H710" s="5" t="str">
        <f>IFERROR(__xludf.DUMMYFUNCTION("""COMPUTED_VALUE"""),"NÃO PAVIMENTADA")</f>
        <v>NÃO PAVIMENTADA</v>
      </c>
      <c r="I710" s="6" t="str">
        <f>IFERROR(__xludf.DUMMYFUNCTION("""COMPUTED_VALUE"""),"-9.568110")</f>
        <v>-9.568110</v>
      </c>
      <c r="J710" s="6" t="str">
        <f>IFERROR(__xludf.DUMMYFUNCTION("""COMPUTED_VALUE"""),"-35.718761")</f>
        <v>-35.718761</v>
      </c>
      <c r="K710" s="5" t="str">
        <f>IFERROR(__xludf.DUMMYFUNCTION("""COMPUTED_VALUE"""),"AV CJ MOACIR ANDRADE 26")</f>
        <v>AV CJ MOACIR ANDRADE 26</v>
      </c>
      <c r="L710" s="5" t="str">
        <f>IFERROR(__xludf.DUMMYFUNCTION("""COMPUTED_VALUE"""),"COLETORA")</f>
        <v>COLETORA</v>
      </c>
      <c r="M710" s="5" t="str">
        <f>IFERROR(__xludf.DUMMYFUNCTION("""COMPUTED_VALUE"""),"BENEDITO BENTES")</f>
        <v>BENEDITO BENTES</v>
      </c>
      <c r="N710" s="5" t="str">
        <f>IFERROR(__xludf.DUMMYFUNCTION("""COMPUTED_VALUE"""),"INTEGRAÇÃO")</f>
        <v>INTEGRAÇÃO</v>
      </c>
      <c r="O710" s="5" t="str">
        <f>IFERROR(__xludf.DUMMYFUNCTION("""COMPUTED_VALUE"""),"MERCADINHO PREÇO BOM ")</f>
        <v>MERCADINHO PREÇO BOM </v>
      </c>
      <c r="P710" s="5" t="str">
        <f>IFERROR(__xludf.DUMMYFUNCTION("""COMPUTED_VALUE"""),"PRIORIDADE BAIXA")</f>
        <v>PRIORIDADE BAIXA</v>
      </c>
      <c r="Q710" s="5"/>
      <c r="R710" s="5" t="str">
        <f>IFERROR(__xludf.DUMMYFUNCTION("""COMPUTED_VALUE"""),"SUBSTITUIR ABRIGO")</f>
        <v>SUBSTITUIR ABRIGO</v>
      </c>
      <c r="S710" s="5"/>
      <c r="T710" s="5"/>
      <c r="U710" s="5"/>
      <c r="V710" s="9" t="str">
        <f>IFERROR(__xludf.DUMMYFUNCTION("""COMPUTED_VALUE"""),"https://drive.google.com/uc?id=1iYTbJEB_rGq7VhAqjie9PLSL-jPQsBC9")</f>
        <v>https://drive.google.com/uc?id=1iYTbJEB_rGq7VhAqjie9PLSL-jPQsBC9</v>
      </c>
      <c r="W710" s="5" t="str">
        <f>IFERROR(__xludf.DUMMYFUNCTION("""COMPUTED_VALUE"""),"NÃO")</f>
        <v>NÃO</v>
      </c>
      <c r="X710" s="5" t="str">
        <f>IFERROR(__xludf.DUMMYFUNCTION("""COMPUTED_VALUE"""),"NÃO SE APLICA")</f>
        <v>NÃO SE APLICA</v>
      </c>
    </row>
    <row r="711">
      <c r="A711" s="5">
        <f>IFERROR(__xludf.DUMMYFUNCTION("""COMPUTED_VALUE"""),6.0)</f>
        <v>6</v>
      </c>
      <c r="B711" s="5" t="str">
        <f>IFERROR(__xludf.DUMMYFUNCTION("""COMPUTED_VALUE"""),"BB076")</f>
        <v>BB076</v>
      </c>
      <c r="C711" s="5" t="str">
        <f>IFERROR(__xludf.DUMMYFUNCTION("""COMPUTED_VALUE"""),"ABRIGO CONCRETO")</f>
        <v>ABRIGO CONCRETO</v>
      </c>
      <c r="D711" s="5" t="str">
        <f>IFERROR(__xludf.DUMMYFUNCTION("""COMPUTED_VALUE"""),"SEM PLACA")</f>
        <v>SEM PLACA</v>
      </c>
      <c r="E711" s="5" t="str">
        <f>IFERROR(__xludf.DUMMYFUNCTION("""COMPUTED_VALUE"""),"SEM BAIA")</f>
        <v>SEM BAIA</v>
      </c>
      <c r="F711" s="5" t="str">
        <f>IFERROR(__xludf.DUMMYFUNCTION("""COMPUTED_VALUE"""),"SIM")</f>
        <v>SIM</v>
      </c>
      <c r="G711" s="5" t="str">
        <f>IFERROR(__xludf.DUMMYFUNCTION("""COMPUTED_VALUE"""),"NÃO")</f>
        <v>NÃO</v>
      </c>
      <c r="H711" s="5" t="str">
        <f>IFERROR(__xludf.DUMMYFUNCTION("""COMPUTED_VALUE"""),"PAVIMENTADA")</f>
        <v>PAVIMENTADA</v>
      </c>
      <c r="I711" s="6" t="str">
        <f>IFERROR(__xludf.DUMMYFUNCTION("""COMPUTED_VALUE"""),"-9.567445")</f>
        <v>-9.567445</v>
      </c>
      <c r="J711" s="6" t="str">
        <f>IFERROR(__xludf.DUMMYFUNCTION("""COMPUTED_VALUE"""),"-35.721373")</f>
        <v>-35.721373</v>
      </c>
      <c r="K711" s="5" t="str">
        <f>IFERROR(__xludf.DUMMYFUNCTION("""COMPUTED_VALUE"""),"AV A 19")</f>
        <v>AV A 19</v>
      </c>
      <c r="L711" s="5" t="str">
        <f>IFERROR(__xludf.DUMMYFUNCTION("""COMPUTED_VALUE"""),"COLETORA")</f>
        <v>COLETORA</v>
      </c>
      <c r="M711" s="5" t="str">
        <f>IFERROR(__xludf.DUMMYFUNCTION("""COMPUTED_VALUE"""),"BENEDITO BENTES")</f>
        <v>BENEDITO BENTES</v>
      </c>
      <c r="N711" s="5" t="str">
        <f>IFERROR(__xludf.DUMMYFUNCTION("""COMPUTED_VALUE"""),"INTEGRAÇÃO")</f>
        <v>INTEGRAÇÃO</v>
      </c>
      <c r="O711" s="5" t="str">
        <f>IFERROR(__xludf.DUMMYFUNCTION("""COMPUTED_VALUE"""),"LANCHONETE TOP BURGUER")</f>
        <v>LANCHONETE TOP BURGUER</v>
      </c>
      <c r="P711" s="5" t="str">
        <f>IFERROR(__xludf.DUMMYFUNCTION("""COMPUTED_VALUE"""),"PRIORIDADE BAIXA")</f>
        <v>PRIORIDADE BAIXA</v>
      </c>
      <c r="Q711" s="5"/>
      <c r="R711" s="5" t="str">
        <f>IFERROR(__xludf.DUMMYFUNCTION("""COMPUTED_VALUE"""),"SUBSTITUIR ABRIGO")</f>
        <v>SUBSTITUIR ABRIGO</v>
      </c>
      <c r="S711" s="5"/>
      <c r="T711" s="5"/>
      <c r="U711" s="5"/>
      <c r="V711" s="9" t="str">
        <f>IFERROR(__xludf.DUMMYFUNCTION("""COMPUTED_VALUE"""),"https://drive.google.com/uc?id=1iYcw3N2FdZy_BYU88bAKZiPU3jOc5QwW")</f>
        <v>https://drive.google.com/uc?id=1iYcw3N2FdZy_BYU88bAKZiPU3jOc5QwW</v>
      </c>
      <c r="W711" s="5" t="str">
        <f>IFERROR(__xludf.DUMMYFUNCTION("""COMPUTED_VALUE"""),"NÃO")</f>
        <v>NÃO</v>
      </c>
      <c r="X711" s="5" t="str">
        <f>IFERROR(__xludf.DUMMYFUNCTION("""COMPUTED_VALUE"""),"NÃO SE APLICA")</f>
        <v>NÃO SE APLICA</v>
      </c>
    </row>
    <row r="712" hidden="1">
      <c r="A712" s="5">
        <f>IFERROR(__xludf.DUMMYFUNCTION("""COMPUTED_VALUE"""),6.0)</f>
        <v>6</v>
      </c>
      <c r="B712" s="5" t="str">
        <f>IFERROR(__xludf.DUMMYFUNCTION("""COMPUTED_VALUE"""),"BB077")</f>
        <v>BB077</v>
      </c>
      <c r="C712" s="5" t="str">
        <f>IFERROR(__xludf.DUMMYFUNCTION("""COMPUTED_VALUE"""),"NÃO POSSUI")</f>
        <v>NÃO POSSUI</v>
      </c>
      <c r="D712" s="5" t="str">
        <f>IFERROR(__xludf.DUMMYFUNCTION("""COMPUTED_VALUE"""),"COM SUPORTE")</f>
        <v>COM SUPORTE</v>
      </c>
      <c r="E712" s="5" t="str">
        <f>IFERROR(__xludf.DUMMYFUNCTION("""COMPUTED_VALUE"""),"SEM BAIA")</f>
        <v>SEM BAIA</v>
      </c>
      <c r="F712" s="5" t="str">
        <f>IFERROR(__xludf.DUMMYFUNCTION("""COMPUTED_VALUE"""),"NÃO")</f>
        <v>NÃO</v>
      </c>
      <c r="G712" s="5" t="str">
        <f>IFERROR(__xludf.DUMMYFUNCTION("""COMPUTED_VALUE"""),"NÃO")</f>
        <v>NÃO</v>
      </c>
      <c r="H712" s="5" t="str">
        <f>IFERROR(__xludf.DUMMYFUNCTION("""COMPUTED_VALUE"""),"PAVIMENTADA")</f>
        <v>PAVIMENTADA</v>
      </c>
      <c r="I712" s="6" t="str">
        <f>IFERROR(__xludf.DUMMYFUNCTION("""COMPUTED_VALUE"""),"-9.566123")</f>
        <v>-9.566123</v>
      </c>
      <c r="J712" s="6" t="str">
        <f>IFERROR(__xludf.DUMMYFUNCTION("""COMPUTED_VALUE"""),"-35.722603")</f>
        <v>-35.722603</v>
      </c>
      <c r="K712" s="5" t="str">
        <f>IFERROR(__xludf.DUMMYFUNCTION("""COMPUTED_VALUE"""),"AV. A 19")</f>
        <v>AV. A 19</v>
      </c>
      <c r="L712" s="5" t="str">
        <f>IFERROR(__xludf.DUMMYFUNCTION("""COMPUTED_VALUE"""),"COLETORA")</f>
        <v>COLETORA</v>
      </c>
      <c r="M712" s="5" t="str">
        <f>IFERROR(__xludf.DUMMYFUNCTION("""COMPUTED_VALUE"""),"BENEDITO BENTES")</f>
        <v>BENEDITO BENTES</v>
      </c>
      <c r="N712" s="5" t="str">
        <f>IFERROR(__xludf.DUMMYFUNCTION("""COMPUTED_VALUE"""),"INTEGRAÇÃO")</f>
        <v>INTEGRAÇÃO</v>
      </c>
      <c r="O712" s="5" t="str">
        <f>IFERROR(__xludf.DUMMYFUNCTION("""COMPUTED_VALUE"""),"LADO OPOSTO A BRASILFARMA")</f>
        <v>LADO OPOSTO A BRASILFARMA</v>
      </c>
      <c r="P712" s="5" t="str">
        <f>IFERROR(__xludf.DUMMYFUNCTION("""COMPUTED_VALUE"""),"PRIORIDADE BAIXA")</f>
        <v>PRIORIDADE BAIXA</v>
      </c>
      <c r="Q712" s="5"/>
      <c r="R712" s="5" t="str">
        <f>IFERROR(__xludf.DUMMYFUNCTION("""COMPUTED_VALUE"""),"NENHUMA DAS OPÇÕES")</f>
        <v>NENHUMA DAS OPÇÕES</v>
      </c>
      <c r="S712" s="5"/>
      <c r="T712" s="5"/>
      <c r="U712" s="5"/>
      <c r="V712" s="9" t="str">
        <f>IFERROR(__xludf.DUMMYFUNCTION("""COMPUTED_VALUE"""),"https://drive.google.com/uc?id=1iZjVibcraQkPdMrAp6U0EX81kFOMkAN4")</f>
        <v>https://drive.google.com/uc?id=1iZjVibcraQkPdMrAp6U0EX81kFOMkAN4</v>
      </c>
      <c r="W712" s="5" t="str">
        <f>IFERROR(__xludf.DUMMYFUNCTION("""COMPUTED_VALUE"""),"NÃO")</f>
        <v>NÃO</v>
      </c>
      <c r="X712" s="5" t="str">
        <f>IFERROR(__xludf.DUMMYFUNCTION("""COMPUTED_VALUE"""),"NÃO SE APLICA")</f>
        <v>NÃO SE APLICA</v>
      </c>
    </row>
    <row r="713">
      <c r="A713" s="5">
        <f>IFERROR(__xludf.DUMMYFUNCTION("""COMPUTED_VALUE"""),6.0)</f>
        <v>6</v>
      </c>
      <c r="B713" s="5" t="str">
        <f>IFERROR(__xludf.DUMMYFUNCTION("""COMPUTED_VALUE"""),"BB078")</f>
        <v>BB078</v>
      </c>
      <c r="C713" s="5" t="str">
        <f>IFERROR(__xludf.DUMMYFUNCTION("""COMPUTED_VALUE"""),"ABRIGO CONCRETO")</f>
        <v>ABRIGO CONCRETO</v>
      </c>
      <c r="D713" s="5" t="str">
        <f>IFERROR(__xludf.DUMMYFUNCTION("""COMPUTED_VALUE"""),"SEM PLACA")</f>
        <v>SEM PLACA</v>
      </c>
      <c r="E713" s="5" t="str">
        <f>IFERROR(__xludf.DUMMYFUNCTION("""COMPUTED_VALUE"""),"SEM BAIA")</f>
        <v>SEM BAIA</v>
      </c>
      <c r="F713" s="5" t="str">
        <f>IFERROR(__xludf.DUMMYFUNCTION("""COMPUTED_VALUE"""),"NÃO")</f>
        <v>NÃO</v>
      </c>
      <c r="G713" s="5" t="str">
        <f>IFERROR(__xludf.DUMMYFUNCTION("""COMPUTED_VALUE"""),"NÃO")</f>
        <v>NÃO</v>
      </c>
      <c r="H713" s="5" t="str">
        <f>IFERROR(__xludf.DUMMYFUNCTION("""COMPUTED_VALUE"""),"PAVIMENTADA")</f>
        <v>PAVIMENTADA</v>
      </c>
      <c r="I713" s="6" t="str">
        <f>IFERROR(__xludf.DUMMYFUNCTION("""COMPUTED_VALUE"""),"-9.563628")</f>
        <v>-9.563628</v>
      </c>
      <c r="J713" s="6" t="str">
        <f>IFERROR(__xludf.DUMMYFUNCTION("""COMPUTED_VALUE"""),"-35.723940")</f>
        <v>-35.723940</v>
      </c>
      <c r="K713" s="5" t="str">
        <f>IFERROR(__xludf.DUMMYFUNCTION("""COMPUTED_VALUE"""),"EM FRENTE A CASA 473")</f>
        <v>EM FRENTE A CASA 473</v>
      </c>
      <c r="L713" s="5" t="str">
        <f>IFERROR(__xludf.DUMMYFUNCTION("""COMPUTED_VALUE"""),"COLETORA")</f>
        <v>COLETORA</v>
      </c>
      <c r="M713" s="5" t="str">
        <f>IFERROR(__xludf.DUMMYFUNCTION("""COMPUTED_VALUE"""),"BENEDITO BENTES")</f>
        <v>BENEDITO BENTES</v>
      </c>
      <c r="N713" s="5" t="str">
        <f>IFERROR(__xludf.DUMMYFUNCTION("""COMPUTED_VALUE"""),"INTEGRAÇÃO")</f>
        <v>INTEGRAÇÃO</v>
      </c>
      <c r="O713" s="5" t="str">
        <f>IFERROR(__xludf.DUMMYFUNCTION("""COMPUTED_VALUE"""),"EM FRENTE A CASA 473")</f>
        <v>EM FRENTE A CASA 473</v>
      </c>
      <c r="P713" s="5" t="str">
        <f>IFERROR(__xludf.DUMMYFUNCTION("""COMPUTED_VALUE"""),"PRIORIDADE BAIXA")</f>
        <v>PRIORIDADE BAIXA</v>
      </c>
      <c r="Q713" s="5"/>
      <c r="R713" s="5" t="str">
        <f>IFERROR(__xludf.DUMMYFUNCTION("""COMPUTED_VALUE"""),"SUBSTITUIR ABRIGO")</f>
        <v>SUBSTITUIR ABRIGO</v>
      </c>
      <c r="S713" s="5"/>
      <c r="T713" s="5"/>
      <c r="U713" s="5"/>
      <c r="V713" s="9" t="str">
        <f>IFERROR(__xludf.DUMMYFUNCTION("""COMPUTED_VALUE"""),"https://drive.google.com/uc?id=1iam2kd8s-x2HN0fXXlKkUBcxywBMKZwt")</f>
        <v>https://drive.google.com/uc?id=1iam2kd8s-x2HN0fXXlKkUBcxywBMKZwt</v>
      </c>
      <c r="W713" s="5" t="str">
        <f>IFERROR(__xludf.DUMMYFUNCTION("""COMPUTED_VALUE"""),"NÃO")</f>
        <v>NÃO</v>
      </c>
      <c r="X713" s="5" t="str">
        <f>IFERROR(__xludf.DUMMYFUNCTION("""COMPUTED_VALUE"""),"NÃO SE APLICA")</f>
        <v>NÃO SE APLICA</v>
      </c>
    </row>
    <row r="714">
      <c r="A714" s="5">
        <f>IFERROR(__xludf.DUMMYFUNCTION("""COMPUTED_VALUE"""),6.0)</f>
        <v>6</v>
      </c>
      <c r="B714" s="5" t="str">
        <f>IFERROR(__xludf.DUMMYFUNCTION("""COMPUTED_VALUE"""),"BB079")</f>
        <v>BB079</v>
      </c>
      <c r="C714" s="5" t="str">
        <f>IFERROR(__xludf.DUMMYFUNCTION("""COMPUTED_VALUE"""),"ABRIGO CONCRETO")</f>
        <v>ABRIGO CONCRETO</v>
      </c>
      <c r="D714" s="5" t="str">
        <f>IFERROR(__xludf.DUMMYFUNCTION("""COMPUTED_VALUE"""),"SEM PLACA")</f>
        <v>SEM PLACA</v>
      </c>
      <c r="E714" s="5" t="str">
        <f>IFERROR(__xludf.DUMMYFUNCTION("""COMPUTED_VALUE"""),"SEM BAIA")</f>
        <v>SEM BAIA</v>
      </c>
      <c r="F714" s="5" t="str">
        <f>IFERROR(__xludf.DUMMYFUNCTION("""COMPUTED_VALUE"""),"NÃO")</f>
        <v>NÃO</v>
      </c>
      <c r="G714" s="5" t="str">
        <f>IFERROR(__xludf.DUMMYFUNCTION("""COMPUTED_VALUE"""),"NÃO")</f>
        <v>NÃO</v>
      </c>
      <c r="H714" s="5" t="str">
        <f>IFERROR(__xludf.DUMMYFUNCTION("""COMPUTED_VALUE"""),"NÃO PAVIMENTADA")</f>
        <v>NÃO PAVIMENTADA</v>
      </c>
      <c r="I714" s="6" t="str">
        <f>IFERROR(__xludf.DUMMYFUNCTION("""COMPUTED_VALUE"""),"-9.549588")</f>
        <v>-9.549588</v>
      </c>
      <c r="J714" s="6" t="str">
        <f>IFERROR(__xludf.DUMMYFUNCTION("""COMPUTED_VALUE"""),"-35.728813")</f>
        <v>-35.728813</v>
      </c>
      <c r="K714" s="5" t="str">
        <f>IFERROR(__xludf.DUMMYFUNCTION("""COMPUTED_VALUE"""),"RUA B TRINTA E OITO 19")</f>
        <v>RUA B TRINTA E OITO 19</v>
      </c>
      <c r="L714" s="5" t="str">
        <f>IFERROR(__xludf.DUMMYFUNCTION("""COMPUTED_VALUE"""),"COLETORA")</f>
        <v>COLETORA</v>
      </c>
      <c r="M714" s="5" t="str">
        <f>IFERROR(__xludf.DUMMYFUNCTION("""COMPUTED_VALUE"""),"BENEDITO BENTES")</f>
        <v>BENEDITO BENTES</v>
      </c>
      <c r="N714" s="5" t="str">
        <f>IFERROR(__xludf.DUMMYFUNCTION("""COMPUTED_VALUE"""),"INTEGRAÇÃO")</f>
        <v>INTEGRAÇÃO</v>
      </c>
      <c r="O714" s="5" t="str">
        <f>IFERROR(__xludf.DUMMYFUNCTION("""COMPUTED_VALUE"""),"EM  FRENTE A FEIRINHA  ")</f>
        <v>EM  FRENTE A FEIRINHA  </v>
      </c>
      <c r="P714" s="5" t="str">
        <f>IFERROR(__xludf.DUMMYFUNCTION("""COMPUTED_VALUE"""),"PRIORIDADE BAIXA")</f>
        <v>PRIORIDADE BAIXA</v>
      </c>
      <c r="Q714" s="5"/>
      <c r="R714" s="5" t="str">
        <f>IFERROR(__xludf.DUMMYFUNCTION("""COMPUTED_VALUE"""),"SUBSTITUIR ABRIGO")</f>
        <v>SUBSTITUIR ABRIGO</v>
      </c>
      <c r="S714" s="5"/>
      <c r="T714" s="5"/>
      <c r="U714" s="5"/>
      <c r="V714" s="9" t="str">
        <f>IFERROR(__xludf.DUMMYFUNCTION("""COMPUTED_VALUE"""),"https://drive.google.com/uc?id=1kjFH6vtiOaXXs8o6Suwf9iTCSF04K5wI")</f>
        <v>https://drive.google.com/uc?id=1kjFH6vtiOaXXs8o6Suwf9iTCSF04K5wI</v>
      </c>
      <c r="W714" s="5" t="str">
        <f>IFERROR(__xludf.DUMMYFUNCTION("""COMPUTED_VALUE"""),"NÃO")</f>
        <v>NÃO</v>
      </c>
      <c r="X714" s="5" t="str">
        <f>IFERROR(__xludf.DUMMYFUNCTION("""COMPUTED_VALUE"""),"NÃO SE APLICA")</f>
        <v>NÃO SE APLICA</v>
      </c>
    </row>
    <row r="715" hidden="1">
      <c r="A715" s="5">
        <f>IFERROR(__xludf.DUMMYFUNCTION("""COMPUTED_VALUE"""),6.0)</f>
        <v>6</v>
      </c>
      <c r="B715" s="5" t="str">
        <f>IFERROR(__xludf.DUMMYFUNCTION("""COMPUTED_VALUE"""),"BB080")</f>
        <v>BB080</v>
      </c>
      <c r="C715" s="5" t="str">
        <f>IFERROR(__xludf.DUMMYFUNCTION("""COMPUTED_VALUE"""),"NÃO POSSUI")</f>
        <v>NÃO POSSUI</v>
      </c>
      <c r="D715" s="5" t="str">
        <f>IFERROR(__xludf.DUMMYFUNCTION("""COMPUTED_VALUE"""),"COM SUPORTE")</f>
        <v>COM SUPORTE</v>
      </c>
      <c r="E715" s="5" t="str">
        <f>IFERROR(__xludf.DUMMYFUNCTION("""COMPUTED_VALUE"""),"SEM BAIA")</f>
        <v>SEM BAIA</v>
      </c>
      <c r="F715" s="5" t="str">
        <f>IFERROR(__xludf.DUMMYFUNCTION("""COMPUTED_VALUE"""),"NÃO")</f>
        <v>NÃO</v>
      </c>
      <c r="G715" s="5" t="str">
        <f>IFERROR(__xludf.DUMMYFUNCTION("""COMPUTED_VALUE"""),"NÃO")</f>
        <v>NÃO</v>
      </c>
      <c r="H715" s="5" t="str">
        <f>IFERROR(__xludf.DUMMYFUNCTION("""COMPUTED_VALUE"""),"PAVIMENTADA")</f>
        <v>PAVIMENTADA</v>
      </c>
      <c r="I715" s="6" t="str">
        <f>IFERROR(__xludf.DUMMYFUNCTION("""COMPUTED_VALUE"""),"-9.560106")</f>
        <v>-9.560106</v>
      </c>
      <c r="J715" s="6" t="str">
        <f>IFERROR(__xludf.DUMMYFUNCTION("""COMPUTED_VALUE"""),"-35.724896")</f>
        <v>-35.724896</v>
      </c>
      <c r="K715" s="5" t="str">
        <f>IFERROR(__xludf.DUMMYFUNCTION("""COMPUTED_VALUE"""),"AV. BENEDITO BENTES 365")</f>
        <v>AV. BENEDITO BENTES 365</v>
      </c>
      <c r="L715" s="5" t="str">
        <f>IFERROR(__xludf.DUMMYFUNCTION("""COMPUTED_VALUE"""),"COLETORA")</f>
        <v>COLETORA</v>
      </c>
      <c r="M715" s="5" t="str">
        <f>IFERROR(__xludf.DUMMYFUNCTION("""COMPUTED_VALUE"""),"BENEDITO BENTES")</f>
        <v>BENEDITO BENTES</v>
      </c>
      <c r="N715" s="5" t="str">
        <f>IFERROR(__xludf.DUMMYFUNCTION("""COMPUTED_VALUE"""),"INTEGRAÇÃO")</f>
        <v>INTEGRAÇÃO</v>
      </c>
      <c r="O715" s="5" t="str">
        <f>IFERROR(__xludf.DUMMYFUNCTION("""COMPUTED_VALUE"""),"LÍDER RAÇÕES ")</f>
        <v>LÍDER RAÇÕES </v>
      </c>
      <c r="P715" s="5" t="str">
        <f>IFERROR(__xludf.DUMMYFUNCTION("""COMPUTED_VALUE"""),"PRIORIDADE BAIXA")</f>
        <v>PRIORIDADE BAIXA</v>
      </c>
      <c r="Q715" s="5"/>
      <c r="R715" s="5" t="str">
        <f>IFERROR(__xludf.DUMMYFUNCTION("""COMPUTED_VALUE"""),"NENHUMA DAS OPÇÕES")</f>
        <v>NENHUMA DAS OPÇÕES</v>
      </c>
      <c r="S715" s="5"/>
      <c r="T715" s="5"/>
      <c r="U715" s="5"/>
      <c r="V715" s="9" t="str">
        <f>IFERROR(__xludf.DUMMYFUNCTION("""COMPUTED_VALUE"""),"https://drive.google.com/uc?id=1iPU7dZIhAKRUn2exAR4ejeEgJ8jlWN23")</f>
        <v>https://drive.google.com/uc?id=1iPU7dZIhAKRUn2exAR4ejeEgJ8jlWN23</v>
      </c>
      <c r="W715" s="5" t="str">
        <f>IFERROR(__xludf.DUMMYFUNCTION("""COMPUTED_VALUE"""),"NÃO")</f>
        <v>NÃO</v>
      </c>
      <c r="X715" s="5" t="str">
        <f>IFERROR(__xludf.DUMMYFUNCTION("""COMPUTED_VALUE"""),"NÃO SE APLICA")</f>
        <v>NÃO SE APLICA</v>
      </c>
    </row>
    <row r="716">
      <c r="A716" s="5">
        <f>IFERROR(__xludf.DUMMYFUNCTION("""COMPUTED_VALUE"""),6.0)</f>
        <v>6</v>
      </c>
      <c r="B716" s="5" t="str">
        <f>IFERROR(__xludf.DUMMYFUNCTION("""COMPUTED_VALUE"""),"BB081")</f>
        <v>BB081</v>
      </c>
      <c r="C716" s="5" t="str">
        <f>IFERROR(__xludf.DUMMYFUNCTION("""COMPUTED_VALUE"""),"ABRIGO CONCRETO")</f>
        <v>ABRIGO CONCRETO</v>
      </c>
      <c r="D716" s="5" t="str">
        <f>IFERROR(__xludf.DUMMYFUNCTION("""COMPUTED_VALUE"""),"FIXADA EM POSTE")</f>
        <v>FIXADA EM POSTE</v>
      </c>
      <c r="E716" s="5" t="str">
        <f>IFERROR(__xludf.DUMMYFUNCTION("""COMPUTED_VALUE"""),"SEM BAIA")</f>
        <v>SEM BAIA</v>
      </c>
      <c r="F716" s="5" t="str">
        <f>IFERROR(__xludf.DUMMYFUNCTION("""COMPUTED_VALUE"""),"NÃO")</f>
        <v>NÃO</v>
      </c>
      <c r="G716" s="5" t="str">
        <f>IFERROR(__xludf.DUMMYFUNCTION("""COMPUTED_VALUE"""),"NÃO")</f>
        <v>NÃO</v>
      </c>
      <c r="H716" s="5" t="str">
        <f>IFERROR(__xludf.DUMMYFUNCTION("""COMPUTED_VALUE"""),"PAVIMENTADA")</f>
        <v>PAVIMENTADA</v>
      </c>
      <c r="I716" s="6" t="str">
        <f>IFERROR(__xludf.DUMMYFUNCTION("""COMPUTED_VALUE"""),"-9.557463")</f>
        <v>-9.557463</v>
      </c>
      <c r="J716" s="6" t="str">
        <f>IFERROR(__xludf.DUMMYFUNCTION("""COMPUTED_VALUE"""),"-35.726880")</f>
        <v>-35.726880</v>
      </c>
      <c r="K716" s="5" t="str">
        <f>IFERROR(__xludf.DUMMYFUNCTION("""COMPUTED_VALUE"""),"AV. BENEDITO BENTES 382")</f>
        <v>AV. BENEDITO BENTES 382</v>
      </c>
      <c r="L716" s="5" t="str">
        <f>IFERROR(__xludf.DUMMYFUNCTION("""COMPUTED_VALUE"""),"COLETORA")</f>
        <v>COLETORA</v>
      </c>
      <c r="M716" s="5" t="str">
        <f>IFERROR(__xludf.DUMMYFUNCTION("""COMPUTED_VALUE"""),"BENEDITO BENTES")</f>
        <v>BENEDITO BENTES</v>
      </c>
      <c r="N716" s="5" t="str">
        <f>IFERROR(__xludf.DUMMYFUNCTION("""COMPUTED_VALUE"""),"INTEGRAÇÃO")</f>
        <v>INTEGRAÇÃO</v>
      </c>
      <c r="O716" s="5" t="str">
        <f>IFERROR(__xludf.DUMMYFUNCTION("""COMPUTED_VALUE"""),"LÍVIA BABY")</f>
        <v>LÍVIA BABY</v>
      </c>
      <c r="P716" s="5" t="str">
        <f>IFERROR(__xludf.DUMMYFUNCTION("""COMPUTED_VALUE"""),"PRIORIDADE BAIXA")</f>
        <v>PRIORIDADE BAIXA</v>
      </c>
      <c r="Q716" s="5"/>
      <c r="R716" s="5" t="str">
        <f>IFERROR(__xludf.DUMMYFUNCTION("""COMPUTED_VALUE"""),"SUBSTITUIR ABRIGO")</f>
        <v>SUBSTITUIR ABRIGO</v>
      </c>
      <c r="S716" s="5"/>
      <c r="T716" s="5"/>
      <c r="U716" s="5"/>
      <c r="V716" s="9" t="str">
        <f>IFERROR(__xludf.DUMMYFUNCTION("""COMPUTED_VALUE"""),"https://drive.google.com/uc?id=1iMRoijVDlreDwK55w8kIkpmrYEL6rksu")</f>
        <v>https://drive.google.com/uc?id=1iMRoijVDlreDwK55w8kIkpmrYEL6rksu</v>
      </c>
      <c r="W716" s="5" t="str">
        <f>IFERROR(__xludf.DUMMYFUNCTION("""COMPUTED_VALUE"""),"NÃO")</f>
        <v>NÃO</v>
      </c>
      <c r="X716" s="5" t="str">
        <f>IFERROR(__xludf.DUMMYFUNCTION("""COMPUTED_VALUE"""),"NÃO SE APLICA")</f>
        <v>NÃO SE APLICA</v>
      </c>
    </row>
    <row r="717">
      <c r="A717" s="5">
        <f>IFERROR(__xludf.DUMMYFUNCTION("""COMPUTED_VALUE"""),6.0)</f>
        <v>6</v>
      </c>
      <c r="B717" s="5" t="str">
        <f>IFERROR(__xludf.DUMMYFUNCTION("""COMPUTED_VALUE"""),"BB082")</f>
        <v>BB082</v>
      </c>
      <c r="C717" s="5" t="str">
        <f>IFERROR(__xludf.DUMMYFUNCTION("""COMPUTED_VALUE"""),"ABRIGO CONCRETO")</f>
        <v>ABRIGO CONCRETO</v>
      </c>
      <c r="D717" s="5" t="str">
        <f>IFERROR(__xludf.DUMMYFUNCTION("""COMPUTED_VALUE"""),"FIXADA EM POSTE")</f>
        <v>FIXADA EM POSTE</v>
      </c>
      <c r="E717" s="5" t="str">
        <f>IFERROR(__xludf.DUMMYFUNCTION("""COMPUTED_VALUE"""),"SEM BAIA")</f>
        <v>SEM BAIA</v>
      </c>
      <c r="F717" s="5" t="str">
        <f>IFERROR(__xludf.DUMMYFUNCTION("""COMPUTED_VALUE"""),"NÃO")</f>
        <v>NÃO</v>
      </c>
      <c r="G717" s="5" t="str">
        <f>IFERROR(__xludf.DUMMYFUNCTION("""COMPUTED_VALUE"""),"NÃO")</f>
        <v>NÃO</v>
      </c>
      <c r="H717" s="5" t="str">
        <f>IFERROR(__xludf.DUMMYFUNCTION("""COMPUTED_VALUE"""),"PAVIMENTADA")</f>
        <v>PAVIMENTADA</v>
      </c>
      <c r="I717" s="6" t="str">
        <f>IFERROR(__xludf.DUMMYFUNCTION("""COMPUTED_VALUE"""),"-9.554964")</f>
        <v>-9.554964</v>
      </c>
      <c r="J717" s="6" t="str">
        <f>IFERROR(__xludf.DUMMYFUNCTION("""COMPUTED_VALUE"""),"-35.729350")</f>
        <v>-35.729350</v>
      </c>
      <c r="K717" s="5" t="str">
        <f>IFERROR(__xludf.DUMMYFUNCTION("""COMPUTED_VALUE"""),"AV. BENEDITO BENTES 172")</f>
        <v>AV. BENEDITO BENTES 172</v>
      </c>
      <c r="L717" s="5" t="str">
        <f>IFERROR(__xludf.DUMMYFUNCTION("""COMPUTED_VALUE"""),"COLETORA")</f>
        <v>COLETORA</v>
      </c>
      <c r="M717" s="5" t="str">
        <f>IFERROR(__xludf.DUMMYFUNCTION("""COMPUTED_VALUE"""),"BENEDITO BENTES")</f>
        <v>BENEDITO BENTES</v>
      </c>
      <c r="N717" s="5" t="str">
        <f>IFERROR(__xludf.DUMMYFUNCTION("""COMPUTED_VALUE"""),"INTEGRAÇÃO")</f>
        <v>INTEGRAÇÃO</v>
      </c>
      <c r="O717" s="5" t="str">
        <f>IFERROR(__xludf.DUMMYFUNCTION("""COMPUTED_VALUE"""),"OLIVEIRA RAÇÕES")</f>
        <v>OLIVEIRA RAÇÕES</v>
      </c>
      <c r="P717" s="5" t="str">
        <f>IFERROR(__xludf.DUMMYFUNCTION("""COMPUTED_VALUE"""),"PRIORIDADE BAIXA")</f>
        <v>PRIORIDADE BAIXA</v>
      </c>
      <c r="Q717" s="5"/>
      <c r="R717" s="5" t="str">
        <f>IFERROR(__xludf.DUMMYFUNCTION("""COMPUTED_VALUE"""),"SUBSTITUIR ABRIGO")</f>
        <v>SUBSTITUIR ABRIGO</v>
      </c>
      <c r="S717" s="5"/>
      <c r="T717" s="5"/>
      <c r="U717" s="5"/>
      <c r="V717" s="9" t="str">
        <f>IFERROR(__xludf.DUMMYFUNCTION("""COMPUTED_VALUE"""),"https://drive.google.com/uc?id=1i8U7dTujh9KeFWKbERttK4euNCcDgu-b")</f>
        <v>https://drive.google.com/uc?id=1i8U7dTujh9KeFWKbERttK4euNCcDgu-b</v>
      </c>
      <c r="W717" s="5" t="str">
        <f>IFERROR(__xludf.DUMMYFUNCTION("""COMPUTED_VALUE"""),"NÃO")</f>
        <v>NÃO</v>
      </c>
      <c r="X717" s="5" t="str">
        <f>IFERROR(__xludf.DUMMYFUNCTION("""COMPUTED_VALUE"""),"NÃO SE APLICA")</f>
        <v>NÃO SE APLICA</v>
      </c>
    </row>
    <row r="718" hidden="1">
      <c r="A718" s="5">
        <f>IFERROR(__xludf.DUMMYFUNCTION("""COMPUTED_VALUE"""),6.0)</f>
        <v>6</v>
      </c>
      <c r="B718" s="5" t="str">
        <f>IFERROR(__xludf.DUMMYFUNCTION("""COMPUTED_VALUE"""),"BB083")</f>
        <v>BB083</v>
      </c>
      <c r="C718" s="5" t="str">
        <f>IFERROR(__xludf.DUMMYFUNCTION("""COMPUTED_VALUE"""),"NÃO POSSUI")</f>
        <v>NÃO POSSUI</v>
      </c>
      <c r="D718" s="5" t="str">
        <f>IFERROR(__xludf.DUMMYFUNCTION("""COMPUTED_VALUE"""),"COM SUPORTE")</f>
        <v>COM SUPORTE</v>
      </c>
      <c r="E718" s="5" t="str">
        <f>IFERROR(__xludf.DUMMYFUNCTION("""COMPUTED_VALUE"""),"BAIA CONSTRUÍDA")</f>
        <v>BAIA CONSTRUÍDA</v>
      </c>
      <c r="F718" s="5" t="str">
        <f>IFERROR(__xludf.DUMMYFUNCTION("""COMPUTED_VALUE"""),"NÃO")</f>
        <v>NÃO</v>
      </c>
      <c r="G718" s="5" t="str">
        <f>IFERROR(__xludf.DUMMYFUNCTION("""COMPUTED_VALUE"""),"NÃO")</f>
        <v>NÃO</v>
      </c>
      <c r="H718" s="5" t="str">
        <f>IFERROR(__xludf.DUMMYFUNCTION("""COMPUTED_VALUE"""),"PAVIMENTADA")</f>
        <v>PAVIMENTADA</v>
      </c>
      <c r="I718" s="6" t="str">
        <f>IFERROR(__xludf.DUMMYFUNCTION("""COMPUTED_VALUE"""),"-9.578335")</f>
        <v>-9.578335</v>
      </c>
      <c r="J718" s="6" t="str">
        <f>IFERROR(__xludf.DUMMYFUNCTION("""COMPUTED_VALUE"""),"-35.699938")</f>
        <v>-35.699938</v>
      </c>
      <c r="K718" s="5" t="str">
        <f>IFERROR(__xludf.DUMMYFUNCTION("""COMPUTED_VALUE"""),"ROTA DO MAR ")</f>
        <v>ROTA DO MAR </v>
      </c>
      <c r="L718" s="5" t="str">
        <f>IFERROR(__xludf.DUMMYFUNCTION("""COMPUTED_VALUE"""),"ARTERIAL ")</f>
        <v>ARTERIAL </v>
      </c>
      <c r="M718" s="5" t="str">
        <f>IFERROR(__xludf.DUMMYFUNCTION("""COMPUTED_VALUE"""),"BENEDITO BENTES")</f>
        <v>BENEDITO BENTES</v>
      </c>
      <c r="N718" s="5" t="str">
        <f>IFERROR(__xludf.DUMMYFUNCTION("""COMPUTED_VALUE"""),"INTEGRAÇÃO")</f>
        <v>INTEGRAÇÃO</v>
      </c>
      <c r="O718" s="5" t="str">
        <f>IFERROR(__xludf.DUMMYFUNCTION("""COMPUTED_VALUE"""),"BAIA CONSTRUÍDA")</f>
        <v>BAIA CONSTRUÍDA</v>
      </c>
      <c r="P718" s="5" t="str">
        <f>IFERROR(__xludf.DUMMYFUNCTION("""COMPUTED_VALUE"""),"PRIORIDADE BAIXA")</f>
        <v>PRIORIDADE BAIXA</v>
      </c>
      <c r="Q718" s="5"/>
      <c r="R718" s="5" t="str">
        <f>IFERROR(__xludf.DUMMYFUNCTION("""COMPUTED_VALUE"""),"IMPLANTAR ABRIGO")</f>
        <v>IMPLANTAR ABRIGO</v>
      </c>
      <c r="S718" s="5"/>
      <c r="T718" s="5"/>
      <c r="U718" s="5"/>
      <c r="V718" s="9" t="str">
        <f>IFERROR(__xludf.DUMMYFUNCTION("""COMPUTED_VALUE"""),"https://drive.google.com/uc?id=1RBPxRkmEHusJRUP7bRcIfZNLpvcjmQTT")</f>
        <v>https://drive.google.com/uc?id=1RBPxRkmEHusJRUP7bRcIfZNLpvcjmQTT</v>
      </c>
      <c r="W718" s="5"/>
      <c r="X718" s="5"/>
    </row>
    <row r="719" ht="19.5" hidden="1" customHeight="1">
      <c r="A719" s="5">
        <f>IFERROR(__xludf.DUMMYFUNCTION("""COMPUTED_VALUE"""),6.0)</f>
        <v>6</v>
      </c>
      <c r="B719" s="5" t="str">
        <f>IFERROR(__xludf.DUMMYFUNCTION("""COMPUTED_VALUE"""),"BB084")</f>
        <v>BB084</v>
      </c>
      <c r="C719" s="5" t="str">
        <f>IFERROR(__xludf.DUMMYFUNCTION("""COMPUTED_VALUE"""),"NÃO POSSUI")</f>
        <v>NÃO POSSUI</v>
      </c>
      <c r="D719" s="5" t="str">
        <f>IFERROR(__xludf.DUMMYFUNCTION("""COMPUTED_VALUE"""),"COM SUPORTE")</f>
        <v>COM SUPORTE</v>
      </c>
      <c r="E719" s="5" t="str">
        <f>IFERROR(__xludf.DUMMYFUNCTION("""COMPUTED_VALUE"""),"BAIA CONSTRUÍDA")</f>
        <v>BAIA CONSTRUÍDA</v>
      </c>
      <c r="F719" s="5" t="str">
        <f>IFERROR(__xludf.DUMMYFUNCTION("""COMPUTED_VALUE"""),"NÃO")</f>
        <v>NÃO</v>
      </c>
      <c r="G719" s="5" t="str">
        <f>IFERROR(__xludf.DUMMYFUNCTION("""COMPUTED_VALUE"""),"NÃO")</f>
        <v>NÃO</v>
      </c>
      <c r="H719" s="5" t="str">
        <f>IFERROR(__xludf.DUMMYFUNCTION("""COMPUTED_VALUE"""),"PAVIMENTADA")</f>
        <v>PAVIMENTADA</v>
      </c>
      <c r="I719" s="6" t="str">
        <f>IFERROR(__xludf.DUMMYFUNCTION("""COMPUTED_VALUE"""),"-9.576269")</f>
        <v>-9.576269</v>
      </c>
      <c r="J719" s="6" t="str">
        <f>IFERROR(__xludf.DUMMYFUNCTION("""COMPUTED_VALUE"""),"-35.702189")</f>
        <v>-35.702189</v>
      </c>
      <c r="K719" s="5" t="str">
        <f>IFERROR(__xludf.DUMMYFUNCTION("""COMPUTED_VALUE"""),"ROTA DO MAR ")</f>
        <v>ROTA DO MAR </v>
      </c>
      <c r="L719" s="5" t="str">
        <f>IFERROR(__xludf.DUMMYFUNCTION("""COMPUTED_VALUE"""),"ARTERIAL ")</f>
        <v>ARTERIAL </v>
      </c>
      <c r="M719" s="5" t="str">
        <f>IFERROR(__xludf.DUMMYFUNCTION("""COMPUTED_VALUE"""),"BENEDITO BENTES")</f>
        <v>BENEDITO BENTES</v>
      </c>
      <c r="N719" s="5" t="str">
        <f>IFERROR(__xludf.DUMMYFUNCTION("""COMPUTED_VALUE"""),"INTEGRAÇÃO")</f>
        <v>INTEGRAÇÃO</v>
      </c>
      <c r="O719" s="5" t="str">
        <f>IFERROR(__xludf.DUMMYFUNCTION("""COMPUTED_VALUE"""),"BAIA CONSTRUÍDA")</f>
        <v>BAIA CONSTRUÍDA</v>
      </c>
      <c r="P719" s="5" t="str">
        <f>IFERROR(__xludf.DUMMYFUNCTION("""COMPUTED_VALUE"""),"PRIORIDADE BAIXA")</f>
        <v>PRIORIDADE BAIXA</v>
      </c>
      <c r="Q719" s="5"/>
      <c r="R719" s="5" t="str">
        <f>IFERROR(__xludf.DUMMYFUNCTION("""COMPUTED_VALUE"""),"IMPLANTAR ABRIGO")</f>
        <v>IMPLANTAR ABRIGO</v>
      </c>
      <c r="S719" s="5"/>
      <c r="T719" s="5"/>
      <c r="U719" s="5"/>
      <c r="V719" s="9" t="str">
        <f>IFERROR(__xludf.DUMMYFUNCTION("""COMPUTED_VALUE"""),"https://drive.google.com/uc?id=1u-QkgkaucIb2qiGaDz2tPEePvC_mI0M5")</f>
        <v>https://drive.google.com/uc?id=1u-QkgkaucIb2qiGaDz2tPEePvC_mI0M5</v>
      </c>
      <c r="W719" s="5"/>
      <c r="X719" s="5"/>
    </row>
    <row r="720" ht="19.5" hidden="1" customHeight="1">
      <c r="A720" s="5">
        <f>IFERROR(__xludf.DUMMYFUNCTION("""COMPUTED_VALUE"""),6.0)</f>
        <v>6</v>
      </c>
      <c r="B720" s="5" t="str">
        <f>IFERROR(__xludf.DUMMYFUNCTION("""COMPUTED_VALUE"""),"BB085")</f>
        <v>BB085</v>
      </c>
      <c r="C720" s="5" t="str">
        <f>IFERROR(__xludf.DUMMYFUNCTION("""COMPUTED_VALUE"""),"NÃO POSSUI")</f>
        <v>NÃO POSSUI</v>
      </c>
      <c r="D720" s="5"/>
      <c r="E720" s="5" t="str">
        <f>IFERROR(__xludf.DUMMYFUNCTION("""COMPUTED_VALUE"""),"BAIA CONSTRUÍDA")</f>
        <v>BAIA CONSTRUÍDA</v>
      </c>
      <c r="F720" s="5" t="str">
        <f>IFERROR(__xludf.DUMMYFUNCTION("""COMPUTED_VALUE"""),"NÃO")</f>
        <v>NÃO</v>
      </c>
      <c r="G720" s="5" t="str">
        <f>IFERROR(__xludf.DUMMYFUNCTION("""COMPUTED_VALUE"""),"NÃO")</f>
        <v>NÃO</v>
      </c>
      <c r="H720" s="5" t="str">
        <f>IFERROR(__xludf.DUMMYFUNCTION("""COMPUTED_VALUE"""),"PAVIMENTADA")</f>
        <v>PAVIMENTADA</v>
      </c>
      <c r="I720" s="6" t="str">
        <f>IFERROR(__xludf.DUMMYFUNCTION("""COMPUTED_VALUE"""),"-9.576097")</f>
        <v>-9.576097</v>
      </c>
      <c r="J720" s="6" t="str">
        <f>IFERROR(__xludf.DUMMYFUNCTION("""COMPUTED_VALUE"""),"-35.702553")</f>
        <v>-35.702553</v>
      </c>
      <c r="K720" s="5" t="str">
        <f>IFERROR(__xludf.DUMMYFUNCTION("""COMPUTED_VALUE"""),"ROTA DO MAR ")</f>
        <v>ROTA DO MAR </v>
      </c>
      <c r="L720" s="5" t="str">
        <f>IFERROR(__xludf.DUMMYFUNCTION("""COMPUTED_VALUE"""),"ARTERIAL ")</f>
        <v>ARTERIAL </v>
      </c>
      <c r="M720" s="5" t="str">
        <f>IFERROR(__xludf.DUMMYFUNCTION("""COMPUTED_VALUE"""),"BENEDITO BENTES")</f>
        <v>BENEDITO BENTES</v>
      </c>
      <c r="N720" s="5" t="str">
        <f>IFERROR(__xludf.DUMMYFUNCTION("""COMPUTED_VALUE"""),"INTEGRAÇÃO")</f>
        <v>INTEGRAÇÃO</v>
      </c>
      <c r="O720" s="5" t="str">
        <f>IFERROR(__xludf.DUMMYFUNCTION("""COMPUTED_VALUE"""),"BAIA CONSTRUÍDA")</f>
        <v>BAIA CONSTRUÍDA</v>
      </c>
      <c r="P720" s="5" t="str">
        <f>IFERROR(__xludf.DUMMYFUNCTION("""COMPUTED_VALUE"""),"PRIORIDADE BAIXA")</f>
        <v>PRIORIDADE BAIXA</v>
      </c>
      <c r="Q720" s="5"/>
      <c r="R720" s="5" t="str">
        <f>IFERROR(__xludf.DUMMYFUNCTION("""COMPUTED_VALUE"""),"IMPLANTAR ABRIGO")</f>
        <v>IMPLANTAR ABRIGO</v>
      </c>
      <c r="S720" s="5"/>
      <c r="T720" s="5"/>
      <c r="U720" s="5"/>
      <c r="V720" s="9" t="str">
        <f>IFERROR(__xludf.DUMMYFUNCTION("""COMPUTED_VALUE"""),"https://drive.google.com/uc?id=1B4Jv_GpnqVTgt9N-eyZwb8tykGfeGukk")</f>
        <v>https://drive.google.com/uc?id=1B4Jv_GpnqVTgt9N-eyZwb8tykGfeGukk</v>
      </c>
      <c r="W720" s="5"/>
      <c r="X720" s="5"/>
    </row>
    <row r="721" ht="19.5" hidden="1" customHeight="1">
      <c r="A721" s="5">
        <f>IFERROR(__xludf.DUMMYFUNCTION("""COMPUTED_VALUE"""),6.0)</f>
        <v>6</v>
      </c>
      <c r="B721" s="5" t="str">
        <f>IFERROR(__xludf.DUMMYFUNCTION("""COMPUTED_VALUE"""),"BB086")</f>
        <v>BB086</v>
      </c>
      <c r="C721" s="5" t="str">
        <f>IFERROR(__xludf.DUMMYFUNCTION("""COMPUTED_VALUE"""),"NÃO POSSUI")</f>
        <v>NÃO POSSUI</v>
      </c>
      <c r="D721" s="5" t="str">
        <f>IFERROR(__xludf.DUMMYFUNCTION("""COMPUTED_VALUE"""),"SEM PLACA")</f>
        <v>SEM PLACA</v>
      </c>
      <c r="E721" s="5" t="str">
        <f>IFERROR(__xludf.DUMMYFUNCTION("""COMPUTED_VALUE"""),"SEM BAIA")</f>
        <v>SEM BAIA</v>
      </c>
      <c r="F721" s="5" t="str">
        <f>IFERROR(__xludf.DUMMYFUNCTION("""COMPUTED_VALUE"""),"NÃO")</f>
        <v>NÃO</v>
      </c>
      <c r="G721" s="5" t="str">
        <f>IFERROR(__xludf.DUMMYFUNCTION("""COMPUTED_VALUE"""),"NÃO")</f>
        <v>NÃO</v>
      </c>
      <c r="H721" s="5" t="str">
        <f>IFERROR(__xludf.DUMMYFUNCTION("""COMPUTED_VALUE"""),"PAVIMENTADA")</f>
        <v>PAVIMENTADA</v>
      </c>
      <c r="I721" s="6" t="str">
        <f>IFERROR(__xludf.DUMMYFUNCTION("""COMPUTED_VALUE"""),"-9.557753")</f>
        <v>-9.557753</v>
      </c>
      <c r="J721" s="6" t="str">
        <f>IFERROR(__xludf.DUMMYFUNCTION("""COMPUTED_VALUE"""),"-35.713637")</f>
        <v>-35.713637</v>
      </c>
      <c r="K721" s="5" t="str">
        <f>IFERROR(__xludf.DUMMYFUNCTION("""COMPUTED_VALUE"""),"RUA SEM NOME")</f>
        <v>RUA SEM NOME</v>
      </c>
      <c r="L721" s="5" t="str">
        <f>IFERROR(__xludf.DUMMYFUNCTION("""COMPUTED_VALUE"""),"LOCAL")</f>
        <v>LOCAL</v>
      </c>
      <c r="M721" s="5" t="str">
        <f>IFERROR(__xludf.DUMMYFUNCTION("""COMPUTED_VALUE"""),"BENEDITO BENTES")</f>
        <v>BENEDITO BENTES</v>
      </c>
      <c r="N721" s="5" t="str">
        <f>IFERROR(__xludf.DUMMYFUNCTION("""COMPUTED_VALUE"""),"INTEGRAÇÃO")</f>
        <v>INTEGRAÇÃO</v>
      </c>
      <c r="O721" s="5" t="str">
        <f>IFERROR(__xludf.DUMMYFUNCTION("""COMPUTED_VALUE"""),"IGREJA ASSEMBLEIA DE DEUS")</f>
        <v>IGREJA ASSEMBLEIA DE DEUS</v>
      </c>
      <c r="P721" s="5" t="str">
        <f>IFERROR(__xludf.DUMMYFUNCTION("""COMPUTED_VALUE"""),"PRIORIDADE BAIXA")</f>
        <v>PRIORIDADE BAIXA</v>
      </c>
      <c r="Q721" s="5"/>
      <c r="R721" s="5" t="str">
        <f>IFERROR(__xludf.DUMMYFUNCTION("""COMPUTED_VALUE"""),"IMPLANTAR PLACA COM SUPORTE")</f>
        <v>IMPLANTAR PLACA COM SUPORTE</v>
      </c>
      <c r="S721" s="5"/>
      <c r="T721" s="5"/>
      <c r="U721" s="5"/>
      <c r="V721" s="9" t="str">
        <f>IFERROR(__xludf.DUMMYFUNCTION("""COMPUTED_VALUE"""),"https://drive.google.com/uc?id=1pCuWOu9Yr3dqG1oZHJnU6XsZ939JAFxY")</f>
        <v>https://drive.google.com/uc?id=1pCuWOu9Yr3dqG1oZHJnU6XsZ939JAFxY</v>
      </c>
      <c r="W721" s="5" t="str">
        <f>IFERROR(__xludf.DUMMYFUNCTION("""COMPUTED_VALUE"""),"NÃO")</f>
        <v>NÃO</v>
      </c>
      <c r="X721" s="5" t="str">
        <f>IFERROR(__xludf.DUMMYFUNCTION("""COMPUTED_VALUE"""),"NÃO SE APLICA")</f>
        <v>NÃO SE APLICA</v>
      </c>
    </row>
    <row r="722" ht="19.5" hidden="1" customHeight="1">
      <c r="A722" s="5">
        <f>IFERROR(__xludf.DUMMYFUNCTION("""COMPUTED_VALUE"""),6.0)</f>
        <v>6</v>
      </c>
      <c r="B722" s="5" t="str">
        <f>IFERROR(__xludf.DUMMYFUNCTION("""COMPUTED_VALUE"""),"BB087")</f>
        <v>BB087</v>
      </c>
      <c r="C722" s="5" t="str">
        <f>IFERROR(__xludf.DUMMYFUNCTION("""COMPUTED_VALUE"""),"NÃO POSSUI")</f>
        <v>NÃO POSSUI</v>
      </c>
      <c r="D722" s="5" t="str">
        <f>IFERROR(__xludf.DUMMYFUNCTION("""COMPUTED_VALUE"""),"SEM PLACA")</f>
        <v>SEM PLACA</v>
      </c>
      <c r="E722" s="5" t="str">
        <f>IFERROR(__xludf.DUMMYFUNCTION("""COMPUTED_VALUE"""),"SEM BAIA")</f>
        <v>SEM BAIA</v>
      </c>
      <c r="F722" s="5" t="str">
        <f>IFERROR(__xludf.DUMMYFUNCTION("""COMPUTED_VALUE"""),"NÃO")</f>
        <v>NÃO</v>
      </c>
      <c r="G722" s="5" t="str">
        <f>IFERROR(__xludf.DUMMYFUNCTION("""COMPUTED_VALUE"""),"NÃO")</f>
        <v>NÃO</v>
      </c>
      <c r="H722" s="5" t="str">
        <f>IFERROR(__xludf.DUMMYFUNCTION("""COMPUTED_VALUE"""),"PAVIMENTADA")</f>
        <v>PAVIMENTADA</v>
      </c>
      <c r="I722" s="6" t="str">
        <f>IFERROR(__xludf.DUMMYFUNCTION("""COMPUTED_VALUE"""),"-9.558896")</f>
        <v>-9.558896</v>
      </c>
      <c r="J722" s="6" t="str">
        <f>IFERROR(__xludf.DUMMYFUNCTION("""COMPUTED_VALUE"""),"-35.711939")</f>
        <v>-35.711939</v>
      </c>
      <c r="K722" s="5" t="str">
        <f>IFERROR(__xludf.DUMMYFUNCTION("""COMPUTED_VALUE"""),"RUA SEM NOME")</f>
        <v>RUA SEM NOME</v>
      </c>
      <c r="L722" s="5" t="str">
        <f>IFERROR(__xludf.DUMMYFUNCTION("""COMPUTED_VALUE"""),"LOCAL")</f>
        <v>LOCAL</v>
      </c>
      <c r="M722" s="5" t="str">
        <f>IFERROR(__xludf.DUMMYFUNCTION("""COMPUTED_VALUE"""),"BENEDITO BENTES")</f>
        <v>BENEDITO BENTES</v>
      </c>
      <c r="N722" s="5" t="str">
        <f>IFERROR(__xludf.DUMMYFUNCTION("""COMPUTED_VALUE"""),"INTEGRAÇÃO")</f>
        <v>INTEGRAÇÃO</v>
      </c>
      <c r="O722" s="5" t="str">
        <f>IFERROR(__xludf.DUMMYFUNCTION("""COMPUTED_VALUE"""),"PRÓXIMO A ESQUINA")</f>
        <v>PRÓXIMO A ESQUINA</v>
      </c>
      <c r="P722" s="5" t="str">
        <f>IFERROR(__xludf.DUMMYFUNCTION("""COMPUTED_VALUE"""),"PRIORIDADE BAIXA")</f>
        <v>PRIORIDADE BAIXA</v>
      </c>
      <c r="Q722" s="5"/>
      <c r="R722" s="5" t="str">
        <f>IFERROR(__xludf.DUMMYFUNCTION("""COMPUTED_VALUE"""),"IMPLANTAR PLACA COM SUPORTE")</f>
        <v>IMPLANTAR PLACA COM SUPORTE</v>
      </c>
      <c r="S722" s="5"/>
      <c r="T722" s="5"/>
      <c r="U722" s="5"/>
      <c r="V722" s="9" t="str">
        <f>IFERROR(__xludf.DUMMYFUNCTION("""COMPUTED_VALUE"""),"https://drive.google.com/uc?id=1oNO0lMTQhL856T0IZTEBvL9vJgMI_nDg")</f>
        <v>https://drive.google.com/uc?id=1oNO0lMTQhL856T0IZTEBvL9vJgMI_nDg</v>
      </c>
      <c r="W722" s="5" t="str">
        <f>IFERROR(__xludf.DUMMYFUNCTION("""COMPUTED_VALUE"""),"NÃO")</f>
        <v>NÃO</v>
      </c>
      <c r="X722" s="5" t="str">
        <f>IFERROR(__xludf.DUMMYFUNCTION("""COMPUTED_VALUE"""),"NÃO SE APLICA")</f>
        <v>NÃO SE APLICA</v>
      </c>
    </row>
    <row r="723" ht="19.5" hidden="1" customHeight="1">
      <c r="A723" s="5">
        <f>IFERROR(__xludf.DUMMYFUNCTION("""COMPUTED_VALUE"""),6.0)</f>
        <v>6</v>
      </c>
      <c r="B723" s="5" t="str">
        <f>IFERROR(__xludf.DUMMYFUNCTION("""COMPUTED_VALUE"""),"BB088")</f>
        <v>BB088</v>
      </c>
      <c r="C723" s="5" t="str">
        <f>IFERROR(__xludf.DUMMYFUNCTION("""COMPUTED_VALUE"""),"NÃO POSSUI")</f>
        <v>NÃO POSSUI</v>
      </c>
      <c r="D723" s="5" t="str">
        <f>IFERROR(__xludf.DUMMYFUNCTION("""COMPUTED_VALUE"""),"SEM PLACA")</f>
        <v>SEM PLACA</v>
      </c>
      <c r="E723" s="5" t="str">
        <f>IFERROR(__xludf.DUMMYFUNCTION("""COMPUTED_VALUE"""),"SEM BAIA")</f>
        <v>SEM BAIA</v>
      </c>
      <c r="F723" s="5" t="str">
        <f>IFERROR(__xludf.DUMMYFUNCTION("""COMPUTED_VALUE"""),"NÃO")</f>
        <v>NÃO</v>
      </c>
      <c r="G723" s="5" t="str">
        <f>IFERROR(__xludf.DUMMYFUNCTION("""COMPUTED_VALUE"""),"NÃO")</f>
        <v>NÃO</v>
      </c>
      <c r="H723" s="5" t="str">
        <f>IFERROR(__xludf.DUMMYFUNCTION("""COMPUTED_VALUE"""),"PAVIMENTADA")</f>
        <v>PAVIMENTADA</v>
      </c>
      <c r="I723" s="6" t="str">
        <f>IFERROR(__xludf.DUMMYFUNCTION("""COMPUTED_VALUE"""),"-9.537377")</f>
        <v>-9.537377</v>
      </c>
      <c r="J723" s="6" t="str">
        <f>IFERROR(__xludf.DUMMYFUNCTION("""COMPUTED_VALUE"""),"-35.722803")</f>
        <v>-35.722803</v>
      </c>
      <c r="K723" s="5" t="str">
        <f>IFERROR(__xludf.DUMMYFUNCTION("""COMPUTED_VALUE"""),"AVENIDA MESTRA VIRGÍNIA DE MORAES")</f>
        <v>AVENIDA MESTRA VIRGÍNIA DE MORAES</v>
      </c>
      <c r="L723" s="5" t="str">
        <f>IFERROR(__xludf.DUMMYFUNCTION("""COMPUTED_VALUE"""),"COLETORA")</f>
        <v>COLETORA</v>
      </c>
      <c r="M723" s="5" t="str">
        <f>IFERROR(__xludf.DUMMYFUNCTION("""COMPUTED_VALUE"""),"BENEDITO BENTES")</f>
        <v>BENEDITO BENTES</v>
      </c>
      <c r="N723" s="5" t="str">
        <f>IFERROR(__xludf.DUMMYFUNCTION("""COMPUTED_VALUE"""),"CENTRO - BAIRRO")</f>
        <v>CENTRO - BAIRRO</v>
      </c>
      <c r="O723" s="5" t="str">
        <f>IFERROR(__xludf.DUMMYFUNCTION("""COMPUTED_VALUE"""),"PRÓXIMO A ESQUINA")</f>
        <v>PRÓXIMO A ESQUINA</v>
      </c>
      <c r="P723" s="5" t="str">
        <f>IFERROR(__xludf.DUMMYFUNCTION("""COMPUTED_VALUE"""),"PRIORIDADE BAIXA")</f>
        <v>PRIORIDADE BAIXA</v>
      </c>
      <c r="Q723" s="5"/>
      <c r="R723" s="5" t="str">
        <f>IFERROR(__xludf.DUMMYFUNCTION("""COMPUTED_VALUE"""),"IMPLANTAR PLACA COM SUPORTE")</f>
        <v>IMPLANTAR PLACA COM SUPORTE</v>
      </c>
      <c r="S723" s="5"/>
      <c r="T723" s="5"/>
      <c r="U723" s="5"/>
      <c r="V723" s="9" t="str">
        <f>IFERROR(__xludf.DUMMYFUNCTION("""COMPUTED_VALUE"""),"https://drive.google.com/uc?id=1pz6iFeZUuxrZZQ_w4q1WwImljxRdRCyD")</f>
        <v>https://drive.google.com/uc?id=1pz6iFeZUuxrZZQ_w4q1WwImljxRdRCyD</v>
      </c>
      <c r="W723" s="5" t="str">
        <f>IFERROR(__xludf.DUMMYFUNCTION("""COMPUTED_VALUE"""),"NÃO")</f>
        <v>NÃO</v>
      </c>
      <c r="X723" s="5" t="str">
        <f>IFERROR(__xludf.DUMMYFUNCTION("""COMPUTED_VALUE"""),"NÃO SE APLICA")</f>
        <v>NÃO SE APLICA</v>
      </c>
    </row>
    <row r="724" ht="19.5" hidden="1" customHeight="1">
      <c r="A724" s="5">
        <f>IFERROR(__xludf.DUMMYFUNCTION("""COMPUTED_VALUE"""),6.0)</f>
        <v>6</v>
      </c>
      <c r="B724" s="5" t="str">
        <f>IFERROR(__xludf.DUMMYFUNCTION("""COMPUTED_VALUE"""),"BB089")</f>
        <v>BB089</v>
      </c>
      <c r="C724" s="5" t="str">
        <f>IFERROR(__xludf.DUMMYFUNCTION("""COMPUTED_VALUE"""),"NÃO POSSUI")</f>
        <v>NÃO POSSUI</v>
      </c>
      <c r="D724" s="5" t="str">
        <f>IFERROR(__xludf.DUMMYFUNCTION("""COMPUTED_VALUE"""),"COM SUPORTE")</f>
        <v>COM SUPORTE</v>
      </c>
      <c r="E724" s="5" t="str">
        <f>IFERROR(__xludf.DUMMYFUNCTION("""COMPUTED_VALUE"""),"SEM BAIA")</f>
        <v>SEM BAIA</v>
      </c>
      <c r="F724" s="5" t="str">
        <f>IFERROR(__xludf.DUMMYFUNCTION("""COMPUTED_VALUE"""),"NÃO")</f>
        <v>NÃO</v>
      </c>
      <c r="G724" s="5" t="str">
        <f>IFERROR(__xludf.DUMMYFUNCTION("""COMPUTED_VALUE"""),"NÃO")</f>
        <v>NÃO</v>
      </c>
      <c r="H724" s="5" t="str">
        <f>IFERROR(__xludf.DUMMYFUNCTION("""COMPUTED_VALUE"""),"PAVIMENTADA")</f>
        <v>PAVIMENTADA</v>
      </c>
      <c r="I724" s="6" t="str">
        <f>IFERROR(__xludf.DUMMYFUNCTION("""COMPUTED_VALUE"""),"-9.538352")</f>
        <v>-9.538352</v>
      </c>
      <c r="J724" s="6" t="str">
        <f>IFERROR(__xludf.DUMMYFUNCTION("""COMPUTED_VALUE"""),"-35.722272")</f>
        <v>-35.722272</v>
      </c>
      <c r="K724" s="5" t="str">
        <f>IFERROR(__xludf.DUMMYFUNCTION("""COMPUTED_VALUE"""),"AVENIDA MESTRA VIRGÍNIA DE MORAES")</f>
        <v>AVENIDA MESTRA VIRGÍNIA DE MORAES</v>
      </c>
      <c r="L724" s="5" t="str">
        <f>IFERROR(__xludf.DUMMYFUNCTION("""COMPUTED_VALUE"""),"COLETORA")</f>
        <v>COLETORA</v>
      </c>
      <c r="M724" s="5" t="str">
        <f>IFERROR(__xludf.DUMMYFUNCTION("""COMPUTED_VALUE"""),"BENEDITO BENTES")</f>
        <v>BENEDITO BENTES</v>
      </c>
      <c r="N724" s="5" t="str">
        <f>IFERROR(__xludf.DUMMYFUNCTION("""COMPUTED_VALUE"""),"CENTRO - BAIRRO")</f>
        <v>CENTRO - BAIRRO</v>
      </c>
      <c r="O724" s="5" t="str">
        <f>IFERROR(__xludf.DUMMYFUNCTION("""COMPUTED_VALUE"""),"PRÓXIMO A ESQUINA")</f>
        <v>PRÓXIMO A ESQUINA</v>
      </c>
      <c r="P724" s="5" t="str">
        <f>IFERROR(__xludf.DUMMYFUNCTION("""COMPUTED_VALUE"""),"PRIORIDADE BAIXA")</f>
        <v>PRIORIDADE BAIXA</v>
      </c>
      <c r="Q724" s="5"/>
      <c r="R724" s="5" t="str">
        <f>IFERROR(__xludf.DUMMYFUNCTION("""COMPUTED_VALUE"""),"IMPLANTAR PLACA COM SUPORTE")</f>
        <v>IMPLANTAR PLACA COM SUPORTE</v>
      </c>
      <c r="S724" s="5"/>
      <c r="T724" s="5"/>
      <c r="U724" s="5"/>
      <c r="V724" s="9" t="str">
        <f>IFERROR(__xludf.DUMMYFUNCTION("""COMPUTED_VALUE"""),"https://drive.google.com/uc?id=1ptLyvo6x5DyW9g8WXUjFhIAOe3OlOAL9")</f>
        <v>https://drive.google.com/uc?id=1ptLyvo6x5DyW9g8WXUjFhIAOe3OlOAL9</v>
      </c>
      <c r="W724" s="5" t="str">
        <f>IFERROR(__xludf.DUMMYFUNCTION("""COMPUTED_VALUE"""),"NÃO")</f>
        <v>NÃO</v>
      </c>
      <c r="X724" s="5" t="str">
        <f>IFERROR(__xludf.DUMMYFUNCTION("""COMPUTED_VALUE"""),"NÃO SE APLICA")</f>
        <v>NÃO SE APLICA</v>
      </c>
    </row>
    <row r="725" ht="19.5" hidden="1" customHeight="1">
      <c r="A725" s="5">
        <f>IFERROR(__xludf.DUMMYFUNCTION("""COMPUTED_VALUE"""),6.0)</f>
        <v>6</v>
      </c>
      <c r="B725" s="5" t="str">
        <f>IFERROR(__xludf.DUMMYFUNCTION("""COMPUTED_VALUE"""),"BB090")</f>
        <v>BB090</v>
      </c>
      <c r="C725" s="5" t="str">
        <f>IFERROR(__xludf.DUMMYFUNCTION("""COMPUTED_VALUE"""),"NÃO POSSUI")</f>
        <v>NÃO POSSUI</v>
      </c>
      <c r="D725" s="5" t="str">
        <f>IFERROR(__xludf.DUMMYFUNCTION("""COMPUTED_VALUE"""),"SEM PLACA")</f>
        <v>SEM PLACA</v>
      </c>
      <c r="E725" s="5" t="str">
        <f>IFERROR(__xludf.DUMMYFUNCTION("""COMPUTED_VALUE"""),"SEM BAIA")</f>
        <v>SEM BAIA</v>
      </c>
      <c r="F725" s="5" t="str">
        <f>IFERROR(__xludf.DUMMYFUNCTION("""COMPUTED_VALUE"""),"NÃO")</f>
        <v>NÃO</v>
      </c>
      <c r="G725" s="5" t="str">
        <f>IFERROR(__xludf.DUMMYFUNCTION("""COMPUTED_VALUE"""),"NÃO")</f>
        <v>NÃO</v>
      </c>
      <c r="H725" s="5" t="str">
        <f>IFERROR(__xludf.DUMMYFUNCTION("""COMPUTED_VALUE"""),"PAVIMENTADA")</f>
        <v>PAVIMENTADA</v>
      </c>
      <c r="I725" s="6" t="str">
        <f>IFERROR(__xludf.DUMMYFUNCTION("""COMPUTED_VALUE"""),"-9.5587")</f>
        <v>-9.5587</v>
      </c>
      <c r="J725" s="6" t="str">
        <f>IFERROR(__xludf.DUMMYFUNCTION("""COMPUTED_VALUE"""),"-35.723471")</f>
        <v>-35.723471</v>
      </c>
      <c r="K725" s="5" t="str">
        <f>IFERROR(__xludf.DUMMYFUNCTION("""COMPUTED_VALUE"""),"AVENIDA MUNDAÚ")</f>
        <v>AVENIDA MUNDAÚ</v>
      </c>
      <c r="L725" s="5" t="str">
        <f>IFERROR(__xludf.DUMMYFUNCTION("""COMPUTED_VALUE"""),"COLETORA")</f>
        <v>COLETORA</v>
      </c>
      <c r="M725" s="5" t="str">
        <f>IFERROR(__xludf.DUMMYFUNCTION("""COMPUTED_VALUE"""),"BENEDITO BENTES")</f>
        <v>BENEDITO BENTES</v>
      </c>
      <c r="N725" s="5" t="str">
        <f>IFERROR(__xludf.DUMMYFUNCTION("""COMPUTED_VALUE"""),"CENTRO - BAIRRO")</f>
        <v>CENTRO - BAIRRO</v>
      </c>
      <c r="O725" s="5" t="str">
        <f>IFERROR(__xludf.DUMMYFUNCTION("""COMPUTED_VALUE"""),"EM FRENTE A GRÁFICA")</f>
        <v>EM FRENTE A GRÁFICA</v>
      </c>
      <c r="P725" s="5" t="str">
        <f>IFERROR(__xludf.DUMMYFUNCTION("""COMPUTED_VALUE"""),"PRIORIDADE BAIXA")</f>
        <v>PRIORIDADE BAIXA</v>
      </c>
      <c r="Q725" s="5"/>
      <c r="R725" s="5" t="str">
        <f>IFERROR(__xludf.DUMMYFUNCTION("""COMPUTED_VALUE"""),"IMPLANTAR PLACA COM SUPORTE")</f>
        <v>IMPLANTAR PLACA COM SUPORTE</v>
      </c>
      <c r="S725" s="5"/>
      <c r="T725" s="5"/>
      <c r="U725" s="5"/>
      <c r="V725" s="9" t="str">
        <f>IFERROR(__xludf.DUMMYFUNCTION("""COMPUTED_VALUE"""),"https://drive.google.com/uc?id=1pZaLUras0NkXBmWhROccEx1OZFAjcnXq")</f>
        <v>https://drive.google.com/uc?id=1pZaLUras0NkXBmWhROccEx1OZFAjcnXq</v>
      </c>
      <c r="W725" s="5" t="str">
        <f>IFERROR(__xludf.DUMMYFUNCTION("""COMPUTED_VALUE"""),"NÃO")</f>
        <v>NÃO</v>
      </c>
      <c r="X725" s="5" t="str">
        <f>IFERROR(__xludf.DUMMYFUNCTION("""COMPUTED_VALUE"""),"NÃO SE APLICA")</f>
        <v>NÃO SE APLICA</v>
      </c>
    </row>
    <row r="726" ht="19.5" hidden="1" customHeight="1">
      <c r="A726" s="5">
        <f>IFERROR(__xludf.DUMMYFUNCTION("""COMPUTED_VALUE"""),6.0)</f>
        <v>6</v>
      </c>
      <c r="B726" s="5" t="str">
        <f>IFERROR(__xludf.DUMMYFUNCTION("""COMPUTED_VALUE"""),"BB091")</f>
        <v>BB091</v>
      </c>
      <c r="C726" s="5" t="str">
        <f>IFERROR(__xludf.DUMMYFUNCTION("""COMPUTED_VALUE"""),"NÃO POSSUI")</f>
        <v>NÃO POSSUI</v>
      </c>
      <c r="D726" s="5" t="str">
        <f>IFERROR(__xludf.DUMMYFUNCTION("""COMPUTED_VALUE"""),"SEM PLACA")</f>
        <v>SEM PLACA</v>
      </c>
      <c r="E726" s="5" t="str">
        <f>IFERROR(__xludf.DUMMYFUNCTION("""COMPUTED_VALUE"""),"SEM BAIA")</f>
        <v>SEM BAIA</v>
      </c>
      <c r="F726" s="5" t="str">
        <f>IFERROR(__xludf.DUMMYFUNCTION("""COMPUTED_VALUE"""),"NÃO")</f>
        <v>NÃO</v>
      </c>
      <c r="G726" s="5" t="str">
        <f>IFERROR(__xludf.DUMMYFUNCTION("""COMPUTED_VALUE"""),"NÃO")</f>
        <v>NÃO</v>
      </c>
      <c r="H726" s="5" t="str">
        <f>IFERROR(__xludf.DUMMYFUNCTION("""COMPUTED_VALUE"""),"PAVIMENTADA")</f>
        <v>PAVIMENTADA</v>
      </c>
      <c r="I726" s="6" t="str">
        <f>IFERROR(__xludf.DUMMYFUNCTION("""COMPUTED_VALUE"""),"-9.554730")</f>
        <v>-9.554730</v>
      </c>
      <c r="J726" s="6" t="str">
        <f>IFERROR(__xludf.DUMMYFUNCTION("""COMPUTED_VALUE"""),"-35.719390")</f>
        <v>-35.719390</v>
      </c>
      <c r="K726" s="5" t="str">
        <f>IFERROR(__xludf.DUMMYFUNCTION("""COMPUTED_VALUE"""),"AVENIDA MUNDAÚ")</f>
        <v>AVENIDA MUNDAÚ</v>
      </c>
      <c r="L726" s="5" t="str">
        <f>IFERROR(__xludf.DUMMYFUNCTION("""COMPUTED_VALUE"""),"COLETORA")</f>
        <v>COLETORA</v>
      </c>
      <c r="M726" s="5" t="str">
        <f>IFERROR(__xludf.DUMMYFUNCTION("""COMPUTED_VALUE"""),"BENEDITO BENTES")</f>
        <v>BENEDITO BENTES</v>
      </c>
      <c r="N726" s="5" t="str">
        <f>IFERROR(__xludf.DUMMYFUNCTION("""COMPUTED_VALUE"""),"BAIRRO - CENTRO")</f>
        <v>BAIRRO - CENTRO</v>
      </c>
      <c r="O726" s="5" t="str">
        <f>IFERROR(__xludf.DUMMYFUNCTION("""COMPUTED_VALUE"""),"PRÓXIMO A CS MODA E ACESSÓRIOS")</f>
        <v>PRÓXIMO A CS MODA E ACESSÓRIOS</v>
      </c>
      <c r="P726" s="5" t="str">
        <f>IFERROR(__xludf.DUMMYFUNCTION("""COMPUTED_VALUE"""),"PRIORIDADE BAIXA")</f>
        <v>PRIORIDADE BAIXA</v>
      </c>
      <c r="Q726" s="5"/>
      <c r="R726" s="5" t="str">
        <f>IFERROR(__xludf.DUMMYFUNCTION("""COMPUTED_VALUE"""),"IMPLANTAR PLACA COM SUPORTE")</f>
        <v>IMPLANTAR PLACA COM SUPORTE</v>
      </c>
      <c r="S726" s="5"/>
      <c r="T726" s="5"/>
      <c r="U726" s="5"/>
      <c r="V726" s="9" t="str">
        <f>IFERROR(__xludf.DUMMYFUNCTION("""COMPUTED_VALUE"""),"https://drive.google.com/uc?id=1pYNITSHrORtC-xZnv956691wdoZkNybU")</f>
        <v>https://drive.google.com/uc?id=1pYNITSHrORtC-xZnv956691wdoZkNybU</v>
      </c>
      <c r="W726" s="5" t="str">
        <f>IFERROR(__xludf.DUMMYFUNCTION("""COMPUTED_VALUE"""),"NÃO")</f>
        <v>NÃO</v>
      </c>
      <c r="X726" s="5" t="str">
        <f>IFERROR(__xludf.DUMMYFUNCTION("""COMPUTED_VALUE"""),"NÃO SE APLICA")</f>
        <v>NÃO SE APLICA</v>
      </c>
    </row>
    <row r="727" ht="19.5" hidden="1" customHeight="1">
      <c r="A727" s="5">
        <f>IFERROR(__xludf.DUMMYFUNCTION("""COMPUTED_VALUE"""),6.0)</f>
        <v>6</v>
      </c>
      <c r="B727" s="5" t="str">
        <f>IFERROR(__xludf.DUMMYFUNCTION("""COMPUTED_VALUE"""),"BB092")</f>
        <v>BB092</v>
      </c>
      <c r="C727" s="5" t="str">
        <f>IFERROR(__xludf.DUMMYFUNCTION("""COMPUTED_VALUE"""),"NÃO POSSUI")</f>
        <v>NÃO POSSUI</v>
      </c>
      <c r="D727" s="5" t="str">
        <f>IFERROR(__xludf.DUMMYFUNCTION("""COMPUTED_VALUE"""),"SEM PLACA")</f>
        <v>SEM PLACA</v>
      </c>
      <c r="E727" s="5" t="str">
        <f>IFERROR(__xludf.DUMMYFUNCTION("""COMPUTED_VALUE"""),"SEM BAIA")</f>
        <v>SEM BAIA</v>
      </c>
      <c r="F727" s="5" t="str">
        <f>IFERROR(__xludf.DUMMYFUNCTION("""COMPUTED_VALUE"""),"NÃO")</f>
        <v>NÃO</v>
      </c>
      <c r="G727" s="5" t="str">
        <f>IFERROR(__xludf.DUMMYFUNCTION("""COMPUTED_VALUE"""),"NÃO")</f>
        <v>NÃO</v>
      </c>
      <c r="H727" s="5" t="str">
        <f>IFERROR(__xludf.DUMMYFUNCTION("""COMPUTED_VALUE"""),"PAVIMENTADA")</f>
        <v>PAVIMENTADA</v>
      </c>
      <c r="I727" s="6" t="str">
        <f>IFERROR(__xludf.DUMMYFUNCTION("""COMPUTED_VALUE"""),"-9.556780")</f>
        <v>-9.556780</v>
      </c>
      <c r="J727" s="6" t="str">
        <f>IFERROR(__xludf.DUMMYFUNCTION("""COMPUTED_VALUE"""),"-35.722427")</f>
        <v>-35.722427</v>
      </c>
      <c r="K727" s="5" t="str">
        <f>IFERROR(__xludf.DUMMYFUNCTION("""COMPUTED_VALUE"""),"AVENIDA MUNDAÚ")</f>
        <v>AVENIDA MUNDAÚ</v>
      </c>
      <c r="L727" s="5" t="str">
        <f>IFERROR(__xludf.DUMMYFUNCTION("""COMPUTED_VALUE"""),"COLETORA")</f>
        <v>COLETORA</v>
      </c>
      <c r="M727" s="5" t="str">
        <f>IFERROR(__xludf.DUMMYFUNCTION("""COMPUTED_VALUE"""),"BENEDITO BENTES")</f>
        <v>BENEDITO BENTES</v>
      </c>
      <c r="N727" s="5" t="str">
        <f>IFERROR(__xludf.DUMMYFUNCTION("""COMPUTED_VALUE"""),"BAIRRO - CENTRO")</f>
        <v>BAIRRO - CENTRO</v>
      </c>
      <c r="O727" s="5" t="str">
        <f>IFERROR(__xludf.DUMMYFUNCTION("""COMPUTED_VALUE"""),"PRÓXIMO A CS MODA E ACESSÓRIOS")</f>
        <v>PRÓXIMO A CS MODA E ACESSÓRIOS</v>
      </c>
      <c r="P727" s="5" t="str">
        <f>IFERROR(__xludf.DUMMYFUNCTION("""COMPUTED_VALUE"""),"PRIORIDADE BAIXA")</f>
        <v>PRIORIDADE BAIXA</v>
      </c>
      <c r="Q727" s="5"/>
      <c r="R727" s="5" t="str">
        <f>IFERROR(__xludf.DUMMYFUNCTION("""COMPUTED_VALUE"""),"IMPLANTAR PLACA COM SUPORTE")</f>
        <v>IMPLANTAR PLACA COM SUPORTE</v>
      </c>
      <c r="S727" s="5"/>
      <c r="T727" s="5"/>
      <c r="U727" s="5"/>
      <c r="V727" s="9" t="str">
        <f>IFERROR(__xludf.DUMMYFUNCTION("""COMPUTED_VALUE"""),"https://drive.google.com/uc?id=1pTbiiO1FvzW5fNOTuL8M-eXUXUnz-F9g")</f>
        <v>https://drive.google.com/uc?id=1pTbiiO1FvzW5fNOTuL8M-eXUXUnz-F9g</v>
      </c>
      <c r="W727" s="5" t="str">
        <f>IFERROR(__xludf.DUMMYFUNCTION("""COMPUTED_VALUE"""),"NÃO")</f>
        <v>NÃO</v>
      </c>
      <c r="X727" s="5" t="str">
        <f>IFERROR(__xludf.DUMMYFUNCTION("""COMPUTED_VALUE"""),"NÃO SE APLICA")</f>
        <v>NÃO SE APLICA</v>
      </c>
    </row>
    <row r="728" ht="19.5" hidden="1" customHeight="1">
      <c r="A728" s="5">
        <f>IFERROR(__xludf.DUMMYFUNCTION("""COMPUTED_VALUE"""),6.0)</f>
        <v>6</v>
      </c>
      <c r="B728" s="5" t="str">
        <f>IFERROR(__xludf.DUMMYFUNCTION("""COMPUTED_VALUE"""),"BB093")</f>
        <v>BB093</v>
      </c>
      <c r="C728" s="5" t="str">
        <f>IFERROR(__xludf.DUMMYFUNCTION("""COMPUTED_VALUE"""),"NÃO POSSUI")</f>
        <v>NÃO POSSUI</v>
      </c>
      <c r="D728" s="5" t="str">
        <f>IFERROR(__xludf.DUMMYFUNCTION("""COMPUTED_VALUE"""),"SEM PLACA")</f>
        <v>SEM PLACA</v>
      </c>
      <c r="E728" s="5" t="str">
        <f>IFERROR(__xludf.DUMMYFUNCTION("""COMPUTED_VALUE"""),"SEM BAIA")</f>
        <v>SEM BAIA</v>
      </c>
      <c r="F728" s="5" t="str">
        <f>IFERROR(__xludf.DUMMYFUNCTION("""COMPUTED_VALUE"""),"NÃO")</f>
        <v>NÃO</v>
      </c>
      <c r="G728" s="5" t="str">
        <f>IFERROR(__xludf.DUMMYFUNCTION("""COMPUTED_VALUE"""),"NÃO")</f>
        <v>NÃO</v>
      </c>
      <c r="H728" s="5" t="str">
        <f>IFERROR(__xludf.DUMMYFUNCTION("""COMPUTED_VALUE"""),"PAVIMENTADA")</f>
        <v>PAVIMENTADA</v>
      </c>
      <c r="I728" s="6" t="str">
        <f>IFERROR(__xludf.DUMMYFUNCTION("""COMPUTED_VALUE"""),"-9.554745")</f>
        <v>-9.554745</v>
      </c>
      <c r="J728" s="6" t="str">
        <f>IFERROR(__xludf.DUMMYFUNCTION("""COMPUTED_VALUE"""),"-35.716032")</f>
        <v>-35.716032</v>
      </c>
      <c r="K728" s="5" t="str">
        <f>IFERROR(__xludf.DUMMYFUNCTION("""COMPUTED_VALUE"""),"AVENIDA MUNDAÚ")</f>
        <v>AVENIDA MUNDAÚ</v>
      </c>
      <c r="L728" s="5" t="str">
        <f>IFERROR(__xludf.DUMMYFUNCTION("""COMPUTED_VALUE"""),"COLETORA")</f>
        <v>COLETORA</v>
      </c>
      <c r="M728" s="5" t="str">
        <f>IFERROR(__xludf.DUMMYFUNCTION("""COMPUTED_VALUE"""),"BENEDITO BENTES")</f>
        <v>BENEDITO BENTES</v>
      </c>
      <c r="N728" s="5" t="str">
        <f>IFERROR(__xludf.DUMMYFUNCTION("""COMPUTED_VALUE"""),"BAIRRO - CENTRO")</f>
        <v>BAIRRO - CENTRO</v>
      </c>
      <c r="O728" s="5"/>
      <c r="P728" s="5" t="str">
        <f>IFERROR(__xludf.DUMMYFUNCTION("""COMPUTED_VALUE"""),"PRIORIDADE BAIXA")</f>
        <v>PRIORIDADE BAIXA</v>
      </c>
      <c r="Q728" s="5"/>
      <c r="R728" s="5" t="str">
        <f>IFERROR(__xludf.DUMMYFUNCTION("""COMPUTED_VALUE"""),"IMPLANTAR PLACA COM SUPORTE")</f>
        <v>IMPLANTAR PLACA COM SUPORTE</v>
      </c>
      <c r="S728" s="5"/>
      <c r="T728" s="5"/>
      <c r="U728" s="5"/>
      <c r="V728" s="9" t="str">
        <f>IFERROR(__xludf.DUMMYFUNCTION("""COMPUTED_VALUE"""),"https://drive.google.com/uc?id=1pHsM91Ct0wP9gY_FVimF7NnJ9HxB6eEa")</f>
        <v>https://drive.google.com/uc?id=1pHsM91Ct0wP9gY_FVimF7NnJ9HxB6eEa</v>
      </c>
      <c r="W728" s="5" t="str">
        <f>IFERROR(__xludf.DUMMYFUNCTION("""COMPUTED_VALUE"""),"NÃO")</f>
        <v>NÃO</v>
      </c>
      <c r="X728" s="5" t="str">
        <f>IFERROR(__xludf.DUMMYFUNCTION("""COMPUTED_VALUE"""),"NÃO SE APLICA")</f>
        <v>NÃO SE APLICA</v>
      </c>
    </row>
    <row r="729" ht="19.5" hidden="1" customHeight="1">
      <c r="A729" s="5">
        <f>IFERROR(__xludf.DUMMYFUNCTION("""COMPUTED_VALUE"""),6.0)</f>
        <v>6</v>
      </c>
      <c r="B729" s="5" t="str">
        <f>IFERROR(__xludf.DUMMYFUNCTION("""COMPUTED_VALUE"""),"BB094")</f>
        <v>BB094</v>
      </c>
      <c r="C729" s="5" t="str">
        <f>IFERROR(__xludf.DUMMYFUNCTION("""COMPUTED_VALUE"""),"NÃO POSSUI")</f>
        <v>NÃO POSSUI</v>
      </c>
      <c r="D729" s="5" t="str">
        <f>IFERROR(__xludf.DUMMYFUNCTION("""COMPUTED_VALUE"""),"SEM PLACA")</f>
        <v>SEM PLACA</v>
      </c>
      <c r="E729" s="5" t="str">
        <f>IFERROR(__xludf.DUMMYFUNCTION("""COMPUTED_VALUE"""),"SEM BAIA")</f>
        <v>SEM BAIA</v>
      </c>
      <c r="F729" s="5" t="str">
        <f>IFERROR(__xludf.DUMMYFUNCTION("""COMPUTED_VALUE"""),"NÃO")</f>
        <v>NÃO</v>
      </c>
      <c r="G729" s="5" t="str">
        <f>IFERROR(__xludf.DUMMYFUNCTION("""COMPUTED_VALUE"""),"NÃO")</f>
        <v>NÃO</v>
      </c>
      <c r="H729" s="5" t="str">
        <f>IFERROR(__xludf.DUMMYFUNCTION("""COMPUTED_VALUE"""),"PAVIMENTADA COM AVARIAS")</f>
        <v>PAVIMENTADA COM AVARIAS</v>
      </c>
      <c r="I729" s="6" t="str">
        <f>IFERROR(__xludf.DUMMYFUNCTION("""COMPUTED_VALUE"""),"-9.556990")</f>
        <v>-9.556990</v>
      </c>
      <c r="J729" s="6" t="str">
        <f>IFERROR(__xludf.DUMMYFUNCTION("""COMPUTED_VALUE"""),"-35.713882")</f>
        <v>-35.713882</v>
      </c>
      <c r="K729" s="5" t="str">
        <f>IFERROR(__xludf.DUMMYFUNCTION("""COMPUTED_VALUE"""),"72 R. HENRIQUE FRANCISCO BULHÕES")</f>
        <v>72 R. HENRIQUE FRANCISCO BULHÕES</v>
      </c>
      <c r="L729" s="5" t="str">
        <f>IFERROR(__xludf.DUMMYFUNCTION("""COMPUTED_VALUE"""),"LOCAL")</f>
        <v>LOCAL</v>
      </c>
      <c r="M729" s="5" t="str">
        <f>IFERROR(__xludf.DUMMYFUNCTION("""COMPUTED_VALUE"""),"BENEDITO BENTES")</f>
        <v>BENEDITO BENTES</v>
      </c>
      <c r="N729" s="5" t="str">
        <f>IFERROR(__xludf.DUMMYFUNCTION("""COMPUTED_VALUE"""),"BAIRRO - CENTRO")</f>
        <v>BAIRRO - CENTRO</v>
      </c>
      <c r="O729" s="5"/>
      <c r="P729" s="5" t="str">
        <f>IFERROR(__xludf.DUMMYFUNCTION("""COMPUTED_VALUE"""),"PRIORIDADE BAIXA")</f>
        <v>PRIORIDADE BAIXA</v>
      </c>
      <c r="Q729" s="5"/>
      <c r="R729" s="5" t="str">
        <f>IFERROR(__xludf.DUMMYFUNCTION("""COMPUTED_VALUE"""),"IMPLANTAR PLACA COM SUPORTE")</f>
        <v>IMPLANTAR PLACA COM SUPORTE</v>
      </c>
      <c r="S729" s="5"/>
      <c r="T729" s="5"/>
      <c r="U729" s="5"/>
      <c r="V729" s="9" t="str">
        <f>IFERROR(__xludf.DUMMYFUNCTION("""COMPUTED_VALUE"""),"https://drive.google.com/uc?id=1pH2dVwV0XWWIBOCb1N0cEFqpjzTA_Ej_")</f>
        <v>https://drive.google.com/uc?id=1pH2dVwV0XWWIBOCb1N0cEFqpjzTA_Ej_</v>
      </c>
      <c r="W729" s="5" t="str">
        <f>IFERROR(__xludf.DUMMYFUNCTION("""COMPUTED_VALUE"""),"NÃO")</f>
        <v>NÃO</v>
      </c>
      <c r="X729" s="5" t="str">
        <f>IFERROR(__xludf.DUMMYFUNCTION("""COMPUTED_VALUE"""),"NÃO SE APLICA")</f>
        <v>NÃO SE APLICA</v>
      </c>
    </row>
    <row r="730" ht="19.5" customHeight="1">
      <c r="A730" s="5">
        <f>IFERROR(__xludf.DUMMYFUNCTION("""COMPUTED_VALUE"""),6.0)</f>
        <v>6</v>
      </c>
      <c r="B730" s="5" t="str">
        <f>IFERROR(__xludf.DUMMYFUNCTION("""COMPUTED_VALUE"""),"BB095")</f>
        <v>BB095</v>
      </c>
      <c r="C730" s="5" t="str">
        <f>IFERROR(__xludf.DUMMYFUNCTION("""COMPUTED_VALUE"""),"ABRIGO CONCRETO")</f>
        <v>ABRIGO CONCRETO</v>
      </c>
      <c r="D730" s="5" t="str">
        <f>IFERROR(__xludf.DUMMYFUNCTION("""COMPUTED_VALUE"""),"SEM PLACA")</f>
        <v>SEM PLACA</v>
      </c>
      <c r="E730" s="5" t="str">
        <f>IFERROR(__xludf.DUMMYFUNCTION("""COMPUTED_VALUE"""),"SEM BAIA")</f>
        <v>SEM BAIA</v>
      </c>
      <c r="F730" s="5" t="str">
        <f>IFERROR(__xludf.DUMMYFUNCTION("""COMPUTED_VALUE"""),"NÃO")</f>
        <v>NÃO</v>
      </c>
      <c r="G730" s="5" t="str">
        <f>IFERROR(__xludf.DUMMYFUNCTION("""COMPUTED_VALUE"""),"NÃO")</f>
        <v>NÃO</v>
      </c>
      <c r="H730" s="5" t="str">
        <f>IFERROR(__xludf.DUMMYFUNCTION("""COMPUTED_VALUE"""),"PAVIMENTADA COM AVARIAS")</f>
        <v>PAVIMENTADA COM AVARIAS</v>
      </c>
      <c r="I730" s="6" t="str">
        <f>IFERROR(__xludf.DUMMYFUNCTION("""COMPUTED_VALUE"""),"-9.559167")</f>
        <v>-9.559167</v>
      </c>
      <c r="J730" s="6" t="str">
        <f>IFERROR(__xludf.DUMMYFUNCTION("""COMPUTED_VALUE"""),"-35.713515")</f>
        <v>-35.713515</v>
      </c>
      <c r="K730" s="5" t="str">
        <f>IFERROR(__xludf.DUMMYFUNCTION("""COMPUTED_VALUE"""),"RUA SEM NOME")</f>
        <v>RUA SEM NOME</v>
      </c>
      <c r="L730" s="5" t="str">
        <f>IFERROR(__xludf.DUMMYFUNCTION("""COMPUTED_VALUE"""),"LOCAL")</f>
        <v>LOCAL</v>
      </c>
      <c r="M730" s="5" t="str">
        <f>IFERROR(__xludf.DUMMYFUNCTION("""COMPUTED_VALUE"""),"BENEDITO BENTES")</f>
        <v>BENEDITO BENTES</v>
      </c>
      <c r="N730" s="5" t="str">
        <f>IFERROR(__xludf.DUMMYFUNCTION("""COMPUTED_VALUE"""),"INTEGRAÇÃO")</f>
        <v>INTEGRAÇÃO</v>
      </c>
      <c r="O730" s="5"/>
      <c r="P730" s="5" t="str">
        <f>IFERROR(__xludf.DUMMYFUNCTION("""COMPUTED_VALUE"""),"PRIORIDADE BAIXA")</f>
        <v>PRIORIDADE BAIXA</v>
      </c>
      <c r="Q730" s="5"/>
      <c r="R730" s="5" t="str">
        <f>IFERROR(__xludf.DUMMYFUNCTION("""COMPUTED_VALUE"""),"IMPLANTAR PLACA COM SUPORTE")</f>
        <v>IMPLANTAR PLACA COM SUPORTE</v>
      </c>
      <c r="S730" s="5"/>
      <c r="T730" s="5"/>
      <c r="U730" s="5"/>
      <c r="V730" s="9" t="str">
        <f>IFERROR(__xludf.DUMMYFUNCTION("""COMPUTED_VALUE"""),"https://drive.google.com/uc?id=1oxFzrJsMFacQDh5xMu-7EQscaews4ZP5")</f>
        <v>https://drive.google.com/uc?id=1oxFzrJsMFacQDh5xMu-7EQscaews4ZP5</v>
      </c>
      <c r="W730" s="5" t="str">
        <f>IFERROR(__xludf.DUMMYFUNCTION("""COMPUTED_VALUE"""),"NÃO")</f>
        <v>NÃO</v>
      </c>
      <c r="X730" s="5" t="str">
        <f>IFERROR(__xludf.DUMMYFUNCTION("""COMPUTED_VALUE"""),"NÃO SE APLICA")</f>
        <v>NÃO SE APLICA</v>
      </c>
    </row>
    <row r="731" ht="19.5" customHeight="1">
      <c r="A731" s="5">
        <f>IFERROR(__xludf.DUMMYFUNCTION("""COMPUTED_VALUE"""),6.0)</f>
        <v>6</v>
      </c>
      <c r="B731" s="5" t="str">
        <f>IFERROR(__xludf.DUMMYFUNCTION("""COMPUTED_VALUE"""),"BB096")</f>
        <v>BB096</v>
      </c>
      <c r="C731" s="5" t="str">
        <f>IFERROR(__xludf.DUMMYFUNCTION("""COMPUTED_VALUE"""),"ABRIGO CONCRETO")</f>
        <v>ABRIGO CONCRETO</v>
      </c>
      <c r="D731" s="5" t="str">
        <f>IFERROR(__xludf.DUMMYFUNCTION("""COMPUTED_VALUE"""),"SEM PLACA")</f>
        <v>SEM PLACA</v>
      </c>
      <c r="E731" s="5" t="str">
        <f>IFERROR(__xludf.DUMMYFUNCTION("""COMPUTED_VALUE"""),"SEM BAIA")</f>
        <v>SEM BAIA</v>
      </c>
      <c r="F731" s="5" t="str">
        <f>IFERROR(__xludf.DUMMYFUNCTION("""COMPUTED_VALUE"""),"NÃO")</f>
        <v>NÃO</v>
      </c>
      <c r="G731" s="5" t="str">
        <f>IFERROR(__xludf.DUMMYFUNCTION("""COMPUTED_VALUE"""),"NÃO")</f>
        <v>NÃO</v>
      </c>
      <c r="H731" s="5" t="str">
        <f>IFERROR(__xludf.DUMMYFUNCTION("""COMPUTED_VALUE"""),"PAVIMENTADA COM AVARIAS")</f>
        <v>PAVIMENTADA COM AVARIAS</v>
      </c>
      <c r="I731" s="6" t="str">
        <f>IFERROR(__xludf.DUMMYFUNCTION("""COMPUTED_VALUE"""),"-9.560687")</f>
        <v>-9.560687</v>
      </c>
      <c r="J731" s="6" t="str">
        <f>IFERROR(__xludf.DUMMYFUNCTION("""COMPUTED_VALUE"""),"-35.713551")</f>
        <v>-35.713551</v>
      </c>
      <c r="K731" s="5" t="str">
        <f>IFERROR(__xludf.DUMMYFUNCTION("""COMPUTED_VALUE"""),"RUA SEM NOME")</f>
        <v>RUA SEM NOME</v>
      </c>
      <c r="L731" s="5" t="str">
        <f>IFERROR(__xludf.DUMMYFUNCTION("""COMPUTED_VALUE"""),"LOCAL")</f>
        <v>LOCAL</v>
      </c>
      <c r="M731" s="5" t="str">
        <f>IFERROR(__xludf.DUMMYFUNCTION("""COMPUTED_VALUE"""),"BENEDITO BENTES")</f>
        <v>BENEDITO BENTES</v>
      </c>
      <c r="N731" s="5" t="str">
        <f>IFERROR(__xludf.DUMMYFUNCTION("""COMPUTED_VALUE"""),"INTEGRAÇÃO")</f>
        <v>INTEGRAÇÃO</v>
      </c>
      <c r="O731" s="5"/>
      <c r="P731" s="5" t="str">
        <f>IFERROR(__xludf.DUMMYFUNCTION("""COMPUTED_VALUE"""),"PRIORIDADE BAIXA")</f>
        <v>PRIORIDADE BAIXA</v>
      </c>
      <c r="Q731" s="5"/>
      <c r="R731" s="5" t="str">
        <f>IFERROR(__xludf.DUMMYFUNCTION("""COMPUTED_VALUE"""),"IMPLANTAR PLACA COM SUPORTE")</f>
        <v>IMPLANTAR PLACA COM SUPORTE</v>
      </c>
      <c r="S731" s="5"/>
      <c r="T731" s="5"/>
      <c r="U731" s="5"/>
      <c r="V731" s="9" t="str">
        <f>IFERROR(__xludf.DUMMYFUNCTION("""COMPUTED_VALUE"""),"https://drive.google.com/uc?id=1ok7WT_uT-ai1OGKnLHmbeerVnmLtKuvQ")</f>
        <v>https://drive.google.com/uc?id=1ok7WT_uT-ai1OGKnLHmbeerVnmLtKuvQ</v>
      </c>
      <c r="W731" s="5" t="str">
        <f>IFERROR(__xludf.DUMMYFUNCTION("""COMPUTED_VALUE"""),"NÃO")</f>
        <v>NÃO</v>
      </c>
      <c r="X731" s="5" t="str">
        <f>IFERROR(__xludf.DUMMYFUNCTION("""COMPUTED_VALUE"""),"NÃO SE APLICA")</f>
        <v>NÃO SE APLICA</v>
      </c>
    </row>
    <row r="732" ht="19.5" hidden="1" customHeight="1">
      <c r="A732" s="5">
        <f>IFERROR(__xludf.DUMMYFUNCTION("""COMPUTED_VALUE"""),6.0)</f>
        <v>6</v>
      </c>
      <c r="B732" s="5" t="str">
        <f>IFERROR(__xludf.DUMMYFUNCTION("""COMPUTED_VALUE"""),"BB097")</f>
        <v>BB097</v>
      </c>
      <c r="C732" s="5" t="str">
        <f>IFERROR(__xludf.DUMMYFUNCTION("""COMPUTED_VALUE"""),"NÃO POSSUI")</f>
        <v>NÃO POSSUI</v>
      </c>
      <c r="D732" s="5" t="str">
        <f>IFERROR(__xludf.DUMMYFUNCTION("""COMPUTED_VALUE"""),"SEM PLACA")</f>
        <v>SEM PLACA</v>
      </c>
      <c r="E732" s="5" t="str">
        <f>IFERROR(__xludf.DUMMYFUNCTION("""COMPUTED_VALUE"""),"SEM BAIA")</f>
        <v>SEM BAIA</v>
      </c>
      <c r="F732" s="5" t="str">
        <f>IFERROR(__xludf.DUMMYFUNCTION("""COMPUTED_VALUE"""),"NÃO")</f>
        <v>NÃO</v>
      </c>
      <c r="G732" s="5" t="str">
        <f>IFERROR(__xludf.DUMMYFUNCTION("""COMPUTED_VALUE"""),"NÃO")</f>
        <v>NÃO</v>
      </c>
      <c r="H732" s="5" t="str">
        <f>IFERROR(__xludf.DUMMYFUNCTION("""COMPUTED_VALUE"""),"PAVIMENTADA")</f>
        <v>PAVIMENTADA</v>
      </c>
      <c r="I732" s="6" t="str">
        <f>IFERROR(__xludf.DUMMYFUNCTION("""COMPUTED_VALUE"""),"-9.561968")</f>
        <v>-9.561968</v>
      </c>
      <c r="J732" s="6" t="str">
        <f>IFERROR(__xludf.DUMMYFUNCTION("""COMPUTED_VALUE"""),"-35.711717")</f>
        <v>-35.711717</v>
      </c>
      <c r="K732" s="5" t="str">
        <f>IFERROR(__xludf.DUMMYFUNCTION("""COMPUTED_VALUE"""),"RUA SEM NOME")</f>
        <v>RUA SEM NOME</v>
      </c>
      <c r="L732" s="5" t="str">
        <f>IFERROR(__xludf.DUMMYFUNCTION("""COMPUTED_VALUE"""),"LOCAL")</f>
        <v>LOCAL</v>
      </c>
      <c r="M732" s="5" t="str">
        <f>IFERROR(__xludf.DUMMYFUNCTION("""COMPUTED_VALUE"""),"BENEDITO BENTES")</f>
        <v>BENEDITO BENTES</v>
      </c>
      <c r="N732" s="5" t="str">
        <f>IFERROR(__xludf.DUMMYFUNCTION("""COMPUTED_VALUE"""),"INTEGRAÇÃO")</f>
        <v>INTEGRAÇÃO</v>
      </c>
      <c r="O732" s="5"/>
      <c r="P732" s="5" t="str">
        <f>IFERROR(__xludf.DUMMYFUNCTION("""COMPUTED_VALUE"""),"PRIORIDADE BAIXA")</f>
        <v>PRIORIDADE BAIXA</v>
      </c>
      <c r="Q732" s="5"/>
      <c r="R732" s="5" t="str">
        <f>IFERROR(__xludf.DUMMYFUNCTION("""COMPUTED_VALUE"""),"IMPLANTAR PLACA COM SUPORTE")</f>
        <v>IMPLANTAR PLACA COM SUPORTE</v>
      </c>
      <c r="S732" s="5"/>
      <c r="T732" s="5"/>
      <c r="U732" s="5"/>
      <c r="V732" s="9" t="str">
        <f>IFERROR(__xludf.DUMMYFUNCTION("""COMPUTED_VALUE"""),"https://drive.google.com/uc?id=1od0YVtGkzNnxZAHQchvboKrsrsKYF332")</f>
        <v>https://drive.google.com/uc?id=1od0YVtGkzNnxZAHQchvboKrsrsKYF332</v>
      </c>
      <c r="W732" s="5" t="str">
        <f>IFERROR(__xludf.DUMMYFUNCTION("""COMPUTED_VALUE"""),"NÃO")</f>
        <v>NÃO</v>
      </c>
      <c r="X732" s="5" t="str">
        <f>IFERROR(__xludf.DUMMYFUNCTION("""COMPUTED_VALUE"""),"NÃO SE APLICA")</f>
        <v>NÃO SE APLICA</v>
      </c>
    </row>
    <row r="733" ht="19.5" hidden="1" customHeight="1">
      <c r="A733" s="5">
        <f>IFERROR(__xludf.DUMMYFUNCTION("""COMPUTED_VALUE"""),6.0)</f>
        <v>6</v>
      </c>
      <c r="B733" s="5" t="str">
        <f>IFERROR(__xludf.DUMMYFUNCTION("""COMPUTED_VALUE"""),"BB098")</f>
        <v>BB098</v>
      </c>
      <c r="C733" s="5" t="str">
        <f>IFERROR(__xludf.DUMMYFUNCTION("""COMPUTED_VALUE"""),"NÃO POSSUI")</f>
        <v>NÃO POSSUI</v>
      </c>
      <c r="D733" s="5" t="str">
        <f>IFERROR(__xludf.DUMMYFUNCTION("""COMPUTED_VALUE"""),"SEM PLACA")</f>
        <v>SEM PLACA</v>
      </c>
      <c r="E733" s="5" t="str">
        <f>IFERROR(__xludf.DUMMYFUNCTION("""COMPUTED_VALUE"""),"SEM BAIA")</f>
        <v>SEM BAIA</v>
      </c>
      <c r="F733" s="5" t="str">
        <f>IFERROR(__xludf.DUMMYFUNCTION("""COMPUTED_VALUE"""),"NÃO")</f>
        <v>NÃO</v>
      </c>
      <c r="G733" s="5" t="str">
        <f>IFERROR(__xludf.DUMMYFUNCTION("""COMPUTED_VALUE"""),"NÃO")</f>
        <v>NÃO</v>
      </c>
      <c r="H733" s="5" t="str">
        <f>IFERROR(__xludf.DUMMYFUNCTION("""COMPUTED_VALUE"""),"PAVIMENTADA")</f>
        <v>PAVIMENTADA</v>
      </c>
      <c r="I733" s="6" t="str">
        <f>IFERROR(__xludf.DUMMYFUNCTION("""COMPUTED_VALUE"""),"-9.562717")</f>
        <v>-9.562717</v>
      </c>
      <c r="J733" s="6" t="str">
        <f>IFERROR(__xludf.DUMMYFUNCTION("""COMPUTED_VALUE"""),"-35.710408")</f>
        <v>-35.710408</v>
      </c>
      <c r="K733" s="5" t="str">
        <f>IFERROR(__xludf.DUMMYFUNCTION("""COMPUTED_VALUE"""),"AV. AMÉRICA DO NORTE")</f>
        <v>AV. AMÉRICA DO NORTE</v>
      </c>
      <c r="L733" s="5" t="str">
        <f>IFERROR(__xludf.DUMMYFUNCTION("""COMPUTED_VALUE"""),"LOCAL")</f>
        <v>LOCAL</v>
      </c>
      <c r="M733" s="5" t="str">
        <f>IFERROR(__xludf.DUMMYFUNCTION("""COMPUTED_VALUE"""),"BENEDITO BENTES")</f>
        <v>BENEDITO BENTES</v>
      </c>
      <c r="N733" s="5" t="str">
        <f>IFERROR(__xludf.DUMMYFUNCTION("""COMPUTED_VALUE"""),"INTEGRAÇÃO")</f>
        <v>INTEGRAÇÃO</v>
      </c>
      <c r="O733" s="5" t="str">
        <f>IFERROR(__xludf.DUMMYFUNCTION("""COMPUTED_VALUE"""),"IGREJA SÃO VICENTE DE PAULO")</f>
        <v>IGREJA SÃO VICENTE DE PAULO</v>
      </c>
      <c r="P733" s="5" t="str">
        <f>IFERROR(__xludf.DUMMYFUNCTION("""COMPUTED_VALUE"""),"PRIORIDADE BAIXA")</f>
        <v>PRIORIDADE BAIXA</v>
      </c>
      <c r="Q733" s="5"/>
      <c r="R733" s="5" t="str">
        <f>IFERROR(__xludf.DUMMYFUNCTION("""COMPUTED_VALUE"""),"IMPLANTAR PLACA COM SUPORTE")</f>
        <v>IMPLANTAR PLACA COM SUPORTE</v>
      </c>
      <c r="S733" s="5"/>
      <c r="T733" s="5"/>
      <c r="U733" s="5"/>
      <c r="V733" s="9" t="str">
        <f>IFERROR(__xludf.DUMMYFUNCTION("""COMPUTED_VALUE"""),"https://drive.google.com/uc?id=1ob5UJ-AvpOvoZucJByZYrEF95h9wiUsM")</f>
        <v>https://drive.google.com/uc?id=1ob5UJ-AvpOvoZucJByZYrEF95h9wiUsM</v>
      </c>
      <c r="W733" s="5" t="str">
        <f>IFERROR(__xludf.DUMMYFUNCTION("""COMPUTED_VALUE"""),"NÃO")</f>
        <v>NÃO</v>
      </c>
      <c r="X733" s="5" t="str">
        <f>IFERROR(__xludf.DUMMYFUNCTION("""COMPUTED_VALUE"""),"NÃO SE APLICA")</f>
        <v>NÃO SE APLICA</v>
      </c>
    </row>
    <row r="734" ht="19.5" hidden="1" customHeight="1">
      <c r="A734" s="5">
        <f>IFERROR(__xludf.DUMMYFUNCTION("""COMPUTED_VALUE"""),6.0)</f>
        <v>6</v>
      </c>
      <c r="B734" s="5" t="str">
        <f>IFERROR(__xludf.DUMMYFUNCTION("""COMPUTED_VALUE"""),"BB099")</f>
        <v>BB099</v>
      </c>
      <c r="C734" s="5" t="str">
        <f>IFERROR(__xludf.DUMMYFUNCTION("""COMPUTED_VALUE"""),"NÃO POSSUI")</f>
        <v>NÃO POSSUI</v>
      </c>
      <c r="D734" s="5" t="str">
        <f>IFERROR(__xludf.DUMMYFUNCTION("""COMPUTED_VALUE"""),"SEM PLACA")</f>
        <v>SEM PLACA</v>
      </c>
      <c r="E734" s="5" t="str">
        <f>IFERROR(__xludf.DUMMYFUNCTION("""COMPUTED_VALUE"""),"SEM BAIA")</f>
        <v>SEM BAIA</v>
      </c>
      <c r="F734" s="5" t="str">
        <f>IFERROR(__xludf.DUMMYFUNCTION("""COMPUTED_VALUE"""),"NÃO")</f>
        <v>NÃO</v>
      </c>
      <c r="G734" s="5" t="str">
        <f>IFERROR(__xludf.DUMMYFUNCTION("""COMPUTED_VALUE"""),"NÃO")</f>
        <v>NÃO</v>
      </c>
      <c r="H734" s="5" t="str">
        <f>IFERROR(__xludf.DUMMYFUNCTION("""COMPUTED_VALUE"""),"PAVIMENTADA")</f>
        <v>PAVIMENTADA</v>
      </c>
      <c r="I734" s="6" t="str">
        <f>IFERROR(__xludf.DUMMYFUNCTION("""COMPUTED_VALUE"""),"-9.563650")</f>
        <v>-9.563650</v>
      </c>
      <c r="J734" s="6" t="str">
        <f>IFERROR(__xludf.DUMMYFUNCTION("""COMPUTED_VALUE"""),"-35.708710")</f>
        <v>-35.708710</v>
      </c>
      <c r="K734" s="5" t="str">
        <f>IFERROR(__xludf.DUMMYFUNCTION("""COMPUTED_VALUE"""),"AV. AMÉRICA DO NORTE")</f>
        <v>AV. AMÉRICA DO NORTE</v>
      </c>
      <c r="L734" s="5" t="str">
        <f>IFERROR(__xludf.DUMMYFUNCTION("""COMPUTED_VALUE"""),"LOCAL")</f>
        <v>LOCAL</v>
      </c>
      <c r="M734" s="5" t="str">
        <f>IFERROR(__xludf.DUMMYFUNCTION("""COMPUTED_VALUE"""),"BENEDITO BENTES")</f>
        <v>BENEDITO BENTES</v>
      </c>
      <c r="N734" s="5" t="str">
        <f>IFERROR(__xludf.DUMMYFUNCTION("""COMPUTED_VALUE"""),"INTEGRAÇÃO")</f>
        <v>INTEGRAÇÃO</v>
      </c>
      <c r="O734" s="5"/>
      <c r="P734" s="5" t="str">
        <f>IFERROR(__xludf.DUMMYFUNCTION("""COMPUTED_VALUE"""),"PRIORIDADE BAIXA")</f>
        <v>PRIORIDADE BAIXA</v>
      </c>
      <c r="Q734" s="5"/>
      <c r="R734" s="5" t="str">
        <f>IFERROR(__xludf.DUMMYFUNCTION("""COMPUTED_VALUE"""),"IMPLANTAR PLACA COM SUPORTE")</f>
        <v>IMPLANTAR PLACA COM SUPORTE</v>
      </c>
      <c r="S734" s="5"/>
      <c r="T734" s="5"/>
      <c r="U734" s="5"/>
      <c r="V734" s="9" t="str">
        <f>IFERROR(__xludf.DUMMYFUNCTION("""COMPUTED_VALUE"""),"https://drive.google.com/uc?id=1oasjiAiy8KSoiuvhPKdbMvIr2ntYRCd9")</f>
        <v>https://drive.google.com/uc?id=1oasjiAiy8KSoiuvhPKdbMvIr2ntYRCd9</v>
      </c>
      <c r="W734" s="5" t="str">
        <f>IFERROR(__xludf.DUMMYFUNCTION("""COMPUTED_VALUE"""),"NÃO")</f>
        <v>NÃO</v>
      </c>
      <c r="X734" s="5" t="str">
        <f>IFERROR(__xludf.DUMMYFUNCTION("""COMPUTED_VALUE"""),"NÃO SE APLICA")</f>
        <v>NÃO SE APLICA</v>
      </c>
    </row>
    <row r="735" ht="19.5" hidden="1" customHeight="1">
      <c r="A735" s="5">
        <f>IFERROR(__xludf.DUMMYFUNCTION("""COMPUTED_VALUE"""),6.0)</f>
        <v>6</v>
      </c>
      <c r="B735" s="5" t="str">
        <f>IFERROR(__xludf.DUMMYFUNCTION("""COMPUTED_VALUE"""),"BB100")</f>
        <v>BB100</v>
      </c>
      <c r="C735" s="5" t="str">
        <f>IFERROR(__xludf.DUMMYFUNCTION("""COMPUTED_VALUE"""),"NÃO POSSUI")</f>
        <v>NÃO POSSUI</v>
      </c>
      <c r="D735" s="5" t="str">
        <f>IFERROR(__xludf.DUMMYFUNCTION("""COMPUTED_VALUE"""),"FIXADA EM POSTE")</f>
        <v>FIXADA EM POSTE</v>
      </c>
      <c r="E735" s="5" t="str">
        <f>IFERROR(__xludf.DUMMYFUNCTION("""COMPUTED_VALUE"""),"SEM BAIA")</f>
        <v>SEM BAIA</v>
      </c>
      <c r="F735" s="5" t="str">
        <f>IFERROR(__xludf.DUMMYFUNCTION("""COMPUTED_VALUE"""),"NÃO")</f>
        <v>NÃO</v>
      </c>
      <c r="G735" s="5" t="str">
        <f>IFERROR(__xludf.DUMMYFUNCTION("""COMPUTED_VALUE"""),"NÃO")</f>
        <v>NÃO</v>
      </c>
      <c r="H735" s="5" t="str">
        <f>IFERROR(__xludf.DUMMYFUNCTION("""COMPUTED_VALUE"""),"PAVIMENTADA")</f>
        <v>PAVIMENTADA</v>
      </c>
      <c r="I735" s="6" t="str">
        <f>IFERROR(__xludf.DUMMYFUNCTION("""COMPUTED_VALUE"""),"-9.558955")</f>
        <v>-9.558955</v>
      </c>
      <c r="J735" s="6" t="str">
        <f>IFERROR(__xludf.DUMMYFUNCTION("""COMPUTED_VALUE"""),"-35.709557")</f>
        <v>-35.709557</v>
      </c>
      <c r="K735" s="5" t="str">
        <f>IFERROR(__xludf.DUMMYFUNCTION("""COMPUTED_VALUE"""),"R. HENRIQUE FRANCISCO BULHÕES")</f>
        <v>R. HENRIQUE FRANCISCO BULHÕES</v>
      </c>
      <c r="L735" s="5" t="str">
        <f>IFERROR(__xludf.DUMMYFUNCTION("""COMPUTED_VALUE"""),"LOCAL")</f>
        <v>LOCAL</v>
      </c>
      <c r="M735" s="5" t="str">
        <f>IFERROR(__xludf.DUMMYFUNCTION("""COMPUTED_VALUE"""),"BENEDITO BENTES")</f>
        <v>BENEDITO BENTES</v>
      </c>
      <c r="N735" s="5" t="str">
        <f>IFERROR(__xludf.DUMMYFUNCTION("""COMPUTED_VALUE"""),"BAIRRO - CENTRO")</f>
        <v>BAIRRO - CENTRO</v>
      </c>
      <c r="O735" s="5"/>
      <c r="P735" s="5" t="str">
        <f>IFERROR(__xludf.DUMMYFUNCTION("""COMPUTED_VALUE"""),"PRIORIDADE BAIXA")</f>
        <v>PRIORIDADE BAIXA</v>
      </c>
      <c r="Q735" s="5"/>
      <c r="R735" s="5" t="str">
        <f>IFERROR(__xludf.DUMMYFUNCTION("""COMPUTED_VALUE"""),"NENHUMA DAS OPÇÕES")</f>
        <v>NENHUMA DAS OPÇÕES</v>
      </c>
      <c r="S735" s="5"/>
      <c r="T735" s="5"/>
      <c r="U735" s="5"/>
      <c r="V735" s="9" t="str">
        <f>IFERROR(__xludf.DUMMYFUNCTION("""COMPUTED_VALUE"""),"https://drive.google.com/uc?id=1oUyEcvReSnb_l4lFfmh2NqlAua0XTZMp")</f>
        <v>https://drive.google.com/uc?id=1oUyEcvReSnb_l4lFfmh2NqlAua0XTZMp</v>
      </c>
      <c r="W735" s="5" t="str">
        <f>IFERROR(__xludf.DUMMYFUNCTION("""COMPUTED_VALUE"""),"NÃO")</f>
        <v>NÃO</v>
      </c>
      <c r="X735" s="5" t="str">
        <f>IFERROR(__xludf.DUMMYFUNCTION("""COMPUTED_VALUE"""),"NÃO SE APLICA")</f>
        <v>NÃO SE APLICA</v>
      </c>
    </row>
    <row r="736" ht="19.5" customHeight="1">
      <c r="A736" s="5">
        <f>IFERROR(__xludf.DUMMYFUNCTION("""COMPUTED_VALUE"""),6.0)</f>
        <v>6</v>
      </c>
      <c r="B736" s="5" t="str">
        <f>IFERROR(__xludf.DUMMYFUNCTION("""COMPUTED_VALUE"""),"BB101")</f>
        <v>BB101</v>
      </c>
      <c r="C736" s="5" t="str">
        <f>IFERROR(__xludf.DUMMYFUNCTION("""COMPUTED_VALUE"""),"ABRIGO CONCRETO")</f>
        <v>ABRIGO CONCRETO</v>
      </c>
      <c r="D736" s="5" t="str">
        <f>IFERROR(__xludf.DUMMYFUNCTION("""COMPUTED_VALUE"""),"SEM PLACA")</f>
        <v>SEM PLACA</v>
      </c>
      <c r="E736" s="5" t="str">
        <f>IFERROR(__xludf.DUMMYFUNCTION("""COMPUTED_VALUE"""),"SEM BAIA")</f>
        <v>SEM BAIA</v>
      </c>
      <c r="F736" s="5" t="str">
        <f>IFERROR(__xludf.DUMMYFUNCTION("""COMPUTED_VALUE"""),"NÃO")</f>
        <v>NÃO</v>
      </c>
      <c r="G736" s="5" t="str">
        <f>IFERROR(__xludf.DUMMYFUNCTION("""COMPUTED_VALUE"""),"NÃO")</f>
        <v>NÃO</v>
      </c>
      <c r="H736" s="5" t="str">
        <f>IFERROR(__xludf.DUMMYFUNCTION("""COMPUTED_VALUE"""),"PAVIMENTADA COM AVARIAS")</f>
        <v>PAVIMENTADA COM AVARIAS</v>
      </c>
      <c r="I736" s="6" t="str">
        <f>IFERROR(__xludf.DUMMYFUNCTION("""COMPUTED_VALUE"""),"-9.556289")</f>
        <v>-9.556289</v>
      </c>
      <c r="J736" s="6" t="str">
        <f>IFERROR(__xludf.DUMMYFUNCTION("""COMPUTED_VALUE"""),"-35.722027")</f>
        <v>-35.722027</v>
      </c>
      <c r="K736" s="5" t="str">
        <f>IFERROR(__xludf.DUMMYFUNCTION("""COMPUTED_VALUE"""),"AVENIDA MUNDAÚ")</f>
        <v>AVENIDA MUNDAÚ</v>
      </c>
      <c r="L736" s="5" t="str">
        <f>IFERROR(__xludf.DUMMYFUNCTION("""COMPUTED_VALUE"""),"COLETORA")</f>
        <v>COLETORA</v>
      </c>
      <c r="M736" s="5" t="str">
        <f>IFERROR(__xludf.DUMMYFUNCTION("""COMPUTED_VALUE"""),"BENEDITO BENTES")</f>
        <v>BENEDITO BENTES</v>
      </c>
      <c r="N736" s="5" t="str">
        <f>IFERROR(__xludf.DUMMYFUNCTION("""COMPUTED_VALUE"""),"CENTRO - BAIRRO")</f>
        <v>CENTRO - BAIRRO</v>
      </c>
      <c r="O736" s="5"/>
      <c r="P736" s="5" t="str">
        <f>IFERROR(__xludf.DUMMYFUNCTION("""COMPUTED_VALUE"""),"PRIORIDADE BAIXA")</f>
        <v>PRIORIDADE BAIXA</v>
      </c>
      <c r="Q736" s="5"/>
      <c r="R736" s="5" t="str">
        <f>IFERROR(__xludf.DUMMYFUNCTION("""COMPUTED_VALUE"""),"IMPLANTAR PLACA COM SUPORTE")</f>
        <v>IMPLANTAR PLACA COM SUPORTE</v>
      </c>
      <c r="S736" s="5"/>
      <c r="T736" s="5"/>
      <c r="U736" s="5"/>
      <c r="V736" s="9" t="str">
        <f>IFERROR(__xludf.DUMMYFUNCTION("""COMPUTED_VALUE"""),"https://drive.google.com/uc?id=1oMEZN34AdY1Meo4vUvN4ZnkIT5lwbS4x")</f>
        <v>https://drive.google.com/uc?id=1oMEZN34AdY1Meo4vUvN4ZnkIT5lwbS4x</v>
      </c>
      <c r="W736" s="5" t="str">
        <f>IFERROR(__xludf.DUMMYFUNCTION("""COMPUTED_VALUE"""),"NÃO")</f>
        <v>NÃO</v>
      </c>
      <c r="X736" s="5" t="str">
        <f>IFERROR(__xludf.DUMMYFUNCTION("""COMPUTED_VALUE"""),"NÃO SE APLICA")</f>
        <v>NÃO SE APLICA</v>
      </c>
    </row>
    <row r="737" ht="19.5" hidden="1" customHeight="1">
      <c r="A737" s="5">
        <f>IFERROR(__xludf.DUMMYFUNCTION("""COMPUTED_VALUE"""),6.0)</f>
        <v>6</v>
      </c>
      <c r="B737" s="5" t="str">
        <f>IFERROR(__xludf.DUMMYFUNCTION("""COMPUTED_VALUE"""),"BB102")</f>
        <v>BB102</v>
      </c>
      <c r="C737" s="5" t="str">
        <f>IFERROR(__xludf.DUMMYFUNCTION("""COMPUTED_VALUE"""),"NÃO POSSUI")</f>
        <v>NÃO POSSUI</v>
      </c>
      <c r="D737" s="5" t="str">
        <f>IFERROR(__xludf.DUMMYFUNCTION("""COMPUTED_VALUE"""),"FIXADA EM POSTE")</f>
        <v>FIXADA EM POSTE</v>
      </c>
      <c r="E737" s="5" t="str">
        <f>IFERROR(__xludf.DUMMYFUNCTION("""COMPUTED_VALUE"""),"SEM BAIA")</f>
        <v>SEM BAIA</v>
      </c>
      <c r="F737" s="5" t="str">
        <f>IFERROR(__xludf.DUMMYFUNCTION("""COMPUTED_VALUE"""),"NÃO")</f>
        <v>NÃO</v>
      </c>
      <c r="G737" s="5" t="str">
        <f>IFERROR(__xludf.DUMMYFUNCTION("""COMPUTED_VALUE"""),"NÃO")</f>
        <v>NÃO</v>
      </c>
      <c r="H737" s="5" t="str">
        <f>IFERROR(__xludf.DUMMYFUNCTION("""COMPUTED_VALUE"""),"PAVIMENTADA")</f>
        <v>PAVIMENTADA</v>
      </c>
      <c r="I737" s="6" t="str">
        <f>IFERROR(__xludf.DUMMYFUNCTION("""COMPUTED_VALUE"""),"-9.566797")</f>
        <v>-9.566797</v>
      </c>
      <c r="J737" s="6" t="str">
        <f>IFERROR(__xludf.DUMMYFUNCTION("""COMPUTED_VALUE"""),"-35.716455")</f>
        <v>-35.716455</v>
      </c>
      <c r="K737" s="5" t="str">
        <f>IFERROR(__xludf.DUMMYFUNCTION("""COMPUTED_VALUE"""),"RUA SEM NOME")</f>
        <v>RUA SEM NOME</v>
      </c>
      <c r="L737" s="5" t="str">
        <f>IFERROR(__xludf.DUMMYFUNCTION("""COMPUTED_VALUE"""),"LOCAL")</f>
        <v>LOCAL</v>
      </c>
      <c r="M737" s="5" t="str">
        <f>IFERROR(__xludf.DUMMYFUNCTION("""COMPUTED_VALUE"""),"BENEDITO BENTES")</f>
        <v>BENEDITO BENTES</v>
      </c>
      <c r="N737" s="5" t="str">
        <f>IFERROR(__xludf.DUMMYFUNCTION("""COMPUTED_VALUE"""),"INTEGRAÇÃO")</f>
        <v>INTEGRAÇÃO</v>
      </c>
      <c r="O737" s="5"/>
      <c r="P737" s="5" t="str">
        <f>IFERROR(__xludf.DUMMYFUNCTION("""COMPUTED_VALUE"""),"PRIORIDADE BAIXA")</f>
        <v>PRIORIDADE BAIXA</v>
      </c>
      <c r="Q737" s="5"/>
      <c r="R737" s="5" t="str">
        <f>IFERROR(__xludf.DUMMYFUNCTION("""COMPUTED_VALUE"""),"IMPLANTAR PLACA COM SUPORTE")</f>
        <v>IMPLANTAR PLACA COM SUPORTE</v>
      </c>
      <c r="S737" s="5"/>
      <c r="T737" s="5"/>
      <c r="U737" s="5"/>
      <c r="V737" s="9" t="str">
        <f>IFERROR(__xludf.DUMMYFUNCTION("""COMPUTED_VALUE"""),"https://drive.google.com/uc?id=1oIP0e2WwG8qwut6Z87ixXseSDzC1bDGg")</f>
        <v>https://drive.google.com/uc?id=1oIP0e2WwG8qwut6Z87ixXseSDzC1bDGg</v>
      </c>
      <c r="W737" s="5" t="str">
        <f>IFERROR(__xludf.DUMMYFUNCTION("""COMPUTED_VALUE"""),"NÃO")</f>
        <v>NÃO</v>
      </c>
      <c r="X737" s="5" t="str">
        <f>IFERROR(__xludf.DUMMYFUNCTION("""COMPUTED_VALUE"""),"NÃO SE APLICA")</f>
        <v>NÃO SE APLICA</v>
      </c>
    </row>
    <row r="738" ht="19.5" customHeight="1">
      <c r="A738" s="5">
        <f>IFERROR(__xludf.DUMMYFUNCTION("""COMPUTED_VALUE"""),6.0)</f>
        <v>6</v>
      </c>
      <c r="B738" s="5" t="str">
        <f>IFERROR(__xludf.DUMMYFUNCTION("""COMPUTED_VALUE"""),"BB103")</f>
        <v>BB103</v>
      </c>
      <c r="C738" s="5" t="str">
        <f>IFERROR(__xludf.DUMMYFUNCTION("""COMPUTED_VALUE"""),"ABRIGO CONCRETO")</f>
        <v>ABRIGO CONCRETO</v>
      </c>
      <c r="D738" s="5" t="str">
        <f>IFERROR(__xludf.DUMMYFUNCTION("""COMPUTED_VALUE"""),"SEM PLACA")</f>
        <v>SEM PLACA</v>
      </c>
      <c r="E738" s="5" t="str">
        <f>IFERROR(__xludf.DUMMYFUNCTION("""COMPUTED_VALUE"""),"SEM BAIA")</f>
        <v>SEM BAIA</v>
      </c>
      <c r="F738" s="5" t="str">
        <f>IFERROR(__xludf.DUMMYFUNCTION("""COMPUTED_VALUE"""),"NÃO")</f>
        <v>NÃO</v>
      </c>
      <c r="G738" s="5" t="str">
        <f>IFERROR(__xludf.DUMMYFUNCTION("""COMPUTED_VALUE"""),"NÃO")</f>
        <v>NÃO</v>
      </c>
      <c r="H738" s="5" t="str">
        <f>IFERROR(__xludf.DUMMYFUNCTION("""COMPUTED_VALUE"""),"NÃO PAVIMENTADA")</f>
        <v>NÃO PAVIMENTADA</v>
      </c>
      <c r="I738" s="6" t="str">
        <f>IFERROR(__xludf.DUMMYFUNCTION("""COMPUTED_VALUE"""),"-9.565120")</f>
        <v>-9.565120</v>
      </c>
      <c r="J738" s="6" t="str">
        <f>IFERROR(__xludf.DUMMYFUNCTION("""COMPUTED_VALUE"""),"-35.716795")</f>
        <v>-35.716795</v>
      </c>
      <c r="K738" s="5" t="str">
        <f>IFERROR(__xludf.DUMMYFUNCTION("""COMPUTED_VALUE"""),"RUA SEM NOME")</f>
        <v>RUA SEM NOME</v>
      </c>
      <c r="L738" s="5" t="str">
        <f>IFERROR(__xludf.DUMMYFUNCTION("""COMPUTED_VALUE"""),"LOCAL")</f>
        <v>LOCAL</v>
      </c>
      <c r="M738" s="5" t="str">
        <f>IFERROR(__xludf.DUMMYFUNCTION("""COMPUTED_VALUE"""),"BENEDITO BENTES")</f>
        <v>BENEDITO BENTES</v>
      </c>
      <c r="N738" s="5" t="str">
        <f>IFERROR(__xludf.DUMMYFUNCTION("""COMPUTED_VALUE"""),"INTEGRAÇÃO")</f>
        <v>INTEGRAÇÃO</v>
      </c>
      <c r="O738" s="5"/>
      <c r="P738" s="5" t="str">
        <f>IFERROR(__xludf.DUMMYFUNCTION("""COMPUTED_VALUE"""),"PRIORIDADE BAIXA")</f>
        <v>PRIORIDADE BAIXA</v>
      </c>
      <c r="Q738" s="5"/>
      <c r="R738" s="5" t="str">
        <f>IFERROR(__xludf.DUMMYFUNCTION("""COMPUTED_VALUE"""),"IMPLANTAR PLACA COM SUPORTE")</f>
        <v>IMPLANTAR PLACA COM SUPORTE</v>
      </c>
      <c r="S738" s="5"/>
      <c r="T738" s="5"/>
      <c r="U738" s="5"/>
      <c r="V738" s="9" t="str">
        <f>IFERROR(__xludf.DUMMYFUNCTION("""COMPUTED_VALUE"""),"https://drive.google.com/uc?id=1nyLaH8PYzKuzjCXNbeg0jiqALisnBH1N
")</f>
        <v>https://drive.google.com/uc?id=1nyLaH8PYzKuzjCXNbeg0jiqALisnBH1N
</v>
      </c>
      <c r="W738" s="5" t="str">
        <f>IFERROR(__xludf.DUMMYFUNCTION("""COMPUTED_VALUE"""),"NÃO")</f>
        <v>NÃO</v>
      </c>
      <c r="X738" s="5" t="str">
        <f>IFERROR(__xludf.DUMMYFUNCTION("""COMPUTED_VALUE"""),"NÃO SE APLICA")</f>
        <v>NÃO SE APLICA</v>
      </c>
    </row>
    <row r="739" ht="19.5" hidden="1" customHeight="1">
      <c r="A739" s="5">
        <f>IFERROR(__xludf.DUMMYFUNCTION("""COMPUTED_VALUE"""),6.0)</f>
        <v>6</v>
      </c>
      <c r="B739" s="5" t="str">
        <f>IFERROR(__xludf.DUMMYFUNCTION("""COMPUTED_VALUE"""),"BB104")</f>
        <v>BB104</v>
      </c>
      <c r="C739" s="5" t="str">
        <f>IFERROR(__xludf.DUMMYFUNCTION("""COMPUTED_VALUE"""),"NÃO POSSUI")</f>
        <v>NÃO POSSUI</v>
      </c>
      <c r="D739" s="5" t="str">
        <f>IFERROR(__xludf.DUMMYFUNCTION("""COMPUTED_VALUE"""),"COM SUPORTE")</f>
        <v>COM SUPORTE</v>
      </c>
      <c r="E739" s="5" t="str">
        <f>IFERROR(__xludf.DUMMYFUNCTION("""COMPUTED_VALUE"""),"SEM BAIA")</f>
        <v>SEM BAIA</v>
      </c>
      <c r="F739" s="5" t="str">
        <f>IFERROR(__xludf.DUMMYFUNCTION("""COMPUTED_VALUE"""),"NÃO")</f>
        <v>NÃO</v>
      </c>
      <c r="G739" s="5" t="str">
        <f>IFERROR(__xludf.DUMMYFUNCTION("""COMPUTED_VALUE"""),"NÃO")</f>
        <v>NÃO</v>
      </c>
      <c r="H739" s="5" t="str">
        <f>IFERROR(__xludf.DUMMYFUNCTION("""COMPUTED_VALUE"""),"PAVIMENTADA COM AVARIAS")</f>
        <v>PAVIMENTADA COM AVARIAS</v>
      </c>
      <c r="I739" s="6" t="str">
        <f>IFERROR(__xludf.DUMMYFUNCTION("""COMPUTED_VALUE"""),"-9.567667")</f>
        <v>-9.567667</v>
      </c>
      <c r="J739" s="6" t="str">
        <f>IFERROR(__xludf.DUMMYFUNCTION("""COMPUTED_VALUE"""),"-35.715613")</f>
        <v>-35.715613</v>
      </c>
      <c r="K739" s="5" t="str">
        <f>IFERROR(__xludf.DUMMYFUNCTION("""COMPUTED_VALUE"""),"RUA SEM NOME")</f>
        <v>RUA SEM NOME</v>
      </c>
      <c r="L739" s="5" t="str">
        <f>IFERROR(__xludf.DUMMYFUNCTION("""COMPUTED_VALUE"""),"LOCAL")</f>
        <v>LOCAL</v>
      </c>
      <c r="M739" s="5" t="str">
        <f>IFERROR(__xludf.DUMMYFUNCTION("""COMPUTED_VALUE"""),"BENEDITO BENTES")</f>
        <v>BENEDITO BENTES</v>
      </c>
      <c r="N739" s="5" t="str">
        <f>IFERROR(__xludf.DUMMYFUNCTION("""COMPUTED_VALUE"""),"INTEGRAÇÃO")</f>
        <v>INTEGRAÇÃO</v>
      </c>
      <c r="O739" s="5"/>
      <c r="P739" s="5" t="str">
        <f>IFERROR(__xludf.DUMMYFUNCTION("""COMPUTED_VALUE"""),"PRIORIDADE BAIXA")</f>
        <v>PRIORIDADE BAIXA</v>
      </c>
      <c r="Q739" s="5"/>
      <c r="R739" s="5" t="str">
        <f>IFERROR(__xludf.DUMMYFUNCTION("""COMPUTED_VALUE"""),"NENHUMA DAS OPÇÕES")</f>
        <v>NENHUMA DAS OPÇÕES</v>
      </c>
      <c r="S739" s="5"/>
      <c r="T739" s="5"/>
      <c r="U739" s="5"/>
      <c r="V739" s="9" t="str">
        <f>IFERROR(__xludf.DUMMYFUNCTION("""COMPUTED_VALUE"""),"https://drive.google.com/uc?id=1nvVrlLVdiC3gC5jz6RuQ_--OqYf0yLr4
")</f>
        <v>https://drive.google.com/uc?id=1nvVrlLVdiC3gC5jz6RuQ_--OqYf0yLr4
</v>
      </c>
      <c r="W739" s="5" t="str">
        <f>IFERROR(__xludf.DUMMYFUNCTION("""COMPUTED_VALUE"""),"NÃO")</f>
        <v>NÃO</v>
      </c>
      <c r="X739" s="5" t="str">
        <f>IFERROR(__xludf.DUMMYFUNCTION("""COMPUTED_VALUE"""),"NÃO SE APLICA")</f>
        <v>NÃO SE APLICA</v>
      </c>
    </row>
    <row r="740" ht="19.5" hidden="1" customHeight="1">
      <c r="A740" s="5">
        <f>IFERROR(__xludf.DUMMYFUNCTION("""COMPUTED_VALUE"""),6.0)</f>
        <v>6</v>
      </c>
      <c r="B740" s="5" t="str">
        <f>IFERROR(__xludf.DUMMYFUNCTION("""COMPUTED_VALUE"""),"BB105")</f>
        <v>BB105</v>
      </c>
      <c r="C740" s="5" t="str">
        <f>IFERROR(__xludf.DUMMYFUNCTION("""COMPUTED_VALUE"""),"NÃO POSSUI")</f>
        <v>NÃO POSSUI</v>
      </c>
      <c r="D740" s="5" t="str">
        <f>IFERROR(__xludf.DUMMYFUNCTION("""COMPUTED_VALUE"""),"FIXADA EM POSTE")</f>
        <v>FIXADA EM POSTE</v>
      </c>
      <c r="E740" s="5" t="str">
        <f>IFERROR(__xludf.DUMMYFUNCTION("""COMPUTED_VALUE"""),"SEM BAIA")</f>
        <v>SEM BAIA</v>
      </c>
      <c r="F740" s="5" t="str">
        <f>IFERROR(__xludf.DUMMYFUNCTION("""COMPUTED_VALUE"""),"NÃO")</f>
        <v>NÃO</v>
      </c>
      <c r="G740" s="5" t="str">
        <f>IFERROR(__xludf.DUMMYFUNCTION("""COMPUTED_VALUE"""),"NÃO")</f>
        <v>NÃO</v>
      </c>
      <c r="H740" s="5" t="str">
        <f>IFERROR(__xludf.DUMMYFUNCTION("""COMPUTED_VALUE"""),"PAVIMENTADA")</f>
        <v>PAVIMENTADA</v>
      </c>
      <c r="I740" s="6" t="str">
        <f>IFERROR(__xludf.DUMMYFUNCTION("""COMPUTED_VALUE"""),"-9.567890")</f>
        <v>-9.567890</v>
      </c>
      <c r="J740" s="6" t="str">
        <f>IFERROR(__xludf.DUMMYFUNCTION("""COMPUTED_VALUE"""),"-35.715297")</f>
        <v>-35.715297</v>
      </c>
      <c r="K740" s="5" t="str">
        <f>IFERROR(__xludf.DUMMYFUNCTION("""COMPUTED_VALUE"""),"RUA SEM NOME")</f>
        <v>RUA SEM NOME</v>
      </c>
      <c r="L740" s="5" t="str">
        <f>IFERROR(__xludf.DUMMYFUNCTION("""COMPUTED_VALUE"""),"LOCAL")</f>
        <v>LOCAL</v>
      </c>
      <c r="M740" s="5" t="str">
        <f>IFERROR(__xludf.DUMMYFUNCTION("""COMPUTED_VALUE"""),"BENEDITO BENTES")</f>
        <v>BENEDITO BENTES</v>
      </c>
      <c r="N740" s="5" t="str">
        <f>IFERROR(__xludf.DUMMYFUNCTION("""COMPUTED_VALUE"""),"INTEGRAÇÃO")</f>
        <v>INTEGRAÇÃO</v>
      </c>
      <c r="O740" s="5"/>
      <c r="P740" s="5" t="str">
        <f>IFERROR(__xludf.DUMMYFUNCTION("""COMPUTED_VALUE"""),"PRIORIDADE BAIXA")</f>
        <v>PRIORIDADE BAIXA</v>
      </c>
      <c r="Q740" s="5"/>
      <c r="R740" s="5" t="str">
        <f>IFERROR(__xludf.DUMMYFUNCTION("""COMPUTED_VALUE"""),"NENHUMA DAS OPÇÕES")</f>
        <v>NENHUMA DAS OPÇÕES</v>
      </c>
      <c r="S740" s="5"/>
      <c r="T740" s="5"/>
      <c r="U740" s="5"/>
      <c r="V740" s="9" t="str">
        <f>IFERROR(__xludf.DUMMYFUNCTION("""COMPUTED_VALUE"""),"https://drive.google.com/uc?id=1nqZei9E1ZWzmZnYNKPHwAHNZ1q-bjJfF
")</f>
        <v>https://drive.google.com/uc?id=1nqZei9E1ZWzmZnYNKPHwAHNZ1q-bjJfF
</v>
      </c>
      <c r="W740" s="5" t="str">
        <f>IFERROR(__xludf.DUMMYFUNCTION("""COMPUTED_VALUE"""),"NÃO")</f>
        <v>NÃO</v>
      </c>
      <c r="X740" s="5" t="str">
        <f>IFERROR(__xludf.DUMMYFUNCTION("""COMPUTED_VALUE"""),"NÃO SE APLICA")</f>
        <v>NÃO SE APLICA</v>
      </c>
    </row>
    <row r="741" ht="19.5" hidden="1" customHeight="1">
      <c r="A741" s="5">
        <f>IFERROR(__xludf.DUMMYFUNCTION("""COMPUTED_VALUE"""),6.0)</f>
        <v>6</v>
      </c>
      <c r="B741" s="5" t="str">
        <f>IFERROR(__xludf.DUMMYFUNCTION("""COMPUTED_VALUE"""),"BB106")</f>
        <v>BB106</v>
      </c>
      <c r="C741" s="5" t="str">
        <f>IFERROR(__xludf.DUMMYFUNCTION("""COMPUTED_VALUE"""),"NÃO POSSUI")</f>
        <v>NÃO POSSUI</v>
      </c>
      <c r="D741" s="5" t="str">
        <f>IFERROR(__xludf.DUMMYFUNCTION("""COMPUTED_VALUE"""),"COM SUPORTE")</f>
        <v>COM SUPORTE</v>
      </c>
      <c r="E741" s="5" t="str">
        <f>IFERROR(__xludf.DUMMYFUNCTION("""COMPUTED_VALUE"""),"SEM BAIA")</f>
        <v>SEM BAIA</v>
      </c>
      <c r="F741" s="5" t="str">
        <f>IFERROR(__xludf.DUMMYFUNCTION("""COMPUTED_VALUE"""),"NÃO")</f>
        <v>NÃO</v>
      </c>
      <c r="G741" s="5" t="str">
        <f>IFERROR(__xludf.DUMMYFUNCTION("""COMPUTED_VALUE"""),"NÃO")</f>
        <v>NÃO</v>
      </c>
      <c r="H741" s="5" t="str">
        <f>IFERROR(__xludf.DUMMYFUNCTION("""COMPUTED_VALUE"""),"PAVIMENTADA")</f>
        <v>PAVIMENTADA</v>
      </c>
      <c r="I741" s="6" t="str">
        <f>IFERROR(__xludf.DUMMYFUNCTION("""COMPUTED_VALUE"""),"-9.568638")</f>
        <v>-9.568638</v>
      </c>
      <c r="J741" s="6" t="str">
        <f>IFERROR(__xludf.DUMMYFUNCTION("""COMPUTED_VALUE"""),"-35.713675")</f>
        <v>-35.713675</v>
      </c>
      <c r="K741" s="5" t="str">
        <f>IFERROR(__xludf.DUMMYFUNCTION("""COMPUTED_VALUE"""),"RUA SEM NOME")</f>
        <v>RUA SEM NOME</v>
      </c>
      <c r="L741" s="5" t="str">
        <f>IFERROR(__xludf.DUMMYFUNCTION("""COMPUTED_VALUE"""),"LOCAL")</f>
        <v>LOCAL</v>
      </c>
      <c r="M741" s="5" t="str">
        <f>IFERROR(__xludf.DUMMYFUNCTION("""COMPUTED_VALUE"""),"BENEDITO BENTES")</f>
        <v>BENEDITO BENTES</v>
      </c>
      <c r="N741" s="5" t="str">
        <f>IFERROR(__xludf.DUMMYFUNCTION("""COMPUTED_VALUE"""),"INTEGRAÇÃO")</f>
        <v>INTEGRAÇÃO</v>
      </c>
      <c r="O741" s="5"/>
      <c r="P741" s="5" t="str">
        <f>IFERROR(__xludf.DUMMYFUNCTION("""COMPUTED_VALUE"""),"PRIORIDADE BAIXA")</f>
        <v>PRIORIDADE BAIXA</v>
      </c>
      <c r="Q741" s="5"/>
      <c r="R741" s="5" t="str">
        <f>IFERROR(__xludf.DUMMYFUNCTION("""COMPUTED_VALUE"""),"NENHUMA DAS OPÇÕES")</f>
        <v>NENHUMA DAS OPÇÕES</v>
      </c>
      <c r="S741" s="5"/>
      <c r="T741" s="5"/>
      <c r="U741" s="5"/>
      <c r="V741" s="9" t="str">
        <f>IFERROR(__xludf.DUMMYFUNCTION("""COMPUTED_VALUE"""),"https://drive.google.com/uc?id=1npfuQSzFyJ4WGJKuYNAt2Xcq4huMx_9b
")</f>
        <v>https://drive.google.com/uc?id=1npfuQSzFyJ4WGJKuYNAt2Xcq4huMx_9b
</v>
      </c>
      <c r="W741" s="5" t="str">
        <f>IFERROR(__xludf.DUMMYFUNCTION("""COMPUTED_VALUE"""),"NÃO")</f>
        <v>NÃO</v>
      </c>
      <c r="X741" s="5" t="str">
        <f>IFERROR(__xludf.DUMMYFUNCTION("""COMPUTED_VALUE"""),"NÃO SE APLICA")</f>
        <v>NÃO SE APLICA</v>
      </c>
    </row>
    <row r="742" ht="19.5" customHeight="1">
      <c r="A742" s="5">
        <f>IFERROR(__xludf.DUMMYFUNCTION("""COMPUTED_VALUE"""),6.0)</f>
        <v>6</v>
      </c>
      <c r="B742" s="5" t="str">
        <f>IFERROR(__xludf.DUMMYFUNCTION("""COMPUTED_VALUE"""),"BB107")</f>
        <v>BB107</v>
      </c>
      <c r="C742" s="5" t="str">
        <f>IFERROR(__xludf.DUMMYFUNCTION("""COMPUTED_VALUE"""),"ABRIGO METÁLICO PEQUENO PORTE")</f>
        <v>ABRIGO METÁLICO PEQUENO PORTE</v>
      </c>
      <c r="D742" s="5" t="str">
        <f>IFERROR(__xludf.DUMMYFUNCTION("""COMPUTED_VALUE"""),"SEM PLACA")</f>
        <v>SEM PLACA</v>
      </c>
      <c r="E742" s="5" t="str">
        <f>IFERROR(__xludf.DUMMYFUNCTION("""COMPUTED_VALUE"""),"SEM BAIA")</f>
        <v>SEM BAIA</v>
      </c>
      <c r="F742" s="5" t="str">
        <f>IFERROR(__xludf.DUMMYFUNCTION("""COMPUTED_VALUE"""),"NÃO")</f>
        <v>NÃO</v>
      </c>
      <c r="G742" s="5" t="str">
        <f>IFERROR(__xludf.DUMMYFUNCTION("""COMPUTED_VALUE"""),"NÃO")</f>
        <v>NÃO</v>
      </c>
      <c r="H742" s="5" t="str">
        <f>IFERROR(__xludf.DUMMYFUNCTION("""COMPUTED_VALUE"""),"PAVIMENTADA")</f>
        <v>PAVIMENTADA</v>
      </c>
      <c r="I742" s="6" t="str">
        <f>IFERROR(__xludf.DUMMYFUNCTION("""COMPUTED_VALUE"""),"-9.571607")</f>
        <v>-9.571607</v>
      </c>
      <c r="J742" s="6" t="str">
        <f>IFERROR(__xludf.DUMMYFUNCTION("""COMPUTED_VALUE"""),"-35.705873")</f>
        <v>-35.705873</v>
      </c>
      <c r="K742" s="5" t="str">
        <f>IFERROR(__xludf.DUMMYFUNCTION("""COMPUTED_VALUE"""),"AV. CAETÉS")</f>
        <v>AV. CAETÉS</v>
      </c>
      <c r="L742" s="5" t="str">
        <f>IFERROR(__xludf.DUMMYFUNCTION("""COMPUTED_VALUE"""),"COLETORA")</f>
        <v>COLETORA</v>
      </c>
      <c r="M742" s="5" t="str">
        <f>IFERROR(__xludf.DUMMYFUNCTION("""COMPUTED_VALUE"""),"BENEDITO BENTES")</f>
        <v>BENEDITO BENTES</v>
      </c>
      <c r="N742" s="5" t="str">
        <f>IFERROR(__xludf.DUMMYFUNCTION("""COMPUTED_VALUE"""),"CENTRO - BAIRRO")</f>
        <v>CENTRO - BAIRRO</v>
      </c>
      <c r="O742" s="5"/>
      <c r="P742" s="5" t="str">
        <f>IFERROR(__xludf.DUMMYFUNCTION("""COMPUTED_VALUE"""),"PRIORIDADE BAIXA")</f>
        <v>PRIORIDADE BAIXA</v>
      </c>
      <c r="Q742" s="5"/>
      <c r="R742" s="5" t="str">
        <f>IFERROR(__xludf.DUMMYFUNCTION("""COMPUTED_VALUE"""),"IMPLANTAR PLACA COM SUPORTE")</f>
        <v>IMPLANTAR PLACA COM SUPORTE</v>
      </c>
      <c r="S742" s="5"/>
      <c r="T742" s="5"/>
      <c r="U742" s="5"/>
      <c r="V742" s="9" t="str">
        <f>IFERROR(__xludf.DUMMYFUNCTION("""COMPUTED_VALUE"""),"https://drive.google.com/uc?id=1nmqp61U4IioKMzwas61F7y0rPyZ0wtt4
")</f>
        <v>https://drive.google.com/uc?id=1nmqp61U4IioKMzwas61F7y0rPyZ0wtt4
</v>
      </c>
      <c r="W742" s="5" t="str">
        <f>IFERROR(__xludf.DUMMYFUNCTION("""COMPUTED_VALUE"""),"NÃO")</f>
        <v>NÃO</v>
      </c>
      <c r="X742" s="5" t="str">
        <f>IFERROR(__xludf.DUMMYFUNCTION("""COMPUTED_VALUE"""),"NÃO")</f>
        <v>NÃO</v>
      </c>
    </row>
    <row r="743" ht="19.5" hidden="1" customHeight="1">
      <c r="A743" s="5">
        <f>IFERROR(__xludf.DUMMYFUNCTION("""COMPUTED_VALUE"""),6.0)</f>
        <v>6</v>
      </c>
      <c r="B743" s="5" t="str">
        <f>IFERROR(__xludf.DUMMYFUNCTION("""COMPUTED_VALUE"""),"BB108")</f>
        <v>BB108</v>
      </c>
      <c r="C743" s="5" t="str">
        <f>IFERROR(__xludf.DUMMYFUNCTION("""COMPUTED_VALUE"""),"NÃO POSSUI")</f>
        <v>NÃO POSSUI</v>
      </c>
      <c r="D743" s="5" t="str">
        <f>IFERROR(__xludf.DUMMYFUNCTION("""COMPUTED_VALUE"""),"SEM PLACA")</f>
        <v>SEM PLACA</v>
      </c>
      <c r="E743" s="5" t="str">
        <f>IFERROR(__xludf.DUMMYFUNCTION("""COMPUTED_VALUE"""),"SEM BAIA")</f>
        <v>SEM BAIA</v>
      </c>
      <c r="F743" s="5" t="str">
        <f>IFERROR(__xludf.DUMMYFUNCTION("""COMPUTED_VALUE"""),"NÃO")</f>
        <v>NÃO</v>
      </c>
      <c r="G743" s="5" t="str">
        <f>IFERROR(__xludf.DUMMYFUNCTION("""COMPUTED_VALUE"""),"NÃO")</f>
        <v>NÃO</v>
      </c>
      <c r="H743" s="5" t="str">
        <f>IFERROR(__xludf.DUMMYFUNCTION("""COMPUTED_VALUE"""),"PAVIMENTADA")</f>
        <v>PAVIMENTADA</v>
      </c>
      <c r="I743" s="6" t="str">
        <f>IFERROR(__xludf.DUMMYFUNCTION("""COMPUTED_VALUE"""),"-9.569730")</f>
        <v>-9.569730</v>
      </c>
      <c r="J743" s="6" t="str">
        <f>IFERROR(__xludf.DUMMYFUNCTION("""COMPUTED_VALUE"""),"-35.703700")</f>
        <v>-35.703700</v>
      </c>
      <c r="K743" s="5" t="str">
        <f>IFERROR(__xludf.DUMMYFUNCTION("""COMPUTED_VALUE"""),"AV. CAETÉS")</f>
        <v>AV. CAETÉS</v>
      </c>
      <c r="L743" s="5" t="str">
        <f>IFERROR(__xludf.DUMMYFUNCTION("""COMPUTED_VALUE"""),"COLETORA")</f>
        <v>COLETORA</v>
      </c>
      <c r="M743" s="5" t="str">
        <f>IFERROR(__xludf.DUMMYFUNCTION("""COMPUTED_VALUE"""),"BENEDITO BENTES")</f>
        <v>BENEDITO BENTES</v>
      </c>
      <c r="N743" s="5" t="str">
        <f>IFERROR(__xludf.DUMMYFUNCTION("""COMPUTED_VALUE"""),"CENTRO - BAIRRO")</f>
        <v>CENTRO - BAIRRO</v>
      </c>
      <c r="O743" s="5"/>
      <c r="P743" s="5" t="str">
        <f>IFERROR(__xludf.DUMMYFUNCTION("""COMPUTED_VALUE"""),"PRIORIDADE BAIXA")</f>
        <v>PRIORIDADE BAIXA</v>
      </c>
      <c r="Q743" s="5"/>
      <c r="R743" s="5" t="str">
        <f>IFERROR(__xludf.DUMMYFUNCTION("""COMPUTED_VALUE"""),"IMPLANTAR PLACA COM SUPORTE")</f>
        <v>IMPLANTAR PLACA COM SUPORTE</v>
      </c>
      <c r="S743" s="5"/>
      <c r="T743" s="5"/>
      <c r="U743" s="5"/>
      <c r="V743" s="9" t="str">
        <f>IFERROR(__xludf.DUMMYFUNCTION("""COMPUTED_VALUE"""),"https://drive.google.com/uc?id=1nhUnsNbDBAyR902e4kUiK-NwvdwwHqsF
")</f>
        <v>https://drive.google.com/uc?id=1nhUnsNbDBAyR902e4kUiK-NwvdwwHqsF
</v>
      </c>
      <c r="W743" s="5" t="str">
        <f>IFERROR(__xludf.DUMMYFUNCTION("""COMPUTED_VALUE"""),"NÃO")</f>
        <v>NÃO</v>
      </c>
      <c r="X743" s="5" t="str">
        <f>IFERROR(__xludf.DUMMYFUNCTION("""COMPUTED_VALUE"""),"NÃO SE APLICA")</f>
        <v>NÃO SE APLICA</v>
      </c>
    </row>
    <row r="744" ht="19.5" customHeight="1">
      <c r="A744" s="5">
        <f>IFERROR(__xludf.DUMMYFUNCTION("""COMPUTED_VALUE"""),6.0)</f>
        <v>6</v>
      </c>
      <c r="B744" s="5" t="str">
        <f>IFERROR(__xludf.DUMMYFUNCTION("""COMPUTED_VALUE"""),"BB109")</f>
        <v>BB109</v>
      </c>
      <c r="C744" s="5" t="str">
        <f>IFERROR(__xludf.DUMMYFUNCTION("""COMPUTED_VALUE"""),"ABRIGO METÁLICO PEQUENO PORTE")</f>
        <v>ABRIGO METÁLICO PEQUENO PORTE</v>
      </c>
      <c r="D744" s="5" t="str">
        <f>IFERROR(__xludf.DUMMYFUNCTION("""COMPUTED_VALUE"""),"SEM PLACA")</f>
        <v>SEM PLACA</v>
      </c>
      <c r="E744" s="5" t="str">
        <f>IFERROR(__xludf.DUMMYFUNCTION("""COMPUTED_VALUE"""),"SEM BAIA")</f>
        <v>SEM BAIA</v>
      </c>
      <c r="F744" s="5" t="str">
        <f>IFERROR(__xludf.DUMMYFUNCTION("""COMPUTED_VALUE"""),"NÃO")</f>
        <v>NÃO</v>
      </c>
      <c r="G744" s="5" t="str">
        <f>IFERROR(__xludf.DUMMYFUNCTION("""COMPUTED_VALUE"""),"NÃO")</f>
        <v>NÃO</v>
      </c>
      <c r="H744" s="5" t="str">
        <f>IFERROR(__xludf.DUMMYFUNCTION("""COMPUTED_VALUE"""),"PAVIMENTADA")</f>
        <v>PAVIMENTADA</v>
      </c>
      <c r="I744" s="6" t="str">
        <f>IFERROR(__xludf.DUMMYFUNCTION("""COMPUTED_VALUE"""),"-9.567827")</f>
        <v>-9.567827</v>
      </c>
      <c r="J744" s="6" t="str">
        <f>IFERROR(__xludf.DUMMYFUNCTION("""COMPUTED_VALUE"""),"-35.700820")</f>
        <v>-35.700820</v>
      </c>
      <c r="K744" s="5" t="str">
        <f>IFERROR(__xludf.DUMMYFUNCTION("""COMPUTED_VALUE"""),"AV. CAETÉS")</f>
        <v>AV. CAETÉS</v>
      </c>
      <c r="L744" s="5" t="str">
        <f>IFERROR(__xludf.DUMMYFUNCTION("""COMPUTED_VALUE"""),"COLETORA")</f>
        <v>COLETORA</v>
      </c>
      <c r="M744" s="5" t="str">
        <f>IFERROR(__xludf.DUMMYFUNCTION("""COMPUTED_VALUE"""),"BENEDITO BENTES")</f>
        <v>BENEDITO BENTES</v>
      </c>
      <c r="N744" s="5" t="str">
        <f>IFERROR(__xludf.DUMMYFUNCTION("""COMPUTED_VALUE"""),"BAIRRO - CENTRO")</f>
        <v>BAIRRO - CENTRO</v>
      </c>
      <c r="O744" s="5"/>
      <c r="P744" s="5" t="str">
        <f>IFERROR(__xludf.DUMMYFUNCTION("""COMPUTED_VALUE"""),"PRIORIDADE BAIXA")</f>
        <v>PRIORIDADE BAIXA</v>
      </c>
      <c r="Q744" s="5"/>
      <c r="R744" s="5" t="str">
        <f>IFERROR(__xludf.DUMMYFUNCTION("""COMPUTED_VALUE"""),"IMPLANTAR PLACA COM SUPORTE")</f>
        <v>IMPLANTAR PLACA COM SUPORTE</v>
      </c>
      <c r="S744" s="5"/>
      <c r="T744" s="5"/>
      <c r="U744" s="5"/>
      <c r="V744" s="9" t="str">
        <f>IFERROR(__xludf.DUMMYFUNCTION("""COMPUTED_VALUE"""),"https://drive.google.com/uc?id=1ndMPw0K_Qr7FmB4dcMmNcyun1IcGwtDy
")</f>
        <v>https://drive.google.com/uc?id=1ndMPw0K_Qr7FmB4dcMmNcyun1IcGwtDy
</v>
      </c>
      <c r="W744" s="5" t="str">
        <f>IFERROR(__xludf.DUMMYFUNCTION("""COMPUTED_VALUE"""),"NÃO")</f>
        <v>NÃO</v>
      </c>
      <c r="X744" s="5" t="str">
        <f>IFERROR(__xludf.DUMMYFUNCTION("""COMPUTED_VALUE"""),"NÃO")</f>
        <v>NÃO</v>
      </c>
    </row>
    <row r="745" ht="19.5" customHeight="1">
      <c r="A745" s="5">
        <f>IFERROR(__xludf.DUMMYFUNCTION("""COMPUTED_VALUE"""),6.0)</f>
        <v>6</v>
      </c>
      <c r="B745" s="5" t="str">
        <f>IFERROR(__xludf.DUMMYFUNCTION("""COMPUTED_VALUE"""),"BB110")</f>
        <v>BB110</v>
      </c>
      <c r="C745" s="5" t="str">
        <f>IFERROR(__xludf.DUMMYFUNCTION("""COMPUTED_VALUE"""),"ABRIGO METÁLICO PEQUENO PORTE")</f>
        <v>ABRIGO METÁLICO PEQUENO PORTE</v>
      </c>
      <c r="D745" s="5" t="str">
        <f>IFERROR(__xludf.DUMMYFUNCTION("""COMPUTED_VALUE"""),"SEM PLACA")</f>
        <v>SEM PLACA</v>
      </c>
      <c r="E745" s="5" t="str">
        <f>IFERROR(__xludf.DUMMYFUNCTION("""COMPUTED_VALUE"""),"SEM BAIA")</f>
        <v>SEM BAIA</v>
      </c>
      <c r="F745" s="5" t="str">
        <f>IFERROR(__xludf.DUMMYFUNCTION("""COMPUTED_VALUE"""),"NÃO")</f>
        <v>NÃO</v>
      </c>
      <c r="G745" s="5" t="str">
        <f>IFERROR(__xludf.DUMMYFUNCTION("""COMPUTED_VALUE"""),"NÃO")</f>
        <v>NÃO</v>
      </c>
      <c r="H745" s="5" t="str">
        <f>IFERROR(__xludf.DUMMYFUNCTION("""COMPUTED_VALUE"""),"PAVIMENTADA")</f>
        <v>PAVIMENTADA</v>
      </c>
      <c r="I745" s="6" t="str">
        <f>IFERROR(__xludf.DUMMYFUNCTION("""COMPUTED_VALUE"""),"-9.569193")</f>
        <v>-9.569193</v>
      </c>
      <c r="J745" s="6" t="str">
        <f>IFERROR(__xludf.DUMMYFUNCTION("""COMPUTED_VALUE"""),"-35.703038")</f>
        <v>-35.703038</v>
      </c>
      <c r="K745" s="5" t="str">
        <f>IFERROR(__xludf.DUMMYFUNCTION("""COMPUTED_VALUE"""),"AV. CAETÉS")</f>
        <v>AV. CAETÉS</v>
      </c>
      <c r="L745" s="5" t="str">
        <f>IFERROR(__xludf.DUMMYFUNCTION("""COMPUTED_VALUE"""),"COLETORA")</f>
        <v>COLETORA</v>
      </c>
      <c r="M745" s="5" t="str">
        <f>IFERROR(__xludf.DUMMYFUNCTION("""COMPUTED_VALUE"""),"BENEDITO BENTES")</f>
        <v>BENEDITO BENTES</v>
      </c>
      <c r="N745" s="5" t="str">
        <f>IFERROR(__xludf.DUMMYFUNCTION("""COMPUTED_VALUE"""),"BAIRRO - CENTRO")</f>
        <v>BAIRRO - CENTRO</v>
      </c>
      <c r="O745" s="5"/>
      <c r="P745" s="5" t="str">
        <f>IFERROR(__xludf.DUMMYFUNCTION("""COMPUTED_VALUE"""),"PRIORIDADE BAIXA")</f>
        <v>PRIORIDADE BAIXA</v>
      </c>
      <c r="Q745" s="5"/>
      <c r="R745" s="5" t="str">
        <f>IFERROR(__xludf.DUMMYFUNCTION("""COMPUTED_VALUE"""),"IMPLANTAR PLACA COM SUPORTE")</f>
        <v>IMPLANTAR PLACA COM SUPORTE</v>
      </c>
      <c r="S745" s="5"/>
      <c r="T745" s="5"/>
      <c r="U745" s="5"/>
      <c r="V745" s="9" t="str">
        <f>IFERROR(__xludf.DUMMYFUNCTION("""COMPUTED_VALUE"""),"https://drive.google.com/uc?id=1nagSI0u9n-YlbuZuyjQ8pNrUWqHDan_P
")</f>
        <v>https://drive.google.com/uc?id=1nagSI0u9n-YlbuZuyjQ8pNrUWqHDan_P
</v>
      </c>
      <c r="W745" s="5" t="str">
        <f>IFERROR(__xludf.DUMMYFUNCTION("""COMPUTED_VALUE"""),"NÃO")</f>
        <v>NÃO</v>
      </c>
      <c r="X745" s="5" t="str">
        <f>IFERROR(__xludf.DUMMYFUNCTION("""COMPUTED_VALUE"""),"NÃO")</f>
        <v>NÃO</v>
      </c>
    </row>
    <row r="746" ht="19.5" customHeight="1">
      <c r="A746" s="5">
        <f>IFERROR(__xludf.DUMMYFUNCTION("""COMPUTED_VALUE"""),6.0)</f>
        <v>6</v>
      </c>
      <c r="B746" s="5" t="str">
        <f>IFERROR(__xludf.DUMMYFUNCTION("""COMPUTED_VALUE"""),"BB111")</f>
        <v>BB111</v>
      </c>
      <c r="C746" s="5" t="str">
        <f>IFERROR(__xludf.DUMMYFUNCTION("""COMPUTED_VALUE"""),"ABRIGO METÁLICO PEQUENO PORTE")</f>
        <v>ABRIGO METÁLICO PEQUENO PORTE</v>
      </c>
      <c r="D746" s="5" t="str">
        <f>IFERROR(__xludf.DUMMYFUNCTION("""COMPUTED_VALUE"""),"FIXADA EM POSTE")</f>
        <v>FIXADA EM POSTE</v>
      </c>
      <c r="E746" s="5" t="str">
        <f>IFERROR(__xludf.DUMMYFUNCTION("""COMPUTED_VALUE"""),"SEM BAIA")</f>
        <v>SEM BAIA</v>
      </c>
      <c r="F746" s="5" t="str">
        <f>IFERROR(__xludf.DUMMYFUNCTION("""COMPUTED_VALUE"""),"NÃO")</f>
        <v>NÃO</v>
      </c>
      <c r="G746" s="5" t="str">
        <f>IFERROR(__xludf.DUMMYFUNCTION("""COMPUTED_VALUE"""),"NÃO")</f>
        <v>NÃO</v>
      </c>
      <c r="H746" s="5" t="str">
        <f>IFERROR(__xludf.DUMMYFUNCTION("""COMPUTED_VALUE"""),"PAVIMENTADA")</f>
        <v>PAVIMENTADA</v>
      </c>
      <c r="I746" s="6" t="str">
        <f>IFERROR(__xludf.DUMMYFUNCTION("""COMPUTED_VALUE"""),"-9.568058")</f>
        <v>-9.568058</v>
      </c>
      <c r="J746" s="6" t="str">
        <f>IFERROR(__xludf.DUMMYFUNCTION("""COMPUTED_VALUE"""),"-35.706035")</f>
        <v>-35.706035</v>
      </c>
      <c r="K746" s="5" t="str">
        <f>IFERROR(__xludf.DUMMYFUNCTION("""COMPUTED_VALUE"""),"CJ. MORADA DO PLANALTO")</f>
        <v>CJ. MORADA DO PLANALTO</v>
      </c>
      <c r="L746" s="5" t="str">
        <f>IFERROR(__xludf.DUMMYFUNCTION("""COMPUTED_VALUE"""),"LOCAL")</f>
        <v>LOCAL</v>
      </c>
      <c r="M746" s="5" t="str">
        <f>IFERROR(__xludf.DUMMYFUNCTION("""COMPUTED_VALUE"""),"BENEDITO BENTES")</f>
        <v>BENEDITO BENTES</v>
      </c>
      <c r="N746" s="5" t="str">
        <f>IFERROR(__xludf.DUMMYFUNCTION("""COMPUTED_VALUE"""),"INTEGRAÇÃO")</f>
        <v>INTEGRAÇÃO</v>
      </c>
      <c r="O746" s="5"/>
      <c r="P746" s="5" t="str">
        <f>IFERROR(__xludf.DUMMYFUNCTION("""COMPUTED_VALUE"""),"PRIORIDADE BAIXA")</f>
        <v>PRIORIDADE BAIXA</v>
      </c>
      <c r="Q746" s="5"/>
      <c r="R746" s="5" t="str">
        <f>IFERROR(__xludf.DUMMYFUNCTION("""COMPUTED_VALUE"""),"NENHUMA DAS OPÇÕES")</f>
        <v>NENHUMA DAS OPÇÕES</v>
      </c>
      <c r="S746" s="5"/>
      <c r="T746" s="5"/>
      <c r="U746" s="5"/>
      <c r="V746" s="9" t="str">
        <f>IFERROR(__xludf.DUMMYFUNCTION("""COMPUTED_VALUE"""),"https://drive.google.com/uc?id=1nVIBjPo4Oq5f91XICvJlL5EM-lOQoXR4
")</f>
        <v>https://drive.google.com/uc?id=1nVIBjPo4Oq5f91XICvJlL5EM-lOQoXR4
</v>
      </c>
      <c r="W746" s="5" t="str">
        <f>IFERROR(__xludf.DUMMYFUNCTION("""COMPUTED_VALUE"""),"NÃO")</f>
        <v>NÃO</v>
      </c>
      <c r="X746" s="5" t="str">
        <f>IFERROR(__xludf.DUMMYFUNCTION("""COMPUTED_VALUE"""),"NÃO")</f>
        <v>NÃO</v>
      </c>
    </row>
    <row r="747" ht="20.25" hidden="1" customHeight="1">
      <c r="A747" s="5">
        <f>IFERROR(__xludf.DUMMYFUNCTION("""COMPUTED_VALUE"""),6.0)</f>
        <v>6</v>
      </c>
      <c r="B747" s="5" t="str">
        <f>IFERROR(__xludf.DUMMYFUNCTION("""COMPUTED_VALUE"""),"BB112")</f>
        <v>BB112</v>
      </c>
      <c r="C747" s="5" t="str">
        <f>IFERROR(__xludf.DUMMYFUNCTION("""COMPUTED_VALUE"""),"NÃO POSSUI")</f>
        <v>NÃO POSSUI</v>
      </c>
      <c r="D747" s="5" t="str">
        <f>IFERROR(__xludf.DUMMYFUNCTION("""COMPUTED_VALUE"""),"FIXADA EM POSTE")</f>
        <v>FIXADA EM POSTE</v>
      </c>
      <c r="E747" s="5" t="str">
        <f>IFERROR(__xludf.DUMMYFUNCTION("""COMPUTED_VALUE"""),"SEM BAIA")</f>
        <v>SEM BAIA</v>
      </c>
      <c r="F747" s="5" t="str">
        <f>IFERROR(__xludf.DUMMYFUNCTION("""COMPUTED_VALUE"""),"NÃO")</f>
        <v>NÃO</v>
      </c>
      <c r="G747" s="5" t="str">
        <f>IFERROR(__xludf.DUMMYFUNCTION("""COMPUTED_VALUE"""),"NÃO")</f>
        <v>NÃO</v>
      </c>
      <c r="H747" s="5" t="str">
        <f>IFERROR(__xludf.DUMMYFUNCTION("""COMPUTED_VALUE"""),"PAVIMENTADA")</f>
        <v>PAVIMENTADA</v>
      </c>
      <c r="I747" s="6" t="str">
        <f>IFERROR(__xludf.DUMMYFUNCTION("""COMPUTED_VALUE"""),"-9.571665")</f>
        <v>-9.571665</v>
      </c>
      <c r="J747" s="6" t="str">
        <f>IFERROR(__xludf.DUMMYFUNCTION("""COMPUTED_VALUE"""),"-35.706860")</f>
        <v>-35.706860</v>
      </c>
      <c r="K747" s="5" t="str">
        <f>IFERROR(__xludf.DUMMYFUNCTION("""COMPUTED_VALUE"""),"CJ. MORADA DO PLANALTO")</f>
        <v>CJ. MORADA DO PLANALTO</v>
      </c>
      <c r="L747" s="5" t="str">
        <f>IFERROR(__xludf.DUMMYFUNCTION("""COMPUTED_VALUE"""),"LOCAL")</f>
        <v>LOCAL</v>
      </c>
      <c r="M747" s="5" t="str">
        <f>IFERROR(__xludf.DUMMYFUNCTION("""COMPUTED_VALUE"""),"BENEDITO BENTES")</f>
        <v>BENEDITO BENTES</v>
      </c>
      <c r="N747" s="5" t="str">
        <f>IFERROR(__xludf.DUMMYFUNCTION("""COMPUTED_VALUE"""),"INTEGRAÇÃO")</f>
        <v>INTEGRAÇÃO</v>
      </c>
      <c r="O747" s="5"/>
      <c r="P747" s="5" t="str">
        <f>IFERROR(__xludf.DUMMYFUNCTION("""COMPUTED_VALUE"""),"PRIORIDADE BAIXA")</f>
        <v>PRIORIDADE BAIXA</v>
      </c>
      <c r="Q747" s="5"/>
      <c r="R747" s="5" t="str">
        <f>IFERROR(__xludf.DUMMYFUNCTION("""COMPUTED_VALUE"""),"NENHUMA DAS OPÇÕES")</f>
        <v>NENHUMA DAS OPÇÕES</v>
      </c>
      <c r="S747" s="5"/>
      <c r="T747" s="5"/>
      <c r="U747" s="5"/>
      <c r="V747" s="9" t="str">
        <f>IFERROR(__xludf.DUMMYFUNCTION("""COMPUTED_VALUE"""),"https://drive.google.com/uc?id=1nST-rp4WEv7JH8kAwSvvf1tkucSvwG7L
")</f>
        <v>https://drive.google.com/uc?id=1nST-rp4WEv7JH8kAwSvvf1tkucSvwG7L
</v>
      </c>
      <c r="W747" s="5" t="str">
        <f>IFERROR(__xludf.DUMMYFUNCTION("""COMPUTED_VALUE"""),"NÃO")</f>
        <v>NÃO</v>
      </c>
      <c r="X747" s="5" t="str">
        <f>IFERROR(__xludf.DUMMYFUNCTION("""COMPUTED_VALUE"""),"NÃO SE APLICA")</f>
        <v>NÃO SE APLICA</v>
      </c>
    </row>
    <row r="748" ht="20.25" hidden="1" customHeight="1">
      <c r="A748" s="5">
        <f>IFERROR(__xludf.DUMMYFUNCTION("""COMPUTED_VALUE"""),6.0)</f>
        <v>6</v>
      </c>
      <c r="B748" s="5" t="str">
        <f>IFERROR(__xludf.DUMMYFUNCTION("""COMPUTED_VALUE"""),"BB113")</f>
        <v>BB113</v>
      </c>
      <c r="C748" s="5" t="str">
        <f>IFERROR(__xludf.DUMMYFUNCTION("""COMPUTED_VALUE"""),"NÃO POSSUI")</f>
        <v>NÃO POSSUI</v>
      </c>
      <c r="D748" s="5" t="str">
        <f>IFERROR(__xludf.DUMMYFUNCTION("""COMPUTED_VALUE"""),"FIXADA EM POSTE")</f>
        <v>FIXADA EM POSTE</v>
      </c>
      <c r="E748" s="5" t="str">
        <f>IFERROR(__xludf.DUMMYFUNCTION("""COMPUTED_VALUE"""),"SEM BAIA")</f>
        <v>SEM BAIA</v>
      </c>
      <c r="F748" s="5" t="str">
        <f>IFERROR(__xludf.DUMMYFUNCTION("""COMPUTED_VALUE"""),"NÃO")</f>
        <v>NÃO</v>
      </c>
      <c r="G748" s="5" t="str">
        <f>IFERROR(__xludf.DUMMYFUNCTION("""COMPUTED_VALUE"""),"NÃO")</f>
        <v>NÃO</v>
      </c>
      <c r="H748" s="5" t="str">
        <f>IFERROR(__xludf.DUMMYFUNCTION("""COMPUTED_VALUE"""),"PAVIMENTADA")</f>
        <v>PAVIMENTADA</v>
      </c>
      <c r="I748" s="6" t="str">
        <f>IFERROR(__xludf.DUMMYFUNCTION("""COMPUTED_VALUE"""),"-9.563842")</f>
        <v>-9.563842</v>
      </c>
      <c r="J748" s="6" t="str">
        <f>IFERROR(__xludf.DUMMYFUNCTION("""COMPUTED_VALUE"""),"-35.724723")</f>
        <v>-35.724723</v>
      </c>
      <c r="K748" s="5" t="str">
        <f>IFERROR(__xludf.DUMMYFUNCTION("""COMPUTED_VALUE"""),"RUA SEM NOME")</f>
        <v>RUA SEM NOME</v>
      </c>
      <c r="L748" s="5" t="str">
        <f>IFERROR(__xludf.DUMMYFUNCTION("""COMPUTED_VALUE"""),"LOCAL")</f>
        <v>LOCAL</v>
      </c>
      <c r="M748" s="5" t="str">
        <f>IFERROR(__xludf.DUMMYFUNCTION("""COMPUTED_VALUE"""),"BENEDITO BENTES")</f>
        <v>BENEDITO BENTES</v>
      </c>
      <c r="N748" s="5" t="str">
        <f>IFERROR(__xludf.DUMMYFUNCTION("""COMPUTED_VALUE"""),"INTEGRAÇÃO")</f>
        <v>INTEGRAÇÃO</v>
      </c>
      <c r="O748" s="5"/>
      <c r="P748" s="5" t="str">
        <f>IFERROR(__xludf.DUMMYFUNCTION("""COMPUTED_VALUE"""),"PRIORIDADE BAIXA")</f>
        <v>PRIORIDADE BAIXA</v>
      </c>
      <c r="Q748" s="5"/>
      <c r="R748" s="5" t="str">
        <f>IFERROR(__xludf.DUMMYFUNCTION("""COMPUTED_VALUE"""),"NENHUMA DAS OPÇÕES")</f>
        <v>NENHUMA DAS OPÇÕES</v>
      </c>
      <c r="S748" s="5"/>
      <c r="T748" s="5"/>
      <c r="U748" s="5"/>
      <c r="V748" s="9" t="str">
        <f>IFERROR(__xludf.DUMMYFUNCTION("""COMPUTED_VALUE"""),"https://drive.google.com/uc?id=1nQCNEovpTLkUYPROxXOVFvvUD9J_Q252
")</f>
        <v>https://drive.google.com/uc?id=1nQCNEovpTLkUYPROxXOVFvvUD9J_Q252
</v>
      </c>
      <c r="W748" s="5" t="str">
        <f>IFERROR(__xludf.DUMMYFUNCTION("""COMPUTED_VALUE"""),"NÃO")</f>
        <v>NÃO</v>
      </c>
      <c r="X748" s="5" t="str">
        <f>IFERROR(__xludf.DUMMYFUNCTION("""COMPUTED_VALUE"""),"NÃO SE APLICA")</f>
        <v>NÃO SE APLICA</v>
      </c>
    </row>
    <row r="749" ht="20.25" hidden="1" customHeight="1">
      <c r="A749" s="5">
        <f>IFERROR(__xludf.DUMMYFUNCTION("""COMPUTED_VALUE"""),6.0)</f>
        <v>6</v>
      </c>
      <c r="B749" s="5" t="str">
        <f>IFERROR(__xludf.DUMMYFUNCTION("""COMPUTED_VALUE"""),"BB114")</f>
        <v>BB114</v>
      </c>
      <c r="C749" s="5" t="str">
        <f>IFERROR(__xludf.DUMMYFUNCTION("""COMPUTED_VALUE"""),"NÃO POSSUI")</f>
        <v>NÃO POSSUI</v>
      </c>
      <c r="D749" s="5" t="str">
        <f>IFERROR(__xludf.DUMMYFUNCTION("""COMPUTED_VALUE"""),"COM SUPORTE")</f>
        <v>COM SUPORTE</v>
      </c>
      <c r="E749" s="5" t="str">
        <f>IFERROR(__xludf.DUMMYFUNCTION("""COMPUTED_VALUE"""),"SEM BAIA")</f>
        <v>SEM BAIA</v>
      </c>
      <c r="F749" s="5" t="str">
        <f>IFERROR(__xludf.DUMMYFUNCTION("""COMPUTED_VALUE"""),"NÃO")</f>
        <v>NÃO</v>
      </c>
      <c r="G749" s="5" t="str">
        <f>IFERROR(__xludf.DUMMYFUNCTION("""COMPUTED_VALUE"""),"NÃO")</f>
        <v>NÃO</v>
      </c>
      <c r="H749" s="5" t="str">
        <f>IFERROR(__xludf.DUMMYFUNCTION("""COMPUTED_VALUE"""),"PAVIMENTADA")</f>
        <v>PAVIMENTADA</v>
      </c>
      <c r="I749" s="6" t="str">
        <f>IFERROR(__xludf.DUMMYFUNCTION("""COMPUTED_VALUE"""),"-9.565672")</f>
        <v>-9.565672</v>
      </c>
      <c r="J749" s="6" t="str">
        <f>IFERROR(__xludf.DUMMYFUNCTION("""COMPUTED_VALUE"""),"-35.726205")</f>
        <v>-35.726205</v>
      </c>
      <c r="K749" s="5" t="str">
        <f>IFERROR(__xludf.DUMMYFUNCTION("""COMPUTED_VALUE"""),"RUA SEM NOME")</f>
        <v>RUA SEM NOME</v>
      </c>
      <c r="L749" s="5" t="str">
        <f>IFERROR(__xludf.DUMMYFUNCTION("""COMPUTED_VALUE"""),"LOCAL")</f>
        <v>LOCAL</v>
      </c>
      <c r="M749" s="5" t="str">
        <f>IFERROR(__xludf.DUMMYFUNCTION("""COMPUTED_VALUE"""),"BENEDITO BENTES")</f>
        <v>BENEDITO BENTES</v>
      </c>
      <c r="N749" s="5" t="str">
        <f>IFERROR(__xludf.DUMMYFUNCTION("""COMPUTED_VALUE"""),"INTEGRAÇÃO")</f>
        <v>INTEGRAÇÃO</v>
      </c>
      <c r="O749" s="5"/>
      <c r="P749" s="5" t="str">
        <f>IFERROR(__xludf.DUMMYFUNCTION("""COMPUTED_VALUE"""),"PRIORIDADE BAIXA")</f>
        <v>PRIORIDADE BAIXA</v>
      </c>
      <c r="Q749" s="5"/>
      <c r="R749" s="5" t="str">
        <f>IFERROR(__xludf.DUMMYFUNCTION("""COMPUTED_VALUE"""),"NENHUMA DAS OPÇÕES")</f>
        <v>NENHUMA DAS OPÇÕES</v>
      </c>
      <c r="S749" s="5"/>
      <c r="T749" s="5"/>
      <c r="U749" s="5"/>
      <c r="V749" s="9" t="str">
        <f>IFERROR(__xludf.DUMMYFUNCTION("""COMPUTED_VALUE"""),"https://drive.google.com/uc?id=1nPRxALpDbVStck1nKv9v1IKVJrcQlhRW
")</f>
        <v>https://drive.google.com/uc?id=1nPRxALpDbVStck1nKv9v1IKVJrcQlhRW
</v>
      </c>
      <c r="W749" s="5" t="str">
        <f>IFERROR(__xludf.DUMMYFUNCTION("""COMPUTED_VALUE"""),"NÃO")</f>
        <v>NÃO</v>
      </c>
      <c r="X749" s="5" t="str">
        <f>IFERROR(__xludf.DUMMYFUNCTION("""COMPUTED_VALUE"""),"NÃO SE APLICA")</f>
        <v>NÃO SE APLICA</v>
      </c>
    </row>
    <row r="750" ht="20.25" hidden="1" customHeight="1">
      <c r="A750" s="5">
        <f>IFERROR(__xludf.DUMMYFUNCTION("""COMPUTED_VALUE"""),6.0)</f>
        <v>6</v>
      </c>
      <c r="B750" s="5" t="str">
        <f>IFERROR(__xludf.DUMMYFUNCTION("""COMPUTED_VALUE"""),"BB115")</f>
        <v>BB115</v>
      </c>
      <c r="C750" s="5" t="str">
        <f>IFERROR(__xludf.DUMMYFUNCTION("""COMPUTED_VALUE"""),"NÃO POSSUI")</f>
        <v>NÃO POSSUI</v>
      </c>
      <c r="D750" s="5" t="str">
        <f>IFERROR(__xludf.DUMMYFUNCTION("""COMPUTED_VALUE"""),"FIXADA EM POSTE")</f>
        <v>FIXADA EM POSTE</v>
      </c>
      <c r="E750" s="5" t="str">
        <f>IFERROR(__xludf.DUMMYFUNCTION("""COMPUTED_VALUE"""),"SEM BAIA")</f>
        <v>SEM BAIA</v>
      </c>
      <c r="F750" s="5" t="str">
        <f>IFERROR(__xludf.DUMMYFUNCTION("""COMPUTED_VALUE"""),"NÃO")</f>
        <v>NÃO</v>
      </c>
      <c r="G750" s="5" t="str">
        <f>IFERROR(__xludf.DUMMYFUNCTION("""COMPUTED_VALUE"""),"NÃO")</f>
        <v>NÃO</v>
      </c>
      <c r="H750" s="5" t="str">
        <f>IFERROR(__xludf.DUMMYFUNCTION("""COMPUTED_VALUE"""),"PAVIMENTADA")</f>
        <v>PAVIMENTADA</v>
      </c>
      <c r="I750" s="6" t="str">
        <f>IFERROR(__xludf.DUMMYFUNCTION("""COMPUTED_VALUE"""),"-9.567970")</f>
        <v>-9.567970</v>
      </c>
      <c r="J750" s="6" t="str">
        <f>IFERROR(__xludf.DUMMYFUNCTION("""COMPUTED_VALUE"""),"-35.726652")</f>
        <v>-35.726652</v>
      </c>
      <c r="K750" s="5" t="str">
        <f>IFERROR(__xludf.DUMMYFUNCTION("""COMPUTED_VALUE"""),"RUA SEM NOME")</f>
        <v>RUA SEM NOME</v>
      </c>
      <c r="L750" s="5" t="str">
        <f>IFERROR(__xludf.DUMMYFUNCTION("""COMPUTED_VALUE"""),"LOCAL")</f>
        <v>LOCAL</v>
      </c>
      <c r="M750" s="5" t="str">
        <f>IFERROR(__xludf.DUMMYFUNCTION("""COMPUTED_VALUE"""),"BENEDITO BENTES")</f>
        <v>BENEDITO BENTES</v>
      </c>
      <c r="N750" s="5" t="str">
        <f>IFERROR(__xludf.DUMMYFUNCTION("""COMPUTED_VALUE"""),"INTEGRAÇÃO")</f>
        <v>INTEGRAÇÃO</v>
      </c>
      <c r="O750" s="5"/>
      <c r="P750" s="5" t="str">
        <f>IFERROR(__xludf.DUMMYFUNCTION("""COMPUTED_VALUE"""),"PRIORIDADE BAIXA")</f>
        <v>PRIORIDADE BAIXA</v>
      </c>
      <c r="Q750" s="5"/>
      <c r="R750" s="5" t="str">
        <f>IFERROR(__xludf.DUMMYFUNCTION("""COMPUTED_VALUE"""),"NENHUMA DAS OPÇÕES")</f>
        <v>NENHUMA DAS OPÇÕES</v>
      </c>
      <c r="S750" s="5"/>
      <c r="T750" s="5"/>
      <c r="U750" s="5"/>
      <c r="V750" s="9" t="str">
        <f>IFERROR(__xludf.DUMMYFUNCTION("""COMPUTED_VALUE"""),"https://drive.google.com/uc?id=1nOxR0oC_PgewC81SOpIQShQWWTcc51TY
")</f>
        <v>https://drive.google.com/uc?id=1nOxR0oC_PgewC81SOpIQShQWWTcc51TY
</v>
      </c>
      <c r="W750" s="5" t="str">
        <f>IFERROR(__xludf.DUMMYFUNCTION("""COMPUTED_VALUE"""),"NÃO")</f>
        <v>NÃO</v>
      </c>
      <c r="X750" s="5" t="str">
        <f>IFERROR(__xludf.DUMMYFUNCTION("""COMPUTED_VALUE"""),"NÃO SE APLICA")</f>
        <v>NÃO SE APLICA</v>
      </c>
    </row>
    <row r="751" ht="20.25" hidden="1" customHeight="1">
      <c r="A751" s="5">
        <f>IFERROR(__xludf.DUMMYFUNCTION("""COMPUTED_VALUE"""),6.0)</f>
        <v>6</v>
      </c>
      <c r="B751" s="5" t="str">
        <f>IFERROR(__xludf.DUMMYFUNCTION("""COMPUTED_VALUE"""),"BB116")</f>
        <v>BB116</v>
      </c>
      <c r="C751" s="5" t="str">
        <f>IFERROR(__xludf.DUMMYFUNCTION("""COMPUTED_VALUE"""),"NÃO POSSUI")</f>
        <v>NÃO POSSUI</v>
      </c>
      <c r="D751" s="5" t="str">
        <f>IFERROR(__xludf.DUMMYFUNCTION("""COMPUTED_VALUE"""),"FIXADA EM POSTE")</f>
        <v>FIXADA EM POSTE</v>
      </c>
      <c r="E751" s="5" t="str">
        <f>IFERROR(__xludf.DUMMYFUNCTION("""COMPUTED_VALUE"""),"SEM BAIA")</f>
        <v>SEM BAIA</v>
      </c>
      <c r="F751" s="5" t="str">
        <f>IFERROR(__xludf.DUMMYFUNCTION("""COMPUTED_VALUE"""),"NÃO")</f>
        <v>NÃO</v>
      </c>
      <c r="G751" s="5" t="str">
        <f>IFERROR(__xludf.DUMMYFUNCTION("""COMPUTED_VALUE"""),"NÃO")</f>
        <v>NÃO</v>
      </c>
      <c r="H751" s="5" t="str">
        <f>IFERROR(__xludf.DUMMYFUNCTION("""COMPUTED_VALUE"""),"PAVIMENTADA")</f>
        <v>PAVIMENTADA</v>
      </c>
      <c r="I751" s="6" t="str">
        <f>IFERROR(__xludf.DUMMYFUNCTION("""COMPUTED_VALUE"""),"-9.569993")</f>
        <v>-9.569993</v>
      </c>
      <c r="J751" s="6" t="str">
        <f>IFERROR(__xludf.DUMMYFUNCTION("""COMPUTED_VALUE"""),"-35.726378")</f>
        <v>-35.726378</v>
      </c>
      <c r="K751" s="5" t="str">
        <f>IFERROR(__xludf.DUMMYFUNCTION("""COMPUTED_VALUE"""),"RUA SEM NOME")</f>
        <v>RUA SEM NOME</v>
      </c>
      <c r="L751" s="5" t="str">
        <f>IFERROR(__xludf.DUMMYFUNCTION("""COMPUTED_VALUE"""),"LOCAL")</f>
        <v>LOCAL</v>
      </c>
      <c r="M751" s="5" t="str">
        <f>IFERROR(__xludf.DUMMYFUNCTION("""COMPUTED_VALUE"""),"BENEDITO BENTES")</f>
        <v>BENEDITO BENTES</v>
      </c>
      <c r="N751" s="5" t="str">
        <f>IFERROR(__xludf.DUMMYFUNCTION("""COMPUTED_VALUE"""),"INTEGRAÇÃO")</f>
        <v>INTEGRAÇÃO</v>
      </c>
      <c r="O751" s="5"/>
      <c r="P751" s="5" t="str">
        <f>IFERROR(__xludf.DUMMYFUNCTION("""COMPUTED_VALUE"""),"PRIORIDADE BAIXA")</f>
        <v>PRIORIDADE BAIXA</v>
      </c>
      <c r="Q751" s="5"/>
      <c r="R751" s="5" t="str">
        <f>IFERROR(__xludf.DUMMYFUNCTION("""COMPUTED_VALUE"""),"NENHUMA DAS OPÇÕES")</f>
        <v>NENHUMA DAS OPÇÕES</v>
      </c>
      <c r="S751" s="5"/>
      <c r="T751" s="5"/>
      <c r="U751" s="5"/>
      <c r="V751" s="9" t="str">
        <f>IFERROR(__xludf.DUMMYFUNCTION("""COMPUTED_VALUE"""),"https://drive.google.com/uc?id=1nMf6qHpw__L6FfnJKUkGhZbjbCM5fL3G
")</f>
        <v>https://drive.google.com/uc?id=1nMf6qHpw__L6FfnJKUkGhZbjbCM5fL3G
</v>
      </c>
      <c r="W751" s="5" t="str">
        <f>IFERROR(__xludf.DUMMYFUNCTION("""COMPUTED_VALUE"""),"NÃO")</f>
        <v>NÃO</v>
      </c>
      <c r="X751" s="5" t="str">
        <f>IFERROR(__xludf.DUMMYFUNCTION("""COMPUTED_VALUE"""),"NÃO SE APLICA")</f>
        <v>NÃO SE APLICA</v>
      </c>
    </row>
    <row r="752" ht="20.25" hidden="1" customHeight="1">
      <c r="A752" s="5">
        <f>IFERROR(__xludf.DUMMYFUNCTION("""COMPUTED_VALUE"""),6.0)</f>
        <v>6</v>
      </c>
      <c r="B752" s="5" t="str">
        <f>IFERROR(__xludf.DUMMYFUNCTION("""COMPUTED_VALUE"""),"BB117")</f>
        <v>BB117</v>
      </c>
      <c r="C752" s="5" t="str">
        <f>IFERROR(__xludf.DUMMYFUNCTION("""COMPUTED_VALUE"""),"NÃO POSSUI")</f>
        <v>NÃO POSSUI</v>
      </c>
      <c r="D752" s="5" t="str">
        <f>IFERROR(__xludf.DUMMYFUNCTION("""COMPUTED_VALUE"""),"FIXADA EM POSTE")</f>
        <v>FIXADA EM POSTE</v>
      </c>
      <c r="E752" s="5" t="str">
        <f>IFERROR(__xludf.DUMMYFUNCTION("""COMPUTED_VALUE"""),"SEM BAIA")</f>
        <v>SEM BAIA</v>
      </c>
      <c r="F752" s="5" t="str">
        <f>IFERROR(__xludf.DUMMYFUNCTION("""COMPUTED_VALUE"""),"NÃO")</f>
        <v>NÃO</v>
      </c>
      <c r="G752" s="5" t="str">
        <f>IFERROR(__xludf.DUMMYFUNCTION("""COMPUTED_VALUE"""),"NÃO")</f>
        <v>NÃO</v>
      </c>
      <c r="H752" s="5" t="str">
        <f>IFERROR(__xludf.DUMMYFUNCTION("""COMPUTED_VALUE"""),"PAVIMENTADA")</f>
        <v>PAVIMENTADA</v>
      </c>
      <c r="I752" s="6" t="str">
        <f>IFERROR(__xludf.DUMMYFUNCTION("""COMPUTED_VALUE"""),"-9.573030")</f>
        <v>-9.573030</v>
      </c>
      <c r="J752" s="6" t="str">
        <f>IFERROR(__xludf.DUMMYFUNCTION("""COMPUTED_VALUE"""),"-35.725168")</f>
        <v>-35.725168</v>
      </c>
      <c r="K752" s="5" t="str">
        <f>IFERROR(__xludf.DUMMYFUNCTION("""COMPUTED_VALUE"""),"RUA SEM NOME")</f>
        <v>RUA SEM NOME</v>
      </c>
      <c r="L752" s="5" t="str">
        <f>IFERROR(__xludf.DUMMYFUNCTION("""COMPUTED_VALUE"""),"LOCAL")</f>
        <v>LOCAL</v>
      </c>
      <c r="M752" s="5" t="str">
        <f>IFERROR(__xludf.DUMMYFUNCTION("""COMPUTED_VALUE"""),"BENEDITO BENTES")</f>
        <v>BENEDITO BENTES</v>
      </c>
      <c r="N752" s="5" t="str">
        <f>IFERROR(__xludf.DUMMYFUNCTION("""COMPUTED_VALUE"""),"INTEGRAÇÃO")</f>
        <v>INTEGRAÇÃO</v>
      </c>
      <c r="O752" s="5"/>
      <c r="P752" s="5" t="str">
        <f>IFERROR(__xludf.DUMMYFUNCTION("""COMPUTED_VALUE"""),"PRIORIDADE BAIXA")</f>
        <v>PRIORIDADE BAIXA</v>
      </c>
      <c r="Q752" s="5"/>
      <c r="R752" s="5" t="str">
        <f>IFERROR(__xludf.DUMMYFUNCTION("""COMPUTED_VALUE"""),"NENHUMA DAS OPÇÕES")</f>
        <v>NENHUMA DAS OPÇÕES</v>
      </c>
      <c r="S752" s="5"/>
      <c r="T752" s="5"/>
      <c r="U752" s="5"/>
      <c r="V752" s="9" t="str">
        <f>IFERROR(__xludf.DUMMYFUNCTION("""COMPUTED_VALUE"""),"https://drive.google.com/file/d/1nMVq4R19eqPXIfPvigtoG53pAculYs0j/view?usp=sharing")</f>
        <v>https://drive.google.com/file/d/1nMVq4R19eqPXIfPvigtoG53pAculYs0j/view?usp=sharing</v>
      </c>
      <c r="W752" s="5" t="str">
        <f>IFERROR(__xludf.DUMMYFUNCTION("""COMPUTED_VALUE"""),"NÃO")</f>
        <v>NÃO</v>
      </c>
      <c r="X752" s="5" t="str">
        <f>IFERROR(__xludf.DUMMYFUNCTION("""COMPUTED_VALUE"""),"NÃO SE APLICA")</f>
        <v>NÃO SE APLICA</v>
      </c>
    </row>
    <row r="753" ht="20.25" hidden="1" customHeight="1">
      <c r="A753" s="5">
        <f>IFERROR(__xludf.DUMMYFUNCTION("""COMPUTED_VALUE"""),6.0)</f>
        <v>6</v>
      </c>
      <c r="B753" s="5" t="str">
        <f>IFERROR(__xludf.DUMMYFUNCTION("""COMPUTED_VALUE"""),"BB118")</f>
        <v>BB118</v>
      </c>
      <c r="C753" s="5" t="str">
        <f>IFERROR(__xludf.DUMMYFUNCTION("""COMPUTED_VALUE"""),"NÃO POSSUI")</f>
        <v>NÃO POSSUI</v>
      </c>
      <c r="D753" s="5" t="str">
        <f>IFERROR(__xludf.DUMMYFUNCTION("""COMPUTED_VALUE"""),"FIXADA EM POSTE")</f>
        <v>FIXADA EM POSTE</v>
      </c>
      <c r="E753" s="5" t="str">
        <f>IFERROR(__xludf.DUMMYFUNCTION("""COMPUTED_VALUE"""),"SEM BAIA")</f>
        <v>SEM BAIA</v>
      </c>
      <c r="F753" s="5" t="str">
        <f>IFERROR(__xludf.DUMMYFUNCTION("""COMPUTED_VALUE"""),"NÃO")</f>
        <v>NÃO</v>
      </c>
      <c r="G753" s="5" t="str">
        <f>IFERROR(__xludf.DUMMYFUNCTION("""COMPUTED_VALUE"""),"NÃO")</f>
        <v>NÃO</v>
      </c>
      <c r="H753" s="5" t="str">
        <f>IFERROR(__xludf.DUMMYFUNCTION("""COMPUTED_VALUE"""),"PAVIMENTADA")</f>
        <v>PAVIMENTADA</v>
      </c>
      <c r="I753" s="6" t="str">
        <f>IFERROR(__xludf.DUMMYFUNCTION("""COMPUTED_VALUE"""),"-9.572602")</f>
        <v>-9.572602</v>
      </c>
      <c r="J753" s="6" t="str">
        <f>IFERROR(__xludf.DUMMYFUNCTION("""COMPUTED_VALUE"""),"-35.725115")</f>
        <v>-35.725115</v>
      </c>
      <c r="K753" s="5" t="str">
        <f>IFERROR(__xludf.DUMMYFUNCTION("""COMPUTED_VALUE"""),"RUA SEM NOME")</f>
        <v>RUA SEM NOME</v>
      </c>
      <c r="L753" s="5" t="str">
        <f>IFERROR(__xludf.DUMMYFUNCTION("""COMPUTED_VALUE"""),"LOCAL")</f>
        <v>LOCAL</v>
      </c>
      <c r="M753" s="5" t="str">
        <f>IFERROR(__xludf.DUMMYFUNCTION("""COMPUTED_VALUE"""),"BENEDITO BENTES")</f>
        <v>BENEDITO BENTES</v>
      </c>
      <c r="N753" s="5" t="str">
        <f>IFERROR(__xludf.DUMMYFUNCTION("""COMPUTED_VALUE"""),"INTEGRAÇÃO")</f>
        <v>INTEGRAÇÃO</v>
      </c>
      <c r="O753" s="5"/>
      <c r="P753" s="5" t="str">
        <f>IFERROR(__xludf.DUMMYFUNCTION("""COMPUTED_VALUE"""),"PRIORIDADE BAIXA")</f>
        <v>PRIORIDADE BAIXA</v>
      </c>
      <c r="Q753" s="5"/>
      <c r="R753" s="5" t="str">
        <f>IFERROR(__xludf.DUMMYFUNCTION("""COMPUTED_VALUE"""),"NENHUMA DAS OPÇÕES")</f>
        <v>NENHUMA DAS OPÇÕES</v>
      </c>
      <c r="S753" s="5"/>
      <c r="T753" s="5"/>
      <c r="U753" s="5"/>
      <c r="V753" s="9" t="str">
        <f>IFERROR(__xludf.DUMMYFUNCTION("""COMPUTED_VALUE"""),"https://drive.google.com/uc?id=1nLZpUsffTr1SeeO9IBGZCOfZsQFDTvKv
")</f>
        <v>https://drive.google.com/uc?id=1nLZpUsffTr1SeeO9IBGZCOfZsQFDTvKv
</v>
      </c>
      <c r="W753" s="5" t="str">
        <f>IFERROR(__xludf.DUMMYFUNCTION("""COMPUTED_VALUE"""),"NÃO")</f>
        <v>NÃO</v>
      </c>
      <c r="X753" s="5" t="str">
        <f>IFERROR(__xludf.DUMMYFUNCTION("""COMPUTED_VALUE"""),"NÃO SE APLICA")</f>
        <v>NÃO SE APLICA</v>
      </c>
    </row>
    <row r="754" ht="20.25" customHeight="1">
      <c r="A754" s="5">
        <f>IFERROR(__xludf.DUMMYFUNCTION("""COMPUTED_VALUE"""),6.0)</f>
        <v>6</v>
      </c>
      <c r="B754" s="5" t="str">
        <f>IFERROR(__xludf.DUMMYFUNCTION("""COMPUTED_VALUE"""),"BB119")</f>
        <v>BB119</v>
      </c>
      <c r="C754" s="5" t="str">
        <f>IFERROR(__xludf.DUMMYFUNCTION("""COMPUTED_VALUE"""),"ABRIGO CONCRETO")</f>
        <v>ABRIGO CONCRETO</v>
      </c>
      <c r="D754" s="5" t="str">
        <f>IFERROR(__xludf.DUMMYFUNCTION("""COMPUTED_VALUE"""),"SEM PLACA")</f>
        <v>SEM PLACA</v>
      </c>
      <c r="E754" s="5" t="str">
        <f>IFERROR(__xludf.DUMMYFUNCTION("""COMPUTED_VALUE"""),"SEM BAIA")</f>
        <v>SEM BAIA</v>
      </c>
      <c r="F754" s="5" t="str">
        <f>IFERROR(__xludf.DUMMYFUNCTION("""COMPUTED_VALUE"""),"NÃO")</f>
        <v>NÃO</v>
      </c>
      <c r="G754" s="5" t="str">
        <f>IFERROR(__xludf.DUMMYFUNCTION("""COMPUTED_VALUE"""),"NÃO")</f>
        <v>NÃO</v>
      </c>
      <c r="H754" s="5" t="str">
        <f>IFERROR(__xludf.DUMMYFUNCTION("""COMPUTED_VALUE"""),"PAVIMENTADA")</f>
        <v>PAVIMENTADA</v>
      </c>
      <c r="I754" s="6" t="str">
        <f>IFERROR(__xludf.DUMMYFUNCTION("""COMPUTED_VALUE"""),"-9.570832")</f>
        <v>-9.570832</v>
      </c>
      <c r="J754" s="6" t="str">
        <f>IFERROR(__xludf.DUMMYFUNCTION("""COMPUTED_VALUE"""),"-35.725675")</f>
        <v>-35.725675</v>
      </c>
      <c r="K754" s="5" t="str">
        <f>IFERROR(__xludf.DUMMYFUNCTION("""COMPUTED_VALUE"""),"RUA SEM NOME")</f>
        <v>RUA SEM NOME</v>
      </c>
      <c r="L754" s="5" t="str">
        <f>IFERROR(__xludf.DUMMYFUNCTION("""COMPUTED_VALUE"""),"LOCAL")</f>
        <v>LOCAL</v>
      </c>
      <c r="M754" s="5" t="str">
        <f>IFERROR(__xludf.DUMMYFUNCTION("""COMPUTED_VALUE"""),"BENEDITO BENTES")</f>
        <v>BENEDITO BENTES</v>
      </c>
      <c r="N754" s="5" t="str">
        <f>IFERROR(__xludf.DUMMYFUNCTION("""COMPUTED_VALUE"""),"INTEGRAÇÃO")</f>
        <v>INTEGRAÇÃO</v>
      </c>
      <c r="O754" s="5"/>
      <c r="P754" s="5" t="str">
        <f>IFERROR(__xludf.DUMMYFUNCTION("""COMPUTED_VALUE"""),"PRIORIDADE BAIXA")</f>
        <v>PRIORIDADE BAIXA</v>
      </c>
      <c r="Q754" s="5"/>
      <c r="R754" s="5" t="str">
        <f>IFERROR(__xludf.DUMMYFUNCTION("""COMPUTED_VALUE"""),"NENHUMA DAS OPÇÕES")</f>
        <v>NENHUMA DAS OPÇÕES</v>
      </c>
      <c r="S754" s="5"/>
      <c r="T754" s="5"/>
      <c r="U754" s="5"/>
      <c r="V754" s="9" t="str">
        <f>IFERROR(__xludf.DUMMYFUNCTION("""COMPUTED_VALUE"""),"https://drive.google.com/uc?id=1n8nyML0KS-l3x1LH8VjIBgVs5QSL_o8Y
")</f>
        <v>https://drive.google.com/uc?id=1n8nyML0KS-l3x1LH8VjIBgVs5QSL_o8Y
</v>
      </c>
      <c r="W754" s="5" t="str">
        <f>IFERROR(__xludf.DUMMYFUNCTION("""COMPUTED_VALUE"""),"NÃO")</f>
        <v>NÃO</v>
      </c>
      <c r="X754" s="5" t="str">
        <f>IFERROR(__xludf.DUMMYFUNCTION("""COMPUTED_VALUE"""),"NÃO SE APLICA")</f>
        <v>NÃO SE APLICA</v>
      </c>
    </row>
    <row r="755" ht="20.25" hidden="1" customHeight="1">
      <c r="A755" s="5">
        <f>IFERROR(__xludf.DUMMYFUNCTION("""COMPUTED_VALUE"""),6.0)</f>
        <v>6</v>
      </c>
      <c r="B755" s="5" t="str">
        <f>IFERROR(__xludf.DUMMYFUNCTION("""COMPUTED_VALUE"""),"BB120")</f>
        <v>BB120</v>
      </c>
      <c r="C755" s="5" t="str">
        <f>IFERROR(__xludf.DUMMYFUNCTION("""COMPUTED_VALUE"""),"NÃO POSSUI")</f>
        <v>NÃO POSSUI</v>
      </c>
      <c r="D755" s="5" t="str">
        <f>IFERROR(__xludf.DUMMYFUNCTION("""COMPUTED_VALUE"""),"FIXADA EM POSTE")</f>
        <v>FIXADA EM POSTE</v>
      </c>
      <c r="E755" s="5" t="str">
        <f>IFERROR(__xludf.DUMMYFUNCTION("""COMPUTED_VALUE"""),"SEM BAIA")</f>
        <v>SEM BAIA</v>
      </c>
      <c r="F755" s="5" t="str">
        <f>IFERROR(__xludf.DUMMYFUNCTION("""COMPUTED_VALUE"""),"NÃO")</f>
        <v>NÃO</v>
      </c>
      <c r="G755" s="5" t="str">
        <f>IFERROR(__xludf.DUMMYFUNCTION("""COMPUTED_VALUE"""),"NÃO")</f>
        <v>NÃO</v>
      </c>
      <c r="H755" s="5" t="str">
        <f>IFERROR(__xludf.DUMMYFUNCTION("""COMPUTED_VALUE"""),"PAVIMENTADA")</f>
        <v>PAVIMENTADA</v>
      </c>
      <c r="I755" s="6" t="str">
        <f>IFERROR(__xludf.DUMMYFUNCTION("""COMPUTED_VALUE"""),"-9.567915")</f>
        <v>-9.567915</v>
      </c>
      <c r="J755" s="6" t="str">
        <f>IFERROR(__xludf.DUMMYFUNCTION("""COMPUTED_VALUE"""),"-35.726472")</f>
        <v>-35.726472</v>
      </c>
      <c r="K755" s="5" t="str">
        <f>IFERROR(__xludf.DUMMYFUNCTION("""COMPUTED_VALUE"""),"RUA SEM NOME")</f>
        <v>RUA SEM NOME</v>
      </c>
      <c r="L755" s="5" t="str">
        <f>IFERROR(__xludf.DUMMYFUNCTION("""COMPUTED_VALUE"""),"LOCAL")</f>
        <v>LOCAL</v>
      </c>
      <c r="M755" s="5" t="str">
        <f>IFERROR(__xludf.DUMMYFUNCTION("""COMPUTED_VALUE"""),"BENEDITO BENTES")</f>
        <v>BENEDITO BENTES</v>
      </c>
      <c r="N755" s="5" t="str">
        <f>IFERROR(__xludf.DUMMYFUNCTION("""COMPUTED_VALUE"""),"INTEGRAÇÃO")</f>
        <v>INTEGRAÇÃO</v>
      </c>
      <c r="O755" s="5"/>
      <c r="P755" s="5" t="str">
        <f>IFERROR(__xludf.DUMMYFUNCTION("""COMPUTED_VALUE"""),"PRIORIDADE BAIXA")</f>
        <v>PRIORIDADE BAIXA</v>
      </c>
      <c r="Q755" s="5"/>
      <c r="R755" s="5" t="str">
        <f>IFERROR(__xludf.DUMMYFUNCTION("""COMPUTED_VALUE"""),"NENHUMA DAS OPÇÕES")</f>
        <v>NENHUMA DAS OPÇÕES</v>
      </c>
      <c r="S755" s="5"/>
      <c r="T755" s="5"/>
      <c r="U755" s="5"/>
      <c r="V755" s="9" t="str">
        <f>IFERROR(__xludf.DUMMYFUNCTION("""COMPUTED_VALUE"""),"https://drive.google.com/uc?id=1miWS2h5yjd2ibn-t0utZiKi7s_vKaPNa")</f>
        <v>https://drive.google.com/uc?id=1miWS2h5yjd2ibn-t0utZiKi7s_vKaPNa</v>
      </c>
      <c r="W755" s="5" t="str">
        <f>IFERROR(__xludf.DUMMYFUNCTION("""COMPUTED_VALUE"""),"NÃO")</f>
        <v>NÃO</v>
      </c>
      <c r="X755" s="5" t="str">
        <f>IFERROR(__xludf.DUMMYFUNCTION("""COMPUTED_VALUE"""),"NÃO SE APLICA")</f>
        <v>NÃO SE APLICA</v>
      </c>
    </row>
    <row r="756" ht="20.25" hidden="1" customHeight="1">
      <c r="A756" s="5">
        <f>IFERROR(__xludf.DUMMYFUNCTION("""COMPUTED_VALUE"""),6.0)</f>
        <v>6</v>
      </c>
      <c r="B756" s="5" t="str">
        <f>IFERROR(__xludf.DUMMYFUNCTION("""COMPUTED_VALUE"""),"BB121")</f>
        <v>BB121</v>
      </c>
      <c r="C756" s="5" t="str">
        <f>IFERROR(__xludf.DUMMYFUNCTION("""COMPUTED_VALUE"""),"NÃO POSSUI")</f>
        <v>NÃO POSSUI</v>
      </c>
      <c r="D756" s="5" t="str">
        <f>IFERROR(__xludf.DUMMYFUNCTION("""COMPUTED_VALUE"""),"FIXADA EM POSTE")</f>
        <v>FIXADA EM POSTE</v>
      </c>
      <c r="E756" s="5" t="str">
        <f>IFERROR(__xludf.DUMMYFUNCTION("""COMPUTED_VALUE"""),"SEM BAIA")</f>
        <v>SEM BAIA</v>
      </c>
      <c r="F756" s="5" t="str">
        <f>IFERROR(__xludf.DUMMYFUNCTION("""COMPUTED_VALUE"""),"NÃO")</f>
        <v>NÃO</v>
      </c>
      <c r="G756" s="5" t="str">
        <f>IFERROR(__xludf.DUMMYFUNCTION("""COMPUTED_VALUE"""),"NÃO")</f>
        <v>NÃO</v>
      </c>
      <c r="H756" s="5" t="str">
        <f>IFERROR(__xludf.DUMMYFUNCTION("""COMPUTED_VALUE"""),"PAVIMENTADA")</f>
        <v>PAVIMENTADA</v>
      </c>
      <c r="I756" s="6" t="str">
        <f>IFERROR(__xludf.DUMMYFUNCTION("""COMPUTED_VALUE"""),"-9.565638")</f>
        <v>-9.565638</v>
      </c>
      <c r="J756" s="6" t="str">
        <f>IFERROR(__xludf.DUMMYFUNCTION("""COMPUTED_VALUE"""),"-35.726032")</f>
        <v>-35.726032</v>
      </c>
      <c r="K756" s="5" t="str">
        <f>IFERROR(__xludf.DUMMYFUNCTION("""COMPUTED_VALUE"""),"RUA SEM NOME")</f>
        <v>RUA SEM NOME</v>
      </c>
      <c r="L756" s="5" t="str">
        <f>IFERROR(__xludf.DUMMYFUNCTION("""COMPUTED_VALUE"""),"LOCAL")</f>
        <v>LOCAL</v>
      </c>
      <c r="M756" s="5" t="str">
        <f>IFERROR(__xludf.DUMMYFUNCTION("""COMPUTED_VALUE"""),"BENEDITO BENTES")</f>
        <v>BENEDITO BENTES</v>
      </c>
      <c r="N756" s="5" t="str">
        <f>IFERROR(__xludf.DUMMYFUNCTION("""COMPUTED_VALUE"""),"INTEGRAÇÃO")</f>
        <v>INTEGRAÇÃO</v>
      </c>
      <c r="O756" s="5"/>
      <c r="P756" s="5" t="str">
        <f>IFERROR(__xludf.DUMMYFUNCTION("""COMPUTED_VALUE"""),"PRIORIDADE BAIXA")</f>
        <v>PRIORIDADE BAIXA</v>
      </c>
      <c r="Q756" s="5"/>
      <c r="R756" s="5" t="str">
        <f>IFERROR(__xludf.DUMMYFUNCTION("""COMPUTED_VALUE"""),"NENHUMA DAS OPÇÕES")</f>
        <v>NENHUMA DAS OPÇÕES</v>
      </c>
      <c r="S756" s="5"/>
      <c r="T756" s="5"/>
      <c r="U756" s="5"/>
      <c r="V756" s="9" t="str">
        <f>IFERROR(__xludf.DUMMYFUNCTION("""COMPUTED_VALUE"""),"https://drive.google.com/uc?id=1mgbOTmzjcXBvkfxbZtUTjJ2RqQzXgxB-
")</f>
        <v>https://drive.google.com/uc?id=1mgbOTmzjcXBvkfxbZtUTjJ2RqQzXgxB-
</v>
      </c>
      <c r="W756" s="5" t="str">
        <f>IFERROR(__xludf.DUMMYFUNCTION("""COMPUTED_VALUE"""),"NÃO")</f>
        <v>NÃO</v>
      </c>
      <c r="X756" s="5" t="str">
        <f>IFERROR(__xludf.DUMMYFUNCTION("""COMPUTED_VALUE"""),"NÃO SE APLICA")</f>
        <v>NÃO SE APLICA</v>
      </c>
    </row>
    <row r="757" ht="20.25" hidden="1" customHeight="1">
      <c r="A757" s="5">
        <f>IFERROR(__xludf.DUMMYFUNCTION("""COMPUTED_VALUE"""),6.0)</f>
        <v>6</v>
      </c>
      <c r="B757" s="5" t="str">
        <f>IFERROR(__xludf.DUMMYFUNCTION("""COMPUTED_VALUE"""),"BB122")</f>
        <v>BB122</v>
      </c>
      <c r="C757" s="5" t="str">
        <f>IFERROR(__xludf.DUMMYFUNCTION("""COMPUTED_VALUE"""),"NÃO POSSUI")</f>
        <v>NÃO POSSUI</v>
      </c>
      <c r="D757" s="5" t="str">
        <f>IFERROR(__xludf.DUMMYFUNCTION("""COMPUTED_VALUE"""),"SEM PLACA")</f>
        <v>SEM PLACA</v>
      </c>
      <c r="E757" s="5" t="str">
        <f>IFERROR(__xludf.DUMMYFUNCTION("""COMPUTED_VALUE"""),"SEM BAIA")</f>
        <v>SEM BAIA</v>
      </c>
      <c r="F757" s="5" t="str">
        <f>IFERROR(__xludf.DUMMYFUNCTION("""COMPUTED_VALUE"""),"NÃO")</f>
        <v>NÃO</v>
      </c>
      <c r="G757" s="5" t="str">
        <f>IFERROR(__xludf.DUMMYFUNCTION("""COMPUTED_VALUE"""),"NÃO")</f>
        <v>NÃO</v>
      </c>
      <c r="H757" s="5" t="str">
        <f>IFERROR(__xludf.DUMMYFUNCTION("""COMPUTED_VALUE"""),"PAVIMENTADA")</f>
        <v>PAVIMENTADA</v>
      </c>
      <c r="I757" s="6" t="str">
        <f>IFERROR(__xludf.DUMMYFUNCTION("""COMPUTED_VALUE"""),"-9.557935")</f>
        <v>-9.557935</v>
      </c>
      <c r="J757" s="6" t="str">
        <f>IFERROR(__xludf.DUMMYFUNCTION("""COMPUTED_VALUE"""),"-35.729780")</f>
        <v>-35.729780</v>
      </c>
      <c r="K757" s="5" t="str">
        <f>IFERROR(__xludf.DUMMYFUNCTION("""COMPUTED_VALUE"""),"R C08")</f>
        <v>R C08</v>
      </c>
      <c r="L757" s="5" t="str">
        <f>IFERROR(__xludf.DUMMYFUNCTION("""COMPUTED_VALUE"""),"LOCAL")</f>
        <v>LOCAL</v>
      </c>
      <c r="M757" s="5" t="str">
        <f>IFERROR(__xludf.DUMMYFUNCTION("""COMPUTED_VALUE"""),"BENEDITO BENTES")</f>
        <v>BENEDITO BENTES</v>
      </c>
      <c r="N757" s="5" t="str">
        <f>IFERROR(__xludf.DUMMYFUNCTION("""COMPUTED_VALUE"""),"INTEGRAÇÃO")</f>
        <v>INTEGRAÇÃO</v>
      </c>
      <c r="O757" s="5"/>
      <c r="P757" s="5" t="str">
        <f>IFERROR(__xludf.DUMMYFUNCTION("""COMPUTED_VALUE"""),"PRIORIDADE BAIXA")</f>
        <v>PRIORIDADE BAIXA</v>
      </c>
      <c r="Q757" s="5"/>
      <c r="R757" s="5" t="str">
        <f>IFERROR(__xludf.DUMMYFUNCTION("""COMPUTED_VALUE"""),"IMPLANTAR PLACA COM SUPORTE")</f>
        <v>IMPLANTAR PLACA COM SUPORTE</v>
      </c>
      <c r="S757" s="5"/>
      <c r="T757" s="5"/>
      <c r="U757" s="5"/>
      <c r="V757" s="9" t="str">
        <f>IFERROR(__xludf.DUMMYFUNCTION("""COMPUTED_VALUE"""),"https://drive.google.com/uc?id=1mdt60QNGs02N2qSe9OSVyLT_UGNMxEi_")</f>
        <v>https://drive.google.com/uc?id=1mdt60QNGs02N2qSe9OSVyLT_UGNMxEi_</v>
      </c>
      <c r="W757" s="5" t="str">
        <f>IFERROR(__xludf.DUMMYFUNCTION("""COMPUTED_VALUE"""),"NÃO")</f>
        <v>NÃO</v>
      </c>
      <c r="X757" s="5" t="str">
        <f>IFERROR(__xludf.DUMMYFUNCTION("""COMPUTED_VALUE"""),"NÃO SE APLICA")</f>
        <v>NÃO SE APLICA</v>
      </c>
    </row>
    <row r="758" ht="20.25" hidden="1" customHeight="1">
      <c r="A758" s="5">
        <f>IFERROR(__xludf.DUMMYFUNCTION("""COMPUTED_VALUE"""),6.0)</f>
        <v>6</v>
      </c>
      <c r="B758" s="5" t="str">
        <f>IFERROR(__xludf.DUMMYFUNCTION("""COMPUTED_VALUE"""),"BB123")</f>
        <v>BB123</v>
      </c>
      <c r="C758" s="5" t="str">
        <f>IFERROR(__xludf.DUMMYFUNCTION("""COMPUTED_VALUE"""),"NÃO POSSUI")</f>
        <v>NÃO POSSUI</v>
      </c>
      <c r="D758" s="5" t="str">
        <f>IFERROR(__xludf.DUMMYFUNCTION("""COMPUTED_VALUE"""),"FIXADA EM POSTE")</f>
        <v>FIXADA EM POSTE</v>
      </c>
      <c r="E758" s="5" t="str">
        <f>IFERROR(__xludf.DUMMYFUNCTION("""COMPUTED_VALUE"""),"SEM BAIA")</f>
        <v>SEM BAIA</v>
      </c>
      <c r="F758" s="5" t="str">
        <f>IFERROR(__xludf.DUMMYFUNCTION("""COMPUTED_VALUE"""),"NÃO")</f>
        <v>NÃO</v>
      </c>
      <c r="G758" s="5" t="str">
        <f>IFERROR(__xludf.DUMMYFUNCTION("""COMPUTED_VALUE"""),"NÃO")</f>
        <v>NÃO</v>
      </c>
      <c r="H758" s="5" t="str">
        <f>IFERROR(__xludf.DUMMYFUNCTION("""COMPUTED_VALUE"""),"PAVIMENTADA")</f>
        <v>PAVIMENTADA</v>
      </c>
      <c r="I758" s="6" t="str">
        <f>IFERROR(__xludf.DUMMYFUNCTION("""COMPUTED_VALUE"""),"-9.558922")</f>
        <v>-9.558922</v>
      </c>
      <c r="J758" s="6" t="str">
        <f>IFERROR(__xludf.DUMMYFUNCTION("""COMPUTED_VALUE"""),"-35.730046")</f>
        <v>-35.730046</v>
      </c>
      <c r="K758" s="5" t="str">
        <f>IFERROR(__xludf.DUMMYFUNCTION("""COMPUTED_VALUE"""),"AV. GUAXUMA")</f>
        <v>AV. GUAXUMA</v>
      </c>
      <c r="L758" s="5" t="str">
        <f>IFERROR(__xludf.DUMMYFUNCTION("""COMPUTED_VALUE"""),"LOCAL")</f>
        <v>LOCAL</v>
      </c>
      <c r="M758" s="5" t="str">
        <f>IFERROR(__xludf.DUMMYFUNCTION("""COMPUTED_VALUE"""),"BENEDITO BENTES")</f>
        <v>BENEDITO BENTES</v>
      </c>
      <c r="N758" s="5" t="str">
        <f>IFERROR(__xludf.DUMMYFUNCTION("""COMPUTED_VALUE"""),"INTEGRAÇÃO")</f>
        <v>INTEGRAÇÃO</v>
      </c>
      <c r="O758" s="5"/>
      <c r="P758" s="5" t="str">
        <f>IFERROR(__xludf.DUMMYFUNCTION("""COMPUTED_VALUE"""),"PRIORIDADE BAIXA")</f>
        <v>PRIORIDADE BAIXA</v>
      </c>
      <c r="Q758" s="5"/>
      <c r="R758" s="5" t="str">
        <f>IFERROR(__xludf.DUMMYFUNCTION("""COMPUTED_VALUE"""),"NENHUMA DAS OPÇÕES")</f>
        <v>NENHUMA DAS OPÇÕES</v>
      </c>
      <c r="S758" s="5"/>
      <c r="T758" s="5"/>
      <c r="U758" s="5"/>
      <c r="V758" s="9" t="str">
        <f>IFERROR(__xludf.DUMMYFUNCTION("""COMPUTED_VALUE"""),"https://drive.google.com/uc?id=1mZppBhwHK59s7_eq5tPkxwT7PoMbPQ08
")</f>
        <v>https://drive.google.com/uc?id=1mZppBhwHK59s7_eq5tPkxwT7PoMbPQ08
</v>
      </c>
      <c r="W758" s="5" t="str">
        <f>IFERROR(__xludf.DUMMYFUNCTION("""COMPUTED_VALUE"""),"NÃO")</f>
        <v>NÃO</v>
      </c>
      <c r="X758" s="5" t="str">
        <f>IFERROR(__xludf.DUMMYFUNCTION("""COMPUTED_VALUE"""),"NÃO SE APLICA")</f>
        <v>NÃO SE APLICA</v>
      </c>
    </row>
    <row r="759" ht="20.25" hidden="1" customHeight="1">
      <c r="A759" s="5">
        <f>IFERROR(__xludf.DUMMYFUNCTION("""COMPUTED_VALUE"""),6.0)</f>
        <v>6</v>
      </c>
      <c r="B759" s="5" t="str">
        <f>IFERROR(__xludf.DUMMYFUNCTION("""COMPUTED_VALUE"""),"BB124")</f>
        <v>BB124</v>
      </c>
      <c r="C759" s="5" t="str">
        <f>IFERROR(__xludf.DUMMYFUNCTION("""COMPUTED_VALUE"""),"NÃO POSSUI")</f>
        <v>NÃO POSSUI</v>
      </c>
      <c r="D759" s="5" t="str">
        <f>IFERROR(__xludf.DUMMYFUNCTION("""COMPUTED_VALUE"""),"FIXADA EM POSTE")</f>
        <v>FIXADA EM POSTE</v>
      </c>
      <c r="E759" s="5" t="str">
        <f>IFERROR(__xludf.DUMMYFUNCTION("""COMPUTED_VALUE"""),"SEM BAIA")</f>
        <v>SEM BAIA</v>
      </c>
      <c r="F759" s="5" t="str">
        <f>IFERROR(__xludf.DUMMYFUNCTION("""COMPUTED_VALUE"""),"NÃO")</f>
        <v>NÃO</v>
      </c>
      <c r="G759" s="5" t="str">
        <f>IFERROR(__xludf.DUMMYFUNCTION("""COMPUTED_VALUE"""),"NÃO")</f>
        <v>NÃO</v>
      </c>
      <c r="H759" s="5" t="str">
        <f>IFERROR(__xludf.DUMMYFUNCTION("""COMPUTED_VALUE"""),"PAVIMENTADA")</f>
        <v>PAVIMENTADA</v>
      </c>
      <c r="I759" s="6" t="str">
        <f>IFERROR(__xludf.DUMMYFUNCTION("""COMPUTED_VALUE"""),"-9.560659")</f>
        <v>-9.560659</v>
      </c>
      <c r="J759" s="6" t="str">
        <f>IFERROR(__xludf.DUMMYFUNCTION("""COMPUTED_VALUE"""),"-35.729635")</f>
        <v>-35.729635</v>
      </c>
      <c r="K759" s="5" t="str">
        <f>IFERROR(__xludf.DUMMYFUNCTION("""COMPUTED_VALUE"""),"AV. GUAXUMA")</f>
        <v>AV. GUAXUMA</v>
      </c>
      <c r="L759" s="5" t="str">
        <f>IFERROR(__xludf.DUMMYFUNCTION("""COMPUTED_VALUE"""),"LOCAL")</f>
        <v>LOCAL</v>
      </c>
      <c r="M759" s="5" t="str">
        <f>IFERROR(__xludf.DUMMYFUNCTION("""COMPUTED_VALUE"""),"BENEDITO BENTES")</f>
        <v>BENEDITO BENTES</v>
      </c>
      <c r="N759" s="5" t="str">
        <f>IFERROR(__xludf.DUMMYFUNCTION("""COMPUTED_VALUE"""),"INTEGRAÇÃO")</f>
        <v>INTEGRAÇÃO</v>
      </c>
      <c r="O759" s="5"/>
      <c r="P759" s="5" t="str">
        <f>IFERROR(__xludf.DUMMYFUNCTION("""COMPUTED_VALUE"""),"PRIORIDADE BAIXA")</f>
        <v>PRIORIDADE BAIXA</v>
      </c>
      <c r="Q759" s="5"/>
      <c r="R759" s="5" t="str">
        <f>IFERROR(__xludf.DUMMYFUNCTION("""COMPUTED_VALUE"""),"NENHUMA DAS OPÇÕES")</f>
        <v>NENHUMA DAS OPÇÕES</v>
      </c>
      <c r="S759" s="5"/>
      <c r="T759" s="5"/>
      <c r="U759" s="5"/>
      <c r="V759" s="9" t="str">
        <f>IFERROR(__xludf.DUMMYFUNCTION("""COMPUTED_VALUE"""),"https://drive.google.com/uc?id=1mZkzPg5PCZagOXLeVzygUzxrMFggMcRM
")</f>
        <v>https://drive.google.com/uc?id=1mZkzPg5PCZagOXLeVzygUzxrMFggMcRM
</v>
      </c>
      <c r="W759" s="5" t="str">
        <f>IFERROR(__xludf.DUMMYFUNCTION("""COMPUTED_VALUE"""),"NÃO")</f>
        <v>NÃO</v>
      </c>
      <c r="X759" s="5" t="str">
        <f>IFERROR(__xludf.DUMMYFUNCTION("""COMPUTED_VALUE"""),"NÃO SE APLICA")</f>
        <v>NÃO SE APLICA</v>
      </c>
    </row>
    <row r="760" ht="20.25" hidden="1" customHeight="1">
      <c r="A760" s="5">
        <f>IFERROR(__xludf.DUMMYFUNCTION("""COMPUTED_VALUE"""),6.0)</f>
        <v>6</v>
      </c>
      <c r="B760" s="5" t="str">
        <f>IFERROR(__xludf.DUMMYFUNCTION("""COMPUTED_VALUE"""),"BB125")</f>
        <v>BB125</v>
      </c>
      <c r="C760" s="5" t="str">
        <f>IFERROR(__xludf.DUMMYFUNCTION("""COMPUTED_VALUE"""),"NÃO POSSUI")</f>
        <v>NÃO POSSUI</v>
      </c>
      <c r="D760" s="5" t="str">
        <f>IFERROR(__xludf.DUMMYFUNCTION("""COMPUTED_VALUE"""),"SEM PLACA")</f>
        <v>SEM PLACA</v>
      </c>
      <c r="E760" s="5" t="str">
        <f>IFERROR(__xludf.DUMMYFUNCTION("""COMPUTED_VALUE"""),"SEM BAIA")</f>
        <v>SEM BAIA</v>
      </c>
      <c r="F760" s="5" t="str">
        <f>IFERROR(__xludf.DUMMYFUNCTION("""COMPUTED_VALUE"""),"NÃO")</f>
        <v>NÃO</v>
      </c>
      <c r="G760" s="5" t="str">
        <f>IFERROR(__xludf.DUMMYFUNCTION("""COMPUTED_VALUE"""),"NÃO")</f>
        <v>NÃO</v>
      </c>
      <c r="H760" s="5" t="str">
        <f>IFERROR(__xludf.DUMMYFUNCTION("""COMPUTED_VALUE"""),"PAVIMENTADA")</f>
        <v>PAVIMENTADA</v>
      </c>
      <c r="I760" s="6" t="str">
        <f>IFERROR(__xludf.DUMMYFUNCTION("""COMPUTED_VALUE"""),"-9.562853")</f>
        <v>-9.562853</v>
      </c>
      <c r="J760" s="6" t="str">
        <f>IFERROR(__xludf.DUMMYFUNCTION("""COMPUTED_VALUE"""),"-35.729052")</f>
        <v>-35.729052</v>
      </c>
      <c r="K760" s="5" t="str">
        <f>IFERROR(__xludf.DUMMYFUNCTION("""COMPUTED_VALUE"""),"AV. GUAXUMA")</f>
        <v>AV. GUAXUMA</v>
      </c>
      <c r="L760" s="5" t="str">
        <f>IFERROR(__xludf.DUMMYFUNCTION("""COMPUTED_VALUE"""),"LOCAL")</f>
        <v>LOCAL</v>
      </c>
      <c r="M760" s="5" t="str">
        <f>IFERROR(__xludf.DUMMYFUNCTION("""COMPUTED_VALUE"""),"BENEDITO BENTES")</f>
        <v>BENEDITO BENTES</v>
      </c>
      <c r="N760" s="5" t="str">
        <f>IFERROR(__xludf.DUMMYFUNCTION("""COMPUTED_VALUE"""),"INTEGRAÇÃO")</f>
        <v>INTEGRAÇÃO</v>
      </c>
      <c r="O760" s="5"/>
      <c r="P760" s="5" t="str">
        <f>IFERROR(__xludf.DUMMYFUNCTION("""COMPUTED_VALUE"""),"PRIORIDADE BAIXA")</f>
        <v>PRIORIDADE BAIXA</v>
      </c>
      <c r="Q760" s="5"/>
      <c r="R760" s="5" t="str">
        <f>IFERROR(__xludf.DUMMYFUNCTION("""COMPUTED_VALUE"""),"IMPLANTAR PLACA COM SUPORTE")</f>
        <v>IMPLANTAR PLACA COM SUPORTE</v>
      </c>
      <c r="S760" s="5"/>
      <c r="T760" s="5"/>
      <c r="U760" s="5"/>
      <c r="V760" s="9" t="str">
        <f>IFERROR(__xludf.DUMMYFUNCTION("""COMPUTED_VALUE"""),"https://drive.google.com/uc?id=1mQZ2cv90AsYkb7YeaP5N13N9p9i8A9Jl
")</f>
        <v>https://drive.google.com/uc?id=1mQZ2cv90AsYkb7YeaP5N13N9p9i8A9Jl
</v>
      </c>
      <c r="W760" s="5" t="str">
        <f>IFERROR(__xludf.DUMMYFUNCTION("""COMPUTED_VALUE"""),"NÃO")</f>
        <v>NÃO</v>
      </c>
      <c r="X760" s="5" t="str">
        <f>IFERROR(__xludf.DUMMYFUNCTION("""COMPUTED_VALUE"""),"NÃO SE APLICA")</f>
        <v>NÃO SE APLICA</v>
      </c>
    </row>
    <row r="761" ht="20.25" hidden="1" customHeight="1">
      <c r="A761" s="5">
        <f>IFERROR(__xludf.DUMMYFUNCTION("""COMPUTED_VALUE"""),6.0)</f>
        <v>6</v>
      </c>
      <c r="B761" s="5" t="str">
        <f>IFERROR(__xludf.DUMMYFUNCTION("""COMPUTED_VALUE"""),"BB126")</f>
        <v>BB126</v>
      </c>
      <c r="C761" s="5" t="str">
        <f>IFERROR(__xludf.DUMMYFUNCTION("""COMPUTED_VALUE"""),"NÃO POSSUI")</f>
        <v>NÃO POSSUI</v>
      </c>
      <c r="D761" s="5" t="str">
        <f>IFERROR(__xludf.DUMMYFUNCTION("""COMPUTED_VALUE"""),"SEM PLACA")</f>
        <v>SEM PLACA</v>
      </c>
      <c r="E761" s="5" t="str">
        <f>IFERROR(__xludf.DUMMYFUNCTION("""COMPUTED_VALUE"""),"SEM BAIA")</f>
        <v>SEM BAIA</v>
      </c>
      <c r="F761" s="5" t="str">
        <f>IFERROR(__xludf.DUMMYFUNCTION("""COMPUTED_VALUE"""),"NÃO")</f>
        <v>NÃO</v>
      </c>
      <c r="G761" s="5" t="str">
        <f>IFERROR(__xludf.DUMMYFUNCTION("""COMPUTED_VALUE"""),"NÃO")</f>
        <v>NÃO</v>
      </c>
      <c r="H761" s="5" t="str">
        <f>IFERROR(__xludf.DUMMYFUNCTION("""COMPUTED_VALUE"""),"PAVIMENTADA")</f>
        <v>PAVIMENTADA</v>
      </c>
      <c r="I761" s="6" t="str">
        <f>IFERROR(__xludf.DUMMYFUNCTION("""COMPUTED_VALUE"""),"-9.564613")</f>
        <v>-9.564613</v>
      </c>
      <c r="J761" s="6" t="str">
        <f>IFERROR(__xludf.DUMMYFUNCTION("""COMPUTED_VALUE"""),"-35.729516")</f>
        <v>-35.729516</v>
      </c>
      <c r="K761" s="5" t="str">
        <f>IFERROR(__xludf.DUMMYFUNCTION("""COMPUTED_VALUE"""),"AV. GUAXUMA")</f>
        <v>AV. GUAXUMA</v>
      </c>
      <c r="L761" s="5" t="str">
        <f>IFERROR(__xludf.DUMMYFUNCTION("""COMPUTED_VALUE"""),"LOCAL")</f>
        <v>LOCAL</v>
      </c>
      <c r="M761" s="5" t="str">
        <f>IFERROR(__xludf.DUMMYFUNCTION("""COMPUTED_VALUE"""),"BENEDITO BENTES")</f>
        <v>BENEDITO BENTES</v>
      </c>
      <c r="N761" s="5" t="str">
        <f>IFERROR(__xludf.DUMMYFUNCTION("""COMPUTED_VALUE"""),"INTEGRAÇÃO")</f>
        <v>INTEGRAÇÃO</v>
      </c>
      <c r="O761" s="5"/>
      <c r="P761" s="5" t="str">
        <f>IFERROR(__xludf.DUMMYFUNCTION("""COMPUTED_VALUE"""),"PRIORIDADE BAIXA")</f>
        <v>PRIORIDADE BAIXA</v>
      </c>
      <c r="Q761" s="5"/>
      <c r="R761" s="5" t="str">
        <f>IFERROR(__xludf.DUMMYFUNCTION("""COMPUTED_VALUE"""),"IMPLANTAR PLACA COM SUPORTE")</f>
        <v>IMPLANTAR PLACA COM SUPORTE</v>
      </c>
      <c r="S761" s="5"/>
      <c r="T761" s="5"/>
      <c r="U761" s="5"/>
      <c r="V761" s="9" t="str">
        <f>IFERROR(__xludf.DUMMYFUNCTION("""COMPUTED_VALUE"""),"https://drive.google.com/uc?id=1mQMO8BHNJtR6TftZ4tc7ZNNAgp3bBmo9
")</f>
        <v>https://drive.google.com/uc?id=1mQMO8BHNJtR6TftZ4tc7ZNNAgp3bBmo9
</v>
      </c>
      <c r="W761" s="5" t="str">
        <f>IFERROR(__xludf.DUMMYFUNCTION("""COMPUTED_VALUE"""),"NÃO")</f>
        <v>NÃO</v>
      </c>
      <c r="X761" s="5" t="str">
        <f>IFERROR(__xludf.DUMMYFUNCTION("""COMPUTED_VALUE"""),"NÃO SE APLICA")</f>
        <v>NÃO SE APLICA</v>
      </c>
    </row>
    <row r="762" ht="20.25" hidden="1" customHeight="1">
      <c r="A762" s="5">
        <f>IFERROR(__xludf.DUMMYFUNCTION("""COMPUTED_VALUE"""),6.0)</f>
        <v>6</v>
      </c>
      <c r="B762" s="5" t="str">
        <f>IFERROR(__xludf.DUMMYFUNCTION("""COMPUTED_VALUE"""),"BB127")</f>
        <v>BB127</v>
      </c>
      <c r="C762" s="5" t="str">
        <f>IFERROR(__xludf.DUMMYFUNCTION("""COMPUTED_VALUE"""),"NÃO POSSUI")</f>
        <v>NÃO POSSUI</v>
      </c>
      <c r="D762" s="5" t="str">
        <f>IFERROR(__xludf.DUMMYFUNCTION("""COMPUTED_VALUE"""),"SEM PLACA")</f>
        <v>SEM PLACA</v>
      </c>
      <c r="E762" s="5" t="str">
        <f>IFERROR(__xludf.DUMMYFUNCTION("""COMPUTED_VALUE"""),"SEM BAIA")</f>
        <v>SEM BAIA</v>
      </c>
      <c r="F762" s="5" t="str">
        <f>IFERROR(__xludf.DUMMYFUNCTION("""COMPUTED_VALUE"""),"NÃO")</f>
        <v>NÃO</v>
      </c>
      <c r="G762" s="5" t="str">
        <f>IFERROR(__xludf.DUMMYFUNCTION("""COMPUTED_VALUE"""),"NÃO")</f>
        <v>NÃO</v>
      </c>
      <c r="H762" s="5" t="str">
        <f>IFERROR(__xludf.DUMMYFUNCTION("""COMPUTED_VALUE"""),"PAVIMENTADA")</f>
        <v>PAVIMENTADA</v>
      </c>
      <c r="I762" s="6" t="str">
        <f>IFERROR(__xludf.DUMMYFUNCTION("""COMPUTED_VALUE"""),"-9.564470")</f>
        <v>-9.564470</v>
      </c>
      <c r="J762" s="6" t="str">
        <f>IFERROR(__xludf.DUMMYFUNCTION("""COMPUTED_VALUE"""),"-35.730072")</f>
        <v>-35.730072</v>
      </c>
      <c r="K762" s="5" t="str">
        <f>IFERROR(__xludf.DUMMYFUNCTION("""COMPUTED_VALUE"""),"R. C OITENTA E CINCO")</f>
        <v>R. C OITENTA E CINCO</v>
      </c>
      <c r="L762" s="5" t="str">
        <f>IFERROR(__xludf.DUMMYFUNCTION("""COMPUTED_VALUE"""),"LOCAL")</f>
        <v>LOCAL</v>
      </c>
      <c r="M762" s="5" t="str">
        <f>IFERROR(__xludf.DUMMYFUNCTION("""COMPUTED_VALUE"""),"BENEDITO BENTES")</f>
        <v>BENEDITO BENTES</v>
      </c>
      <c r="N762" s="5" t="str">
        <f>IFERROR(__xludf.DUMMYFUNCTION("""COMPUTED_VALUE"""),"INTEGRAÇÃO")</f>
        <v>INTEGRAÇÃO</v>
      </c>
      <c r="O762" s="5"/>
      <c r="P762" s="5" t="str">
        <f>IFERROR(__xludf.DUMMYFUNCTION("""COMPUTED_VALUE"""),"PRIORIDADE BAIXA")</f>
        <v>PRIORIDADE BAIXA</v>
      </c>
      <c r="Q762" s="5"/>
      <c r="R762" s="5" t="str">
        <f>IFERROR(__xludf.DUMMYFUNCTION("""COMPUTED_VALUE"""),"IMPLANTAR PLACA COM SUPORTE")</f>
        <v>IMPLANTAR PLACA COM SUPORTE</v>
      </c>
      <c r="S762" s="5"/>
      <c r="T762" s="5"/>
      <c r="U762" s="5"/>
      <c r="V762" s="9" t="str">
        <f>IFERROR(__xludf.DUMMYFUNCTION("""COMPUTED_VALUE"""),"https://drive.google.com/uc?id=1mP8sftX5xYDEisngOmBny3hS1BkCyRAK
")</f>
        <v>https://drive.google.com/uc?id=1mP8sftX5xYDEisngOmBny3hS1BkCyRAK
</v>
      </c>
      <c r="W762" s="5" t="str">
        <f>IFERROR(__xludf.DUMMYFUNCTION("""COMPUTED_VALUE"""),"NÃO")</f>
        <v>NÃO</v>
      </c>
      <c r="X762" s="5" t="str">
        <f>IFERROR(__xludf.DUMMYFUNCTION("""COMPUTED_VALUE"""),"NÃO SE APLICA")</f>
        <v>NÃO SE APLICA</v>
      </c>
    </row>
    <row r="763" ht="20.25" customHeight="1">
      <c r="A763" s="5">
        <f>IFERROR(__xludf.DUMMYFUNCTION("""COMPUTED_VALUE"""),6.0)</f>
        <v>6</v>
      </c>
      <c r="B763" s="5" t="str">
        <f>IFERROR(__xludf.DUMMYFUNCTION("""COMPUTED_VALUE"""),"BB128")</f>
        <v>BB128</v>
      </c>
      <c r="C763" s="5" t="str">
        <f>IFERROR(__xludf.DUMMYFUNCTION("""COMPUTED_VALUE"""),"ABRIGO CONCRETO")</f>
        <v>ABRIGO CONCRETO</v>
      </c>
      <c r="D763" s="5" t="str">
        <f>IFERROR(__xludf.DUMMYFUNCTION("""COMPUTED_VALUE"""),"SEM PLACA")</f>
        <v>SEM PLACA</v>
      </c>
      <c r="E763" s="5" t="str">
        <f>IFERROR(__xludf.DUMMYFUNCTION("""COMPUTED_VALUE"""),"SEM BAIA")</f>
        <v>SEM BAIA</v>
      </c>
      <c r="F763" s="5" t="str">
        <f>IFERROR(__xludf.DUMMYFUNCTION("""COMPUTED_VALUE"""),"NÃO")</f>
        <v>NÃO</v>
      </c>
      <c r="G763" s="5" t="str">
        <f>IFERROR(__xludf.DUMMYFUNCTION("""COMPUTED_VALUE"""),"NÃO")</f>
        <v>NÃO</v>
      </c>
      <c r="H763" s="5" t="str">
        <f>IFERROR(__xludf.DUMMYFUNCTION("""COMPUTED_VALUE"""),"PAVIMENTADA COM AVARIAS")</f>
        <v>PAVIMENTADA COM AVARIAS</v>
      </c>
      <c r="I763" s="6" t="str">
        <f>IFERROR(__xludf.DUMMYFUNCTION("""COMPUTED_VALUE"""),"-9.562638")</f>
        <v>-9.562638</v>
      </c>
      <c r="J763" s="6" t="str">
        <f>IFERROR(__xludf.DUMMYFUNCTION("""COMPUTED_VALUE"""),"-35.729035")</f>
        <v>-35.729035</v>
      </c>
      <c r="K763" s="5" t="str">
        <f>IFERROR(__xludf.DUMMYFUNCTION("""COMPUTED_VALUE"""),"AV. GUAXUMA")</f>
        <v>AV. GUAXUMA</v>
      </c>
      <c r="L763" s="5" t="str">
        <f>IFERROR(__xludf.DUMMYFUNCTION("""COMPUTED_VALUE"""),"LOCAL")</f>
        <v>LOCAL</v>
      </c>
      <c r="M763" s="5" t="str">
        <f>IFERROR(__xludf.DUMMYFUNCTION("""COMPUTED_VALUE"""),"BENEDITO BENTES")</f>
        <v>BENEDITO BENTES</v>
      </c>
      <c r="N763" s="5" t="str">
        <f>IFERROR(__xludf.DUMMYFUNCTION("""COMPUTED_VALUE"""),"INTEGRAÇÃO")</f>
        <v>INTEGRAÇÃO</v>
      </c>
      <c r="O763" s="5"/>
      <c r="P763" s="5" t="str">
        <f>IFERROR(__xludf.DUMMYFUNCTION("""COMPUTED_VALUE"""),"PRIORIDADE BAIXA")</f>
        <v>PRIORIDADE BAIXA</v>
      </c>
      <c r="Q763" s="5"/>
      <c r="R763" s="5" t="str">
        <f>IFERROR(__xludf.DUMMYFUNCTION("""COMPUTED_VALUE"""),"IMPLANTAR PLACA COM SUPORTE")</f>
        <v>IMPLANTAR PLACA COM SUPORTE</v>
      </c>
      <c r="S763" s="5"/>
      <c r="T763" s="5"/>
      <c r="U763" s="5"/>
      <c r="V763" s="9" t="str">
        <f>IFERROR(__xludf.DUMMYFUNCTION("""COMPUTED_VALUE"""),"https://drive.google.com/uc?id=1mF0_Y7-VBDYou9qe14bpuEZrqQ2U1NHO
")</f>
        <v>https://drive.google.com/uc?id=1mF0_Y7-VBDYou9qe14bpuEZrqQ2U1NHO
</v>
      </c>
      <c r="W763" s="5" t="str">
        <f>IFERROR(__xludf.DUMMYFUNCTION("""COMPUTED_VALUE"""),"NÃO")</f>
        <v>NÃO</v>
      </c>
      <c r="X763" s="5" t="str">
        <f>IFERROR(__xludf.DUMMYFUNCTION("""COMPUTED_VALUE"""),"NÃO SE APLICA")</f>
        <v>NÃO SE APLICA</v>
      </c>
    </row>
    <row r="764" ht="20.25" hidden="1" customHeight="1">
      <c r="A764" s="5">
        <f>IFERROR(__xludf.DUMMYFUNCTION("""COMPUTED_VALUE"""),6.0)</f>
        <v>6</v>
      </c>
      <c r="B764" s="5" t="str">
        <f>IFERROR(__xludf.DUMMYFUNCTION("""COMPUTED_VALUE"""),"BB129")</f>
        <v>BB129</v>
      </c>
      <c r="C764" s="5" t="str">
        <f>IFERROR(__xludf.DUMMYFUNCTION("""COMPUTED_VALUE"""),"NÃO POSSUI")</f>
        <v>NÃO POSSUI</v>
      </c>
      <c r="D764" s="5" t="str">
        <f>IFERROR(__xludf.DUMMYFUNCTION("""COMPUTED_VALUE"""),"SEM PLACA")</f>
        <v>SEM PLACA</v>
      </c>
      <c r="E764" s="5" t="str">
        <f>IFERROR(__xludf.DUMMYFUNCTION("""COMPUTED_VALUE"""),"SEM BAIA")</f>
        <v>SEM BAIA</v>
      </c>
      <c r="F764" s="5" t="str">
        <f>IFERROR(__xludf.DUMMYFUNCTION("""COMPUTED_VALUE"""),"NÃO")</f>
        <v>NÃO</v>
      </c>
      <c r="G764" s="5" t="str">
        <f>IFERROR(__xludf.DUMMYFUNCTION("""COMPUTED_VALUE"""),"NÃO")</f>
        <v>NÃO</v>
      </c>
      <c r="H764" s="5" t="str">
        <f>IFERROR(__xludf.DUMMYFUNCTION("""COMPUTED_VALUE"""),"PAVIMENTADA")</f>
        <v>PAVIMENTADA</v>
      </c>
      <c r="I764" s="6" t="str">
        <f>IFERROR(__xludf.DUMMYFUNCTION("""COMPUTED_VALUE"""),"-9.560907")</f>
        <v>-9.560907</v>
      </c>
      <c r="J764" s="6" t="str">
        <f>IFERROR(__xludf.DUMMYFUNCTION("""COMPUTED_VALUE"""),"-35.729523")</f>
        <v>-35.729523</v>
      </c>
      <c r="K764" s="5" t="str">
        <f>IFERROR(__xludf.DUMMYFUNCTION("""COMPUTED_VALUE"""),"AV. GUAXUMA")</f>
        <v>AV. GUAXUMA</v>
      </c>
      <c r="L764" s="5" t="str">
        <f>IFERROR(__xludf.DUMMYFUNCTION("""COMPUTED_VALUE"""),"LOCAL")</f>
        <v>LOCAL</v>
      </c>
      <c r="M764" s="5" t="str">
        <f>IFERROR(__xludf.DUMMYFUNCTION("""COMPUTED_VALUE"""),"BENEDITO BENTES")</f>
        <v>BENEDITO BENTES</v>
      </c>
      <c r="N764" s="5" t="str">
        <f>IFERROR(__xludf.DUMMYFUNCTION("""COMPUTED_VALUE"""),"INTEGRAÇÃO")</f>
        <v>INTEGRAÇÃO</v>
      </c>
      <c r="O764" s="5"/>
      <c r="P764" s="5" t="str">
        <f>IFERROR(__xludf.DUMMYFUNCTION("""COMPUTED_VALUE"""),"PRIORIDADE BAIXA")</f>
        <v>PRIORIDADE BAIXA</v>
      </c>
      <c r="Q764" s="5"/>
      <c r="R764" s="5" t="str">
        <f>IFERROR(__xludf.DUMMYFUNCTION("""COMPUTED_VALUE"""),"IMPLANTAR PLACA COM SUPORTE")</f>
        <v>IMPLANTAR PLACA COM SUPORTE</v>
      </c>
      <c r="S764" s="5"/>
      <c r="T764" s="5"/>
      <c r="U764" s="5"/>
      <c r="V764" s="9" t="str">
        <f>IFERROR(__xludf.DUMMYFUNCTION("""COMPUTED_VALUE"""),"https://drive.google.com/uc?id=1mDAwQgP8KzfCJ9x08wOXvbdivg022UAv
")</f>
        <v>https://drive.google.com/uc?id=1mDAwQgP8KzfCJ9x08wOXvbdivg022UAv
</v>
      </c>
      <c r="W764" s="5"/>
      <c r="X764" s="5"/>
    </row>
    <row r="765" ht="20.25" hidden="1" customHeight="1">
      <c r="A765" s="5">
        <f>IFERROR(__xludf.DUMMYFUNCTION("""COMPUTED_VALUE"""),6.0)</f>
        <v>6</v>
      </c>
      <c r="B765" s="5" t="str">
        <f>IFERROR(__xludf.DUMMYFUNCTION("""COMPUTED_VALUE"""),"BB130")</f>
        <v>BB130</v>
      </c>
      <c r="C765" s="5" t="str">
        <f>IFERROR(__xludf.DUMMYFUNCTION("""COMPUTED_VALUE"""),"SEM SINALIZAÇÃO")</f>
        <v>SEM SINALIZAÇÃO</v>
      </c>
      <c r="D765" s="5" t="str">
        <f>IFERROR(__xludf.DUMMYFUNCTION("""COMPUTED_VALUE"""),"SEM PLACA")</f>
        <v>SEM PLACA</v>
      </c>
      <c r="E765" s="5" t="str">
        <f>IFERROR(__xludf.DUMMYFUNCTION("""COMPUTED_VALUE"""),"SEM BAIA")</f>
        <v>SEM BAIA</v>
      </c>
      <c r="F765" s="5" t="str">
        <f>IFERROR(__xludf.DUMMYFUNCTION("""COMPUTED_VALUE"""),"NÃO")</f>
        <v>NÃO</v>
      </c>
      <c r="G765" s="5" t="str">
        <f>IFERROR(__xludf.DUMMYFUNCTION("""COMPUTED_VALUE"""),"NÃO")</f>
        <v>NÃO</v>
      </c>
      <c r="H765" s="5" t="str">
        <f>IFERROR(__xludf.DUMMYFUNCTION("""COMPUTED_VALUE"""),"PAVIMENTADA")</f>
        <v>PAVIMENTADA</v>
      </c>
      <c r="I765" s="6" t="str">
        <f>IFERROR(__xludf.DUMMYFUNCTION("""COMPUTED_VALUE"""),"-9.557918")</f>
        <v>-9.557918</v>
      </c>
      <c r="J765" s="6" t="str">
        <f>IFERROR(__xludf.DUMMYFUNCTION("""COMPUTED_VALUE"""),"-35.729677")</f>
        <v>-35.729677</v>
      </c>
      <c r="K765" s="5" t="str">
        <f>IFERROR(__xludf.DUMMYFUNCTION("""COMPUTED_VALUE"""),"RA - C08")</f>
        <v>RA - C08</v>
      </c>
      <c r="L765" s="5" t="str">
        <f>IFERROR(__xludf.DUMMYFUNCTION("""COMPUTED_VALUE"""),"LOCAL")</f>
        <v>LOCAL</v>
      </c>
      <c r="M765" s="5" t="str">
        <f>IFERROR(__xludf.DUMMYFUNCTION("""COMPUTED_VALUE"""),"BENEDITO BENTES")</f>
        <v>BENEDITO BENTES</v>
      </c>
      <c r="N765" s="5" t="str">
        <f>IFERROR(__xludf.DUMMYFUNCTION("""COMPUTED_VALUE"""),"INTEGRAÇÃO")</f>
        <v>INTEGRAÇÃO</v>
      </c>
      <c r="O765" s="5" t="str">
        <f>IFERROR(__xludf.DUMMYFUNCTION("""COMPUTED_VALUE"""),"ESC. EST. DEP. RUBENS CANUTO")</f>
        <v>ESC. EST. DEP. RUBENS CANUTO</v>
      </c>
      <c r="P765" s="5" t="str">
        <f>IFERROR(__xludf.DUMMYFUNCTION("""COMPUTED_VALUE"""),"PRIORIDADE MÉDIA")</f>
        <v>PRIORIDADE MÉDIA</v>
      </c>
      <c r="Q765" s="5"/>
      <c r="R765" s="5" t="str">
        <f>IFERROR(__xludf.DUMMYFUNCTION("""COMPUTED_VALUE"""),"IMPLANTAR PLACA COM SUPORTE")</f>
        <v>IMPLANTAR PLACA COM SUPORTE</v>
      </c>
      <c r="S765" s="5"/>
      <c r="T765" s="5"/>
      <c r="U765" s="5"/>
      <c r="V765" s="9" t="str">
        <f>IFERROR(__xludf.DUMMYFUNCTION("""COMPUTED_VALUE"""),"https://drive.google.com/uc?id=1mCFMNbtFw7e5yJKxM3OMmkkhKguqZ656
")</f>
        <v>https://drive.google.com/uc?id=1mCFMNbtFw7e5yJKxM3OMmkkhKguqZ656
</v>
      </c>
      <c r="W765" s="5" t="str">
        <f>IFERROR(__xludf.DUMMYFUNCTION("""COMPUTED_VALUE"""),"NÃO")</f>
        <v>NÃO</v>
      </c>
      <c r="X765" s="5" t="str">
        <f>IFERROR(__xludf.DUMMYFUNCTION("""COMPUTED_VALUE"""),"NÃO SE APLICA")</f>
        <v>NÃO SE APLICA</v>
      </c>
    </row>
    <row r="766" ht="20.25" hidden="1" customHeight="1">
      <c r="A766" s="5">
        <f>IFERROR(__xludf.DUMMYFUNCTION("""COMPUTED_VALUE"""),6.0)</f>
        <v>6</v>
      </c>
      <c r="B766" s="5" t="str">
        <f>IFERROR(__xludf.DUMMYFUNCTION("""COMPUTED_VALUE"""),"BB131")</f>
        <v>BB131</v>
      </c>
      <c r="C766" s="5" t="str">
        <f>IFERROR(__xludf.DUMMYFUNCTION("""COMPUTED_VALUE"""),"NÃO POSSUI")</f>
        <v>NÃO POSSUI</v>
      </c>
      <c r="D766" s="5" t="str">
        <f>IFERROR(__xludf.DUMMYFUNCTION("""COMPUTED_VALUE"""),"FIXADA EM POSTE")</f>
        <v>FIXADA EM POSTE</v>
      </c>
      <c r="E766" s="5" t="str">
        <f>IFERROR(__xludf.DUMMYFUNCTION("""COMPUTED_VALUE"""),"SEM BAIA")</f>
        <v>SEM BAIA</v>
      </c>
      <c r="F766" s="5" t="str">
        <f>IFERROR(__xludf.DUMMYFUNCTION("""COMPUTED_VALUE"""),"NÃO")</f>
        <v>NÃO</v>
      </c>
      <c r="G766" s="5" t="str">
        <f>IFERROR(__xludf.DUMMYFUNCTION("""COMPUTED_VALUE"""),"NÃO")</f>
        <v>NÃO</v>
      </c>
      <c r="H766" s="5" t="str">
        <f>IFERROR(__xludf.DUMMYFUNCTION("""COMPUTED_VALUE"""),"PAVIMENTADA")</f>
        <v>PAVIMENTADA</v>
      </c>
      <c r="I766" s="6" t="str">
        <f>IFERROR(__xludf.DUMMYFUNCTION("""COMPUTED_VALUE"""),"-9.557687")</f>
        <v>-9.557687</v>
      </c>
      <c r="J766" s="6" t="str">
        <f>IFERROR(__xludf.DUMMYFUNCTION("""COMPUTED_VALUE"""),"-35.738755")</f>
        <v>-35.738755</v>
      </c>
      <c r="K766" s="5" t="str">
        <f>IFERROR(__xludf.DUMMYFUNCTION("""COMPUTED_VALUE"""),"AV. GERALDO BULHÔES")</f>
        <v>AV. GERALDO BULHÔES</v>
      </c>
      <c r="L766" s="5" t="str">
        <f>IFERROR(__xludf.DUMMYFUNCTION("""COMPUTED_VALUE"""),"COLETORA")</f>
        <v>COLETORA</v>
      </c>
      <c r="M766" s="5" t="str">
        <f>IFERROR(__xludf.DUMMYFUNCTION("""COMPUTED_VALUE"""),"BENEDITO BENTES")</f>
        <v>BENEDITO BENTES</v>
      </c>
      <c r="N766" s="5" t="str">
        <f>IFERROR(__xludf.DUMMYFUNCTION("""COMPUTED_VALUE"""),"INTEGRAÇÃO")</f>
        <v>INTEGRAÇÃO</v>
      </c>
      <c r="O766" s="5" t="str">
        <f>IFERROR(__xludf.DUMMYFUNCTION("""COMPUTED_VALUE"""),"PRÓX. A BARRACA DE FRUTAS")</f>
        <v>PRÓX. A BARRACA DE FRUTAS</v>
      </c>
      <c r="P766" s="5" t="str">
        <f>IFERROR(__xludf.DUMMYFUNCTION("""COMPUTED_VALUE"""),"PRIORIDADE BAIXA")</f>
        <v>PRIORIDADE BAIXA</v>
      </c>
      <c r="Q766" s="5"/>
      <c r="R766" s="5" t="str">
        <f>IFERROR(__xludf.DUMMYFUNCTION("""COMPUTED_VALUE"""),"NENHUMA DAS OPÇÕES")</f>
        <v>NENHUMA DAS OPÇÕES</v>
      </c>
      <c r="S766" s="5"/>
      <c r="T766" s="5"/>
      <c r="U766" s="5"/>
      <c r="V766" s="9" t="str">
        <f>IFERROR(__xludf.DUMMYFUNCTION("""COMPUTED_VALUE"""),"https://drive.google.com/uc?id=1m4wN9yYKfeuxosRR1DPpwCVSZ6YsBDH5
")</f>
        <v>https://drive.google.com/uc?id=1m4wN9yYKfeuxosRR1DPpwCVSZ6YsBDH5
</v>
      </c>
      <c r="W766" s="5" t="str">
        <f>IFERROR(__xludf.DUMMYFUNCTION("""COMPUTED_VALUE"""),"NÃO")</f>
        <v>NÃO</v>
      </c>
      <c r="X766" s="5" t="str">
        <f>IFERROR(__xludf.DUMMYFUNCTION("""COMPUTED_VALUE"""),"NÃO SE APLICA")</f>
        <v>NÃO SE APLICA</v>
      </c>
    </row>
    <row r="767" ht="20.25" hidden="1" customHeight="1">
      <c r="A767" s="5">
        <f>IFERROR(__xludf.DUMMYFUNCTION("""COMPUTED_VALUE"""),6.0)</f>
        <v>6</v>
      </c>
      <c r="B767" s="5" t="str">
        <f>IFERROR(__xludf.DUMMYFUNCTION("""COMPUTED_VALUE"""),"BB132")</f>
        <v>BB132</v>
      </c>
      <c r="C767" s="5" t="str">
        <f>IFERROR(__xludf.DUMMYFUNCTION("""COMPUTED_VALUE"""),"NÃO POSSUI")</f>
        <v>NÃO POSSUI</v>
      </c>
      <c r="D767" s="5" t="str">
        <f>IFERROR(__xludf.DUMMYFUNCTION("""COMPUTED_VALUE"""),"FIXADA EM POSTE")</f>
        <v>FIXADA EM POSTE</v>
      </c>
      <c r="E767" s="5" t="str">
        <f>IFERROR(__xludf.DUMMYFUNCTION("""COMPUTED_VALUE"""),"SEM BAIA")</f>
        <v>SEM BAIA</v>
      </c>
      <c r="F767" s="5" t="str">
        <f>IFERROR(__xludf.DUMMYFUNCTION("""COMPUTED_VALUE"""),"NÃO")</f>
        <v>NÃO</v>
      </c>
      <c r="G767" s="5" t="str">
        <f>IFERROR(__xludf.DUMMYFUNCTION("""COMPUTED_VALUE"""),"NÃO")</f>
        <v>NÃO</v>
      </c>
      <c r="H767" s="5" t="str">
        <f>IFERROR(__xludf.DUMMYFUNCTION("""COMPUTED_VALUE"""),"PAVIMENTADA")</f>
        <v>PAVIMENTADA</v>
      </c>
      <c r="I767" s="6" t="str">
        <f>IFERROR(__xludf.DUMMYFUNCTION("""COMPUTED_VALUE"""),"-9.560457")</f>
        <v>-9.560457</v>
      </c>
      <c r="J767" s="6" t="str">
        <f>IFERROR(__xludf.DUMMYFUNCTION("""COMPUTED_VALUE"""),"-35.737528")</f>
        <v>-35.737528</v>
      </c>
      <c r="K767" s="5" t="str">
        <f>IFERROR(__xludf.DUMMYFUNCTION("""COMPUTED_VALUE"""),"RUA VEREADOR JOSÉ RAIMUNDO DA SILVA")</f>
        <v>RUA VEREADOR JOSÉ RAIMUNDO DA SILVA</v>
      </c>
      <c r="L767" s="5" t="str">
        <f>IFERROR(__xludf.DUMMYFUNCTION("""COMPUTED_VALUE"""),"LOCAL")</f>
        <v>LOCAL</v>
      </c>
      <c r="M767" s="5" t="str">
        <f>IFERROR(__xludf.DUMMYFUNCTION("""COMPUTED_VALUE"""),"BENEDITO BENTES")</f>
        <v>BENEDITO BENTES</v>
      </c>
      <c r="N767" s="5" t="str">
        <f>IFERROR(__xludf.DUMMYFUNCTION("""COMPUTED_VALUE"""),"INTEGRAÇÃO")</f>
        <v>INTEGRAÇÃO</v>
      </c>
      <c r="O767" s="5" t="str">
        <f>IFERROR(__xludf.DUMMYFUNCTION("""COMPUTED_VALUE"""),"CON. BOSQUE DAS PALMEIRAS")</f>
        <v>CON. BOSQUE DAS PALMEIRAS</v>
      </c>
      <c r="P767" s="5" t="str">
        <f>IFERROR(__xludf.DUMMYFUNCTION("""COMPUTED_VALUE"""),"PRIORIDADE BAIXA")</f>
        <v>PRIORIDADE BAIXA</v>
      </c>
      <c r="Q767" s="5"/>
      <c r="R767" s="5" t="str">
        <f>IFERROR(__xludf.DUMMYFUNCTION("""COMPUTED_VALUE"""),"NENHUMA DAS OPÇÕES")</f>
        <v>NENHUMA DAS OPÇÕES</v>
      </c>
      <c r="S767" s="5"/>
      <c r="T767" s="5"/>
      <c r="U767" s="5"/>
      <c r="V767" s="9" t="str">
        <f>IFERROR(__xludf.DUMMYFUNCTION("""COMPUTED_VALUE"""),"https://drive.google.com/uc?id=1m2tXF1bfTvyKCWe09qPKZD3G4awaCO9l
")</f>
        <v>https://drive.google.com/uc?id=1m2tXF1bfTvyKCWe09qPKZD3G4awaCO9l
</v>
      </c>
      <c r="W767" s="5" t="str">
        <f>IFERROR(__xludf.DUMMYFUNCTION("""COMPUTED_VALUE"""),"NÃO")</f>
        <v>NÃO</v>
      </c>
      <c r="X767" s="5" t="str">
        <f>IFERROR(__xludf.DUMMYFUNCTION("""COMPUTED_VALUE"""),"NÃO SE APLICA")</f>
        <v>NÃO SE APLICA</v>
      </c>
    </row>
    <row r="768" ht="20.25" hidden="1" customHeight="1">
      <c r="A768" s="5">
        <f>IFERROR(__xludf.DUMMYFUNCTION("""COMPUTED_VALUE"""),6.0)</f>
        <v>6</v>
      </c>
      <c r="B768" s="5" t="str">
        <f>IFERROR(__xludf.DUMMYFUNCTION("""COMPUTED_VALUE"""),"BB133")</f>
        <v>BB133</v>
      </c>
      <c r="C768" s="5" t="str">
        <f>IFERROR(__xludf.DUMMYFUNCTION("""COMPUTED_VALUE"""),"SEM SINALIZAÇÃO")</f>
        <v>SEM SINALIZAÇÃO</v>
      </c>
      <c r="D768" s="5" t="str">
        <f>IFERROR(__xludf.DUMMYFUNCTION("""COMPUTED_VALUE"""),"FIXADA EM POSTE")</f>
        <v>FIXADA EM POSTE</v>
      </c>
      <c r="E768" s="5" t="str">
        <f>IFERROR(__xludf.DUMMYFUNCTION("""COMPUTED_VALUE"""),"SEM BAIA")</f>
        <v>SEM BAIA</v>
      </c>
      <c r="F768" s="5" t="str">
        <f>IFERROR(__xludf.DUMMYFUNCTION("""COMPUTED_VALUE"""),"NÃO")</f>
        <v>NÃO</v>
      </c>
      <c r="G768" s="5" t="str">
        <f>IFERROR(__xludf.DUMMYFUNCTION("""COMPUTED_VALUE"""),"NÃO")</f>
        <v>NÃO</v>
      </c>
      <c r="H768" s="5" t="str">
        <f>IFERROR(__xludf.DUMMYFUNCTION("""COMPUTED_VALUE"""),"PAVIMENTADA")</f>
        <v>PAVIMENTADA</v>
      </c>
      <c r="I768" s="6" t="str">
        <f>IFERROR(__xludf.DUMMYFUNCTION("""COMPUTED_VALUE"""),"-9.559518")</f>
        <v>-9.559518</v>
      </c>
      <c r="J768" s="6" t="str">
        <f>IFERROR(__xludf.DUMMYFUNCTION("""COMPUTED_VALUE"""),"-35.734332")</f>
        <v>-35.734332</v>
      </c>
      <c r="K768" s="5" t="str">
        <f>IFERROR(__xludf.DUMMYFUNCTION("""COMPUTED_VALUE"""),"RUA JOÃO DE PAULO I")</f>
        <v>RUA JOÃO DE PAULO I</v>
      </c>
      <c r="L768" s="5" t="str">
        <f>IFERROR(__xludf.DUMMYFUNCTION("""COMPUTED_VALUE"""),"LOCAL")</f>
        <v>LOCAL</v>
      </c>
      <c r="M768" s="5" t="str">
        <f>IFERROR(__xludf.DUMMYFUNCTION("""COMPUTED_VALUE"""),"BENEDITO BENTES")</f>
        <v>BENEDITO BENTES</v>
      </c>
      <c r="N768" s="5" t="str">
        <f>IFERROR(__xludf.DUMMYFUNCTION("""COMPUTED_VALUE"""),"INTEGRAÇÃO")</f>
        <v>INTEGRAÇÃO</v>
      </c>
      <c r="O768" s="5" t="str">
        <f>IFERROR(__xludf.DUMMYFUNCTION("""COMPUTED_VALUE"""),"LANCHONETE FAMILIAR")</f>
        <v>LANCHONETE FAMILIAR</v>
      </c>
      <c r="P768" s="5" t="str">
        <f>IFERROR(__xludf.DUMMYFUNCTION("""COMPUTED_VALUE"""),"PRIORIDADE BAIXA")</f>
        <v>PRIORIDADE BAIXA</v>
      </c>
      <c r="Q768" s="5"/>
      <c r="R768" s="5" t="str">
        <f>IFERROR(__xludf.DUMMYFUNCTION("""COMPUTED_VALUE"""),"SUBSTITUIR PLACA")</f>
        <v>SUBSTITUIR PLACA</v>
      </c>
      <c r="S768" s="5"/>
      <c r="T768" s="5"/>
      <c r="U768" s="5"/>
      <c r="V768" s="9" t="str">
        <f>IFERROR(__xludf.DUMMYFUNCTION("""COMPUTED_VALUE"""),"https://drive.google.com/uc?id=1m1wAj_r4xmWEx8mU53u-I1rg3Fhspkj7
")</f>
        <v>https://drive.google.com/uc?id=1m1wAj_r4xmWEx8mU53u-I1rg3Fhspkj7
</v>
      </c>
      <c r="W768" s="5" t="str">
        <f>IFERROR(__xludf.DUMMYFUNCTION("""COMPUTED_VALUE"""),"NÃO")</f>
        <v>NÃO</v>
      </c>
      <c r="X768" s="5" t="str">
        <f>IFERROR(__xludf.DUMMYFUNCTION("""COMPUTED_VALUE"""),"NÃO SE APLICA")</f>
        <v>NÃO SE APLICA</v>
      </c>
    </row>
    <row r="769" ht="20.25" hidden="1" customHeight="1">
      <c r="A769" s="5">
        <f>IFERROR(__xludf.DUMMYFUNCTION("""COMPUTED_VALUE"""),6.0)</f>
        <v>6</v>
      </c>
      <c r="B769" s="5" t="str">
        <f>IFERROR(__xludf.DUMMYFUNCTION("""COMPUTED_VALUE"""),"BB134")</f>
        <v>BB134</v>
      </c>
      <c r="C769" s="5" t="str">
        <f>IFERROR(__xludf.DUMMYFUNCTION("""COMPUTED_VALUE"""),"NÃO POSSUI")</f>
        <v>NÃO POSSUI</v>
      </c>
      <c r="D769" s="5" t="str">
        <f>IFERROR(__xludf.DUMMYFUNCTION("""COMPUTED_VALUE"""),"COM SUPORTE")</f>
        <v>COM SUPORTE</v>
      </c>
      <c r="E769" s="5" t="str">
        <f>IFERROR(__xludf.DUMMYFUNCTION("""COMPUTED_VALUE"""),"SEM BAIA")</f>
        <v>SEM BAIA</v>
      </c>
      <c r="F769" s="5" t="str">
        <f>IFERROR(__xludf.DUMMYFUNCTION("""COMPUTED_VALUE"""),"NÃO")</f>
        <v>NÃO</v>
      </c>
      <c r="G769" s="5" t="str">
        <f>IFERROR(__xludf.DUMMYFUNCTION("""COMPUTED_VALUE"""),"NÃO")</f>
        <v>NÃO</v>
      </c>
      <c r="H769" s="5" t="str">
        <f>IFERROR(__xludf.DUMMYFUNCTION("""COMPUTED_VALUE"""),"PAVIMENTADA")</f>
        <v>PAVIMENTADA</v>
      </c>
      <c r="I769" s="6" t="str">
        <f>IFERROR(__xludf.DUMMYFUNCTION("""COMPUTED_VALUE"""),"-9.557362")</f>
        <v>-9.557362</v>
      </c>
      <c r="J769" s="6" t="str">
        <f>IFERROR(__xludf.DUMMYFUNCTION("""COMPUTED_VALUE"""),"-35.734185")</f>
        <v>-35.734185</v>
      </c>
      <c r="K769" s="5" t="str">
        <f>IFERROR(__xludf.DUMMYFUNCTION("""COMPUTED_VALUE"""),"RUA TARCÍSIO DE JESUS")</f>
        <v>RUA TARCÍSIO DE JESUS</v>
      </c>
      <c r="L769" s="5" t="str">
        <f>IFERROR(__xludf.DUMMYFUNCTION("""COMPUTED_VALUE"""),"LOCAL")</f>
        <v>LOCAL</v>
      </c>
      <c r="M769" s="5" t="str">
        <f>IFERROR(__xludf.DUMMYFUNCTION("""COMPUTED_VALUE"""),"BENEDITO BENTES")</f>
        <v>BENEDITO BENTES</v>
      </c>
      <c r="N769" s="5" t="str">
        <f>IFERROR(__xludf.DUMMYFUNCTION("""COMPUTED_VALUE"""),"INTEGRAÇÃO")</f>
        <v>INTEGRAÇÃO</v>
      </c>
      <c r="O769" s="5" t="str">
        <f>IFERROR(__xludf.DUMMYFUNCTION("""COMPUTED_VALUE"""),"CASA N°17A")</f>
        <v>CASA N°17A</v>
      </c>
      <c r="P769" s="5" t="str">
        <f>IFERROR(__xludf.DUMMYFUNCTION("""COMPUTED_VALUE"""),"PRIORIDADE BAIXA")</f>
        <v>PRIORIDADE BAIXA</v>
      </c>
      <c r="Q769" s="5"/>
      <c r="R769" s="5" t="str">
        <f>IFERROR(__xludf.DUMMYFUNCTION("""COMPUTED_VALUE"""),"NENHUMA DAS OPÇÕES")</f>
        <v>NENHUMA DAS OPÇÕES</v>
      </c>
      <c r="S769" s="5"/>
      <c r="T769" s="5"/>
      <c r="U769" s="5"/>
      <c r="V769" s="9" t="str">
        <f>IFERROR(__xludf.DUMMYFUNCTION("""COMPUTED_VALUE"""),"https://drive.google.com/uc?id=1lviPbDO_8W-SrvKr9LruB0313tStYHmt
")</f>
        <v>https://drive.google.com/uc?id=1lviPbDO_8W-SrvKr9LruB0313tStYHmt
</v>
      </c>
      <c r="W769" s="5" t="str">
        <f>IFERROR(__xludf.DUMMYFUNCTION("""COMPUTED_VALUE"""),"NÃO")</f>
        <v>NÃO</v>
      </c>
      <c r="X769" s="5" t="str">
        <f>IFERROR(__xludf.DUMMYFUNCTION("""COMPUTED_VALUE"""),"NÃO SE APLICA")</f>
        <v>NÃO SE APLICA</v>
      </c>
    </row>
    <row r="770" ht="20.25" hidden="1" customHeight="1">
      <c r="A770" s="5">
        <f>IFERROR(__xludf.DUMMYFUNCTION("""COMPUTED_VALUE"""),6.0)</f>
        <v>6</v>
      </c>
      <c r="B770" s="5" t="str">
        <f>IFERROR(__xludf.DUMMYFUNCTION("""COMPUTED_VALUE"""),"BB135")</f>
        <v>BB135</v>
      </c>
      <c r="C770" s="5" t="str">
        <f>IFERROR(__xludf.DUMMYFUNCTION("""COMPUTED_VALUE"""),"SEM SINALIZAÇÃO")</f>
        <v>SEM SINALIZAÇÃO</v>
      </c>
      <c r="D770" s="5" t="str">
        <f>IFERROR(__xludf.DUMMYFUNCTION("""COMPUTED_VALUE"""),"SEM PLACA")</f>
        <v>SEM PLACA</v>
      </c>
      <c r="E770" s="5" t="str">
        <f>IFERROR(__xludf.DUMMYFUNCTION("""COMPUTED_VALUE"""),"SEM BAIA")</f>
        <v>SEM BAIA</v>
      </c>
      <c r="F770" s="5" t="str">
        <f>IFERROR(__xludf.DUMMYFUNCTION("""COMPUTED_VALUE"""),"NÃO")</f>
        <v>NÃO</v>
      </c>
      <c r="G770" s="5" t="str">
        <f>IFERROR(__xludf.DUMMYFUNCTION("""COMPUTED_VALUE"""),"NÃO")</f>
        <v>NÃO</v>
      </c>
      <c r="H770" s="5" t="str">
        <f>IFERROR(__xludf.DUMMYFUNCTION("""COMPUTED_VALUE"""),"PAVIMENTADA")</f>
        <v>PAVIMENTADA</v>
      </c>
      <c r="I770" s="6" t="str">
        <f>IFERROR(__xludf.DUMMYFUNCTION("""COMPUTED_VALUE"""),"-9.559410")</f>
        <v>-9.559410</v>
      </c>
      <c r="J770" s="6" t="str">
        <f>IFERROR(__xludf.DUMMYFUNCTION("""COMPUTED_VALUE"""),"-35.736260")</f>
        <v>-35.736260</v>
      </c>
      <c r="K770" s="5" t="str">
        <f>IFERROR(__xludf.DUMMYFUNCTION("""COMPUTED_VALUE"""),"RUA OTACÍLIO DE JESUS")</f>
        <v>RUA OTACÍLIO DE JESUS</v>
      </c>
      <c r="L770" s="5" t="str">
        <f>IFERROR(__xludf.DUMMYFUNCTION("""COMPUTED_VALUE"""),"LOCAL")</f>
        <v>LOCAL</v>
      </c>
      <c r="M770" s="5" t="str">
        <f>IFERROR(__xludf.DUMMYFUNCTION("""COMPUTED_VALUE"""),"BENEDITO BENTES")</f>
        <v>BENEDITO BENTES</v>
      </c>
      <c r="N770" s="5" t="str">
        <f>IFERROR(__xludf.DUMMYFUNCTION("""COMPUTED_VALUE"""),"INTEGRAÇÃO")</f>
        <v>INTEGRAÇÃO</v>
      </c>
      <c r="O770" s="5" t="str">
        <f>IFERROR(__xludf.DUMMYFUNCTION("""COMPUTED_VALUE"""),"MERC. BOA OPÇÃO")</f>
        <v>MERC. BOA OPÇÃO</v>
      </c>
      <c r="P770" s="5" t="str">
        <f>IFERROR(__xludf.DUMMYFUNCTION("""COMPUTED_VALUE"""),"PRIORIDADE BAIXA")</f>
        <v>PRIORIDADE BAIXA</v>
      </c>
      <c r="Q770" s="5"/>
      <c r="R770" s="5" t="str">
        <f>IFERROR(__xludf.DUMMYFUNCTION("""COMPUTED_VALUE"""),"NENHUMA DAS OPÇÕES")</f>
        <v>NENHUMA DAS OPÇÕES</v>
      </c>
      <c r="S770" s="5"/>
      <c r="T770" s="5"/>
      <c r="U770" s="5"/>
      <c r="V770" s="9" t="str">
        <f>IFERROR(__xludf.DUMMYFUNCTION("""COMPUTED_VALUE"""),"https://drive.google.com/uc?id=1lodSkeUD2I9nBTk9rBAefxb6wvwNAYr-
")</f>
        <v>https://drive.google.com/uc?id=1lodSkeUD2I9nBTk9rBAefxb6wvwNAYr-
</v>
      </c>
      <c r="W770" s="5" t="str">
        <f>IFERROR(__xludf.DUMMYFUNCTION("""COMPUTED_VALUE"""),"NÃO")</f>
        <v>NÃO</v>
      </c>
      <c r="X770" s="5" t="str">
        <f>IFERROR(__xludf.DUMMYFUNCTION("""COMPUTED_VALUE"""),"NÃO SE APLICA")</f>
        <v>NÃO SE APLICA</v>
      </c>
    </row>
    <row r="771" ht="20.25" hidden="1" customHeight="1">
      <c r="A771" s="5">
        <f>IFERROR(__xludf.DUMMYFUNCTION("""COMPUTED_VALUE"""),6.0)</f>
        <v>6</v>
      </c>
      <c r="B771" s="5" t="str">
        <f>IFERROR(__xludf.DUMMYFUNCTION("""COMPUTED_VALUE"""),"BB136")</f>
        <v>BB136</v>
      </c>
      <c r="C771" s="5" t="str">
        <f>IFERROR(__xludf.DUMMYFUNCTION("""COMPUTED_VALUE"""),"NÃO POSSUI")</f>
        <v>NÃO POSSUI</v>
      </c>
      <c r="D771" s="5" t="str">
        <f>IFERROR(__xludf.DUMMYFUNCTION("""COMPUTED_VALUE"""),"FIXADA EM POSTE")</f>
        <v>FIXADA EM POSTE</v>
      </c>
      <c r="E771" s="5" t="str">
        <f>IFERROR(__xludf.DUMMYFUNCTION("""COMPUTED_VALUE"""),"SEM BAIA")</f>
        <v>SEM BAIA</v>
      </c>
      <c r="F771" s="5" t="str">
        <f>IFERROR(__xludf.DUMMYFUNCTION("""COMPUTED_VALUE"""),"NÃO")</f>
        <v>NÃO</v>
      </c>
      <c r="G771" s="5" t="str">
        <f>IFERROR(__xludf.DUMMYFUNCTION("""COMPUTED_VALUE"""),"NÃO")</f>
        <v>NÃO</v>
      </c>
      <c r="H771" s="5" t="str">
        <f>IFERROR(__xludf.DUMMYFUNCTION("""COMPUTED_VALUE"""),"PAVIMENTADA")</f>
        <v>PAVIMENTADA</v>
      </c>
      <c r="I771" s="6" t="str">
        <f>IFERROR(__xludf.DUMMYFUNCTION("""COMPUTED_VALUE"""),"-9.562337")</f>
        <v>-9.562337</v>
      </c>
      <c r="J771" s="6" t="str">
        <f>IFERROR(__xludf.DUMMYFUNCTION("""COMPUTED_VALUE"""),"-35.734507")</f>
        <v>-35.734507</v>
      </c>
      <c r="K771" s="5" t="str">
        <f>IFERROR(__xludf.DUMMYFUNCTION("""COMPUTED_VALUE"""),"RUA SÃO CAETANO")</f>
        <v>RUA SÃO CAETANO</v>
      </c>
      <c r="L771" s="5" t="str">
        <f>IFERROR(__xludf.DUMMYFUNCTION("""COMPUTED_VALUE"""),"LOCAL")</f>
        <v>LOCAL</v>
      </c>
      <c r="M771" s="5" t="str">
        <f>IFERROR(__xludf.DUMMYFUNCTION("""COMPUTED_VALUE"""),"BENEDITO BENTES")</f>
        <v>BENEDITO BENTES</v>
      </c>
      <c r="N771" s="5" t="str">
        <f>IFERROR(__xludf.DUMMYFUNCTION("""COMPUTED_VALUE"""),"INTEGRAÇÃO")</f>
        <v>INTEGRAÇÃO</v>
      </c>
      <c r="O771" s="5" t="str">
        <f>IFERROR(__xludf.DUMMYFUNCTION("""COMPUTED_VALUE"""),"CASA N°23")</f>
        <v>CASA N°23</v>
      </c>
      <c r="P771" s="5" t="str">
        <f>IFERROR(__xludf.DUMMYFUNCTION("""COMPUTED_VALUE"""),"PRIORIDADE BAIXA")</f>
        <v>PRIORIDADE BAIXA</v>
      </c>
      <c r="Q771" s="5"/>
      <c r="R771" s="5" t="str">
        <f>IFERROR(__xludf.DUMMYFUNCTION("""COMPUTED_VALUE"""),"NENHUMA DAS OPÇÕES")</f>
        <v>NENHUMA DAS OPÇÕES</v>
      </c>
      <c r="S771" s="5"/>
      <c r="T771" s="5"/>
      <c r="U771" s="5"/>
      <c r="V771" s="9" t="str">
        <f>IFERROR(__xludf.DUMMYFUNCTION("""COMPUTED_VALUE"""),"https://drive.google.com/uc?id=1lnl6wLHlkmX91Z8h3Gothbf40wONSZip
")</f>
        <v>https://drive.google.com/uc?id=1lnl6wLHlkmX91Z8h3Gothbf40wONSZip
</v>
      </c>
      <c r="W771" s="5" t="str">
        <f>IFERROR(__xludf.DUMMYFUNCTION("""COMPUTED_VALUE"""),"NÃO")</f>
        <v>NÃO</v>
      </c>
      <c r="X771" s="5" t="str">
        <f>IFERROR(__xludf.DUMMYFUNCTION("""COMPUTED_VALUE"""),"NÃO SE APLICA")</f>
        <v>NÃO SE APLICA</v>
      </c>
    </row>
    <row r="772" ht="20.25" hidden="1" customHeight="1">
      <c r="A772" s="5">
        <f>IFERROR(__xludf.DUMMYFUNCTION("""COMPUTED_VALUE"""),6.0)</f>
        <v>6</v>
      </c>
      <c r="B772" s="5" t="str">
        <f>IFERROR(__xludf.DUMMYFUNCTION("""COMPUTED_VALUE"""),"BB137")</f>
        <v>BB137</v>
      </c>
      <c r="C772" s="5" t="str">
        <f>IFERROR(__xludf.DUMMYFUNCTION("""COMPUTED_VALUE"""),"SEM SINALIZAÇÃO")</f>
        <v>SEM SINALIZAÇÃO</v>
      </c>
      <c r="D772" s="5" t="str">
        <f>IFERROR(__xludf.DUMMYFUNCTION("""COMPUTED_VALUE"""),"SEM PLACA")</f>
        <v>SEM PLACA</v>
      </c>
      <c r="E772" s="5" t="str">
        <f>IFERROR(__xludf.DUMMYFUNCTION("""COMPUTED_VALUE"""),"SEM BAIA")</f>
        <v>SEM BAIA</v>
      </c>
      <c r="F772" s="5" t="str">
        <f>IFERROR(__xludf.DUMMYFUNCTION("""COMPUTED_VALUE"""),"NÃO")</f>
        <v>NÃO</v>
      </c>
      <c r="G772" s="5" t="str">
        <f>IFERROR(__xludf.DUMMYFUNCTION("""COMPUTED_VALUE"""),"NÃO")</f>
        <v>NÃO</v>
      </c>
      <c r="H772" s="5" t="str">
        <f>IFERROR(__xludf.DUMMYFUNCTION("""COMPUTED_VALUE"""),"PAVIMENTADA")</f>
        <v>PAVIMENTADA</v>
      </c>
      <c r="I772" s="6" t="str">
        <f>IFERROR(__xludf.DUMMYFUNCTION("""COMPUTED_VALUE"""),"-9.563198")</f>
        <v>-9.563198</v>
      </c>
      <c r="J772" s="6" t="str">
        <f>IFERROR(__xludf.DUMMYFUNCTION("""COMPUTED_VALUE"""),"-35.733072")</f>
        <v>-35.733072</v>
      </c>
      <c r="K772" s="5" t="str">
        <f>IFERROR(__xludf.DUMMYFUNCTION("""COMPUTED_VALUE"""),"RUA SÃO FRANCISCO ")</f>
        <v>RUA SÃO FRANCISCO </v>
      </c>
      <c r="L772" s="5" t="str">
        <f>IFERROR(__xludf.DUMMYFUNCTION("""COMPUTED_VALUE"""),"LOCAL")</f>
        <v>LOCAL</v>
      </c>
      <c r="M772" s="5" t="str">
        <f>IFERROR(__xludf.DUMMYFUNCTION("""COMPUTED_VALUE"""),"BENEDITO BENTES")</f>
        <v>BENEDITO BENTES</v>
      </c>
      <c r="N772" s="5" t="str">
        <f>IFERROR(__xludf.DUMMYFUNCTION("""COMPUTED_VALUE"""),"INTEGRAÇÃO")</f>
        <v>INTEGRAÇÃO</v>
      </c>
      <c r="O772" s="5" t="str">
        <f>IFERROR(__xludf.DUMMYFUNCTION("""COMPUTED_VALUE"""),"CASA N°231")</f>
        <v>CASA N°231</v>
      </c>
      <c r="P772" s="5" t="str">
        <f>IFERROR(__xludf.DUMMYFUNCTION("""COMPUTED_VALUE"""),"PRIORIDADE BAIXA")</f>
        <v>PRIORIDADE BAIXA</v>
      </c>
      <c r="Q772" s="5"/>
      <c r="R772" s="5" t="str">
        <f>IFERROR(__xludf.DUMMYFUNCTION("""COMPUTED_VALUE"""),"NENHUMA DAS OPÇÕES")</f>
        <v>NENHUMA DAS OPÇÕES</v>
      </c>
      <c r="S772" s="5"/>
      <c r="T772" s="5"/>
      <c r="U772" s="5"/>
      <c r="V772" s="9" t="str">
        <f>IFERROR(__xludf.DUMMYFUNCTION("""COMPUTED_VALUE"""),"https://drive.google.com/uc?id=1lkKffJheRLaP1MGKUZgEUnJ7830_B_oE
")</f>
        <v>https://drive.google.com/uc?id=1lkKffJheRLaP1MGKUZgEUnJ7830_B_oE
</v>
      </c>
      <c r="W772" s="5" t="str">
        <f>IFERROR(__xludf.DUMMYFUNCTION("""COMPUTED_VALUE"""),"NÃO")</f>
        <v>NÃO</v>
      </c>
      <c r="X772" s="5" t="str">
        <f>IFERROR(__xludf.DUMMYFUNCTION("""COMPUTED_VALUE"""),"NÃO SE APLICA")</f>
        <v>NÃO SE APLICA</v>
      </c>
    </row>
    <row r="773" ht="20.25" hidden="1" customHeight="1">
      <c r="A773" s="5">
        <f>IFERROR(__xludf.DUMMYFUNCTION("""COMPUTED_VALUE"""),6.0)</f>
        <v>6</v>
      </c>
      <c r="B773" s="5" t="str">
        <f>IFERROR(__xludf.DUMMYFUNCTION("""COMPUTED_VALUE"""),"BB138")</f>
        <v>BB138</v>
      </c>
      <c r="C773" s="5" t="str">
        <f>IFERROR(__xludf.DUMMYFUNCTION("""COMPUTED_VALUE"""),"NÃO POSSUI")</f>
        <v>NÃO POSSUI</v>
      </c>
      <c r="D773" s="5" t="str">
        <f>IFERROR(__xludf.DUMMYFUNCTION("""COMPUTED_VALUE"""),"FIXADA EM POSTE")</f>
        <v>FIXADA EM POSTE</v>
      </c>
      <c r="E773" s="5" t="str">
        <f>IFERROR(__xludf.DUMMYFUNCTION("""COMPUTED_VALUE"""),"SEM BAIA")</f>
        <v>SEM BAIA</v>
      </c>
      <c r="F773" s="5" t="str">
        <f>IFERROR(__xludf.DUMMYFUNCTION("""COMPUTED_VALUE"""),"NÃO")</f>
        <v>NÃO</v>
      </c>
      <c r="G773" s="5" t="str">
        <f>IFERROR(__xludf.DUMMYFUNCTION("""COMPUTED_VALUE"""),"NÃO")</f>
        <v>NÃO</v>
      </c>
      <c r="H773" s="5" t="str">
        <f>IFERROR(__xludf.DUMMYFUNCTION("""COMPUTED_VALUE"""),"PAVIMENTADA")</f>
        <v>PAVIMENTADA</v>
      </c>
      <c r="I773" s="6" t="str">
        <f>IFERROR(__xludf.DUMMYFUNCTION("""COMPUTED_VALUE"""),"-9.562362")</f>
        <v>-9.562362</v>
      </c>
      <c r="J773" s="6" t="str">
        <f>IFERROR(__xludf.DUMMYFUNCTION("""COMPUTED_VALUE"""),"-35.732457")</f>
        <v>-35.732457</v>
      </c>
      <c r="K773" s="5" t="str">
        <f>IFERROR(__xludf.DUMMYFUNCTION("""COMPUTED_VALUE"""),"RUA SÃO FRANCISCO ")</f>
        <v>RUA SÃO FRANCISCO </v>
      </c>
      <c r="L773" s="5" t="str">
        <f>IFERROR(__xludf.DUMMYFUNCTION("""COMPUTED_VALUE"""),"LOCAL")</f>
        <v>LOCAL</v>
      </c>
      <c r="M773" s="5" t="str">
        <f>IFERROR(__xludf.DUMMYFUNCTION("""COMPUTED_VALUE"""),"BENEDITO BENTES")</f>
        <v>BENEDITO BENTES</v>
      </c>
      <c r="N773" s="5" t="str">
        <f>IFERROR(__xludf.DUMMYFUNCTION("""COMPUTED_VALUE"""),"INTEGRAÇÃO")</f>
        <v>INTEGRAÇÃO</v>
      </c>
      <c r="O773" s="5" t="str">
        <f>IFERROR(__xludf.DUMMYFUNCTION("""COMPUTED_VALUE"""),"CASA N°60")</f>
        <v>CASA N°60</v>
      </c>
      <c r="P773" s="5" t="str">
        <f>IFERROR(__xludf.DUMMYFUNCTION("""COMPUTED_VALUE"""),"PRIORIDADE BAIXA")</f>
        <v>PRIORIDADE BAIXA</v>
      </c>
      <c r="Q773" s="5"/>
      <c r="R773" s="5" t="str">
        <f>IFERROR(__xludf.DUMMYFUNCTION("""COMPUTED_VALUE"""),"NENHUMA DAS OPÇÕES")</f>
        <v>NENHUMA DAS OPÇÕES</v>
      </c>
      <c r="S773" s="5"/>
      <c r="T773" s="5"/>
      <c r="U773" s="5"/>
      <c r="V773" s="9" t="str">
        <f>IFERROR(__xludf.DUMMYFUNCTION("""COMPUTED_VALUE"""),"https://drive.google.com/uc?id=1lc7PiI6IVxenIW7ezo915vaITfklzHJP
")</f>
        <v>https://drive.google.com/uc?id=1lc7PiI6IVxenIW7ezo915vaITfklzHJP
</v>
      </c>
      <c r="W773" s="5" t="str">
        <f>IFERROR(__xludf.DUMMYFUNCTION("""COMPUTED_VALUE"""),"NÃO")</f>
        <v>NÃO</v>
      </c>
      <c r="X773" s="5" t="str">
        <f>IFERROR(__xludf.DUMMYFUNCTION("""COMPUTED_VALUE"""),"NÃO SE APLICA")</f>
        <v>NÃO SE APLICA</v>
      </c>
    </row>
    <row r="774" ht="20.25" hidden="1" customHeight="1">
      <c r="A774" s="5">
        <f>IFERROR(__xludf.DUMMYFUNCTION("""COMPUTED_VALUE"""),6.0)</f>
        <v>6</v>
      </c>
      <c r="B774" s="5" t="str">
        <f>IFERROR(__xludf.DUMMYFUNCTION("""COMPUTED_VALUE"""),"BB139")</f>
        <v>BB139</v>
      </c>
      <c r="C774" s="5" t="str">
        <f>IFERROR(__xludf.DUMMYFUNCTION("""COMPUTED_VALUE"""),"NÃO POSSUI")</f>
        <v>NÃO POSSUI</v>
      </c>
      <c r="D774" s="5" t="str">
        <f>IFERROR(__xludf.DUMMYFUNCTION("""COMPUTED_VALUE"""),"FIXADA EM POSTE")</f>
        <v>FIXADA EM POSTE</v>
      </c>
      <c r="E774" s="5" t="str">
        <f>IFERROR(__xludf.DUMMYFUNCTION("""COMPUTED_VALUE"""),"SEM BAIA")</f>
        <v>SEM BAIA</v>
      </c>
      <c r="F774" s="5" t="str">
        <f>IFERROR(__xludf.DUMMYFUNCTION("""COMPUTED_VALUE"""),"NÃO")</f>
        <v>NÃO</v>
      </c>
      <c r="G774" s="5" t="str">
        <f>IFERROR(__xludf.DUMMYFUNCTION("""COMPUTED_VALUE"""),"NÃO")</f>
        <v>NÃO</v>
      </c>
      <c r="H774" s="5" t="str">
        <f>IFERROR(__xludf.DUMMYFUNCTION("""COMPUTED_VALUE"""),"PAVIMENTADA")</f>
        <v>PAVIMENTADA</v>
      </c>
      <c r="I774" s="6" t="str">
        <f>IFERROR(__xludf.DUMMYFUNCTION("""COMPUTED_VALUE"""),"-9.560798")</f>
        <v>-9.560798</v>
      </c>
      <c r="J774" s="6" t="str">
        <f>IFERROR(__xludf.DUMMYFUNCTION("""COMPUTED_VALUE"""),"-35.733470")</f>
        <v>-35.733470</v>
      </c>
      <c r="K774" s="5" t="str">
        <f>IFERROR(__xludf.DUMMYFUNCTION("""COMPUTED_VALUE"""),"RUA SÃO FRANCISCO ")</f>
        <v>RUA SÃO FRANCISCO </v>
      </c>
      <c r="L774" s="5" t="str">
        <f>IFERROR(__xludf.DUMMYFUNCTION("""COMPUTED_VALUE"""),"LOCAL")</f>
        <v>LOCAL</v>
      </c>
      <c r="M774" s="5" t="str">
        <f>IFERROR(__xludf.DUMMYFUNCTION("""COMPUTED_VALUE"""),"BENEDITO BENTES")</f>
        <v>BENEDITO BENTES</v>
      </c>
      <c r="N774" s="5" t="str">
        <f>IFERROR(__xludf.DUMMYFUNCTION("""COMPUTED_VALUE"""),"INTEGRAÇÃO")</f>
        <v>INTEGRAÇÃO</v>
      </c>
      <c r="O774" s="5" t="str">
        <f>IFERROR(__xludf.DUMMYFUNCTION("""COMPUTED_VALUE"""),"ATELIER CELIA MODA")</f>
        <v>ATELIER CELIA MODA</v>
      </c>
      <c r="P774" s="5" t="str">
        <f>IFERROR(__xludf.DUMMYFUNCTION("""COMPUTED_VALUE"""),"PRIORIDADE BAIXA")</f>
        <v>PRIORIDADE BAIXA</v>
      </c>
      <c r="Q774" s="5"/>
      <c r="R774" s="5" t="str">
        <f>IFERROR(__xludf.DUMMYFUNCTION("""COMPUTED_VALUE"""),"NENHUMA DAS OPÇÕES")</f>
        <v>NENHUMA DAS OPÇÕES</v>
      </c>
      <c r="S774" s="5"/>
      <c r="T774" s="5"/>
      <c r="U774" s="5"/>
      <c r="V774" s="9" t="str">
        <f>IFERROR(__xludf.DUMMYFUNCTION("""COMPUTED_VALUE"""),"https://drive.google.com/uc?id=1l_oB9VcMfBlj3yWl6SBpLoo_TYdNswPS
")</f>
        <v>https://drive.google.com/uc?id=1l_oB9VcMfBlj3yWl6SBpLoo_TYdNswPS
</v>
      </c>
      <c r="W774" s="5" t="str">
        <f>IFERROR(__xludf.DUMMYFUNCTION("""COMPUTED_VALUE"""),"NÃO")</f>
        <v>NÃO</v>
      </c>
      <c r="X774" s="5" t="str">
        <f>IFERROR(__xludf.DUMMYFUNCTION("""COMPUTED_VALUE"""),"NÃO SE APLICA")</f>
        <v>NÃO SE APLICA</v>
      </c>
    </row>
    <row r="775" ht="20.25" hidden="1" customHeight="1">
      <c r="A775" s="5">
        <f>IFERROR(__xludf.DUMMYFUNCTION("""COMPUTED_VALUE"""),6.0)</f>
        <v>6</v>
      </c>
      <c r="B775" s="5" t="str">
        <f>IFERROR(__xludf.DUMMYFUNCTION("""COMPUTED_VALUE"""),"BB140")</f>
        <v>BB140</v>
      </c>
      <c r="C775" s="5" t="str">
        <f>IFERROR(__xludf.DUMMYFUNCTION("""COMPUTED_VALUE"""),"NÃO POSSUI")</f>
        <v>NÃO POSSUI</v>
      </c>
      <c r="D775" s="5" t="str">
        <f>IFERROR(__xludf.DUMMYFUNCTION("""COMPUTED_VALUE"""),"FIXADA EM POSTE")</f>
        <v>FIXADA EM POSTE</v>
      </c>
      <c r="E775" s="5" t="str">
        <f>IFERROR(__xludf.DUMMYFUNCTION("""COMPUTED_VALUE"""),"SEM BAIA")</f>
        <v>SEM BAIA</v>
      </c>
      <c r="F775" s="5" t="str">
        <f>IFERROR(__xludf.DUMMYFUNCTION("""COMPUTED_VALUE"""),"NÃO")</f>
        <v>NÃO</v>
      </c>
      <c r="G775" s="5" t="str">
        <f>IFERROR(__xludf.DUMMYFUNCTION("""COMPUTED_VALUE"""),"NÃO")</f>
        <v>NÃO</v>
      </c>
      <c r="H775" s="5" t="str">
        <f>IFERROR(__xludf.DUMMYFUNCTION("""COMPUTED_VALUE"""),"PAVIMENTADA")</f>
        <v>PAVIMENTADA</v>
      </c>
      <c r="I775" s="6" t="str">
        <f>IFERROR(__xludf.DUMMYFUNCTION("""COMPUTED_VALUE"""),"-9.560740")</f>
        <v>-9.560740</v>
      </c>
      <c r="J775" s="6" t="str">
        <f>IFERROR(__xludf.DUMMYFUNCTION("""COMPUTED_VALUE"""),"-35.734652")</f>
        <v>-35.734652</v>
      </c>
      <c r="K775" s="5" t="str">
        <f>IFERROR(__xludf.DUMMYFUNCTION("""COMPUTED_VALUE"""),"RUA SÃO CAETANO")</f>
        <v>RUA SÃO CAETANO</v>
      </c>
      <c r="L775" s="5" t="str">
        <f>IFERROR(__xludf.DUMMYFUNCTION("""COMPUTED_VALUE"""),"LOCAL")</f>
        <v>LOCAL</v>
      </c>
      <c r="M775" s="5" t="str">
        <f>IFERROR(__xludf.DUMMYFUNCTION("""COMPUTED_VALUE"""),"BENEDITO BENTES")</f>
        <v>BENEDITO BENTES</v>
      </c>
      <c r="N775" s="5" t="str">
        <f>IFERROR(__xludf.DUMMYFUNCTION("""COMPUTED_VALUE"""),"INTEGRAÇÃO")</f>
        <v>INTEGRAÇÃO</v>
      </c>
      <c r="O775" s="5" t="str">
        <f>IFERROR(__xludf.DUMMYFUNCTION("""COMPUTED_VALUE"""),"AO LADO DA PRAÇA")</f>
        <v>AO LADO DA PRAÇA</v>
      </c>
      <c r="P775" s="5" t="str">
        <f>IFERROR(__xludf.DUMMYFUNCTION("""COMPUTED_VALUE"""),"PRIORIDADE BAIXA")</f>
        <v>PRIORIDADE BAIXA</v>
      </c>
      <c r="Q775" s="5"/>
      <c r="R775" s="5" t="str">
        <f>IFERROR(__xludf.DUMMYFUNCTION("""COMPUTED_VALUE"""),"NENHUMA DAS OPÇÕES")</f>
        <v>NENHUMA DAS OPÇÕES</v>
      </c>
      <c r="S775" s="5"/>
      <c r="T775" s="5"/>
      <c r="U775" s="5"/>
      <c r="V775" s="9" t="str">
        <f>IFERROR(__xludf.DUMMYFUNCTION("""COMPUTED_VALUE"""),"https://drive.google.com/uc?id=1lXGFb4ZAmL4yrcG9w_o1n4d5XfiSj-xT")</f>
        <v>https://drive.google.com/uc?id=1lXGFb4ZAmL4yrcG9w_o1n4d5XfiSj-xT</v>
      </c>
      <c r="W775" s="5" t="str">
        <f>IFERROR(__xludf.DUMMYFUNCTION("""COMPUTED_VALUE"""),"NÃO")</f>
        <v>NÃO</v>
      </c>
      <c r="X775" s="5" t="str">
        <f>IFERROR(__xludf.DUMMYFUNCTION("""COMPUTED_VALUE"""),"NÃO SE APLICA")</f>
        <v>NÃO SE APLICA</v>
      </c>
    </row>
    <row r="776" ht="20.25" hidden="1" customHeight="1">
      <c r="A776" s="5">
        <f>IFERROR(__xludf.DUMMYFUNCTION("""COMPUTED_VALUE"""),6.0)</f>
        <v>6</v>
      </c>
      <c r="B776" s="5" t="str">
        <f>IFERROR(__xludf.DUMMYFUNCTION("""COMPUTED_VALUE"""),"BB141")</f>
        <v>BB141</v>
      </c>
      <c r="C776" s="5" t="str">
        <f>IFERROR(__xludf.DUMMYFUNCTION("""COMPUTED_VALUE"""),"NÃO POSSUI")</f>
        <v>NÃO POSSUI</v>
      </c>
      <c r="D776" s="5" t="str">
        <f>IFERROR(__xludf.DUMMYFUNCTION("""COMPUTED_VALUE"""),"FIXADA EM POSTE")</f>
        <v>FIXADA EM POSTE</v>
      </c>
      <c r="E776" s="5" t="str">
        <f>IFERROR(__xludf.DUMMYFUNCTION("""COMPUTED_VALUE"""),"SEM BAIA")</f>
        <v>SEM BAIA</v>
      </c>
      <c r="F776" s="5" t="str">
        <f>IFERROR(__xludf.DUMMYFUNCTION("""COMPUTED_VALUE"""),"NÃO")</f>
        <v>NÃO</v>
      </c>
      <c r="G776" s="5" t="str">
        <f>IFERROR(__xludf.DUMMYFUNCTION("""COMPUTED_VALUE"""),"NÃO")</f>
        <v>NÃO</v>
      </c>
      <c r="H776" s="5" t="str">
        <f>IFERROR(__xludf.DUMMYFUNCTION("""COMPUTED_VALUE"""),"PAVIMENTADA")</f>
        <v>PAVIMENTADA</v>
      </c>
      <c r="I776" s="6" t="str">
        <f>IFERROR(__xludf.DUMMYFUNCTION("""COMPUTED_VALUE"""),"-9.560302")</f>
        <v>-9.560302</v>
      </c>
      <c r="J776" s="6" t="str">
        <f>IFERROR(__xludf.DUMMYFUNCTION("""COMPUTED_VALUE"""),"-35.736170")</f>
        <v>-35.736170</v>
      </c>
      <c r="K776" s="5" t="str">
        <f>IFERROR(__xludf.DUMMYFUNCTION("""COMPUTED_VALUE"""),"AV. GERALDO BULHÔES")</f>
        <v>AV. GERALDO BULHÔES</v>
      </c>
      <c r="L776" s="5" t="str">
        <f>IFERROR(__xludf.DUMMYFUNCTION("""COMPUTED_VALUE"""),"COLETORA")</f>
        <v>COLETORA</v>
      </c>
      <c r="M776" s="5" t="str">
        <f>IFERROR(__xludf.DUMMYFUNCTION("""COMPUTED_VALUE"""),"BENEDITO BENTES")</f>
        <v>BENEDITO BENTES</v>
      </c>
      <c r="N776" s="5" t="str">
        <f>IFERROR(__xludf.DUMMYFUNCTION("""COMPUTED_VALUE"""),"INTEGRAÇÃO")</f>
        <v>INTEGRAÇÃO</v>
      </c>
      <c r="O776" s="5" t="str">
        <f>IFERROR(__xludf.DUMMYFUNCTION("""COMPUTED_VALUE"""),"BOMBONIERE ALEGRIA")</f>
        <v>BOMBONIERE ALEGRIA</v>
      </c>
      <c r="P776" s="5" t="str">
        <f>IFERROR(__xludf.DUMMYFUNCTION("""COMPUTED_VALUE"""),"PRIORIDADE BAIXA")</f>
        <v>PRIORIDADE BAIXA</v>
      </c>
      <c r="Q776" s="5"/>
      <c r="R776" s="5" t="str">
        <f>IFERROR(__xludf.DUMMYFUNCTION("""COMPUTED_VALUE"""),"NENHUMA DAS OPÇÕES")</f>
        <v>NENHUMA DAS OPÇÕES</v>
      </c>
      <c r="S776" s="5"/>
      <c r="T776" s="5"/>
      <c r="U776" s="5"/>
      <c r="V776" s="9" t="str">
        <f>IFERROR(__xludf.DUMMYFUNCTION("""COMPUTED_VALUE"""),"https://drive.google.com/uc?id=1lStLsOm32ij1hkpGXtNHjWwAHxcgTmtA
")</f>
        <v>https://drive.google.com/uc?id=1lStLsOm32ij1hkpGXtNHjWwAHxcgTmtA
</v>
      </c>
      <c r="W776" s="5" t="str">
        <f>IFERROR(__xludf.DUMMYFUNCTION("""COMPUTED_VALUE"""),"NÃO")</f>
        <v>NÃO</v>
      </c>
      <c r="X776" s="5" t="str">
        <f>IFERROR(__xludf.DUMMYFUNCTION("""COMPUTED_VALUE"""),"NÃO SE APLICA")</f>
        <v>NÃO SE APLICA</v>
      </c>
    </row>
    <row r="777" ht="20.25" customHeight="1">
      <c r="A777" s="5">
        <f>IFERROR(__xludf.DUMMYFUNCTION("""COMPUTED_VALUE"""),6.0)</f>
        <v>6</v>
      </c>
      <c r="B777" s="5" t="str">
        <f>IFERROR(__xludf.DUMMYFUNCTION("""COMPUTED_VALUE"""),"BB142")</f>
        <v>BB142</v>
      </c>
      <c r="C777" s="5" t="str">
        <f>IFERROR(__xludf.DUMMYFUNCTION("""COMPUTED_VALUE"""),"ABRIGO CONCRETO")</f>
        <v>ABRIGO CONCRETO</v>
      </c>
      <c r="D777" s="5" t="str">
        <f>IFERROR(__xludf.DUMMYFUNCTION("""COMPUTED_VALUE"""),"SEM PLACA")</f>
        <v>SEM PLACA</v>
      </c>
      <c r="E777" s="5" t="str">
        <f>IFERROR(__xludf.DUMMYFUNCTION("""COMPUTED_VALUE"""),"SEM BAIA")</f>
        <v>SEM BAIA</v>
      </c>
      <c r="F777" s="5" t="str">
        <f>IFERROR(__xludf.DUMMYFUNCTION("""COMPUTED_VALUE"""),"NÃO")</f>
        <v>NÃO</v>
      </c>
      <c r="G777" s="5" t="str">
        <f>IFERROR(__xludf.DUMMYFUNCTION("""COMPUTED_VALUE"""),"NÃO")</f>
        <v>NÃO</v>
      </c>
      <c r="H777" s="5" t="str">
        <f>IFERROR(__xludf.DUMMYFUNCTION("""COMPUTED_VALUE"""),"PAVIMENTADA")</f>
        <v>PAVIMENTADA</v>
      </c>
      <c r="I777" s="6" t="str">
        <f>IFERROR(__xludf.DUMMYFUNCTION("""COMPUTED_VALUE"""),"-9.560624")</f>
        <v>-9.560624</v>
      </c>
      <c r="J777" s="6" t="str">
        <f>IFERROR(__xludf.DUMMYFUNCTION("""COMPUTED_VALUE"""),"-35.737765")</f>
        <v>-35.737765</v>
      </c>
      <c r="K777" s="5" t="str">
        <f>IFERROR(__xludf.DUMMYFUNCTION("""COMPUTED_VALUE"""),"RUA BELO HORIZONTE CJ ELISAS S BOMFIM")</f>
        <v>RUA BELO HORIZONTE CJ ELISAS S BOMFIM</v>
      </c>
      <c r="L777" s="5" t="str">
        <f>IFERROR(__xludf.DUMMYFUNCTION("""COMPUTED_VALUE"""),"LOCAL")</f>
        <v>LOCAL</v>
      </c>
      <c r="M777" s="5" t="str">
        <f>IFERROR(__xludf.DUMMYFUNCTION("""COMPUTED_VALUE"""),"BENEDITO BENTES")</f>
        <v>BENEDITO BENTES</v>
      </c>
      <c r="N777" s="5" t="str">
        <f>IFERROR(__xludf.DUMMYFUNCTION("""COMPUTED_VALUE"""),"INTEGRAÇÃO")</f>
        <v>INTEGRAÇÃO</v>
      </c>
      <c r="O777" s="5" t="str">
        <f>IFERROR(__xludf.DUMMYFUNCTION("""COMPUTED_VALUE"""),"CON. BOSQUE DAS PALMEIRAS")</f>
        <v>CON. BOSQUE DAS PALMEIRAS</v>
      </c>
      <c r="P777" s="5" t="str">
        <f>IFERROR(__xludf.DUMMYFUNCTION("""COMPUTED_VALUE"""),"PRIORIDADE BAIXA")</f>
        <v>PRIORIDADE BAIXA</v>
      </c>
      <c r="Q777" s="5"/>
      <c r="R777" s="5" t="str">
        <f>IFERROR(__xludf.DUMMYFUNCTION("""COMPUTED_VALUE"""),"NENHUMA DAS OPÇÕES")</f>
        <v>NENHUMA DAS OPÇÕES</v>
      </c>
      <c r="S777" s="5"/>
      <c r="T777" s="5"/>
      <c r="U777" s="5"/>
      <c r="V777" s="9" t="str">
        <f>IFERROR(__xludf.DUMMYFUNCTION("""COMPUTED_VALUE"""),"https://drive.google.com/uc?id=1lCa8Ez4AOTiyvapv3MOo6bBE4RcwvlFa
")</f>
        <v>https://drive.google.com/uc?id=1lCa8Ez4AOTiyvapv3MOo6bBE4RcwvlFa
</v>
      </c>
      <c r="W777" s="5" t="str">
        <f>IFERROR(__xludf.DUMMYFUNCTION("""COMPUTED_VALUE"""),"NÃO")</f>
        <v>NÃO</v>
      </c>
      <c r="X777" s="5" t="str">
        <f>IFERROR(__xludf.DUMMYFUNCTION("""COMPUTED_VALUE"""),"NÃO SE APLICA")</f>
        <v>NÃO SE APLICA</v>
      </c>
    </row>
    <row r="778" ht="20.25" customHeight="1">
      <c r="A778" s="5">
        <f>IFERROR(__xludf.DUMMYFUNCTION("""COMPUTED_VALUE"""),6.0)</f>
        <v>6</v>
      </c>
      <c r="B778" s="5" t="str">
        <f>IFERROR(__xludf.DUMMYFUNCTION("""COMPUTED_VALUE"""),"BB143")</f>
        <v>BB143</v>
      </c>
      <c r="C778" s="5" t="str">
        <f>IFERROR(__xludf.DUMMYFUNCTION("""COMPUTED_VALUE"""),"ABRIGO CONCRETO")</f>
        <v>ABRIGO CONCRETO</v>
      </c>
      <c r="D778" s="5" t="str">
        <f>IFERROR(__xludf.DUMMYFUNCTION("""COMPUTED_VALUE"""),"SEM PLACA")</f>
        <v>SEM PLACA</v>
      </c>
      <c r="E778" s="5" t="str">
        <f>IFERROR(__xludf.DUMMYFUNCTION("""COMPUTED_VALUE"""),"SEM BAIA")</f>
        <v>SEM BAIA</v>
      </c>
      <c r="F778" s="5" t="str">
        <f>IFERROR(__xludf.DUMMYFUNCTION("""COMPUTED_VALUE"""),"NÃO")</f>
        <v>NÃO</v>
      </c>
      <c r="G778" s="5" t="str">
        <f>IFERROR(__xludf.DUMMYFUNCTION("""COMPUTED_VALUE"""),"NÃO")</f>
        <v>NÃO</v>
      </c>
      <c r="H778" s="5" t="str">
        <f>IFERROR(__xludf.DUMMYFUNCTION("""COMPUTED_VALUE"""),"PAVIMENTADA")</f>
        <v>PAVIMENTADA</v>
      </c>
      <c r="I778" s="6" t="str">
        <f>IFERROR(__xludf.DUMMYFUNCTION("""COMPUTED_VALUE"""),"-9.558860")</f>
        <v>-9.558860</v>
      </c>
      <c r="J778" s="6" t="str">
        <f>IFERROR(__xludf.DUMMYFUNCTION("""COMPUTED_VALUE"""),"-35.723503")</f>
        <v>-35.723503</v>
      </c>
      <c r="K778" s="5" t="str">
        <f>IFERROR(__xludf.DUMMYFUNCTION("""COMPUTED_VALUE"""),"AV. MUNDAÚ")</f>
        <v>AV. MUNDAÚ</v>
      </c>
      <c r="L778" s="5" t="str">
        <f>IFERROR(__xludf.DUMMYFUNCTION("""COMPUTED_VALUE"""),"COLETORA")</f>
        <v>COLETORA</v>
      </c>
      <c r="M778" s="5" t="str">
        <f>IFERROR(__xludf.DUMMYFUNCTION("""COMPUTED_VALUE"""),"BENEDITO BENTES")</f>
        <v>BENEDITO BENTES</v>
      </c>
      <c r="N778" s="5" t="str">
        <f>IFERROR(__xludf.DUMMYFUNCTION("""COMPUTED_VALUE"""),"INTEGRAÇÃO")</f>
        <v>INTEGRAÇÃO</v>
      </c>
      <c r="O778" s="5" t="str">
        <f>IFERROR(__xludf.DUMMYFUNCTION("""COMPUTED_VALUE"""),"VIZINHO AO BAR")</f>
        <v>VIZINHO AO BAR</v>
      </c>
      <c r="P778" s="5" t="str">
        <f>IFERROR(__xludf.DUMMYFUNCTION("""COMPUTED_VALUE"""),"PRIORIDADE BAIXA")</f>
        <v>PRIORIDADE BAIXA</v>
      </c>
      <c r="Q778" s="5"/>
      <c r="R778" s="5" t="str">
        <f>IFERROR(__xludf.DUMMYFUNCTION("""COMPUTED_VALUE"""),"RETIRAR ABRIGO")</f>
        <v>RETIRAR ABRIGO</v>
      </c>
      <c r="S778" s="18">
        <f>IFERROR(__xludf.DUMMYFUNCTION("""COMPUTED_VALUE"""),45240.0)</f>
        <v>45240</v>
      </c>
      <c r="T778" s="5" t="str">
        <f>IFERROR(__xludf.DUMMYFUNCTION("""COMPUTED_VALUE"""),"ATIVO")</f>
        <v>ATIVO</v>
      </c>
      <c r="U778" s="5"/>
      <c r="V778" s="9" t="str">
        <f>IFERROR(__xludf.DUMMYFUNCTION("""COMPUTED_VALUE"""),"https://drive.google.com/uc?id=1MyLqnDINPTdWnEZiXMmzHs3DxXJTGokl
")</f>
        <v>https://drive.google.com/uc?id=1MyLqnDINPTdWnEZiXMmzHs3DxXJTGokl
</v>
      </c>
      <c r="W778" s="5" t="str">
        <f>IFERROR(__xludf.DUMMYFUNCTION("""COMPUTED_VALUE"""),"NÃO")</f>
        <v>NÃO</v>
      </c>
      <c r="X778" s="5" t="str">
        <f>IFERROR(__xludf.DUMMYFUNCTION("""COMPUTED_VALUE"""),"NÃO SE APLICA")</f>
        <v>NÃO SE APLICA</v>
      </c>
    </row>
    <row r="779" ht="20.25" hidden="1" customHeight="1">
      <c r="A779" s="5">
        <f>IFERROR(__xludf.DUMMYFUNCTION("""COMPUTED_VALUE"""),6.0)</f>
        <v>6</v>
      </c>
      <c r="B779" s="5" t="str">
        <f>IFERROR(__xludf.DUMMYFUNCTION("""COMPUTED_VALUE"""),"BB144")</f>
        <v>BB144</v>
      </c>
      <c r="C779" s="5" t="str">
        <f>IFERROR(__xludf.DUMMYFUNCTION("""COMPUTED_VALUE"""),"NÃO POSSUI")</f>
        <v>NÃO POSSUI</v>
      </c>
      <c r="D779" s="5" t="str">
        <f>IFERROR(__xludf.DUMMYFUNCTION("""COMPUTED_VALUE"""),"COM SUPORTE")</f>
        <v>COM SUPORTE</v>
      </c>
      <c r="E779" s="5" t="str">
        <f>IFERROR(__xludf.DUMMYFUNCTION("""COMPUTED_VALUE"""),"SEM BAIA")</f>
        <v>SEM BAIA</v>
      </c>
      <c r="F779" s="5" t="str">
        <f>IFERROR(__xludf.DUMMYFUNCTION("""COMPUTED_VALUE"""),"NÃO")</f>
        <v>NÃO</v>
      </c>
      <c r="G779" s="5" t="str">
        <f>IFERROR(__xludf.DUMMYFUNCTION("""COMPUTED_VALUE"""),"NÃO")</f>
        <v>NÃO</v>
      </c>
      <c r="H779" s="5" t="str">
        <f>IFERROR(__xludf.DUMMYFUNCTION("""COMPUTED_VALUE"""),"NÃO PAVIMENTADA")</f>
        <v>NÃO PAVIMENTADA</v>
      </c>
      <c r="I779" s="6" t="str">
        <f>IFERROR(__xludf.DUMMYFUNCTION("""COMPUTED_VALUE"""),"-9.550488")</f>
        <v>-9.550488</v>
      </c>
      <c r="J779" s="6" t="str">
        <f>IFERROR(__xludf.DUMMYFUNCTION("""COMPUTED_VALUE"""),"-35.729633")</f>
        <v>-35.729633</v>
      </c>
      <c r="K779" s="5" t="str">
        <f>IFERROR(__xludf.DUMMYFUNCTION("""COMPUTED_VALUE"""),"RUA B 38 ")</f>
        <v>RUA B 38 </v>
      </c>
      <c r="L779" s="5" t="str">
        <f>IFERROR(__xludf.DUMMYFUNCTION("""COMPUTED_VALUE"""),"LOCAL")</f>
        <v>LOCAL</v>
      </c>
      <c r="M779" s="5" t="str">
        <f>IFERROR(__xludf.DUMMYFUNCTION("""COMPUTED_VALUE"""),"BENEDITO BENTES")</f>
        <v>BENEDITO BENTES</v>
      </c>
      <c r="N779" s="5" t="str">
        <f>IFERROR(__xludf.DUMMYFUNCTION("""COMPUTED_VALUE"""),"INTEGRAÇÃO")</f>
        <v>INTEGRAÇÃO</v>
      </c>
      <c r="O779" s="5" t="str">
        <f>IFERROR(__xludf.DUMMYFUNCTION("""COMPUTED_VALUE"""),"PRÓXIMO AO TERMINAL")</f>
        <v>PRÓXIMO AO TERMINAL</v>
      </c>
      <c r="P779" s="5" t="str">
        <f>IFERROR(__xludf.DUMMYFUNCTION("""COMPUTED_VALUE"""),"PRIORIDADE BAIXA")</f>
        <v>PRIORIDADE BAIXA</v>
      </c>
      <c r="Q779" s="5"/>
      <c r="R779" s="5" t="str">
        <f>IFERROR(__xludf.DUMMYFUNCTION("""COMPUTED_VALUE"""),"NENHUMA DAS OPÇÕES")</f>
        <v>NENHUMA DAS OPÇÕES</v>
      </c>
      <c r="S779" s="5"/>
      <c r="T779" s="5"/>
      <c r="U779" s="5"/>
      <c r="V779" s="9" t="str">
        <f>IFERROR(__xludf.DUMMYFUNCTION("""COMPUTED_VALUE"""),"https://drive.google.com/uc?id=1yuV59rvOc4QE2PJBvFB0N4Xn1XgrKo27
")</f>
        <v>https://drive.google.com/uc?id=1yuV59rvOc4QE2PJBvFB0N4Xn1XgrKo27
</v>
      </c>
      <c r="W779" s="5" t="str">
        <f>IFERROR(__xludf.DUMMYFUNCTION("""COMPUTED_VALUE"""),"NÃO")</f>
        <v>NÃO</v>
      </c>
      <c r="X779" s="5" t="str">
        <f>IFERROR(__xludf.DUMMYFUNCTION("""COMPUTED_VALUE"""),"NÃO SE APLICA")</f>
        <v>NÃO SE APLICA</v>
      </c>
    </row>
    <row r="780" ht="20.25" customHeight="1">
      <c r="A780" s="5">
        <f>IFERROR(__xludf.DUMMYFUNCTION("""COMPUTED_VALUE"""),6.0)</f>
        <v>6</v>
      </c>
      <c r="B780" s="5" t="str">
        <f>IFERROR(__xludf.DUMMYFUNCTION("""COMPUTED_VALUE"""),"BB145")</f>
        <v>BB145</v>
      </c>
      <c r="C780" s="5" t="str">
        <f>IFERROR(__xludf.DUMMYFUNCTION("""COMPUTED_VALUE"""),"ABRIGO CONCRETO")</f>
        <v>ABRIGO CONCRETO</v>
      </c>
      <c r="D780" s="5" t="str">
        <f>IFERROR(__xludf.DUMMYFUNCTION("""COMPUTED_VALUE"""),"SEM PLACA")</f>
        <v>SEM PLACA</v>
      </c>
      <c r="E780" s="5" t="str">
        <f>IFERROR(__xludf.DUMMYFUNCTION("""COMPUTED_VALUE"""),"SEM BAIA")</f>
        <v>SEM BAIA</v>
      </c>
      <c r="F780" s="5" t="str">
        <f>IFERROR(__xludf.DUMMYFUNCTION("""COMPUTED_VALUE"""),"NÃO")</f>
        <v>NÃO</v>
      </c>
      <c r="G780" s="5" t="str">
        <f>IFERROR(__xludf.DUMMYFUNCTION("""COMPUTED_VALUE"""),"NÃO")</f>
        <v>NÃO</v>
      </c>
      <c r="H780" s="5" t="str">
        <f>IFERROR(__xludf.DUMMYFUNCTION("""COMPUTED_VALUE"""),"PAVIMENTADA")</f>
        <v>PAVIMENTADA</v>
      </c>
      <c r="I780" s="6" t="str">
        <f>IFERROR(__xludf.DUMMYFUNCTION("""COMPUTED_VALUE"""),"-9.547366")</f>
        <v>-9.547366</v>
      </c>
      <c r="J780" s="6" t="str">
        <f>IFERROR(__xludf.DUMMYFUNCTION("""COMPUTED_VALUE"""),"-35.729572")</f>
        <v>-35.729572</v>
      </c>
      <c r="K780" s="5" t="str">
        <f>IFERROR(__xludf.DUMMYFUNCTION("""COMPUTED_VALUE"""),"AV. BENEDITO BENTES")</f>
        <v>AV. BENEDITO BENTES</v>
      </c>
      <c r="L780" s="5" t="str">
        <f>IFERROR(__xludf.DUMMYFUNCTION("""COMPUTED_VALUE"""),"COLETORA")</f>
        <v>COLETORA</v>
      </c>
      <c r="M780" s="5" t="str">
        <f>IFERROR(__xludf.DUMMYFUNCTION("""COMPUTED_VALUE"""),"BENEDITO BENTES")</f>
        <v>BENEDITO BENTES</v>
      </c>
      <c r="N780" s="5" t="str">
        <f>IFERROR(__xludf.DUMMYFUNCTION("""COMPUTED_VALUE"""),"INTEGRAÇÃO")</f>
        <v>INTEGRAÇÃO</v>
      </c>
      <c r="O780" s="5" t="str">
        <f>IFERROR(__xludf.DUMMYFUNCTION("""COMPUTED_VALUE"""),"EM FRENTE AO POSTO PETROBRAS")</f>
        <v>EM FRENTE AO POSTO PETROBRAS</v>
      </c>
      <c r="P780" s="5" t="str">
        <f>IFERROR(__xludf.DUMMYFUNCTION("""COMPUTED_VALUE"""),"PRIORIDADE BAIXA")</f>
        <v>PRIORIDADE BAIXA</v>
      </c>
      <c r="Q780" s="5"/>
      <c r="R780" s="5" t="str">
        <f>IFERROR(__xludf.DUMMYFUNCTION("""COMPUTED_VALUE"""),"NENHUMA DAS OPÇÕES")</f>
        <v>NENHUMA DAS OPÇÕES</v>
      </c>
      <c r="S780" s="5"/>
      <c r="T780" s="5"/>
      <c r="U780" s="5"/>
      <c r="V780" s="9" t="str">
        <f>IFERROR(__xludf.DUMMYFUNCTION("""COMPUTED_VALUE"""),"https://drive.google.com/uc?id=12jVftRBf5_Kf3wMcjkLCeKUsCxO3vnnF
")</f>
        <v>https://drive.google.com/uc?id=12jVftRBf5_Kf3wMcjkLCeKUsCxO3vnnF
</v>
      </c>
      <c r="W780" s="5" t="str">
        <f>IFERROR(__xludf.DUMMYFUNCTION("""COMPUTED_VALUE"""),"NÃO")</f>
        <v>NÃO</v>
      </c>
      <c r="X780" s="5" t="str">
        <f>IFERROR(__xludf.DUMMYFUNCTION("""COMPUTED_VALUE"""),"NÃO SE APLICA")</f>
        <v>NÃO SE APLICA</v>
      </c>
    </row>
    <row r="781" ht="20.25" customHeight="1">
      <c r="A781" s="5">
        <f>IFERROR(__xludf.DUMMYFUNCTION("""COMPUTED_VALUE"""),6.0)</f>
        <v>6</v>
      </c>
      <c r="B781" s="5" t="str">
        <f>IFERROR(__xludf.DUMMYFUNCTION("""COMPUTED_VALUE"""),"BB146")</f>
        <v>BB146</v>
      </c>
      <c r="C781" s="5" t="str">
        <f>IFERROR(__xludf.DUMMYFUNCTION("""COMPUTED_VALUE"""),"ABRIGO METÁLICO PEQUENO PORTE")</f>
        <v>ABRIGO METÁLICO PEQUENO PORTE</v>
      </c>
      <c r="D781" s="5" t="str">
        <f>IFERROR(__xludf.DUMMYFUNCTION("""COMPUTED_VALUE"""),"SEM PLACA")</f>
        <v>SEM PLACA</v>
      </c>
      <c r="E781" s="5" t="str">
        <f>IFERROR(__xludf.DUMMYFUNCTION("""COMPUTED_VALUE"""),"SEM BAIA")</f>
        <v>SEM BAIA</v>
      </c>
      <c r="F781" s="5" t="str">
        <f>IFERROR(__xludf.DUMMYFUNCTION("""COMPUTED_VALUE"""),"SIM")</f>
        <v>SIM</v>
      </c>
      <c r="G781" s="5" t="str">
        <f>IFERROR(__xludf.DUMMYFUNCTION("""COMPUTED_VALUE"""),"SIM")</f>
        <v>SIM</v>
      </c>
      <c r="H781" s="5" t="str">
        <f>IFERROR(__xludf.DUMMYFUNCTION("""COMPUTED_VALUE"""),"PAVIMENTADA")</f>
        <v>PAVIMENTADA</v>
      </c>
      <c r="I781" s="6" t="str">
        <f>IFERROR(__xludf.DUMMYFUNCTION("""COMPUTED_VALUE"""),"-9.546658")</f>
        <v>-9.546658</v>
      </c>
      <c r="J781" s="6" t="str">
        <f>IFERROR(__xludf.DUMMYFUNCTION("""COMPUTED_VALUE"""),"-35.729892")</f>
        <v>-35.729892</v>
      </c>
      <c r="K781" s="5" t="str">
        <f>IFERROR(__xludf.DUMMYFUNCTION("""COMPUTED_VALUE"""),"AV. CACHOEIRA  DO MEIRIM")</f>
        <v>AV. CACHOEIRA  DO MEIRIM</v>
      </c>
      <c r="L781" s="5" t="str">
        <f>IFERROR(__xludf.DUMMYFUNCTION("""COMPUTED_VALUE"""),"ARTERIAL ")</f>
        <v>ARTERIAL </v>
      </c>
      <c r="M781" s="5" t="str">
        <f>IFERROR(__xludf.DUMMYFUNCTION("""COMPUTED_VALUE"""),"BENEDITO BENTES")</f>
        <v>BENEDITO BENTES</v>
      </c>
      <c r="N781" s="5" t="str">
        <f>IFERROR(__xludf.DUMMYFUNCTION("""COMPUTED_VALUE"""),"INTEGRAÇÃO")</f>
        <v>INTEGRAÇÃO</v>
      </c>
      <c r="O781" s="5" t="str">
        <f>IFERROR(__xludf.DUMMYFUNCTION("""COMPUTED_VALUE"""),"LADO OPOSTO AO POSTO PETOBRAS")</f>
        <v>LADO OPOSTO AO POSTO PETOBRAS</v>
      </c>
      <c r="P781" s="5" t="str">
        <f>IFERROR(__xludf.DUMMYFUNCTION("""COMPUTED_VALUE"""),"PRIORIDADE BAIXA")</f>
        <v>PRIORIDADE BAIXA</v>
      </c>
      <c r="Q781" s="5"/>
      <c r="R781" s="5" t="str">
        <f>IFERROR(__xludf.DUMMYFUNCTION("""COMPUTED_VALUE"""),"NENHUMA DAS OPÇÕES")</f>
        <v>NENHUMA DAS OPÇÕES</v>
      </c>
      <c r="S781" s="5"/>
      <c r="T781" s="5"/>
      <c r="U781" s="5"/>
      <c r="V781" s="9" t="str">
        <f>IFERROR(__xludf.DUMMYFUNCTION("""COMPUTED_VALUE"""),"https://drive.google.com/uc?id=1DoIsBE36fyZOnNf6fDW_g0JrUFvm8g-r
")</f>
        <v>https://drive.google.com/uc?id=1DoIsBE36fyZOnNf6fDW_g0JrUFvm8g-r
</v>
      </c>
      <c r="W781" s="5" t="str">
        <f>IFERROR(__xludf.DUMMYFUNCTION("""COMPUTED_VALUE"""),"NÃO")</f>
        <v>NÃO</v>
      </c>
      <c r="X781" s="5" t="str">
        <f>IFERROR(__xludf.DUMMYFUNCTION("""COMPUTED_VALUE"""),"NÃO SE APLICA")</f>
        <v>NÃO SE APLICA</v>
      </c>
    </row>
    <row r="782" ht="20.25" hidden="1" customHeight="1">
      <c r="A782" s="5">
        <f>IFERROR(__xludf.DUMMYFUNCTION("""COMPUTED_VALUE"""),6.0)</f>
        <v>6</v>
      </c>
      <c r="B782" s="5" t="str">
        <f>IFERROR(__xludf.DUMMYFUNCTION("""COMPUTED_VALUE"""),"BB147")</f>
        <v>BB147</v>
      </c>
      <c r="C782" s="5" t="str">
        <f>IFERROR(__xludf.DUMMYFUNCTION("""COMPUTED_VALUE"""),"NÃO POSSUI")</f>
        <v>NÃO POSSUI</v>
      </c>
      <c r="D782" s="5" t="str">
        <f>IFERROR(__xludf.DUMMYFUNCTION("""COMPUTED_VALUE"""),"SEM PLACA")</f>
        <v>SEM PLACA</v>
      </c>
      <c r="E782" s="5" t="str">
        <f>IFERROR(__xludf.DUMMYFUNCTION("""COMPUTED_VALUE"""),"SEM BAIA")</f>
        <v>SEM BAIA</v>
      </c>
      <c r="F782" s="5" t="str">
        <f>IFERROR(__xludf.DUMMYFUNCTION("""COMPUTED_VALUE"""),"SIM")</f>
        <v>SIM</v>
      </c>
      <c r="G782" s="5" t="str">
        <f>IFERROR(__xludf.DUMMYFUNCTION("""COMPUTED_VALUE"""),"SIM")</f>
        <v>SIM</v>
      </c>
      <c r="H782" s="5" t="str">
        <f>IFERROR(__xludf.DUMMYFUNCTION("""COMPUTED_VALUE"""),"PAVIMENTADA")</f>
        <v>PAVIMENTADA</v>
      </c>
      <c r="I782" s="6" t="str">
        <f>IFERROR(__xludf.DUMMYFUNCTION("""COMPUTED_VALUE"""),"-9.543451")</f>
        <v>-9.543451</v>
      </c>
      <c r="J782" s="6" t="str">
        <f>IFERROR(__xludf.DUMMYFUNCTION("""COMPUTED_VALUE"""),"-35.730020")</f>
        <v>-35.730020</v>
      </c>
      <c r="K782" s="5" t="str">
        <f>IFERROR(__xludf.DUMMYFUNCTION("""COMPUTED_VALUE"""),"AV. CACHOEIRA  DO MEIRIM")</f>
        <v>AV. CACHOEIRA  DO MEIRIM</v>
      </c>
      <c r="L782" s="5" t="str">
        <f>IFERROR(__xludf.DUMMYFUNCTION("""COMPUTED_VALUE"""),"ARTERIAL ")</f>
        <v>ARTERIAL </v>
      </c>
      <c r="M782" s="5" t="str">
        <f>IFERROR(__xludf.DUMMYFUNCTION("""COMPUTED_VALUE"""),"BENEDITO BENTES")</f>
        <v>BENEDITO BENTES</v>
      </c>
      <c r="N782" s="5" t="str">
        <f>IFERROR(__xludf.DUMMYFUNCTION("""COMPUTED_VALUE"""),"INTEGRAÇÃO")</f>
        <v>INTEGRAÇÃO</v>
      </c>
      <c r="O782" s="5" t="str">
        <f>IFERROR(__xludf.DUMMYFUNCTION("""COMPUTED_VALUE"""),"ALTAS HORAS - MOTEL")</f>
        <v>ALTAS HORAS - MOTEL</v>
      </c>
      <c r="P782" s="5" t="str">
        <f>IFERROR(__xludf.DUMMYFUNCTION("""COMPUTED_VALUE"""),"PRIORIDADE MÉDIA")</f>
        <v>PRIORIDADE MÉDIA</v>
      </c>
      <c r="Q782" s="5"/>
      <c r="R782" s="5" t="str">
        <f>IFERROR(__xludf.DUMMYFUNCTION("""COMPUTED_VALUE"""),"IMPLANTAR PLACA COM SUPORTE")</f>
        <v>IMPLANTAR PLACA COM SUPORTE</v>
      </c>
      <c r="S782" s="5"/>
      <c r="T782" s="5"/>
      <c r="U782" s="5"/>
      <c r="V782" s="9" t="str">
        <f>IFERROR(__xludf.DUMMYFUNCTION("""COMPUTED_VALUE"""),"https://drive.google.com/uc?id=1dtJelrenzsp5eJrOLuRKKLy9qBLr3ksq
")</f>
        <v>https://drive.google.com/uc?id=1dtJelrenzsp5eJrOLuRKKLy9qBLr3ksq
</v>
      </c>
      <c r="W782" s="5" t="str">
        <f>IFERROR(__xludf.DUMMYFUNCTION("""COMPUTED_VALUE"""),"NÃO")</f>
        <v>NÃO</v>
      </c>
      <c r="X782" s="5" t="str">
        <f>IFERROR(__xludf.DUMMYFUNCTION("""COMPUTED_VALUE"""),"NÃO SE APLICA")</f>
        <v>NÃO SE APLICA</v>
      </c>
    </row>
    <row r="783" ht="20.25" hidden="1" customHeight="1">
      <c r="A783" s="5">
        <f>IFERROR(__xludf.DUMMYFUNCTION("""COMPUTED_VALUE"""),6.0)</f>
        <v>6</v>
      </c>
      <c r="B783" s="5" t="str">
        <f>IFERROR(__xludf.DUMMYFUNCTION("""COMPUTED_VALUE"""),"BB148")</f>
        <v>BB148</v>
      </c>
      <c r="C783" s="5" t="str">
        <f>IFERROR(__xludf.DUMMYFUNCTION("""COMPUTED_VALUE"""),"NÃO POSSUI")</f>
        <v>NÃO POSSUI</v>
      </c>
      <c r="D783" s="5" t="str">
        <f>IFERROR(__xludf.DUMMYFUNCTION("""COMPUTED_VALUE"""),"SEM PLACA")</f>
        <v>SEM PLACA</v>
      </c>
      <c r="E783" s="5" t="str">
        <f>IFERROR(__xludf.DUMMYFUNCTION("""COMPUTED_VALUE"""),"SEM BAIA")</f>
        <v>SEM BAIA</v>
      </c>
      <c r="F783" s="5" t="str">
        <f>IFERROR(__xludf.DUMMYFUNCTION("""COMPUTED_VALUE"""),"SIM")</f>
        <v>SIM</v>
      </c>
      <c r="G783" s="5" t="str">
        <f>IFERROR(__xludf.DUMMYFUNCTION("""COMPUTED_VALUE"""),"SIM")</f>
        <v>SIM</v>
      </c>
      <c r="H783" s="5" t="str">
        <f>IFERROR(__xludf.DUMMYFUNCTION("""COMPUTED_VALUE"""),"PAVIMENTADA")</f>
        <v>PAVIMENTADA</v>
      </c>
      <c r="I783" s="6" t="str">
        <f>IFERROR(__xludf.DUMMYFUNCTION("""COMPUTED_VALUE"""),"-9.541480")</f>
        <v>-9.541480</v>
      </c>
      <c r="J783" s="6" t="str">
        <f>IFERROR(__xludf.DUMMYFUNCTION("""COMPUTED_VALUE"""),"-35.731097")</f>
        <v>-35.731097</v>
      </c>
      <c r="K783" s="5" t="str">
        <f>IFERROR(__xludf.DUMMYFUNCTION("""COMPUTED_VALUE"""),"AV. CACHOEIRA  DO MEIRIM")</f>
        <v>AV. CACHOEIRA  DO MEIRIM</v>
      </c>
      <c r="L783" s="5" t="str">
        <f>IFERROR(__xludf.DUMMYFUNCTION("""COMPUTED_VALUE"""),"ARTERIAL ")</f>
        <v>ARTERIAL </v>
      </c>
      <c r="M783" s="5" t="str">
        <f>IFERROR(__xludf.DUMMYFUNCTION("""COMPUTED_VALUE"""),"BENEDITO BENTES")</f>
        <v>BENEDITO BENTES</v>
      </c>
      <c r="N783" s="5" t="str">
        <f>IFERROR(__xludf.DUMMYFUNCTION("""COMPUTED_VALUE"""),"INTEGRAÇÃO")</f>
        <v>INTEGRAÇÃO</v>
      </c>
      <c r="O783" s="5" t="str">
        <f>IFERROR(__xludf.DUMMYFUNCTION("""COMPUTED_VALUE"""),"PRÓXIMO A UNOPAR")</f>
        <v>PRÓXIMO A UNOPAR</v>
      </c>
      <c r="P783" s="5" t="str">
        <f>IFERROR(__xludf.DUMMYFUNCTION("""COMPUTED_VALUE"""),"PRIORIDADE MÉDIA")</f>
        <v>PRIORIDADE MÉDIA</v>
      </c>
      <c r="Q783" s="5"/>
      <c r="R783" s="5" t="str">
        <f>IFERROR(__xludf.DUMMYFUNCTION("""COMPUTED_VALUE"""),"IMPLANTAR PLACA COM SUPORTE")</f>
        <v>IMPLANTAR PLACA COM SUPORTE</v>
      </c>
      <c r="S783" s="5"/>
      <c r="T783" s="5"/>
      <c r="U783" s="5"/>
      <c r="V783" s="9" t="str">
        <f>IFERROR(__xludf.DUMMYFUNCTION("""COMPUTED_VALUE"""),"https://drive.google.com/uc?id=1yQprpDvyVEGs5JRX_aKLpJS8G4iWv2QM
")</f>
        <v>https://drive.google.com/uc?id=1yQprpDvyVEGs5JRX_aKLpJS8G4iWv2QM
</v>
      </c>
      <c r="W783" s="5" t="str">
        <f>IFERROR(__xludf.DUMMYFUNCTION("""COMPUTED_VALUE"""),"NÃO")</f>
        <v>NÃO</v>
      </c>
      <c r="X783" s="5" t="str">
        <f>IFERROR(__xludf.DUMMYFUNCTION("""COMPUTED_VALUE"""),"NÃO SE APLICA")</f>
        <v>NÃO SE APLICA</v>
      </c>
    </row>
    <row r="784" ht="20.25" hidden="1" customHeight="1">
      <c r="A784" s="5">
        <f>IFERROR(__xludf.DUMMYFUNCTION("""COMPUTED_VALUE"""),6.0)</f>
        <v>6</v>
      </c>
      <c r="B784" s="5" t="str">
        <f>IFERROR(__xludf.DUMMYFUNCTION("""COMPUTED_VALUE"""),"BB149")</f>
        <v>BB149</v>
      </c>
      <c r="C784" s="5" t="str">
        <f>IFERROR(__xludf.DUMMYFUNCTION("""COMPUTED_VALUE"""),"NÃO POSSUI")</f>
        <v>NÃO POSSUI</v>
      </c>
      <c r="D784" s="5" t="str">
        <f>IFERROR(__xludf.DUMMYFUNCTION("""COMPUTED_VALUE"""),"COM SUPORTE")</f>
        <v>COM SUPORTE</v>
      </c>
      <c r="E784" s="5" t="str">
        <f>IFERROR(__xludf.DUMMYFUNCTION("""COMPUTED_VALUE"""),"SEM BAIA")</f>
        <v>SEM BAIA</v>
      </c>
      <c r="F784" s="5" t="str">
        <f>IFERROR(__xludf.DUMMYFUNCTION("""COMPUTED_VALUE"""),"SIM")</f>
        <v>SIM</v>
      </c>
      <c r="G784" s="5" t="str">
        <f>IFERROR(__xludf.DUMMYFUNCTION("""COMPUTED_VALUE"""),"NÃO")</f>
        <v>NÃO</v>
      </c>
      <c r="H784" s="5" t="str">
        <f>IFERROR(__xludf.DUMMYFUNCTION("""COMPUTED_VALUE"""),"PAVIMENTADA")</f>
        <v>PAVIMENTADA</v>
      </c>
      <c r="I784" s="6" t="str">
        <f>IFERROR(__xludf.DUMMYFUNCTION("""COMPUTED_VALUE"""),"-9.577828")</f>
        <v>-9.577828</v>
      </c>
      <c r="J784" s="6" t="str">
        <f>IFERROR(__xludf.DUMMYFUNCTION("""COMPUTED_VALUE"""),"-35.702399")</f>
        <v>-35.702399</v>
      </c>
      <c r="K784" s="5" t="str">
        <f>IFERROR(__xludf.DUMMYFUNCTION("""COMPUTED_VALUE"""),"RUA GENILDA DA SILVA PORTO")</f>
        <v>RUA GENILDA DA SILVA PORTO</v>
      </c>
      <c r="L784" s="5" t="str">
        <f>IFERROR(__xludf.DUMMYFUNCTION("""COMPUTED_VALUE"""),"COLETORA")</f>
        <v>COLETORA</v>
      </c>
      <c r="M784" s="5" t="str">
        <f>IFERROR(__xludf.DUMMYFUNCTION("""COMPUTED_VALUE"""),"BENEDITO BENTES")</f>
        <v>BENEDITO BENTES</v>
      </c>
      <c r="N784" s="5" t="str">
        <f>IFERROR(__xludf.DUMMYFUNCTION("""COMPUTED_VALUE"""),"INTEGRAÇÃO")</f>
        <v>INTEGRAÇÃO</v>
      </c>
      <c r="O784" s="5" t="str">
        <f>IFERROR(__xludf.DUMMYFUNCTION("""COMPUTED_VALUE"""),"EM FRENTE A IGREJA QUADRANGULAR")</f>
        <v>EM FRENTE A IGREJA QUADRANGULAR</v>
      </c>
      <c r="P784" s="5" t="str">
        <f>IFERROR(__xludf.DUMMYFUNCTION("""COMPUTED_VALUE"""),"PRIORIDADE BAIXA")</f>
        <v>PRIORIDADE BAIXA</v>
      </c>
      <c r="Q784" s="5"/>
      <c r="R784" s="5" t="str">
        <f>IFERROR(__xludf.DUMMYFUNCTION("""COMPUTED_VALUE"""),"SUBSTITUIR PLACA")</f>
        <v>SUBSTITUIR PLACA</v>
      </c>
      <c r="S784" s="5"/>
      <c r="T784" s="5"/>
      <c r="U784" s="5"/>
      <c r="V784" s="9" t="str">
        <f>IFERROR(__xludf.DUMMYFUNCTION("""COMPUTED_VALUE"""),"https://drive.google.com/uc?id=1lv6JvJJbW1q-bzHLQUNZah7meJqdDGip
")</f>
        <v>https://drive.google.com/uc?id=1lv6JvJJbW1q-bzHLQUNZah7meJqdDGip
</v>
      </c>
      <c r="W784" s="5" t="str">
        <f>IFERROR(__xludf.DUMMYFUNCTION("""COMPUTED_VALUE"""),"NÃO")</f>
        <v>NÃO</v>
      </c>
      <c r="X784" s="5" t="str">
        <f>IFERROR(__xludf.DUMMYFUNCTION("""COMPUTED_VALUE"""),"NÃO SE APLICA")</f>
        <v>NÃO SE APLICA</v>
      </c>
    </row>
    <row r="785" ht="24.0" hidden="1" customHeight="1">
      <c r="A785" s="5">
        <f>IFERROR(__xludf.DUMMYFUNCTION("""COMPUTED_VALUE"""),6.0)</f>
        <v>6</v>
      </c>
      <c r="B785" s="5" t="str">
        <f>IFERROR(__xludf.DUMMYFUNCTION("""COMPUTED_VALUE"""),"BB150")</f>
        <v>BB150</v>
      </c>
      <c r="C785" s="5" t="str">
        <f>IFERROR(__xludf.DUMMYFUNCTION("""COMPUTED_VALUE"""),"NÃO POSSUI")</f>
        <v>NÃO POSSUI</v>
      </c>
      <c r="D785" s="5" t="str">
        <f>IFERROR(__xludf.DUMMYFUNCTION("""COMPUTED_VALUE"""),"COM SUPORTE")</f>
        <v>COM SUPORTE</v>
      </c>
      <c r="E785" s="5" t="str">
        <f>IFERROR(__xludf.DUMMYFUNCTION("""COMPUTED_VALUE"""),"SEM BAIA")</f>
        <v>SEM BAIA</v>
      </c>
      <c r="F785" s="5" t="str">
        <f>IFERROR(__xludf.DUMMYFUNCTION("""COMPUTED_VALUE"""),"NÃO")</f>
        <v>NÃO</v>
      </c>
      <c r="G785" s="5" t="str">
        <f>IFERROR(__xludf.DUMMYFUNCTION("""COMPUTED_VALUE"""),"NÃO")</f>
        <v>NÃO</v>
      </c>
      <c r="H785" s="5" t="str">
        <f>IFERROR(__xludf.DUMMYFUNCTION("""COMPUTED_VALUE"""),"PAVIMENTADA")</f>
        <v>PAVIMENTADA</v>
      </c>
      <c r="I785" s="6" t="str">
        <f>IFERROR(__xludf.DUMMYFUNCTION("""COMPUTED_VALUE"""),"-9.578484")</f>
        <v>-9.578484</v>
      </c>
      <c r="J785" s="6" t="str">
        <f>IFERROR(__xludf.DUMMYFUNCTION("""COMPUTED_VALUE"""),"-35.704028")</f>
        <v>-35.704028</v>
      </c>
      <c r="K785" s="5" t="str">
        <f>IFERROR(__xludf.DUMMYFUNCTION("""COMPUTED_VALUE"""),"RUA GENILDA DA SILVA PORTO")</f>
        <v>RUA GENILDA DA SILVA PORTO</v>
      </c>
      <c r="L785" s="5" t="str">
        <f>IFERROR(__xludf.DUMMYFUNCTION("""COMPUTED_VALUE"""),"COLETORA")</f>
        <v>COLETORA</v>
      </c>
      <c r="M785" s="5" t="str">
        <f>IFERROR(__xludf.DUMMYFUNCTION("""COMPUTED_VALUE"""),"BENEDITO BENTES")</f>
        <v>BENEDITO BENTES</v>
      </c>
      <c r="N785" s="5" t="str">
        <f>IFERROR(__xludf.DUMMYFUNCTION("""COMPUTED_VALUE"""),"INTEGRAÇÃO")</f>
        <v>INTEGRAÇÃO</v>
      </c>
      <c r="O785" s="5" t="str">
        <f>IFERROR(__xludf.DUMMYFUNCTION("""COMPUTED_VALUE"""),"EM FRENTE A XEROX APRÍGIO")</f>
        <v>EM FRENTE A XEROX APRÍGIO</v>
      </c>
      <c r="P785" s="5" t="str">
        <f>IFERROR(__xludf.DUMMYFUNCTION("""COMPUTED_VALUE"""),"PRIORIDADE BAIXA")</f>
        <v>PRIORIDADE BAIXA</v>
      </c>
      <c r="Q785" s="5"/>
      <c r="R785" s="5" t="str">
        <f>IFERROR(__xludf.DUMMYFUNCTION("""COMPUTED_VALUE"""),"SUBSTITUIR PLACA")</f>
        <v>SUBSTITUIR PLACA</v>
      </c>
      <c r="S785" s="5"/>
      <c r="T785" s="5"/>
      <c r="U785" s="5"/>
      <c r="V785" s="9" t="str">
        <f>IFERROR(__xludf.DUMMYFUNCTION("""COMPUTED_VALUE"""),"https://drive.google.com/uc?id=1JDT54yVlIwNH4bql2w8xc90nkV3mRxty
")</f>
        <v>https://drive.google.com/uc?id=1JDT54yVlIwNH4bql2w8xc90nkV3mRxty
</v>
      </c>
      <c r="W785" s="5" t="str">
        <f>IFERROR(__xludf.DUMMYFUNCTION("""COMPUTED_VALUE"""),"NÃO")</f>
        <v>NÃO</v>
      </c>
      <c r="X785" s="5" t="str">
        <f>IFERROR(__xludf.DUMMYFUNCTION("""COMPUTED_VALUE"""),"NÃO SE APLICA")</f>
        <v>NÃO SE APLICA</v>
      </c>
    </row>
    <row r="786" ht="24.0" hidden="1" customHeight="1">
      <c r="A786" s="5">
        <f>IFERROR(__xludf.DUMMYFUNCTION("""COMPUTED_VALUE"""),6.0)</f>
        <v>6</v>
      </c>
      <c r="B786" s="5" t="str">
        <f>IFERROR(__xludf.DUMMYFUNCTION("""COMPUTED_VALUE"""),"BB151")</f>
        <v>BB151</v>
      </c>
      <c r="C786" s="5" t="str">
        <f>IFERROR(__xludf.DUMMYFUNCTION("""COMPUTED_VALUE"""),"NÃO POSSUI")</f>
        <v>NÃO POSSUI</v>
      </c>
      <c r="D786" s="5" t="str">
        <f>IFERROR(__xludf.DUMMYFUNCTION("""COMPUTED_VALUE"""),"COM SUPORTE")</f>
        <v>COM SUPORTE</v>
      </c>
      <c r="E786" s="5" t="str">
        <f>IFERROR(__xludf.DUMMYFUNCTION("""COMPUTED_VALUE"""),"SEM BAIA")</f>
        <v>SEM BAIA</v>
      </c>
      <c r="F786" s="5" t="str">
        <f>IFERROR(__xludf.DUMMYFUNCTION("""COMPUTED_VALUE"""),"NÃO")</f>
        <v>NÃO</v>
      </c>
      <c r="G786" s="5" t="str">
        <f>IFERROR(__xludf.DUMMYFUNCTION("""COMPUTED_VALUE"""),"NÃO")</f>
        <v>NÃO</v>
      </c>
      <c r="H786" s="5" t="str">
        <f>IFERROR(__xludf.DUMMYFUNCTION("""COMPUTED_VALUE"""),"PAVIMENTADA")</f>
        <v>PAVIMENTADA</v>
      </c>
      <c r="I786" s="6" t="str">
        <f>IFERROR(__xludf.DUMMYFUNCTION("""COMPUTED_VALUE"""),"-9.579860")</f>
        <v>-9.579860</v>
      </c>
      <c r="J786" s="6" t="str">
        <f>IFERROR(__xludf.DUMMYFUNCTION("""COMPUTED_VALUE"""),"-35.705275")</f>
        <v>-35.705275</v>
      </c>
      <c r="K786" s="5" t="str">
        <f>IFERROR(__xludf.DUMMYFUNCTION("""COMPUTED_VALUE"""),"RUA GENILDA DA SILVA PORTO")</f>
        <v>RUA GENILDA DA SILVA PORTO</v>
      </c>
      <c r="L786" s="5" t="str">
        <f>IFERROR(__xludf.DUMMYFUNCTION("""COMPUTED_VALUE"""),"COLETORA")</f>
        <v>COLETORA</v>
      </c>
      <c r="M786" s="5" t="str">
        <f>IFERROR(__xludf.DUMMYFUNCTION("""COMPUTED_VALUE"""),"BENEDITO BENTES")</f>
        <v>BENEDITO BENTES</v>
      </c>
      <c r="N786" s="5" t="str">
        <f>IFERROR(__xludf.DUMMYFUNCTION("""COMPUTED_VALUE"""),"INTEGRAÇÃO")</f>
        <v>INTEGRAÇÃO</v>
      </c>
      <c r="O786" s="5" t="str">
        <f>IFERROR(__xludf.DUMMYFUNCTION("""COMPUTED_VALUE"""),"PRÓX. A ULTRALGAZ")</f>
        <v>PRÓX. A ULTRALGAZ</v>
      </c>
      <c r="P786" s="5" t="str">
        <f>IFERROR(__xludf.DUMMYFUNCTION("""COMPUTED_VALUE"""),"PRIORIDADE BAIXA")</f>
        <v>PRIORIDADE BAIXA</v>
      </c>
      <c r="Q786" s="5"/>
      <c r="R786" s="5" t="str">
        <f>IFERROR(__xludf.DUMMYFUNCTION("""COMPUTED_VALUE"""),"SUBSTITUIR PLACA")</f>
        <v>SUBSTITUIR PLACA</v>
      </c>
      <c r="S786" s="5"/>
      <c r="T786" s="5"/>
      <c r="U786" s="5"/>
      <c r="V786" s="9" t="str">
        <f>IFERROR(__xludf.DUMMYFUNCTION("""COMPUTED_VALUE"""),"https://drive.google.com/uc?id=1L8XHYoPs6bp7_iDm3sumAFm4-4oMsqW6
")</f>
        <v>https://drive.google.com/uc?id=1L8XHYoPs6bp7_iDm3sumAFm4-4oMsqW6
</v>
      </c>
      <c r="W786" s="5" t="str">
        <f>IFERROR(__xludf.DUMMYFUNCTION("""COMPUTED_VALUE"""),"NÃO")</f>
        <v>NÃO</v>
      </c>
      <c r="X786" s="5" t="str">
        <f>IFERROR(__xludf.DUMMYFUNCTION("""COMPUTED_VALUE"""),"NÃO SE APLICA")</f>
        <v>NÃO SE APLICA</v>
      </c>
    </row>
    <row r="787" ht="24.0" hidden="1" customHeight="1">
      <c r="A787" s="5">
        <f>IFERROR(__xludf.DUMMYFUNCTION("""COMPUTED_VALUE"""),6.0)</f>
        <v>6</v>
      </c>
      <c r="B787" s="5" t="str">
        <f>IFERROR(__xludf.DUMMYFUNCTION("""COMPUTED_VALUE"""),"BB152")</f>
        <v>BB152</v>
      </c>
      <c r="C787" s="5" t="str">
        <f>IFERROR(__xludf.DUMMYFUNCTION("""COMPUTED_VALUE"""),"NÃO POSSUI")</f>
        <v>NÃO POSSUI</v>
      </c>
      <c r="D787" s="5" t="str">
        <f>IFERROR(__xludf.DUMMYFUNCTION("""COMPUTED_VALUE"""),"SEM PLACA")</f>
        <v>SEM PLACA</v>
      </c>
      <c r="E787" s="5" t="str">
        <f>IFERROR(__xludf.DUMMYFUNCTION("""COMPUTED_VALUE"""),"SEM BAIA")</f>
        <v>SEM BAIA</v>
      </c>
      <c r="F787" s="5" t="str">
        <f>IFERROR(__xludf.DUMMYFUNCTION("""COMPUTED_VALUE"""),"NÃO")</f>
        <v>NÃO</v>
      </c>
      <c r="G787" s="5" t="str">
        <f>IFERROR(__xludf.DUMMYFUNCTION("""COMPUTED_VALUE"""),"NÃO")</f>
        <v>NÃO</v>
      </c>
      <c r="H787" s="5" t="str">
        <f>IFERROR(__xludf.DUMMYFUNCTION("""COMPUTED_VALUE"""),"PAVIMENTADA")</f>
        <v>PAVIMENTADA</v>
      </c>
      <c r="I787" s="6" t="str">
        <f>IFERROR(__xludf.DUMMYFUNCTION("""COMPUTED_VALUE"""),"-9.584701")</f>
        <v>-9.584701</v>
      </c>
      <c r="J787" s="6" t="str">
        <f>IFERROR(__xludf.DUMMYFUNCTION("""COMPUTED_VALUE"""),"-35.704623")</f>
        <v>-35.704623</v>
      </c>
      <c r="K787" s="5" t="str">
        <f>IFERROR(__xludf.DUMMYFUNCTION("""COMPUTED_VALUE"""),"PRÓX A RUA PEDRO CÂNDIDO DA SILVA")</f>
        <v>PRÓX A RUA PEDRO CÂNDIDO DA SILVA</v>
      </c>
      <c r="L787" s="5" t="str">
        <f>IFERROR(__xludf.DUMMYFUNCTION("""COMPUTED_VALUE"""),"LOCAL")</f>
        <v>LOCAL</v>
      </c>
      <c r="M787" s="5" t="str">
        <f>IFERROR(__xludf.DUMMYFUNCTION("""COMPUTED_VALUE"""),"BENEDITO BENTES")</f>
        <v>BENEDITO BENTES</v>
      </c>
      <c r="N787" s="5" t="str">
        <f>IFERROR(__xludf.DUMMYFUNCTION("""COMPUTED_VALUE"""),"INTEGRAÇÃO")</f>
        <v>INTEGRAÇÃO</v>
      </c>
      <c r="O787" s="5" t="str">
        <f>IFERROR(__xludf.DUMMYFUNCTION("""COMPUTED_VALUE"""),"QD. W1-185")</f>
        <v>QD. W1-185</v>
      </c>
      <c r="P787" s="5" t="str">
        <f>IFERROR(__xludf.DUMMYFUNCTION("""COMPUTED_VALUE"""),"PRIORIDADE BAIXA")</f>
        <v>PRIORIDADE BAIXA</v>
      </c>
      <c r="Q787" s="5"/>
      <c r="R787" s="5" t="str">
        <f>IFERROR(__xludf.DUMMYFUNCTION("""COMPUTED_VALUE"""),"IMPLANTAR ABRIGO E PLACA COM SUPORTE")</f>
        <v>IMPLANTAR ABRIGO E PLACA COM SUPORTE</v>
      </c>
      <c r="S787" s="5"/>
      <c r="T787" s="5"/>
      <c r="U787" s="5"/>
      <c r="V787" s="9" t="str">
        <f>IFERROR(__xludf.DUMMYFUNCTION("""COMPUTED_VALUE"""),"https://drive.google.com/uc?id=1YLamPbU_LMtUSP0JsiBbRfqEGUlfk8tr
")</f>
        <v>https://drive.google.com/uc?id=1YLamPbU_LMtUSP0JsiBbRfqEGUlfk8tr
</v>
      </c>
      <c r="W787" s="5" t="str">
        <f>IFERROR(__xludf.DUMMYFUNCTION("""COMPUTED_VALUE"""),"NÃO")</f>
        <v>NÃO</v>
      </c>
      <c r="X787" s="5" t="str">
        <f>IFERROR(__xludf.DUMMYFUNCTION("""COMPUTED_VALUE"""),"NÃO SE APLICA")</f>
        <v>NÃO SE APLICA</v>
      </c>
    </row>
    <row r="788" ht="24.0" hidden="1" customHeight="1">
      <c r="A788" s="5">
        <f>IFERROR(__xludf.DUMMYFUNCTION("""COMPUTED_VALUE"""),6.0)</f>
        <v>6</v>
      </c>
      <c r="B788" s="5" t="str">
        <f>IFERROR(__xludf.DUMMYFUNCTION("""COMPUTED_VALUE"""),"BB153")</f>
        <v>BB153</v>
      </c>
      <c r="C788" s="5" t="str">
        <f>IFERROR(__xludf.DUMMYFUNCTION("""COMPUTED_VALUE"""),"NÃO POSSUI")</f>
        <v>NÃO POSSUI</v>
      </c>
      <c r="D788" s="5" t="str">
        <f>IFERROR(__xludf.DUMMYFUNCTION("""COMPUTED_VALUE"""),"SEM PLACA")</f>
        <v>SEM PLACA</v>
      </c>
      <c r="E788" s="5" t="str">
        <f>IFERROR(__xludf.DUMMYFUNCTION("""COMPUTED_VALUE"""),"SEM BAIA")</f>
        <v>SEM BAIA</v>
      </c>
      <c r="F788" s="5" t="str">
        <f>IFERROR(__xludf.DUMMYFUNCTION("""COMPUTED_VALUE"""),"NÃO")</f>
        <v>NÃO</v>
      </c>
      <c r="G788" s="5" t="str">
        <f>IFERROR(__xludf.DUMMYFUNCTION("""COMPUTED_VALUE"""),"NÃO")</f>
        <v>NÃO</v>
      </c>
      <c r="H788" s="5" t="str">
        <f>IFERROR(__xludf.DUMMYFUNCTION("""COMPUTED_VALUE"""),"PAVIMENTADA")</f>
        <v>PAVIMENTADA</v>
      </c>
      <c r="I788" s="6" t="str">
        <f>IFERROR(__xludf.DUMMYFUNCTION("""COMPUTED_VALUE"""),"-9.579398")</f>
        <v>-9.579398</v>
      </c>
      <c r="J788" s="6" t="str">
        <f>IFERROR(__xludf.DUMMYFUNCTION("""COMPUTED_VALUE"""),"-35.704879")</f>
        <v>-35.704879</v>
      </c>
      <c r="K788" s="5" t="str">
        <f>IFERROR(__xludf.DUMMYFUNCTION("""COMPUTED_VALUE"""),"RUA GENILDA DA SILVA PORTO")</f>
        <v>RUA GENILDA DA SILVA PORTO</v>
      </c>
      <c r="L788" s="5" t="str">
        <f>IFERROR(__xludf.DUMMYFUNCTION("""COMPUTED_VALUE"""),"COLETORA")</f>
        <v>COLETORA</v>
      </c>
      <c r="M788" s="5" t="str">
        <f>IFERROR(__xludf.DUMMYFUNCTION("""COMPUTED_VALUE"""),"BENEDITO BENTES")</f>
        <v>BENEDITO BENTES</v>
      </c>
      <c r="N788" s="5" t="str">
        <f>IFERROR(__xludf.DUMMYFUNCTION("""COMPUTED_VALUE"""),"INTEGRAÇÃO")</f>
        <v>INTEGRAÇÃO</v>
      </c>
      <c r="O788" s="5" t="str">
        <f>IFERROR(__xludf.DUMMYFUNCTION("""COMPUTED_VALUE"""),"EM FRENTE A CASA 389")</f>
        <v>EM FRENTE A CASA 389</v>
      </c>
      <c r="P788" s="5" t="str">
        <f>IFERROR(__xludf.DUMMYFUNCTION("""COMPUTED_VALUE"""),"PRIORIDADE BAIXA")</f>
        <v>PRIORIDADE BAIXA</v>
      </c>
      <c r="Q788" s="5"/>
      <c r="R788" s="5" t="str">
        <f>IFERROR(__xludf.DUMMYFUNCTION("""COMPUTED_VALUE"""),"IMPLANTAR PLACA COM SUPORTE")</f>
        <v>IMPLANTAR PLACA COM SUPORTE</v>
      </c>
      <c r="S788" s="5"/>
      <c r="T788" s="5"/>
      <c r="U788" s="5"/>
      <c r="V788" s="9" t="str">
        <f>IFERROR(__xludf.DUMMYFUNCTION("""COMPUTED_VALUE"""),"https://drive.google.com/uc?id=1uKOQLm2m4uhYNDMldpK0tvGAX95wpyEm
")</f>
        <v>https://drive.google.com/uc?id=1uKOQLm2m4uhYNDMldpK0tvGAX95wpyEm
</v>
      </c>
      <c r="W788" s="5" t="str">
        <f>IFERROR(__xludf.DUMMYFUNCTION("""COMPUTED_VALUE"""),"NÃO")</f>
        <v>NÃO</v>
      </c>
      <c r="X788" s="5" t="str">
        <f>IFERROR(__xludf.DUMMYFUNCTION("""COMPUTED_VALUE"""),"NÃO SE APLICA")</f>
        <v>NÃO SE APLICA</v>
      </c>
    </row>
    <row r="789" ht="24.0" customHeight="1">
      <c r="A789" s="5">
        <f>IFERROR(__xludf.DUMMYFUNCTION("""COMPUTED_VALUE"""),6.0)</f>
        <v>6</v>
      </c>
      <c r="B789" s="5" t="str">
        <f>IFERROR(__xludf.DUMMYFUNCTION("""COMPUTED_VALUE"""),"BB154")</f>
        <v>BB154</v>
      </c>
      <c r="C789" s="5" t="str">
        <f>IFERROR(__xludf.DUMMYFUNCTION("""COMPUTED_VALUE"""),"ABRIGO CONCRETO")</f>
        <v>ABRIGO CONCRETO</v>
      </c>
      <c r="D789" s="5" t="str">
        <f>IFERROR(__xludf.DUMMYFUNCTION("""COMPUTED_VALUE"""),"SEM PLACA")</f>
        <v>SEM PLACA</v>
      </c>
      <c r="E789" s="5" t="str">
        <f>IFERROR(__xludf.DUMMYFUNCTION("""COMPUTED_VALUE"""),"SEM BAIA")</f>
        <v>SEM BAIA</v>
      </c>
      <c r="F789" s="5" t="str">
        <f>IFERROR(__xludf.DUMMYFUNCTION("""COMPUTED_VALUE"""),"NÃO")</f>
        <v>NÃO</v>
      </c>
      <c r="G789" s="5" t="str">
        <f>IFERROR(__xludf.DUMMYFUNCTION("""COMPUTED_VALUE"""),"NÃO")</f>
        <v>NÃO</v>
      </c>
      <c r="H789" s="5" t="str">
        <f>IFERROR(__xludf.DUMMYFUNCTION("""COMPUTED_VALUE"""),"PAVIMENTADA")</f>
        <v>PAVIMENTADA</v>
      </c>
      <c r="I789" s="6" t="str">
        <f>IFERROR(__xludf.DUMMYFUNCTION("""COMPUTED_VALUE"""),"-9.578002")</f>
        <v>-9.578002</v>
      </c>
      <c r="J789" s="6" t="str">
        <f>IFERROR(__xludf.DUMMYFUNCTION("""COMPUTED_VALUE"""),"-35.702307")</f>
        <v>-35.702307</v>
      </c>
      <c r="K789" s="5" t="str">
        <f>IFERROR(__xludf.DUMMYFUNCTION("""COMPUTED_VALUE"""),"RUA GENILDA DA SILVA PORTO")</f>
        <v>RUA GENILDA DA SILVA PORTO</v>
      </c>
      <c r="L789" s="5" t="str">
        <f>IFERROR(__xludf.DUMMYFUNCTION("""COMPUTED_VALUE"""),"COLETORA")</f>
        <v>COLETORA</v>
      </c>
      <c r="M789" s="5" t="str">
        <f>IFERROR(__xludf.DUMMYFUNCTION("""COMPUTED_VALUE"""),"BENEDITO BENTES")</f>
        <v>BENEDITO BENTES</v>
      </c>
      <c r="N789" s="5" t="str">
        <f>IFERROR(__xludf.DUMMYFUNCTION("""COMPUTED_VALUE"""),"INTEGRAÇÃO")</f>
        <v>INTEGRAÇÃO</v>
      </c>
      <c r="O789" s="5" t="str">
        <f>IFERROR(__xludf.DUMMYFUNCTION("""COMPUTED_VALUE"""),"PRÓX A ENTRADA, LADO DO TERRENO ")</f>
        <v>PRÓX A ENTRADA, LADO DO TERRENO </v>
      </c>
      <c r="P789" s="5" t="str">
        <f>IFERROR(__xludf.DUMMYFUNCTION("""COMPUTED_VALUE"""),"PRIORIDADE BAIXA")</f>
        <v>PRIORIDADE BAIXA</v>
      </c>
      <c r="Q789" s="5"/>
      <c r="R789" s="5" t="str">
        <f>IFERROR(__xludf.DUMMYFUNCTION("""COMPUTED_VALUE"""),"SUBSTITUIR ABRIGO")</f>
        <v>SUBSTITUIR ABRIGO</v>
      </c>
      <c r="S789" s="5"/>
      <c r="T789" s="5"/>
      <c r="U789" s="5"/>
      <c r="V789" s="9" t="str">
        <f>IFERROR(__xludf.DUMMYFUNCTION("""COMPUTED_VALUE"""),"https://drive.google.com/file/d/1hFH4ccCxw5m9z8pThGhsQ5Lc-4vauyov/view?usp=sharing")</f>
        <v>https://drive.google.com/file/d/1hFH4ccCxw5m9z8pThGhsQ5Lc-4vauyov/view?usp=sharing</v>
      </c>
      <c r="W789" s="5" t="str">
        <f>IFERROR(__xludf.DUMMYFUNCTION("""COMPUTED_VALUE"""),"NÃO")</f>
        <v>NÃO</v>
      </c>
      <c r="X789" s="5" t="str">
        <f>IFERROR(__xludf.DUMMYFUNCTION("""COMPUTED_VALUE"""),"NÃO SE APLICA")</f>
        <v>NÃO SE APLICA</v>
      </c>
    </row>
    <row r="790" ht="24.0" hidden="1" customHeight="1">
      <c r="A790" s="5">
        <f>IFERROR(__xludf.DUMMYFUNCTION("""COMPUTED_VALUE"""),6.0)</f>
        <v>6</v>
      </c>
      <c r="B790" s="5" t="str">
        <f>IFERROR(__xludf.DUMMYFUNCTION("""COMPUTED_VALUE"""),"BB155")</f>
        <v>BB155</v>
      </c>
      <c r="C790" s="5" t="str">
        <f>IFERROR(__xludf.DUMMYFUNCTION("""COMPUTED_VALUE"""),"NÃO POSSUI")</f>
        <v>NÃO POSSUI</v>
      </c>
      <c r="D790" s="5" t="str">
        <f>IFERROR(__xludf.DUMMYFUNCTION("""COMPUTED_VALUE"""),"FIXADA EM POSTE")</f>
        <v>FIXADA EM POSTE</v>
      </c>
      <c r="E790" s="5" t="str">
        <f>IFERROR(__xludf.DUMMYFUNCTION("""COMPUTED_VALUE"""),"SEM BAIA")</f>
        <v>SEM BAIA</v>
      </c>
      <c r="F790" s="5" t="str">
        <f>IFERROR(__xludf.DUMMYFUNCTION("""COMPUTED_VALUE"""),"NÃO")</f>
        <v>NÃO</v>
      </c>
      <c r="G790" s="5" t="str">
        <f>IFERROR(__xludf.DUMMYFUNCTION("""COMPUTED_VALUE"""),"NÃO")</f>
        <v>NÃO</v>
      </c>
      <c r="H790" s="5" t="str">
        <f>IFERROR(__xludf.DUMMYFUNCTION("""COMPUTED_VALUE"""),"PAVIMENTADA")</f>
        <v>PAVIMENTADA</v>
      </c>
      <c r="I790" s="6" t="str">
        <f>IFERROR(__xludf.DUMMYFUNCTION("""COMPUTED_VALUE"""),"-9.558661")</f>
        <v>-9.558661</v>
      </c>
      <c r="J790" s="6" t="str">
        <f>IFERROR(__xludf.DUMMYFUNCTION("""COMPUTED_VALUE"""),"-35.726068")</f>
        <v>-35.726068</v>
      </c>
      <c r="K790" s="5" t="str">
        <f>IFERROR(__xludf.DUMMYFUNCTION("""COMPUTED_VALUE"""),"AV. BENEDITO BENTES")</f>
        <v>AV. BENEDITO BENTES</v>
      </c>
      <c r="L790" s="5" t="str">
        <f>IFERROR(__xludf.DUMMYFUNCTION("""COMPUTED_VALUE"""),"COLETORA")</f>
        <v>COLETORA</v>
      </c>
      <c r="M790" s="5" t="str">
        <f>IFERROR(__xludf.DUMMYFUNCTION("""COMPUTED_VALUE"""),"BENEDITO BENTES")</f>
        <v>BENEDITO BENTES</v>
      </c>
      <c r="N790" s="5" t="str">
        <f>IFERROR(__xludf.DUMMYFUNCTION("""COMPUTED_VALUE"""),"INTEGRAÇÃO")</f>
        <v>INTEGRAÇÃO</v>
      </c>
      <c r="O790" s="5" t="str">
        <f>IFERROR(__xludf.DUMMYFUNCTION("""COMPUTED_VALUE"""),"EM FRENTE A CASA LOTERICA")</f>
        <v>EM FRENTE A CASA LOTERICA</v>
      </c>
      <c r="P790" s="5" t="str">
        <f>IFERROR(__xludf.DUMMYFUNCTION("""COMPUTED_VALUE"""),"PRIORIDADE BAIXA")</f>
        <v>PRIORIDADE BAIXA</v>
      </c>
      <c r="Q790" s="5"/>
      <c r="R790" s="5" t="str">
        <f>IFERROR(__xludf.DUMMYFUNCTION("""COMPUTED_VALUE"""),"NENHUMA DAS OPÇÕES")</f>
        <v>NENHUMA DAS OPÇÕES</v>
      </c>
      <c r="S790" s="5"/>
      <c r="T790" s="5"/>
      <c r="U790" s="7">
        <f>IFERROR(__xludf.DUMMYFUNCTION("""COMPUTED_VALUE"""),45345.0)</f>
        <v>45345</v>
      </c>
      <c r="V790" s="9" t="str">
        <f>IFERROR(__xludf.DUMMYFUNCTION("""COMPUTED_VALUE"""),"https://drive.google.com/uc?id=1rX4M-DMg9qv94pCLTc29VHsRjDmdeU_W
")</f>
        <v>https://drive.google.com/uc?id=1rX4M-DMg9qv94pCLTc29VHsRjDmdeU_W
</v>
      </c>
      <c r="W790" s="5" t="str">
        <f>IFERROR(__xludf.DUMMYFUNCTION("""COMPUTED_VALUE"""),"NÃO")</f>
        <v>NÃO</v>
      </c>
      <c r="X790" s="5" t="str">
        <f>IFERROR(__xludf.DUMMYFUNCTION("""COMPUTED_VALUE"""),"NÃO SE APLICA")</f>
        <v>NÃO SE APLICA</v>
      </c>
    </row>
    <row r="791" ht="24.0" customHeight="1">
      <c r="A791" s="5">
        <f>IFERROR(__xludf.DUMMYFUNCTION("IMPORTRANGE(""https://docs.google.com/spreadsheets/d/10fxs2z9vz1jmULy_hPFiuZnkh4JvywStH8umOAOqNVY/edit#gid=1945605910"", ""BARRO DURO!A3:X24"")"),5.0)</f>
        <v>5</v>
      </c>
      <c r="B791" s="5" t="str">
        <f>IFERROR(__xludf.DUMMYFUNCTION("""COMPUTED_VALUE"""),"BD001")</f>
        <v>BD001</v>
      </c>
      <c r="C791" s="5" t="str">
        <f>IFERROR(__xludf.DUMMYFUNCTION("""COMPUTED_VALUE"""),"ABRIGO METÁLICO MÉDIO PORTE")</f>
        <v>ABRIGO METÁLICO MÉDIO PORTE</v>
      </c>
      <c r="D791" s="5" t="str">
        <f>IFERROR(__xludf.DUMMYFUNCTION("""COMPUTED_VALUE"""),"SEM PLACA")</f>
        <v>SEM PLACA</v>
      </c>
      <c r="E791" s="5" t="str">
        <f>IFERROR(__xludf.DUMMYFUNCTION("""COMPUTED_VALUE"""),"SEM BAIA")</f>
        <v>SEM BAIA</v>
      </c>
      <c r="F791" s="5" t="str">
        <f>IFERROR(__xludf.DUMMYFUNCTION("""COMPUTED_VALUE"""),"SIM")</f>
        <v>SIM</v>
      </c>
      <c r="G791" s="5" t="str">
        <f>IFERROR(__xludf.DUMMYFUNCTION("""COMPUTED_VALUE"""),"SIM")</f>
        <v>SIM</v>
      </c>
      <c r="H791" s="5" t="str">
        <f>IFERROR(__xludf.DUMMYFUNCTION("""COMPUTED_VALUE"""),"PAVIMENTADA")</f>
        <v>PAVIMENTADA</v>
      </c>
      <c r="I791" s="6" t="str">
        <f>IFERROR(__xludf.DUMMYFUNCTION("""COMPUTED_VALUE"""),"-9.62132")</f>
        <v>-9.62132</v>
      </c>
      <c r="J791" s="6" t="str">
        <f>IFERROR(__xludf.DUMMYFUNCTION("""COMPUTED_VALUE"""),"-35.72616
")</f>
        <v>-35.72616
</v>
      </c>
      <c r="K791" s="5" t="str">
        <f>IFERROR(__xludf.DUMMYFUNCTION("""COMPUTED_VALUE"""),"CRUZAMENTO ENTRE AS RUAS BOA VISTA E RUA SÃO JOÃO")</f>
        <v>CRUZAMENTO ENTRE AS RUAS BOA VISTA E RUA SÃO JOÃO</v>
      </c>
      <c r="L791" s="5" t="str">
        <f>IFERROR(__xludf.DUMMYFUNCTION("""COMPUTED_VALUE"""),"LOCAL")</f>
        <v>LOCAL</v>
      </c>
      <c r="M791" s="5" t="str">
        <f>IFERROR(__xludf.DUMMYFUNCTION("""COMPUTED_VALUE"""),"BARRO DURO")</f>
        <v>BARRO DURO</v>
      </c>
      <c r="N791" s="5" t="str">
        <f>IFERROR(__xludf.DUMMYFUNCTION("""COMPUTED_VALUE"""),"BAIRRO - CENTRO")</f>
        <v>BAIRRO - CENTRO</v>
      </c>
      <c r="O791" s="5" t="str">
        <f>IFERROR(__xludf.DUMMYFUNCTION("""COMPUTED_VALUE"""),"ATRÁS DA UNIDADE DA FAMÍLIA DO NOVO MUNDO")</f>
        <v>ATRÁS DA UNIDADE DA FAMÍLIA DO NOVO MUNDO</v>
      </c>
      <c r="P791" s="5" t="str">
        <f>IFERROR(__xludf.DUMMYFUNCTION("""COMPUTED_VALUE"""),"PRIORIDADE ALTA")</f>
        <v>PRIORIDADE ALTA</v>
      </c>
      <c r="Q791" s="5" t="str">
        <f>IFERROR(__xludf.DUMMYFUNCTION("""COMPUTED_VALUE"""),"NECESSÁRIO LIMPEZA E SUBSTITUIÇÃO DA COBERTA, E REPINTURA DA ESTRUTURA.")</f>
        <v>NECESSÁRIO LIMPEZA E SUBSTITUIÇÃO DA COBERTA, E REPINTURA DA ESTRUTURA.</v>
      </c>
      <c r="R791" s="5" t="str">
        <f>IFERROR(__xludf.DUMMYFUNCTION("""COMPUTED_VALUE"""),"NENHUMA DAS OPÇÕES")</f>
        <v>NENHUMA DAS OPÇÕES</v>
      </c>
      <c r="S791" s="5"/>
      <c r="T791" s="5"/>
      <c r="U791" s="5"/>
      <c r="V791" s="9" t="str">
        <f>IFERROR(__xludf.DUMMYFUNCTION("""COMPUTED_VALUE"""),"https://drive.google.com/uc?id=1C4pWVxL1itiX3oYkjVWS7FNBysh2LtEk")</f>
        <v>https://drive.google.com/uc?id=1C4pWVxL1itiX3oYkjVWS7FNBysh2LtEk</v>
      </c>
      <c r="W791" s="5" t="str">
        <f>IFERROR(__xludf.DUMMYFUNCTION("""COMPUTED_VALUE"""),"NÃO")</f>
        <v>NÃO</v>
      </c>
      <c r="X791" s="5" t="str">
        <f>IFERROR(__xludf.DUMMYFUNCTION("""COMPUTED_VALUE"""),"NÃO")</f>
        <v>NÃO</v>
      </c>
    </row>
    <row r="792" hidden="1">
      <c r="A792" s="5">
        <f>IFERROR(__xludf.DUMMYFUNCTION("""COMPUTED_VALUE"""),5.0)</f>
        <v>5</v>
      </c>
      <c r="B792" s="5" t="str">
        <f>IFERROR(__xludf.DUMMYFUNCTION("""COMPUTED_VALUE"""),"BD002")</f>
        <v>BD002</v>
      </c>
      <c r="C792" s="5" t="str">
        <f>IFERROR(__xludf.DUMMYFUNCTION("""COMPUTED_VALUE"""),"NÃO POSSUI")</f>
        <v>NÃO POSSUI</v>
      </c>
      <c r="D792" s="5" t="str">
        <f>IFERROR(__xludf.DUMMYFUNCTION("""COMPUTED_VALUE"""),"FIXADA EM POSTE")</f>
        <v>FIXADA EM POSTE</v>
      </c>
      <c r="E792" s="5" t="str">
        <f>IFERROR(__xludf.DUMMYFUNCTION("""COMPUTED_VALUE"""),"SEM BAIA")</f>
        <v>SEM BAIA</v>
      </c>
      <c r="F792" s="5" t="str">
        <f>IFERROR(__xludf.DUMMYFUNCTION("""COMPUTED_VALUE"""),"NÃO")</f>
        <v>NÃO</v>
      </c>
      <c r="G792" s="5" t="str">
        <f>IFERROR(__xludf.DUMMYFUNCTION("""COMPUTED_VALUE"""),"NÃO")</f>
        <v>NÃO</v>
      </c>
      <c r="H792" s="5" t="str">
        <f>IFERROR(__xludf.DUMMYFUNCTION("""COMPUTED_VALUE"""),"PAVIMENTADA")</f>
        <v>PAVIMENTADA</v>
      </c>
      <c r="I792" s="6" t="str">
        <f>IFERROR(__xludf.DUMMYFUNCTION("""COMPUTED_VALUE"""),"-9.62015")</f>
        <v>-9.62015</v>
      </c>
      <c r="J792" s="6" t="str">
        <f>IFERROR(__xludf.DUMMYFUNCTION("""COMPUTED_VALUE"""),"-35.72568")</f>
        <v>-35.72568</v>
      </c>
      <c r="K792" s="5" t="str">
        <f>IFERROR(__xludf.DUMMYFUNCTION("""COMPUTED_VALUE"""),"RUA SÃO JOÃO, 40 – NOVO MUNDO")</f>
        <v>RUA SÃO JOÃO, 40 – NOVO MUNDO</v>
      </c>
      <c r="L792" s="5" t="str">
        <f>IFERROR(__xludf.DUMMYFUNCTION("""COMPUTED_VALUE"""),"LOCAL")</f>
        <v>LOCAL</v>
      </c>
      <c r="M792" s="5" t="str">
        <f>IFERROR(__xludf.DUMMYFUNCTION("""COMPUTED_VALUE"""),"BARRO DURO")</f>
        <v>BARRO DURO</v>
      </c>
      <c r="N792" s="5" t="str">
        <f>IFERROR(__xludf.DUMMYFUNCTION("""COMPUTED_VALUE"""),"BAIRRO - CENTRO")</f>
        <v>BAIRRO - CENTRO</v>
      </c>
      <c r="O792" s="5" t="str">
        <f>IFERROR(__xludf.DUMMYFUNCTION("""COMPUTED_VALUE"""),"EM FRENTE AO MERCADINHO MONTE SINAI")</f>
        <v>EM FRENTE AO MERCADINHO MONTE SINAI</v>
      </c>
      <c r="P792" s="5" t="str">
        <f>IFERROR(__xludf.DUMMYFUNCTION("""COMPUTED_VALUE"""),"PRIORIDADE BAIXA")</f>
        <v>PRIORIDADE BAIXA</v>
      </c>
      <c r="Q792" s="5" t="str">
        <f>IFERROR(__xludf.DUMMYFUNCTION("""COMPUTED_VALUE"""),"READEQUAÇÃO DE CALÇADA COM ACESSIBILIDADE E BAIA.")</f>
        <v>READEQUAÇÃO DE CALÇADA COM ACESSIBILIDADE E BAIA.</v>
      </c>
      <c r="R792" s="5" t="str">
        <f>IFERROR(__xludf.DUMMYFUNCTION("""COMPUTED_VALUE"""),"NENHUMA DAS OPÇÕES")</f>
        <v>NENHUMA DAS OPÇÕES</v>
      </c>
      <c r="S792" s="5"/>
      <c r="T792" s="5"/>
      <c r="U792" s="5"/>
      <c r="V792" s="9" t="str">
        <f>IFERROR(__xludf.DUMMYFUNCTION("""COMPUTED_VALUE"""),"https://drive.google.com/uc?id=1aXoNcDvDbsMIEiC5zrHGIo7jVuRoYEfq")</f>
        <v>https://drive.google.com/uc?id=1aXoNcDvDbsMIEiC5zrHGIo7jVuRoYEfq</v>
      </c>
      <c r="W792" s="5" t="str">
        <f>IFERROR(__xludf.DUMMYFUNCTION("""COMPUTED_VALUE"""),"NÃO")</f>
        <v>NÃO</v>
      </c>
      <c r="X792" s="5" t="str">
        <f>IFERROR(__xludf.DUMMYFUNCTION("""COMPUTED_VALUE"""),"NÃO SE APLICA")</f>
        <v>NÃO SE APLICA</v>
      </c>
    </row>
    <row r="793" hidden="1">
      <c r="A793" s="5">
        <f>IFERROR(__xludf.DUMMYFUNCTION("""COMPUTED_VALUE"""),5.0)</f>
        <v>5</v>
      </c>
      <c r="B793" s="5" t="str">
        <f>IFERROR(__xludf.DUMMYFUNCTION("""COMPUTED_VALUE"""),"BD003")</f>
        <v>BD003</v>
      </c>
      <c r="C793" s="5" t="str">
        <f>IFERROR(__xludf.DUMMYFUNCTION("""COMPUTED_VALUE"""),"NÃO POSSUI")</f>
        <v>NÃO POSSUI</v>
      </c>
      <c r="D793" s="5" t="str">
        <f>IFERROR(__xludf.DUMMYFUNCTION("""COMPUTED_VALUE"""),"COM SUPORTE")</f>
        <v>COM SUPORTE</v>
      </c>
      <c r="E793" s="5" t="str">
        <f>IFERROR(__xludf.DUMMYFUNCTION("""COMPUTED_VALUE"""),"SEM BAIA")</f>
        <v>SEM BAIA</v>
      </c>
      <c r="F793" s="5" t="str">
        <f>IFERROR(__xludf.DUMMYFUNCTION("""COMPUTED_VALUE"""),"NÃO")</f>
        <v>NÃO</v>
      </c>
      <c r="G793" s="5" t="str">
        <f>IFERROR(__xludf.DUMMYFUNCTION("""COMPUTED_VALUE"""),"NÃO")</f>
        <v>NÃO</v>
      </c>
      <c r="H793" s="5" t="str">
        <f>IFERROR(__xludf.DUMMYFUNCTION("""COMPUTED_VALUE"""),"PAVIMENTADA")</f>
        <v>PAVIMENTADA</v>
      </c>
      <c r="I793" s="6" t="str">
        <f>IFERROR(__xludf.DUMMYFUNCTION("""COMPUTED_VALUE"""),"-9.61991")</f>
        <v>-9.61991</v>
      </c>
      <c r="J793" s="6" t="str">
        <f>IFERROR(__xludf.DUMMYFUNCTION("""COMPUTED_VALUE"""),"-35.72563")</f>
        <v>-35.72563</v>
      </c>
      <c r="K793" s="5" t="str">
        <f>IFERROR(__xludf.DUMMYFUNCTION("""COMPUTED_VALUE"""),"RUA SÃO JOÃO, S/N – NOVO MUNDO")</f>
        <v>RUA SÃO JOÃO, S/N – NOVO MUNDO</v>
      </c>
      <c r="L793" s="5" t="str">
        <f>IFERROR(__xludf.DUMMYFUNCTION("""COMPUTED_VALUE"""),"LOCAL")</f>
        <v>LOCAL</v>
      </c>
      <c r="M793" s="5" t="str">
        <f>IFERROR(__xludf.DUMMYFUNCTION("""COMPUTED_VALUE"""),"BARRO DURO")</f>
        <v>BARRO DURO</v>
      </c>
      <c r="N793" s="5" t="str">
        <f>IFERROR(__xludf.DUMMYFUNCTION("""COMPUTED_VALUE"""),"CENTRO - BAIRRO")</f>
        <v>CENTRO - BAIRRO</v>
      </c>
      <c r="O793" s="5" t="str">
        <f>IFERROR(__xludf.DUMMYFUNCTION("""COMPUTED_VALUE"""),"AO LADO DO MERCADINHO SANTO ANTÔNIO")</f>
        <v>AO LADO DO MERCADINHO SANTO ANTÔNIO</v>
      </c>
      <c r="P793" s="5" t="str">
        <f>IFERROR(__xludf.DUMMYFUNCTION("""COMPUTED_VALUE"""),"PRIORIDADE BAIXA")</f>
        <v>PRIORIDADE BAIXA</v>
      </c>
      <c r="Q793" s="5" t="str">
        <f>IFERROR(__xludf.DUMMYFUNCTION("""COMPUTED_VALUE"""),"READEQUAÇÃO DE CALÇADA COM ACESSIBILIDADE E BAIA.")</f>
        <v>READEQUAÇÃO DE CALÇADA COM ACESSIBILIDADE E BAIA.</v>
      </c>
      <c r="R793" s="5" t="str">
        <f>IFERROR(__xludf.DUMMYFUNCTION("""COMPUTED_VALUE"""),"NENHUMA DAS OPÇÕES")</f>
        <v>NENHUMA DAS OPÇÕES</v>
      </c>
      <c r="S793" s="5"/>
      <c r="T793" s="5"/>
      <c r="U793" s="5"/>
      <c r="V793" s="9" t="str">
        <f>IFERROR(__xludf.DUMMYFUNCTION("""COMPUTED_VALUE"""),"https://drive.google.com/uc?id=1bmNTHHhU_9eRASklRo628_JncLOivAVh")</f>
        <v>https://drive.google.com/uc?id=1bmNTHHhU_9eRASklRo628_JncLOivAVh</v>
      </c>
      <c r="W793" s="5" t="str">
        <f>IFERROR(__xludf.DUMMYFUNCTION("""COMPUTED_VALUE"""),"NÃO")</f>
        <v>NÃO</v>
      </c>
      <c r="X793" s="5" t="str">
        <f>IFERROR(__xludf.DUMMYFUNCTION("""COMPUTED_VALUE"""),"NÃO SE APLICA")</f>
        <v>NÃO SE APLICA</v>
      </c>
    </row>
    <row r="794" hidden="1">
      <c r="A794" s="5">
        <f>IFERROR(__xludf.DUMMYFUNCTION("""COMPUTED_VALUE"""),5.0)</f>
        <v>5</v>
      </c>
      <c r="B794" s="5" t="str">
        <f>IFERROR(__xludf.DUMMYFUNCTION("""COMPUTED_VALUE"""),"BD004")</f>
        <v>BD004</v>
      </c>
      <c r="C794" s="5" t="str">
        <f>IFERROR(__xludf.DUMMYFUNCTION("""COMPUTED_VALUE"""),"NÃO POSSUI")</f>
        <v>NÃO POSSUI</v>
      </c>
      <c r="D794" s="5" t="str">
        <f>IFERROR(__xludf.DUMMYFUNCTION("""COMPUTED_VALUE"""),"FIXADA EM POSTE")</f>
        <v>FIXADA EM POSTE</v>
      </c>
      <c r="E794" s="5" t="str">
        <f>IFERROR(__xludf.DUMMYFUNCTION("""COMPUTED_VALUE"""),"SEM BAIA")</f>
        <v>SEM BAIA</v>
      </c>
      <c r="F794" s="5" t="str">
        <f>IFERROR(__xludf.DUMMYFUNCTION("""COMPUTED_VALUE"""),"NÃO")</f>
        <v>NÃO</v>
      </c>
      <c r="G794" s="5" t="str">
        <f>IFERROR(__xludf.DUMMYFUNCTION("""COMPUTED_VALUE"""),"NÃO")</f>
        <v>NÃO</v>
      </c>
      <c r="H794" s="5" t="str">
        <f>IFERROR(__xludf.DUMMYFUNCTION("""COMPUTED_VALUE"""),"PAVIMENTADA")</f>
        <v>PAVIMENTADA</v>
      </c>
      <c r="I794" s="6" t="str">
        <f>IFERROR(__xludf.DUMMYFUNCTION("""COMPUTED_VALUE"""),"-9.61871")</f>
        <v>-9.61871</v>
      </c>
      <c r="J794" s="6" t="str">
        <f>IFERROR(__xludf.DUMMYFUNCTION("""COMPUTED_VALUE"""),"-35.72507")</f>
        <v>-35.72507</v>
      </c>
      <c r="K794" s="5" t="str">
        <f>IFERROR(__xludf.DUMMYFUNCTION("""COMPUTED_VALUE"""),"RUA SÃO JOÃO, 165 – NOVO MUNDO")</f>
        <v>RUA SÃO JOÃO, 165 – NOVO MUNDO</v>
      </c>
      <c r="L794" s="5" t="str">
        <f>IFERROR(__xludf.DUMMYFUNCTION("""COMPUTED_VALUE"""),"LOCAL")</f>
        <v>LOCAL</v>
      </c>
      <c r="M794" s="5" t="str">
        <f>IFERROR(__xludf.DUMMYFUNCTION("""COMPUTED_VALUE"""),"BARRO DURO")</f>
        <v>BARRO DURO</v>
      </c>
      <c r="N794" s="5" t="str">
        <f>IFERROR(__xludf.DUMMYFUNCTION("""COMPUTED_VALUE"""),"BAIRRO - CENTRO")</f>
        <v>BAIRRO - CENTRO</v>
      </c>
      <c r="O794" s="5" t="str">
        <f>IFERROR(__xludf.DUMMYFUNCTION("""COMPUTED_VALUE"""),"PRÓXIMO A DONA VERA SALGADOS")</f>
        <v>PRÓXIMO A DONA VERA SALGADOS</v>
      </c>
      <c r="P794" s="5" t="str">
        <f>IFERROR(__xludf.DUMMYFUNCTION("""COMPUTED_VALUE"""),"PRIORIDADE BAIXA")</f>
        <v>PRIORIDADE BAIXA</v>
      </c>
      <c r="Q794" s="5" t="str">
        <f>IFERROR(__xludf.DUMMYFUNCTION("""COMPUTED_VALUE"""),"READEQUAÇÃO DE CALÇADA COM ACESSIBILIDADE E BAIA.")</f>
        <v>READEQUAÇÃO DE CALÇADA COM ACESSIBILIDADE E BAIA.</v>
      </c>
      <c r="R794" s="5" t="str">
        <f>IFERROR(__xludf.DUMMYFUNCTION("""COMPUTED_VALUE"""),"IMPLANTAR ABRIGO")</f>
        <v>IMPLANTAR ABRIGO</v>
      </c>
      <c r="S794" s="5"/>
      <c r="T794" s="5"/>
      <c r="U794" s="5"/>
      <c r="V794" s="9" t="str">
        <f>IFERROR(__xludf.DUMMYFUNCTION("""COMPUTED_VALUE"""),"https://drive.google.com/uc?id=1jf4loSq4Pdy7nWRInqT_SOpXUb3U80PR")</f>
        <v>https://drive.google.com/uc?id=1jf4loSq4Pdy7nWRInqT_SOpXUb3U80PR</v>
      </c>
      <c r="W794" s="5" t="str">
        <f>IFERROR(__xludf.DUMMYFUNCTION("""COMPUTED_VALUE"""),"NÃO")</f>
        <v>NÃO</v>
      </c>
      <c r="X794" s="5" t="str">
        <f>IFERROR(__xludf.DUMMYFUNCTION("""COMPUTED_VALUE"""),"NÃO SE APLICA")</f>
        <v>NÃO SE APLICA</v>
      </c>
    </row>
    <row r="795" hidden="1">
      <c r="A795" s="5">
        <f>IFERROR(__xludf.DUMMYFUNCTION("""COMPUTED_VALUE"""),5.0)</f>
        <v>5</v>
      </c>
      <c r="B795" s="5" t="str">
        <f>IFERROR(__xludf.DUMMYFUNCTION("""COMPUTED_VALUE"""),"BD005")</f>
        <v>BD005</v>
      </c>
      <c r="C795" s="5" t="str">
        <f>IFERROR(__xludf.DUMMYFUNCTION("""COMPUTED_VALUE"""),"NÃO POSSUI")</f>
        <v>NÃO POSSUI</v>
      </c>
      <c r="D795" s="5" t="str">
        <f>IFERROR(__xludf.DUMMYFUNCTION("""COMPUTED_VALUE"""),"COM SUPORTE")</f>
        <v>COM SUPORTE</v>
      </c>
      <c r="E795" s="5" t="str">
        <f>IFERROR(__xludf.DUMMYFUNCTION("""COMPUTED_VALUE"""),"SEM BAIA")</f>
        <v>SEM BAIA</v>
      </c>
      <c r="F795" s="5" t="str">
        <f>IFERROR(__xludf.DUMMYFUNCTION("""COMPUTED_VALUE"""),"NÃO")</f>
        <v>NÃO</v>
      </c>
      <c r="G795" s="5" t="str">
        <f>IFERROR(__xludf.DUMMYFUNCTION("""COMPUTED_VALUE"""),"NÃO")</f>
        <v>NÃO</v>
      </c>
      <c r="H795" s="5" t="str">
        <f>IFERROR(__xludf.DUMMYFUNCTION("""COMPUTED_VALUE"""),"PAVIMENTADA")</f>
        <v>PAVIMENTADA</v>
      </c>
      <c r="I795" s="6" t="str">
        <f>IFERROR(__xludf.DUMMYFUNCTION("""COMPUTED_VALUE"""),"-9.61837")</f>
        <v>-9.61837</v>
      </c>
      <c r="J795" s="6" t="str">
        <f>IFERROR(__xludf.DUMMYFUNCTION("""COMPUTED_VALUE"""),"-35.72503")</f>
        <v>-35.72503</v>
      </c>
      <c r="K795" s="5" t="str">
        <f>IFERROR(__xludf.DUMMYFUNCTION("""COMPUTED_VALUE"""),"EM FRENTE A FARMÁCIA DO NOVO MUNDO")</f>
        <v>EM FRENTE A FARMÁCIA DO NOVO MUNDO</v>
      </c>
      <c r="L795" s="5" t="str">
        <f>IFERROR(__xludf.DUMMYFUNCTION("""COMPUTED_VALUE"""),"LOCAL")</f>
        <v>LOCAL</v>
      </c>
      <c r="M795" s="5" t="str">
        <f>IFERROR(__xludf.DUMMYFUNCTION("""COMPUTED_VALUE"""),"BARRO DURO")</f>
        <v>BARRO DURO</v>
      </c>
      <c r="N795" s="5" t="str">
        <f>IFERROR(__xludf.DUMMYFUNCTION("""COMPUTED_VALUE"""),"CENTRO - BAIRRO")</f>
        <v>CENTRO - BAIRRO</v>
      </c>
      <c r="O795" s="5" t="str">
        <f>IFERROR(__xludf.DUMMYFUNCTION("""COMPUTED_VALUE"""),"EM FRENTE A FARMÁCIA DO NOVO MUNDO")</f>
        <v>EM FRENTE A FARMÁCIA DO NOVO MUNDO</v>
      </c>
      <c r="P795" s="5" t="str">
        <f>IFERROR(__xludf.DUMMYFUNCTION("""COMPUTED_VALUE"""),"PRIORIDADE MÉDIA")</f>
        <v>PRIORIDADE MÉDIA</v>
      </c>
      <c r="Q795" s="5" t="str">
        <f>IFERROR(__xludf.DUMMYFUNCTION("""COMPUTED_VALUE"""),"SEM SINALIZAÇÃO VERTICAL – NECESSÁRIO IMPLANTAÇÃO DE PLACA EM SUPORTE DE MADEIRA.")</f>
        <v>SEM SINALIZAÇÃO VERTICAL – NECESSÁRIO IMPLANTAÇÃO DE PLACA EM SUPORTE DE MADEIRA.</v>
      </c>
      <c r="R795" s="5" t="str">
        <f>IFERROR(__xludf.DUMMYFUNCTION("""COMPUTED_VALUE"""),"NENHUMA DAS OPÇÕES")</f>
        <v>NENHUMA DAS OPÇÕES</v>
      </c>
      <c r="S795" s="7">
        <f>IFERROR(__xludf.DUMMYFUNCTION("""COMPUTED_VALUE"""),44881.0)</f>
        <v>44881</v>
      </c>
      <c r="T795" s="5" t="str">
        <f>IFERROR(__xludf.DUMMYFUNCTION("""COMPUTED_VALUE"""),"REALIZADO")</f>
        <v>REALIZADO</v>
      </c>
      <c r="U795" s="7">
        <f>IFERROR(__xludf.DUMMYFUNCTION("""COMPUTED_VALUE"""),44886.0)</f>
        <v>44886</v>
      </c>
      <c r="V795" s="9" t="str">
        <f>IFERROR(__xludf.DUMMYFUNCTION("""COMPUTED_VALUE"""),"https://drive.google.com/uc?id=1LnN1ZkGFGxFc-4qMU5dbZJ-ntWP1KciP")</f>
        <v>https://drive.google.com/uc?id=1LnN1ZkGFGxFc-4qMU5dbZJ-ntWP1KciP</v>
      </c>
      <c r="W795" s="5" t="str">
        <f>IFERROR(__xludf.DUMMYFUNCTION("""COMPUTED_VALUE"""),"NÃO")</f>
        <v>NÃO</v>
      </c>
      <c r="X795" s="5" t="str">
        <f>IFERROR(__xludf.DUMMYFUNCTION("""COMPUTED_VALUE"""),"NÃO SE APLICA")</f>
        <v>NÃO SE APLICA</v>
      </c>
    </row>
    <row r="796" ht="20.25" hidden="1" customHeight="1">
      <c r="A796" s="5">
        <f>IFERROR(__xludf.DUMMYFUNCTION("""COMPUTED_VALUE"""),5.0)</f>
        <v>5</v>
      </c>
      <c r="B796" s="5" t="str">
        <f>IFERROR(__xludf.DUMMYFUNCTION("""COMPUTED_VALUE"""),"BD006")</f>
        <v>BD006</v>
      </c>
      <c r="C796" s="5" t="str">
        <f>IFERROR(__xludf.DUMMYFUNCTION("""COMPUTED_VALUE"""),"NÃO POSSUI")</f>
        <v>NÃO POSSUI</v>
      </c>
      <c r="D796" s="5" t="str">
        <f>IFERROR(__xludf.DUMMYFUNCTION("""COMPUTED_VALUE"""),"FIXADA EM POSTE")</f>
        <v>FIXADA EM POSTE</v>
      </c>
      <c r="E796" s="5" t="str">
        <f>IFERROR(__xludf.DUMMYFUNCTION("""COMPUTED_VALUE"""),"SEM BAIA")</f>
        <v>SEM BAIA</v>
      </c>
      <c r="F796" s="5" t="str">
        <f>IFERROR(__xludf.DUMMYFUNCTION("""COMPUTED_VALUE"""),"NÃO")</f>
        <v>NÃO</v>
      </c>
      <c r="G796" s="5" t="str">
        <f>IFERROR(__xludf.DUMMYFUNCTION("""COMPUTED_VALUE"""),"NÃO")</f>
        <v>NÃO</v>
      </c>
      <c r="H796" s="5" t="str">
        <f>IFERROR(__xludf.DUMMYFUNCTION("""COMPUTED_VALUE"""),"PAVIMENTADA")</f>
        <v>PAVIMENTADA</v>
      </c>
      <c r="I796" s="6" t="str">
        <f>IFERROR(__xludf.DUMMYFUNCTION("""COMPUTED_VALUE"""),"-9.61620")</f>
        <v>-9.61620</v>
      </c>
      <c r="J796" s="6" t="str">
        <f>IFERROR(__xludf.DUMMYFUNCTION("""COMPUTED_VALUE"""),"-35.72439")</f>
        <v>-35.72439</v>
      </c>
      <c r="K796" s="5" t="str">
        <f>IFERROR(__xludf.DUMMYFUNCTION("""COMPUTED_VALUE"""),"RUA DEPUTADO GONÇALO TAVARES, 206 – NOVO MUNDO")</f>
        <v>RUA DEPUTADO GONÇALO TAVARES, 206 – NOVO MUNDO</v>
      </c>
      <c r="L796" s="5" t="str">
        <f>IFERROR(__xludf.DUMMYFUNCTION("""COMPUTED_VALUE"""),"LOCAL")</f>
        <v>LOCAL</v>
      </c>
      <c r="M796" s="5" t="str">
        <f>IFERROR(__xludf.DUMMYFUNCTION("""COMPUTED_VALUE"""),"BARRO DURO")</f>
        <v>BARRO DURO</v>
      </c>
      <c r="N796" s="5" t="str">
        <f>IFERROR(__xludf.DUMMYFUNCTION("""COMPUTED_VALUE"""),"CENTRO - BAIRRO")</f>
        <v>CENTRO - BAIRRO</v>
      </c>
      <c r="O796" s="5" t="str">
        <f>IFERROR(__xludf.DUMMYFUNCTION("""COMPUTED_VALUE"""),"EM FRENTE AO NOVO MUNDO BEBIDAS")</f>
        <v>EM FRENTE AO NOVO MUNDO BEBIDAS</v>
      </c>
      <c r="P796" s="5" t="str">
        <f>IFERROR(__xludf.DUMMYFUNCTION("""COMPUTED_VALUE"""),"PRIORIDADE BAIXA")</f>
        <v>PRIORIDADE BAIXA</v>
      </c>
      <c r="Q796" s="5" t="str">
        <f>IFERROR(__xludf.DUMMYFUNCTION("""COMPUTED_VALUE"""),"READEQUAÇÃO DE CALÇADA COM ACESSIBILIDADE E BAIA.")</f>
        <v>READEQUAÇÃO DE CALÇADA COM ACESSIBILIDADE E BAIA.</v>
      </c>
      <c r="R796" s="5" t="str">
        <f>IFERROR(__xludf.DUMMYFUNCTION("""COMPUTED_VALUE"""),"IMPLANTAR ABRIGO")</f>
        <v>IMPLANTAR ABRIGO</v>
      </c>
      <c r="S796" s="5"/>
      <c r="T796" s="5"/>
      <c r="U796" s="5"/>
      <c r="V796" s="9" t="str">
        <f>IFERROR(__xludf.DUMMYFUNCTION("""COMPUTED_VALUE"""),"https://drive.google.com/uc?id=1hAOezTQxk3IpydzSCa28eVBifVchZEAp")</f>
        <v>https://drive.google.com/uc?id=1hAOezTQxk3IpydzSCa28eVBifVchZEAp</v>
      </c>
      <c r="W796" s="5" t="str">
        <f>IFERROR(__xludf.DUMMYFUNCTION("""COMPUTED_VALUE"""),"NÃO")</f>
        <v>NÃO</v>
      </c>
      <c r="X796" s="5" t="str">
        <f>IFERROR(__xludf.DUMMYFUNCTION("""COMPUTED_VALUE"""),"NÃO SE APLICA")</f>
        <v>NÃO SE APLICA</v>
      </c>
    </row>
    <row r="797" hidden="1">
      <c r="A797" s="5">
        <f>IFERROR(__xludf.DUMMYFUNCTION("""COMPUTED_VALUE"""),5.0)</f>
        <v>5</v>
      </c>
      <c r="B797" s="5" t="str">
        <f>IFERROR(__xludf.DUMMYFUNCTION("""COMPUTED_VALUE"""),"BD007")</f>
        <v>BD007</v>
      </c>
      <c r="C797" s="5" t="str">
        <f>IFERROR(__xludf.DUMMYFUNCTION("""COMPUTED_VALUE"""),"NÃO POSSUI")</f>
        <v>NÃO POSSUI</v>
      </c>
      <c r="D797" s="5" t="str">
        <f>IFERROR(__xludf.DUMMYFUNCTION("""COMPUTED_VALUE"""),"COM SUPORTE")</f>
        <v>COM SUPORTE</v>
      </c>
      <c r="E797" s="5" t="str">
        <f>IFERROR(__xludf.DUMMYFUNCTION("""COMPUTED_VALUE"""),"SEM BAIA")</f>
        <v>SEM BAIA</v>
      </c>
      <c r="F797" s="5" t="str">
        <f>IFERROR(__xludf.DUMMYFUNCTION("""COMPUTED_VALUE"""),"NÃO")</f>
        <v>NÃO</v>
      </c>
      <c r="G797" s="5" t="str">
        <f>IFERROR(__xludf.DUMMYFUNCTION("""COMPUTED_VALUE"""),"NÃO")</f>
        <v>NÃO</v>
      </c>
      <c r="H797" s="5" t="str">
        <f>IFERROR(__xludf.DUMMYFUNCTION("""COMPUTED_VALUE"""),"PAVIMENTADA COM AVARIAS")</f>
        <v>PAVIMENTADA COM AVARIAS</v>
      </c>
      <c r="I797" s="6" t="str">
        <f>IFERROR(__xludf.DUMMYFUNCTION("""COMPUTED_VALUE"""),"-9.61618")</f>
        <v>-9.61618</v>
      </c>
      <c r="J797" s="6" t="str">
        <f>IFERROR(__xludf.DUMMYFUNCTION("""COMPUTED_VALUE"""),"-35.72431")</f>
        <v>-35.72431</v>
      </c>
      <c r="K797" s="5" t="str">
        <f>IFERROR(__xludf.DUMMYFUNCTION("""COMPUTED_VALUE"""),"RUA DEPUTADO GONÇALO TAVARES, 187 – NOVO MUNDO")</f>
        <v>RUA DEPUTADO GONÇALO TAVARES, 187 – NOVO MUNDO</v>
      </c>
      <c r="L797" s="5" t="str">
        <f>IFERROR(__xludf.DUMMYFUNCTION("""COMPUTED_VALUE"""),"LOCAL")</f>
        <v>LOCAL</v>
      </c>
      <c r="M797" s="5" t="str">
        <f>IFERROR(__xludf.DUMMYFUNCTION("""COMPUTED_VALUE"""),"BARRO DURO")</f>
        <v>BARRO DURO</v>
      </c>
      <c r="N797" s="5" t="str">
        <f>IFERROR(__xludf.DUMMYFUNCTION("""COMPUTED_VALUE"""),"CENTRO - BAIRRO")</f>
        <v>CENTRO - BAIRRO</v>
      </c>
      <c r="O797" s="5" t="str">
        <f>IFERROR(__xludf.DUMMYFUNCTION("""COMPUTED_VALUE"""),"PRÓXIMO AO EDIFÍCIO BAHAMAS")</f>
        <v>PRÓXIMO AO EDIFÍCIO BAHAMAS</v>
      </c>
      <c r="P797" s="5" t="str">
        <f>IFERROR(__xludf.DUMMYFUNCTION("""COMPUTED_VALUE"""),"PRIORIDADE BAIXA")</f>
        <v>PRIORIDADE BAIXA</v>
      </c>
      <c r="Q797" s="5" t="str">
        <f>IFERROR(__xludf.DUMMYFUNCTION("""COMPUTED_VALUE"""),"READEQUAÇÃO DE CALÇADA COM ACESSIBILIDADE E BAIA.")</f>
        <v>READEQUAÇÃO DE CALÇADA COM ACESSIBILIDADE E BAIA.</v>
      </c>
      <c r="R797" s="5" t="str">
        <f>IFERROR(__xludf.DUMMYFUNCTION("""COMPUTED_VALUE"""),"IMPLANTAR ABRIGO")</f>
        <v>IMPLANTAR ABRIGO</v>
      </c>
      <c r="S797" s="5"/>
      <c r="T797" s="5"/>
      <c r="U797" s="5"/>
      <c r="V797" s="9" t="str">
        <f>IFERROR(__xludf.DUMMYFUNCTION("""COMPUTED_VALUE"""),"https://drive.google.com/uc?id=1__2AN9a0e4Eiem_1hizzJY8-UYVhA-tU")</f>
        <v>https://drive.google.com/uc?id=1__2AN9a0e4Eiem_1hizzJY8-UYVhA-tU</v>
      </c>
      <c r="W797" s="5" t="str">
        <f>IFERROR(__xludf.DUMMYFUNCTION("""COMPUTED_VALUE"""),"NÃO")</f>
        <v>NÃO</v>
      </c>
      <c r="X797" s="5" t="str">
        <f>IFERROR(__xludf.DUMMYFUNCTION("""COMPUTED_VALUE"""),"NÃO SE APLICA")</f>
        <v>NÃO SE APLICA</v>
      </c>
    </row>
    <row r="798" hidden="1">
      <c r="A798" s="5">
        <f>IFERROR(__xludf.DUMMYFUNCTION("""COMPUTED_VALUE"""),5.0)</f>
        <v>5</v>
      </c>
      <c r="B798" s="5" t="str">
        <f>IFERROR(__xludf.DUMMYFUNCTION("""COMPUTED_VALUE"""),"BD008")</f>
        <v>BD008</v>
      </c>
      <c r="C798" s="5" t="str">
        <f>IFERROR(__xludf.DUMMYFUNCTION("""COMPUTED_VALUE"""),"NÃO POSSUI")</f>
        <v>NÃO POSSUI</v>
      </c>
      <c r="D798" s="5" t="str">
        <f>IFERROR(__xludf.DUMMYFUNCTION("""COMPUTED_VALUE"""),"FIXADA EM POSTE")</f>
        <v>FIXADA EM POSTE</v>
      </c>
      <c r="E798" s="5" t="str">
        <f>IFERROR(__xludf.DUMMYFUNCTION("""COMPUTED_VALUE"""),"BAIA PINTADA")</f>
        <v>BAIA PINTADA</v>
      </c>
      <c r="F798" s="5" t="str">
        <f>IFERROR(__xludf.DUMMYFUNCTION("""COMPUTED_VALUE"""),"NÃO")</f>
        <v>NÃO</v>
      </c>
      <c r="G798" s="5" t="str">
        <f>IFERROR(__xludf.DUMMYFUNCTION("""COMPUTED_VALUE"""),"NÃO")</f>
        <v>NÃO</v>
      </c>
      <c r="H798" s="5" t="str">
        <f>IFERROR(__xludf.DUMMYFUNCTION("""COMPUTED_VALUE"""),"NÃO PAVIMENTADA")</f>
        <v>NÃO PAVIMENTADA</v>
      </c>
      <c r="I798" s="6" t="str">
        <f>IFERROR(__xludf.DUMMYFUNCTION("""COMPUTED_VALUE"""),"-9.61432")</f>
        <v>-9.61432</v>
      </c>
      <c r="J798" s="6" t="str">
        <f>IFERROR(__xludf.DUMMYFUNCTION("""COMPUTED_VALUE"""),"-35.72829")</f>
        <v>-35.72829</v>
      </c>
      <c r="K798" s="5" t="str">
        <f>IFERROR(__xludf.DUMMYFUNCTION("""COMPUTED_VALUE"""),"AV. ERALDO LINS CAVALCANTE, 24")</f>
        <v>AV. ERALDO LINS CAVALCANTE, 24</v>
      </c>
      <c r="L798" s="5" t="str">
        <f>IFERROR(__xludf.DUMMYFUNCTION("""COMPUTED_VALUE"""),"COLETORA")</f>
        <v>COLETORA</v>
      </c>
      <c r="M798" s="5" t="str">
        <f>IFERROR(__xludf.DUMMYFUNCTION("""COMPUTED_VALUE"""),"BARRO DURO")</f>
        <v>BARRO DURO</v>
      </c>
      <c r="N798" s="5" t="str">
        <f>IFERROR(__xludf.DUMMYFUNCTION("""COMPUTED_VALUE"""),"BAIRRO - CENTRO / CENTRO - BAIRRO")</f>
        <v>BAIRRO - CENTRO / CENTRO - BAIRRO</v>
      </c>
      <c r="O798" s="5" t="str">
        <f>IFERROR(__xludf.DUMMYFUNCTION("""COMPUTED_VALUE"""),"LOT. MURILÓPOLIS - EM FRENTE AO POÇO DA CASAL")</f>
        <v>LOT. MURILÓPOLIS - EM FRENTE AO POÇO DA CASAL</v>
      </c>
      <c r="P798" s="5" t="str">
        <f>IFERROR(__xludf.DUMMYFUNCTION("""COMPUTED_VALUE"""),"PRIORIDADE BAIXA")</f>
        <v>PRIORIDADE BAIXA</v>
      </c>
      <c r="Q798" s="5" t="str">
        <f>IFERROR(__xludf.DUMMYFUNCTION("""COMPUTED_VALUE"""),"READEQUAÇÃO DE CALÇADA COM ACESSIBILIDADE E BAIA.")</f>
        <v>READEQUAÇÃO DE CALÇADA COM ACESSIBILIDADE E BAIA.</v>
      </c>
      <c r="R798" s="5" t="str">
        <f>IFERROR(__xludf.DUMMYFUNCTION("""COMPUTED_VALUE"""),"IMPLANTAR ABRIGO")</f>
        <v>IMPLANTAR ABRIGO</v>
      </c>
      <c r="S798" s="5"/>
      <c r="T798" s="5"/>
      <c r="U798" s="5"/>
      <c r="V798" s="9" t="str">
        <f>IFERROR(__xludf.DUMMYFUNCTION("""COMPUTED_VALUE"""),"https://drive.google.com/uc?id=1S3-cXf_PLTZg21eo3MfjY_WSJDdj0x45")</f>
        <v>https://drive.google.com/uc?id=1S3-cXf_PLTZg21eo3MfjY_WSJDdj0x45</v>
      </c>
      <c r="W798" s="5" t="str">
        <f>IFERROR(__xludf.DUMMYFUNCTION("""COMPUTED_VALUE"""),"NÃO")</f>
        <v>NÃO</v>
      </c>
      <c r="X798" s="5" t="str">
        <f>IFERROR(__xludf.DUMMYFUNCTION("""COMPUTED_VALUE"""),"NÃO SE APLICA")</f>
        <v>NÃO SE APLICA</v>
      </c>
    </row>
    <row r="799">
      <c r="A799" s="5">
        <f>IFERROR(__xludf.DUMMYFUNCTION("""COMPUTED_VALUE"""),5.0)</f>
        <v>5</v>
      </c>
      <c r="B799" s="5" t="str">
        <f>IFERROR(__xludf.DUMMYFUNCTION("""COMPUTED_VALUE"""),"BD009")</f>
        <v>BD009</v>
      </c>
      <c r="C799" s="5" t="str">
        <f>IFERROR(__xludf.DUMMYFUNCTION("""COMPUTED_VALUE"""),"ABRIGO CONCRETO")</f>
        <v>ABRIGO CONCRETO</v>
      </c>
      <c r="D799" s="5" t="str">
        <f>IFERROR(__xludf.DUMMYFUNCTION("""COMPUTED_VALUE"""),"SEM PLACA")</f>
        <v>SEM PLACA</v>
      </c>
      <c r="E799" s="5" t="str">
        <f>IFERROR(__xludf.DUMMYFUNCTION("""COMPUTED_VALUE"""),"BAIA PINTADA")</f>
        <v>BAIA PINTADA</v>
      </c>
      <c r="F799" s="5" t="str">
        <f>IFERROR(__xludf.DUMMYFUNCTION("""COMPUTED_VALUE"""),"NÃO")</f>
        <v>NÃO</v>
      </c>
      <c r="G799" s="5" t="str">
        <f>IFERROR(__xludf.DUMMYFUNCTION("""COMPUTED_VALUE"""),"NÃO")</f>
        <v>NÃO</v>
      </c>
      <c r="H799" s="5" t="str">
        <f>IFERROR(__xludf.DUMMYFUNCTION("""COMPUTED_VALUE"""),"PAVIMENTADA")</f>
        <v>PAVIMENTADA</v>
      </c>
      <c r="I799" s="6" t="str">
        <f>IFERROR(__xludf.DUMMYFUNCTION("""COMPUTED_VALUE"""),"-9.61432")</f>
        <v>-9.61432</v>
      </c>
      <c r="J799" s="6" t="str">
        <f>IFERROR(__xludf.DUMMYFUNCTION("""COMPUTED_VALUE"""),"-35.72591")</f>
        <v>-35.72591</v>
      </c>
      <c r="K799" s="5" t="str">
        <f>IFERROR(__xludf.DUMMYFUNCTION("""COMPUTED_VALUE"""),"AV. ERALDO LINS CAVALCANTE, 666")</f>
        <v>AV. ERALDO LINS CAVALCANTE, 666</v>
      </c>
      <c r="L799" s="5" t="str">
        <f>IFERROR(__xludf.DUMMYFUNCTION("""COMPUTED_VALUE"""),"COLETORA")</f>
        <v>COLETORA</v>
      </c>
      <c r="M799" s="5" t="str">
        <f>IFERROR(__xludf.DUMMYFUNCTION("""COMPUTED_VALUE"""),"BARRO DURO")</f>
        <v>BARRO DURO</v>
      </c>
      <c r="N799" s="5" t="str">
        <f>IFERROR(__xludf.DUMMYFUNCTION("""COMPUTED_VALUE"""),"BAIRRO - CENTRO / CENTRO - BAIRRO")</f>
        <v>BAIRRO - CENTRO / CENTRO - BAIRRO</v>
      </c>
      <c r="O799" s="5" t="str">
        <f>IFERROR(__xludf.DUMMYFUNCTION("""COMPUTED_VALUE"""),"LOT. MURILÓPOLIS - EM FRENTE AO ENGENHARQ")</f>
        <v>LOT. MURILÓPOLIS - EM FRENTE AO ENGENHARQ</v>
      </c>
      <c r="P799" s="5" t="str">
        <f>IFERROR(__xludf.DUMMYFUNCTION("""COMPUTED_VALUE"""),"PRIORIDADE BAIXA")</f>
        <v>PRIORIDADE BAIXA</v>
      </c>
      <c r="Q799" s="5" t="str">
        <f>IFERROR(__xludf.DUMMYFUNCTION("""COMPUTED_VALUE"""),"MANUTENÇÃO DE BAIXA PRIORIDADE.")</f>
        <v>MANUTENÇÃO DE BAIXA PRIORIDADE.</v>
      </c>
      <c r="R799" s="5" t="str">
        <f>IFERROR(__xludf.DUMMYFUNCTION("""COMPUTED_VALUE"""),"SUBSTITUIR ABRIGO")</f>
        <v>SUBSTITUIR ABRIGO</v>
      </c>
      <c r="S799" s="5"/>
      <c r="T799" s="5"/>
      <c r="U799" s="5"/>
      <c r="V799" s="9" t="str">
        <f>IFERROR(__xludf.DUMMYFUNCTION("""COMPUTED_VALUE"""),"https://drive.google.com/uc?id=1B0w8VIHpBJSPTFdXkvxJFd3s29E9Fm5J")</f>
        <v>https://drive.google.com/uc?id=1B0w8VIHpBJSPTFdXkvxJFd3s29E9Fm5J</v>
      </c>
      <c r="W799" s="5" t="str">
        <f>IFERROR(__xludf.DUMMYFUNCTION("""COMPUTED_VALUE"""),"NÃO")</f>
        <v>NÃO</v>
      </c>
      <c r="X799" s="5" t="str">
        <f>IFERROR(__xludf.DUMMYFUNCTION("""COMPUTED_VALUE"""),"NÃO SE APLICA")</f>
        <v>NÃO SE APLICA</v>
      </c>
    </row>
    <row r="800" hidden="1">
      <c r="A800" s="5">
        <f>IFERROR(__xludf.DUMMYFUNCTION("""COMPUTED_VALUE"""),5.0)</f>
        <v>5</v>
      </c>
      <c r="B800" s="5" t="str">
        <f>IFERROR(__xludf.DUMMYFUNCTION("""COMPUTED_VALUE"""),"BD010")</f>
        <v>BD010</v>
      </c>
      <c r="C800" s="5" t="str">
        <f>IFERROR(__xludf.DUMMYFUNCTION("""COMPUTED_VALUE"""),"NÃO POSSUI")</f>
        <v>NÃO POSSUI</v>
      </c>
      <c r="D800" s="5" t="str">
        <f>IFERROR(__xludf.DUMMYFUNCTION("""COMPUTED_VALUE"""),"FIXADA EM POSTE")</f>
        <v>FIXADA EM POSTE</v>
      </c>
      <c r="E800" s="5" t="str">
        <f>IFERROR(__xludf.DUMMYFUNCTION("""COMPUTED_VALUE"""),"BAIA PINTADA")</f>
        <v>BAIA PINTADA</v>
      </c>
      <c r="F800" s="5" t="str">
        <f>IFERROR(__xludf.DUMMYFUNCTION("""COMPUTED_VALUE"""),"NÃO")</f>
        <v>NÃO</v>
      </c>
      <c r="G800" s="5" t="str">
        <f>IFERROR(__xludf.DUMMYFUNCTION("""COMPUTED_VALUE"""),"NÃO")</f>
        <v>NÃO</v>
      </c>
      <c r="H800" s="5" t="str">
        <f>IFERROR(__xludf.DUMMYFUNCTION("""COMPUTED_VALUE"""),"PAVIMENTADA")</f>
        <v>PAVIMENTADA</v>
      </c>
      <c r="I800" s="6" t="str">
        <f>IFERROR(__xludf.DUMMYFUNCTION("""COMPUTED_VALUE"""),"-9.61436")</f>
        <v>-9.61436</v>
      </c>
      <c r="J800" s="6" t="str">
        <f>IFERROR(__xludf.DUMMYFUNCTION("""COMPUTED_VALUE"""),"-35.72275")</f>
        <v>-35.72275</v>
      </c>
      <c r="K800" s="5" t="str">
        <f>IFERROR(__xludf.DUMMYFUNCTION("""COMPUTED_VALUE"""),"AV. ERALDO LINS CAVALCANTE, 988")</f>
        <v>AV. ERALDO LINS CAVALCANTE, 988</v>
      </c>
      <c r="L800" s="5" t="str">
        <f>IFERROR(__xludf.DUMMYFUNCTION("""COMPUTED_VALUE"""),"COLETORA")</f>
        <v>COLETORA</v>
      </c>
      <c r="M800" s="5" t="str">
        <f>IFERROR(__xludf.DUMMYFUNCTION("""COMPUTED_VALUE"""),"BARRO DURO")</f>
        <v>BARRO DURO</v>
      </c>
      <c r="N800" s="5" t="str">
        <f>IFERROR(__xludf.DUMMYFUNCTION("""COMPUTED_VALUE"""),"BAIRRO - CENTRO")</f>
        <v>BAIRRO - CENTRO</v>
      </c>
      <c r="O800" s="5" t="str">
        <f>IFERROR(__xludf.DUMMYFUNCTION("""COMPUTED_VALUE"""),"EM FRENTE AO EMPRESARIAL 763")</f>
        <v>EM FRENTE AO EMPRESARIAL 763</v>
      </c>
      <c r="P800" s="5" t="str">
        <f>IFERROR(__xludf.DUMMYFUNCTION("""COMPUTED_VALUE"""),"PRIORIDADE BAIXA")</f>
        <v>PRIORIDADE BAIXA</v>
      </c>
      <c r="Q800" s="5" t="str">
        <f>IFERROR(__xludf.DUMMYFUNCTION("""COMPUTED_VALUE"""),"MANUTENÇÃO DE BAIXA PRIORIDADE.")</f>
        <v>MANUTENÇÃO DE BAIXA PRIORIDADE.</v>
      </c>
      <c r="R800" s="5" t="str">
        <f>IFERROR(__xludf.DUMMYFUNCTION("""COMPUTED_VALUE"""),"IMPLANTAR ABRIGO")</f>
        <v>IMPLANTAR ABRIGO</v>
      </c>
      <c r="S800" s="5"/>
      <c r="T800" s="5"/>
      <c r="U800" s="5"/>
      <c r="V800" s="9" t="str">
        <f>IFERROR(__xludf.DUMMYFUNCTION("""COMPUTED_VALUE"""),"https://drive.google.com/uc?id=126zUM3ncC3F37wvMETFTeKdGpRpcii27")</f>
        <v>https://drive.google.com/uc?id=126zUM3ncC3F37wvMETFTeKdGpRpcii27</v>
      </c>
      <c r="W800" s="5" t="str">
        <f>IFERROR(__xludf.DUMMYFUNCTION("""COMPUTED_VALUE"""),"NÃO")</f>
        <v>NÃO</v>
      </c>
      <c r="X800" s="5" t="str">
        <f>IFERROR(__xludf.DUMMYFUNCTION("""COMPUTED_VALUE"""),"NÃO SE APLICA")</f>
        <v>NÃO SE APLICA</v>
      </c>
    </row>
    <row r="801" ht="21.0" hidden="1" customHeight="1">
      <c r="A801" s="5">
        <f>IFERROR(__xludf.DUMMYFUNCTION("""COMPUTED_VALUE"""),5.0)</f>
        <v>5</v>
      </c>
      <c r="B801" s="5" t="str">
        <f>IFERROR(__xludf.DUMMYFUNCTION("""COMPUTED_VALUE"""),"BD011")</f>
        <v>BD011</v>
      </c>
      <c r="C801" s="5" t="str">
        <f>IFERROR(__xludf.DUMMYFUNCTION("""COMPUTED_VALUE"""),"NÃO POSSUI")</f>
        <v>NÃO POSSUI</v>
      </c>
      <c r="D801" s="5" t="str">
        <f>IFERROR(__xludf.DUMMYFUNCTION("""COMPUTED_VALUE"""),"FIXADA EM POSTE")</f>
        <v>FIXADA EM POSTE</v>
      </c>
      <c r="E801" s="5" t="str">
        <f>IFERROR(__xludf.DUMMYFUNCTION("""COMPUTED_VALUE"""),"BAIA PINTADA")</f>
        <v>BAIA PINTADA</v>
      </c>
      <c r="F801" s="5" t="str">
        <f>IFERROR(__xludf.DUMMYFUNCTION("""COMPUTED_VALUE"""),"NÃO")</f>
        <v>NÃO</v>
      </c>
      <c r="G801" s="5" t="str">
        <f>IFERROR(__xludf.DUMMYFUNCTION("""COMPUTED_VALUE"""),"NÃO")</f>
        <v>NÃO</v>
      </c>
      <c r="H801" s="5" t="str">
        <f>IFERROR(__xludf.DUMMYFUNCTION("""COMPUTED_VALUE"""),"PAVIMENTADA")</f>
        <v>PAVIMENTADA</v>
      </c>
      <c r="I801" s="6" t="str">
        <f>IFERROR(__xludf.DUMMYFUNCTION("""COMPUTED_VALUE"""),"-9.61441")</f>
        <v>-9.61441</v>
      </c>
      <c r="J801" s="6" t="str">
        <f>IFERROR(__xludf.DUMMYFUNCTION("""COMPUTED_VALUE"""),"-35.71951")</f>
        <v>-35.71951</v>
      </c>
      <c r="K801" s="5" t="str">
        <f>IFERROR(__xludf.DUMMYFUNCTION("""COMPUTED_VALUE"""),"AV. ERALDO LINS CAVALCANTE, 1050")</f>
        <v>AV. ERALDO LINS CAVALCANTE, 1050</v>
      </c>
      <c r="L801" s="5" t="str">
        <f>IFERROR(__xludf.DUMMYFUNCTION("""COMPUTED_VALUE"""),"COLETORA")</f>
        <v>COLETORA</v>
      </c>
      <c r="M801" s="5" t="str">
        <f>IFERROR(__xludf.DUMMYFUNCTION("""COMPUTED_VALUE"""),"BARRO DURO")</f>
        <v>BARRO DURO</v>
      </c>
      <c r="N801" s="5" t="str">
        <f>IFERROR(__xludf.DUMMYFUNCTION("""COMPUTED_VALUE"""),"CENTRO - BAIRRO")</f>
        <v>CENTRO - BAIRRO</v>
      </c>
      <c r="O801" s="5" t="str">
        <f>IFERROR(__xludf.DUMMYFUNCTION("""COMPUTED_VALUE"""),"EM FRENTE AO EDIFÍCIO OLIMPIO BARROS")</f>
        <v>EM FRENTE AO EDIFÍCIO OLIMPIO BARROS</v>
      </c>
      <c r="P801" s="5" t="str">
        <f>IFERROR(__xludf.DUMMYFUNCTION("""COMPUTED_VALUE"""),"PRIORIDADE BAIXA")</f>
        <v>PRIORIDADE BAIXA</v>
      </c>
      <c r="Q801" s="5" t="str">
        <f>IFERROR(__xludf.DUMMYFUNCTION("""COMPUTED_VALUE"""),"MANUTENÇÃO DE BAIXA PRIORIDADE.")</f>
        <v>MANUTENÇÃO DE BAIXA PRIORIDADE.</v>
      </c>
      <c r="R801" s="5" t="str">
        <f>IFERROR(__xludf.DUMMYFUNCTION("""COMPUTED_VALUE"""),"IMPLANTAR ABRIGO")</f>
        <v>IMPLANTAR ABRIGO</v>
      </c>
      <c r="S801" s="5"/>
      <c r="T801" s="5"/>
      <c r="U801" s="5"/>
      <c r="V801" s="9" t="str">
        <f>IFERROR(__xludf.DUMMYFUNCTION("""COMPUTED_VALUE"""),"https://drive.google.com/uc?id=1YBN_7OuzlNi5blfEa-xpyrcqh46FfVSj")</f>
        <v>https://drive.google.com/uc?id=1YBN_7OuzlNi5blfEa-xpyrcqh46FfVSj</v>
      </c>
      <c r="W801" s="5" t="str">
        <f>IFERROR(__xludf.DUMMYFUNCTION("""COMPUTED_VALUE"""),"NÃO")</f>
        <v>NÃO</v>
      </c>
      <c r="X801" s="5" t="str">
        <f>IFERROR(__xludf.DUMMYFUNCTION("""COMPUTED_VALUE"""),"NÃO SE APLICA")</f>
        <v>NÃO SE APLICA</v>
      </c>
    </row>
    <row r="802">
      <c r="A802" s="5">
        <f>IFERROR(__xludf.DUMMYFUNCTION("""COMPUTED_VALUE"""),5.0)</f>
        <v>5</v>
      </c>
      <c r="B802" s="5" t="str">
        <f>IFERROR(__xludf.DUMMYFUNCTION("""COMPUTED_VALUE"""),"BD012")</f>
        <v>BD012</v>
      </c>
      <c r="C802" s="5" t="str">
        <f>IFERROR(__xludf.DUMMYFUNCTION("""COMPUTED_VALUE"""),"ABRIGO CONCRETO")</f>
        <v>ABRIGO CONCRETO</v>
      </c>
      <c r="D802" s="5" t="str">
        <f>IFERROR(__xludf.DUMMYFUNCTION("""COMPUTED_VALUE"""),"SEM PLACA")</f>
        <v>SEM PLACA</v>
      </c>
      <c r="E802" s="5" t="str">
        <f>IFERROR(__xludf.DUMMYFUNCTION("""COMPUTED_VALUE"""),"SEM BAIA")</f>
        <v>SEM BAIA</v>
      </c>
      <c r="F802" s="5" t="str">
        <f>IFERROR(__xludf.DUMMYFUNCTION("""COMPUTED_VALUE"""),"NÃO")</f>
        <v>NÃO</v>
      </c>
      <c r="G802" s="5" t="str">
        <f>IFERROR(__xludf.DUMMYFUNCTION("""COMPUTED_VALUE"""),"NÃO")</f>
        <v>NÃO</v>
      </c>
      <c r="H802" s="5" t="str">
        <f>IFERROR(__xludf.DUMMYFUNCTION("""COMPUTED_VALUE"""),"PAVIMENTADA COM AVARIAS")</f>
        <v>PAVIMENTADA COM AVARIAS</v>
      </c>
      <c r="I802" s="6" t="str">
        <f>IFERROR(__xludf.DUMMYFUNCTION("""COMPUTED_VALUE"""),"-9.61639")</f>
        <v>-9.61639</v>
      </c>
      <c r="J802" s="6" t="str">
        <f>IFERROR(__xludf.DUMMYFUNCTION("""COMPUTED_VALUE"""),"-35.71969")</f>
        <v>-35.71969</v>
      </c>
      <c r="K802" s="5" t="str">
        <f>IFERROR(__xludf.DUMMYFUNCTION("""COMPUTED_VALUE"""),"AV. MUNIZ FALCÃO, S/N")</f>
        <v>AV. MUNIZ FALCÃO, S/N</v>
      </c>
      <c r="L802" s="5" t="str">
        <f>IFERROR(__xludf.DUMMYFUNCTION("""COMPUTED_VALUE"""),"COLETORA")</f>
        <v>COLETORA</v>
      </c>
      <c r="M802" s="5" t="str">
        <f>IFERROR(__xludf.DUMMYFUNCTION("""COMPUTED_VALUE"""),"BARRO DURO")</f>
        <v>BARRO DURO</v>
      </c>
      <c r="N802" s="5" t="str">
        <f>IFERROR(__xludf.DUMMYFUNCTION("""COMPUTED_VALUE"""),"CENTRO - BAIRRO")</f>
        <v>CENTRO - BAIRRO</v>
      </c>
      <c r="O802" s="5" t="str">
        <f>IFERROR(__xludf.DUMMYFUNCTION("""COMPUTED_VALUE"""),"EM FRENTE A ANTIGA FAT")</f>
        <v>EM FRENTE A ANTIGA FAT</v>
      </c>
      <c r="P802" s="5" t="str">
        <f>IFERROR(__xludf.DUMMYFUNCTION("""COMPUTED_VALUE"""),"PRIORIDADE BAIXA")</f>
        <v>PRIORIDADE BAIXA</v>
      </c>
      <c r="Q802" s="5" t="str">
        <f>IFERROR(__xludf.DUMMYFUNCTION("""COMPUTED_VALUE"""),"NECESSÁRIO LIMPEZA DA COBERTA; REFAZER REBOCO; E REPINTURA DE ABRIGO EXISTENTE. READEQUAÇÃO DE CALÇADA COM ACESSIBILIDADE E BAIA.")</f>
        <v>NECESSÁRIO LIMPEZA DA COBERTA; REFAZER REBOCO; E REPINTURA DE ABRIGO EXISTENTE. READEQUAÇÃO DE CALÇADA COM ACESSIBILIDADE E BAIA.</v>
      </c>
      <c r="R802" s="5" t="str">
        <f>IFERROR(__xludf.DUMMYFUNCTION("""COMPUTED_VALUE"""),"SUBSTITUIR ABRIGO")</f>
        <v>SUBSTITUIR ABRIGO</v>
      </c>
      <c r="S802" s="5"/>
      <c r="T802" s="5"/>
      <c r="U802" s="5"/>
      <c r="V802" s="9" t="str">
        <f>IFERROR(__xludf.DUMMYFUNCTION("""COMPUTED_VALUE"""),"https://drive.google.com/uc?id=17RtI1PnhWuNHbIhe2eDAS_KcB3kIbrRW")</f>
        <v>https://drive.google.com/uc?id=17RtI1PnhWuNHbIhe2eDAS_KcB3kIbrRW</v>
      </c>
      <c r="W802" s="5" t="str">
        <f>IFERROR(__xludf.DUMMYFUNCTION("""COMPUTED_VALUE"""),"NÃO")</f>
        <v>NÃO</v>
      </c>
      <c r="X802" s="5" t="str">
        <f>IFERROR(__xludf.DUMMYFUNCTION("""COMPUTED_VALUE"""),"NÃO SE APLICA")</f>
        <v>NÃO SE APLICA</v>
      </c>
    </row>
    <row r="803">
      <c r="A803" s="5">
        <f>IFERROR(__xludf.DUMMYFUNCTION("""COMPUTED_VALUE"""),5.0)</f>
        <v>5</v>
      </c>
      <c r="B803" s="5" t="str">
        <f>IFERROR(__xludf.DUMMYFUNCTION("""COMPUTED_VALUE"""),"BD013")</f>
        <v>BD013</v>
      </c>
      <c r="C803" s="5" t="str">
        <f>IFERROR(__xludf.DUMMYFUNCTION("""COMPUTED_VALUE"""),"ABRIGO CONCRETO")</f>
        <v>ABRIGO CONCRETO</v>
      </c>
      <c r="D803" s="5" t="str">
        <f>IFERROR(__xludf.DUMMYFUNCTION("""COMPUTED_VALUE"""),"SEM PLACA")</f>
        <v>SEM PLACA</v>
      </c>
      <c r="E803" s="5" t="str">
        <f>IFERROR(__xludf.DUMMYFUNCTION("""COMPUTED_VALUE"""),"SEM BAIA")</f>
        <v>SEM BAIA</v>
      </c>
      <c r="F803" s="5" t="str">
        <f>IFERROR(__xludf.DUMMYFUNCTION("""COMPUTED_VALUE"""),"NÃO")</f>
        <v>NÃO</v>
      </c>
      <c r="G803" s="5" t="str">
        <f>IFERROR(__xludf.DUMMYFUNCTION("""COMPUTED_VALUE"""),"NÃO")</f>
        <v>NÃO</v>
      </c>
      <c r="H803" s="5" t="str">
        <f>IFERROR(__xludf.DUMMYFUNCTION("""COMPUTED_VALUE"""),"PAVIMENTADA")</f>
        <v>PAVIMENTADA</v>
      </c>
      <c r="I803" s="6" t="str">
        <f>IFERROR(__xludf.DUMMYFUNCTION("""COMPUTED_VALUE"""),"-9.61845")</f>
        <v>-9.61845</v>
      </c>
      <c r="J803" s="6" t="str">
        <f>IFERROR(__xludf.DUMMYFUNCTION("""COMPUTED_VALUE"""),"-35.72123")</f>
        <v>-35.72123</v>
      </c>
      <c r="K803" s="5" t="str">
        <f>IFERROR(__xludf.DUMMYFUNCTION("""COMPUTED_VALUE"""),"AV. MUNIZ FALCÃO, 153B")</f>
        <v>AV. MUNIZ FALCÃO, 153B</v>
      </c>
      <c r="L803" s="5" t="str">
        <f>IFERROR(__xludf.DUMMYFUNCTION("""COMPUTED_VALUE"""),"COLETORA")</f>
        <v>COLETORA</v>
      </c>
      <c r="M803" s="5" t="str">
        <f>IFERROR(__xludf.DUMMYFUNCTION("""COMPUTED_VALUE"""),"BARRO DURO")</f>
        <v>BARRO DURO</v>
      </c>
      <c r="N803" s="5" t="str">
        <f>IFERROR(__xludf.DUMMYFUNCTION("""COMPUTED_VALUE"""),"CENTRO - BAIRRO")</f>
        <v>CENTRO - BAIRRO</v>
      </c>
      <c r="O803" s="5" t="str">
        <f>IFERROR(__xludf.DUMMYFUNCTION("""COMPUTED_VALUE"""),"EM FRENTE A ANTIGA FAT")</f>
        <v>EM FRENTE A ANTIGA FAT</v>
      </c>
      <c r="P803" s="5" t="str">
        <f>IFERROR(__xludf.DUMMYFUNCTION("""COMPUTED_VALUE"""),"PRIORIDADE BAIXA")</f>
        <v>PRIORIDADE BAIXA</v>
      </c>
      <c r="Q803" s="5" t="str">
        <f>IFERROR(__xludf.DUMMYFUNCTION("""COMPUTED_VALUE"""),"NECESSÁRIO LIMPEZA DA COBERTA; REFAZER REBOCO; E REPINTURA DE ABRIGO EXISTENTE. READEQUAÇÃO DE CALÇADA COM ACESSIBILIDADE E BAIA.")</f>
        <v>NECESSÁRIO LIMPEZA DA COBERTA; REFAZER REBOCO; E REPINTURA DE ABRIGO EXISTENTE. READEQUAÇÃO DE CALÇADA COM ACESSIBILIDADE E BAIA.</v>
      </c>
      <c r="R803" s="5" t="str">
        <f>IFERROR(__xludf.DUMMYFUNCTION("""COMPUTED_VALUE"""),"SUBSTITUIR ABRIGO")</f>
        <v>SUBSTITUIR ABRIGO</v>
      </c>
      <c r="S803" s="5"/>
      <c r="T803" s="5"/>
      <c r="U803" s="5"/>
      <c r="V803" s="9" t="str">
        <f>IFERROR(__xludf.DUMMYFUNCTION("""COMPUTED_VALUE"""),"https://drive.google.com/uc?id=1L3nxWhIGkFDpMpCkoUTzrmX6afoqieuA")</f>
        <v>https://drive.google.com/uc?id=1L3nxWhIGkFDpMpCkoUTzrmX6afoqieuA</v>
      </c>
      <c r="W803" s="5" t="str">
        <f>IFERROR(__xludf.DUMMYFUNCTION("""COMPUTED_VALUE"""),"NÃO")</f>
        <v>NÃO</v>
      </c>
      <c r="X803" s="5" t="str">
        <f>IFERROR(__xludf.DUMMYFUNCTION("""COMPUTED_VALUE"""),"NÃO SE APLICA")</f>
        <v>NÃO SE APLICA</v>
      </c>
    </row>
    <row r="804">
      <c r="A804" s="5">
        <f>IFERROR(__xludf.DUMMYFUNCTION("""COMPUTED_VALUE"""),5.0)</f>
        <v>5</v>
      </c>
      <c r="B804" s="5" t="str">
        <f>IFERROR(__xludf.DUMMYFUNCTION("""COMPUTED_VALUE"""),"BD014")</f>
        <v>BD014</v>
      </c>
      <c r="C804" s="5" t="str">
        <f>IFERROR(__xludf.DUMMYFUNCTION("""COMPUTED_VALUE"""),"ABRIGO METÁLICO NOVO PEQUENO PORTE")</f>
        <v>ABRIGO METÁLICO NOVO PEQUENO PORTE</v>
      </c>
      <c r="D804" s="5" t="str">
        <f>IFERROR(__xludf.DUMMYFUNCTION("""COMPUTED_VALUE"""),"SEM PLACA")</f>
        <v>SEM PLACA</v>
      </c>
      <c r="E804" s="5" t="str">
        <f>IFERROR(__xludf.DUMMYFUNCTION("""COMPUTED_VALUE"""),"SEM BAIA")</f>
        <v>SEM BAIA</v>
      </c>
      <c r="F804" s="5" t="str">
        <f>IFERROR(__xludf.DUMMYFUNCTION("""COMPUTED_VALUE"""),"NÃO")</f>
        <v>NÃO</v>
      </c>
      <c r="G804" s="5" t="str">
        <f>IFERROR(__xludf.DUMMYFUNCTION("""COMPUTED_VALUE"""),"NÃO")</f>
        <v>NÃO</v>
      </c>
      <c r="H804" s="5" t="str">
        <f>IFERROR(__xludf.DUMMYFUNCTION("""COMPUTED_VALUE"""),"NÃO PAVIMENTADA")</f>
        <v>NÃO PAVIMENTADA</v>
      </c>
      <c r="I804" s="6" t="str">
        <f>IFERROR(__xludf.DUMMYFUNCTION("""COMPUTED_VALUE"""),"-9.62103")</f>
        <v>-9.62103</v>
      </c>
      <c r="J804" s="6" t="str">
        <f>IFERROR(__xludf.DUMMYFUNCTION("""COMPUTED_VALUE"""),"-35.72325")</f>
        <v>-35.72325</v>
      </c>
      <c r="K804" s="5" t="str">
        <f>IFERROR(__xludf.DUMMYFUNCTION("""COMPUTED_VALUE"""),"AV. MUNIZ FALCÃO, 221")</f>
        <v>AV. MUNIZ FALCÃO, 221</v>
      </c>
      <c r="L804" s="5" t="str">
        <f>IFERROR(__xludf.DUMMYFUNCTION("""COMPUTED_VALUE"""),"COLETORA")</f>
        <v>COLETORA</v>
      </c>
      <c r="M804" s="5" t="str">
        <f>IFERROR(__xludf.DUMMYFUNCTION("""COMPUTED_VALUE"""),"BARRO DURO")</f>
        <v>BARRO DURO</v>
      </c>
      <c r="N804" s="5" t="str">
        <f>IFERROR(__xludf.DUMMYFUNCTION("""COMPUTED_VALUE"""),"CENTRO - BAIRRO")</f>
        <v>CENTRO - BAIRRO</v>
      </c>
      <c r="O804" s="5" t="str">
        <f>IFERROR(__xludf.DUMMYFUNCTION("""COMPUTED_VALUE"""),"PRÓXIMO A AUTOESCOLA CFETRAN")</f>
        <v>PRÓXIMO A AUTOESCOLA CFETRAN</v>
      </c>
      <c r="P804" s="5" t="str">
        <f>IFERROR(__xludf.DUMMYFUNCTION("""COMPUTED_VALUE"""),"PRIORIDADE BAIXA")</f>
        <v>PRIORIDADE BAIXA</v>
      </c>
      <c r="Q804" s="5" t="str">
        <f>IFERROR(__xludf.DUMMYFUNCTION("""COMPUTED_VALUE"""),"NECESSÁRIO LIMPEZA DA COBERTA; REFAZER REBOCO; E REPINTURA DE ABRIGO EXISTENTE. READEQUAÇÃO DE CALÇADA COM ACESSIBILIDADE E BAIA.")</f>
        <v>NECESSÁRIO LIMPEZA DA COBERTA; REFAZER REBOCO; E REPINTURA DE ABRIGO EXISTENTE. READEQUAÇÃO DE CALÇADA COM ACESSIBILIDADE E BAIA.</v>
      </c>
      <c r="R804" s="5" t="str">
        <f>IFERROR(__xludf.DUMMYFUNCTION("""COMPUTED_VALUE"""),"NENHUMA DAS OPÇÕES")</f>
        <v>NENHUMA DAS OPÇÕES</v>
      </c>
      <c r="S804" s="5"/>
      <c r="T804" s="5"/>
      <c r="U804" s="5"/>
      <c r="V804" s="9" t="str">
        <f>IFERROR(__xludf.DUMMYFUNCTION("""COMPUTED_VALUE"""),"https://drive.google.com/uc?id=1oFvaPBaMFHGi6E9flOHVx8tQZdg93SW7")</f>
        <v>https://drive.google.com/uc?id=1oFvaPBaMFHGi6E9flOHVx8tQZdg93SW7</v>
      </c>
      <c r="W804" s="5" t="str">
        <f>IFERROR(__xludf.DUMMYFUNCTION("""COMPUTED_VALUE"""),"NÃO")</f>
        <v>NÃO</v>
      </c>
      <c r="X804" s="5" t="str">
        <f>IFERROR(__xludf.DUMMYFUNCTION("""COMPUTED_VALUE"""),"SIM")</f>
        <v>SIM</v>
      </c>
    </row>
    <row r="805">
      <c r="A805" s="5">
        <f>IFERROR(__xludf.DUMMYFUNCTION("""COMPUTED_VALUE"""),5.0)</f>
        <v>5</v>
      </c>
      <c r="B805" s="5" t="str">
        <f>IFERROR(__xludf.DUMMYFUNCTION("""COMPUTED_VALUE"""),"BD015")</f>
        <v>BD015</v>
      </c>
      <c r="C805" s="5" t="str">
        <f>IFERROR(__xludf.DUMMYFUNCTION("""COMPUTED_VALUE"""),"ABRIGO METÁLICO PEQUENO PORTE")</f>
        <v>ABRIGO METÁLICO PEQUENO PORTE</v>
      </c>
      <c r="D805" s="5" t="str">
        <f>IFERROR(__xludf.DUMMYFUNCTION("""COMPUTED_VALUE"""),"SEM PLACA")</f>
        <v>SEM PLACA</v>
      </c>
      <c r="E805" s="5" t="str">
        <f>IFERROR(__xludf.DUMMYFUNCTION("""COMPUTED_VALUE"""),"SEM BAIA")</f>
        <v>SEM BAIA</v>
      </c>
      <c r="F805" s="5" t="str">
        <f>IFERROR(__xludf.DUMMYFUNCTION("""COMPUTED_VALUE"""),"SIM")</f>
        <v>SIM</v>
      </c>
      <c r="G805" s="5" t="str">
        <f>IFERROR(__xludf.DUMMYFUNCTION("""COMPUTED_VALUE"""),"SIM")</f>
        <v>SIM</v>
      </c>
      <c r="H805" s="5" t="str">
        <f>IFERROR(__xludf.DUMMYFUNCTION("""COMPUTED_VALUE"""),"PAVIMENTADA")</f>
        <v>PAVIMENTADA</v>
      </c>
      <c r="I805" s="6" t="str">
        <f>IFERROR(__xludf.DUMMYFUNCTION("""COMPUTED_VALUE"""),"-9.62312")</f>
        <v>-9.62312</v>
      </c>
      <c r="J805" s="6" t="str">
        <f>IFERROR(__xludf.DUMMYFUNCTION("""COMPUTED_VALUE"""),"-35.72459")</f>
        <v>-35.72459</v>
      </c>
      <c r="K805" s="5" t="str">
        <f>IFERROR(__xludf.DUMMYFUNCTION("""COMPUTED_VALUE"""),"AV. JORN. MÁRCIO CANUTO, S/N")</f>
        <v>AV. JORN. MÁRCIO CANUTO, S/N</v>
      </c>
      <c r="L805" s="5" t="str">
        <f>IFERROR(__xludf.DUMMYFUNCTION("""COMPUTED_VALUE"""),"ARTERIAL ")</f>
        <v>ARTERIAL </v>
      </c>
      <c r="M805" s="5" t="str">
        <f>IFERROR(__xludf.DUMMYFUNCTION("""COMPUTED_VALUE"""),"BARRO DURO")</f>
        <v>BARRO DURO</v>
      </c>
      <c r="N805" s="5" t="str">
        <f>IFERROR(__xludf.DUMMYFUNCTION("""COMPUTED_VALUE"""),"CENTRO - BAIRRO")</f>
        <v>CENTRO - BAIRRO</v>
      </c>
      <c r="O805" s="5" t="str">
        <f>IFERROR(__xludf.DUMMYFUNCTION("""COMPUTED_VALUE"""),"EM FRENTE AO CONDOMÍNIO RESIDENCIAL DELLA VIA PARK CLUB")</f>
        <v>EM FRENTE AO CONDOMÍNIO RESIDENCIAL DELLA VIA PARK CLUB</v>
      </c>
      <c r="P805" s="5" t="str">
        <f>IFERROR(__xludf.DUMMYFUNCTION("""COMPUTED_VALUE"""),"PRIORIDADE BAIXA")</f>
        <v>PRIORIDADE BAIXA</v>
      </c>
      <c r="Q805" s="5" t="str">
        <f>IFERROR(__xludf.DUMMYFUNCTION("""COMPUTED_VALUE"""),"MANUTENÇÃO DE BAIXA PRIORIDADE.")</f>
        <v>MANUTENÇÃO DE BAIXA PRIORIDADE.</v>
      </c>
      <c r="R805" s="5" t="str">
        <f>IFERROR(__xludf.DUMMYFUNCTION("""COMPUTED_VALUE"""),"NENHUMA DAS OPÇÕES")</f>
        <v>NENHUMA DAS OPÇÕES</v>
      </c>
      <c r="S805" s="5"/>
      <c r="T805" s="5"/>
      <c r="U805" s="5"/>
      <c r="V805" s="9" t="str">
        <f>IFERROR(__xludf.DUMMYFUNCTION("""COMPUTED_VALUE"""),"https://drive.google.com/uc?id=16XBStFi0GDYR6a4Vt6m6sZIp9bRa6MZf")</f>
        <v>https://drive.google.com/uc?id=16XBStFi0GDYR6a4Vt6m6sZIp9bRa6MZf</v>
      </c>
      <c r="W805" s="5" t="str">
        <f>IFERROR(__xludf.DUMMYFUNCTION("""COMPUTED_VALUE"""),"NÃO")</f>
        <v>NÃO</v>
      </c>
      <c r="X805" s="5" t="str">
        <f>IFERROR(__xludf.DUMMYFUNCTION("""COMPUTED_VALUE"""),"NÃO")</f>
        <v>NÃO</v>
      </c>
    </row>
    <row r="806">
      <c r="A806" s="5">
        <f>IFERROR(__xludf.DUMMYFUNCTION("""COMPUTED_VALUE"""),5.0)</f>
        <v>5</v>
      </c>
      <c r="B806" s="5" t="str">
        <f>IFERROR(__xludf.DUMMYFUNCTION("""COMPUTED_VALUE"""),"BD016")</f>
        <v>BD016</v>
      </c>
      <c r="C806" s="5" t="str">
        <f>IFERROR(__xludf.DUMMYFUNCTION("""COMPUTED_VALUE"""),"ABRIGO METÁLICO PEQUENO PORTE")</f>
        <v>ABRIGO METÁLICO PEQUENO PORTE</v>
      </c>
      <c r="D806" s="5" t="str">
        <f>IFERROR(__xludf.DUMMYFUNCTION("""COMPUTED_VALUE"""),"SEM PLACA")</f>
        <v>SEM PLACA</v>
      </c>
      <c r="E806" s="5" t="str">
        <f>IFERROR(__xludf.DUMMYFUNCTION("""COMPUTED_VALUE"""),"BAIA CONSTRUÍDA")</f>
        <v>BAIA CONSTRUÍDA</v>
      </c>
      <c r="F806" s="5" t="str">
        <f>IFERROR(__xludf.DUMMYFUNCTION("""COMPUTED_VALUE"""),"SIM")</f>
        <v>SIM</v>
      </c>
      <c r="G806" s="5" t="str">
        <f>IFERROR(__xludf.DUMMYFUNCTION("""COMPUTED_VALUE"""),"SIM")</f>
        <v>SIM</v>
      </c>
      <c r="H806" s="5" t="str">
        <f>IFERROR(__xludf.DUMMYFUNCTION("""COMPUTED_VALUE"""),"PAVIMENTADA")</f>
        <v>PAVIMENTADA</v>
      </c>
      <c r="I806" s="6" t="str">
        <f>IFERROR(__xludf.DUMMYFUNCTION("""COMPUTED_VALUE"""),"-9.62310")</f>
        <v>-9.62310</v>
      </c>
      <c r="J806" s="6" t="str">
        <f>IFERROR(__xludf.DUMMYFUNCTION("""COMPUTED_VALUE"""),"-35.72013")</f>
        <v>-35.72013</v>
      </c>
      <c r="K806" s="5" t="str">
        <f>IFERROR(__xludf.DUMMYFUNCTION("""COMPUTED_VALUE"""),"AV. JORN. MÁRCIO CANUTO, S/N")</f>
        <v>AV. JORN. MÁRCIO CANUTO, S/N</v>
      </c>
      <c r="L806" s="5" t="str">
        <f>IFERROR(__xludf.DUMMYFUNCTION("""COMPUTED_VALUE"""),"ARTERIAL ")</f>
        <v>ARTERIAL </v>
      </c>
      <c r="M806" s="5" t="str">
        <f>IFERROR(__xludf.DUMMYFUNCTION("""COMPUTED_VALUE"""),"BARRO DURO")</f>
        <v>BARRO DURO</v>
      </c>
      <c r="N806" s="5" t="str">
        <f>IFERROR(__xludf.DUMMYFUNCTION("""COMPUTED_VALUE"""),"CENTRO - BAIRRO")</f>
        <v>CENTRO - BAIRRO</v>
      </c>
      <c r="O806" s="5" t="str">
        <f>IFERROR(__xludf.DUMMYFUNCTION("""COMPUTED_VALUE"""),"PRÓXIMO AO CRUZAMENTO COM A RUA ALBA MENDES FALCÃO")</f>
        <v>PRÓXIMO AO CRUZAMENTO COM A RUA ALBA MENDES FALCÃO</v>
      </c>
      <c r="P806" s="5" t="str">
        <f>IFERROR(__xludf.DUMMYFUNCTION("""COMPUTED_VALUE"""),"PRIORIDADE BAIXA")</f>
        <v>PRIORIDADE BAIXA</v>
      </c>
      <c r="Q806" s="5" t="str">
        <f>IFERROR(__xludf.DUMMYFUNCTION("""COMPUTED_VALUE"""),"MANUTENÇÃO DE BAIXA PRIORIDADE.")</f>
        <v>MANUTENÇÃO DE BAIXA PRIORIDADE.</v>
      </c>
      <c r="R806" s="5" t="str">
        <f>IFERROR(__xludf.DUMMYFUNCTION("""COMPUTED_VALUE"""),"NENHUMA DAS OPÇÕES")</f>
        <v>NENHUMA DAS OPÇÕES</v>
      </c>
      <c r="S806" s="5"/>
      <c r="T806" s="5"/>
      <c r="U806" s="5"/>
      <c r="V806" s="9" t="str">
        <f>IFERROR(__xludf.DUMMYFUNCTION("""COMPUTED_VALUE"""),"https://drive.google.com/uc?id=1NQMfVREUH_AA3c7BrIVuMDLRqX7w5FVd")</f>
        <v>https://drive.google.com/uc?id=1NQMfVREUH_AA3c7BrIVuMDLRqX7w5FVd</v>
      </c>
      <c r="W806" s="5" t="str">
        <f>IFERROR(__xludf.DUMMYFUNCTION("""COMPUTED_VALUE"""),"NÃO")</f>
        <v>NÃO</v>
      </c>
      <c r="X806" s="5" t="str">
        <f>IFERROR(__xludf.DUMMYFUNCTION("""COMPUTED_VALUE"""),"NÃO")</f>
        <v>NÃO</v>
      </c>
    </row>
    <row r="807">
      <c r="A807" s="5">
        <f>IFERROR(__xludf.DUMMYFUNCTION("""COMPUTED_VALUE"""),5.0)</f>
        <v>5</v>
      </c>
      <c r="B807" s="5" t="str">
        <f>IFERROR(__xludf.DUMMYFUNCTION("""COMPUTED_VALUE"""),"BD017")</f>
        <v>BD017</v>
      </c>
      <c r="C807" s="5" t="str">
        <f>IFERROR(__xludf.DUMMYFUNCTION("""COMPUTED_VALUE"""),"ABRIGO METÁLICO NOVO PEQUENO PORTE")</f>
        <v>ABRIGO METÁLICO NOVO PEQUENO PORTE</v>
      </c>
      <c r="D807" s="5" t="str">
        <f>IFERROR(__xludf.DUMMYFUNCTION("""COMPUTED_VALUE"""),"SEM PLACA")</f>
        <v>SEM PLACA</v>
      </c>
      <c r="E807" s="5" t="str">
        <f>IFERROR(__xludf.DUMMYFUNCTION("""COMPUTED_VALUE"""),"SEM BAIA")</f>
        <v>SEM BAIA</v>
      </c>
      <c r="F807" s="5" t="str">
        <f>IFERROR(__xludf.DUMMYFUNCTION("""COMPUTED_VALUE"""),"SIM")</f>
        <v>SIM</v>
      </c>
      <c r="G807" s="5" t="str">
        <f>IFERROR(__xludf.DUMMYFUNCTION("""COMPUTED_VALUE"""),"SIM")</f>
        <v>SIM</v>
      </c>
      <c r="H807" s="5" t="str">
        <f>IFERROR(__xludf.DUMMYFUNCTION("""COMPUTED_VALUE"""),"PAVIMENTADA")</f>
        <v>PAVIMENTADA</v>
      </c>
      <c r="I807" s="6" t="str">
        <f>IFERROR(__xludf.DUMMYFUNCTION("""COMPUTED_VALUE"""),"-9.621262")</f>
        <v>-9.621262</v>
      </c>
      <c r="J807" s="6" t="str">
        <f>IFERROR(__xludf.DUMMYFUNCTION("""COMPUTED_VALUE"""),"-35.715244")</f>
        <v>-35.715244</v>
      </c>
      <c r="K807" s="5" t="str">
        <f>IFERROR(__xludf.DUMMYFUNCTION("""COMPUTED_VALUE"""),"AV. JUCÁ SAMPAIO, S/N")</f>
        <v>AV. JUCÁ SAMPAIO, S/N</v>
      </c>
      <c r="L807" s="5" t="str">
        <f>IFERROR(__xludf.DUMMYFUNCTION("""COMPUTED_VALUE"""),"ARTERIAL ")</f>
        <v>ARTERIAL </v>
      </c>
      <c r="M807" s="5" t="str">
        <f>IFERROR(__xludf.DUMMYFUNCTION("""COMPUTED_VALUE"""),"BARRO DURO")</f>
        <v>BARRO DURO</v>
      </c>
      <c r="N807" s="5" t="str">
        <f>IFERROR(__xludf.DUMMYFUNCTION("""COMPUTED_VALUE"""),"CENTRO - BAIRRO")</f>
        <v>CENTRO - BAIRRO</v>
      </c>
      <c r="O807" s="5" t="str">
        <f>IFERROR(__xludf.DUMMYFUNCTION("""COMPUTED_VALUE"""),"EM FRENTE AO FÓRUM ESTADUAL")</f>
        <v>EM FRENTE AO FÓRUM ESTADUAL</v>
      </c>
      <c r="P807" s="5" t="str">
        <f>IFERROR(__xludf.DUMMYFUNCTION("""COMPUTED_VALUE"""),"PRIORIDADE BAIXA")</f>
        <v>PRIORIDADE BAIXA</v>
      </c>
      <c r="Q807" s="5" t="str">
        <f>IFERROR(__xludf.DUMMYFUNCTION("""COMPUTED_VALUE"""),"MANUTENÇÃO DE BAIXA PRIORIDADE.")</f>
        <v>MANUTENÇÃO DE BAIXA PRIORIDADE.</v>
      </c>
      <c r="R807" s="5" t="str">
        <f>IFERROR(__xludf.DUMMYFUNCTION("""COMPUTED_VALUE"""),"NENHUMA DAS OPÇÕES")</f>
        <v>NENHUMA DAS OPÇÕES</v>
      </c>
      <c r="S807" s="5"/>
      <c r="T807" s="5"/>
      <c r="U807" s="5"/>
      <c r="V807" s="9" t="str">
        <f>IFERROR(__xludf.DUMMYFUNCTION("""COMPUTED_VALUE"""),"https://drive.google.com/uc?id=1PG4qAGaiz9WBPCwsiGNQ7PcKQIvzEGr2")</f>
        <v>https://drive.google.com/uc?id=1PG4qAGaiz9WBPCwsiGNQ7PcKQIvzEGr2</v>
      </c>
      <c r="W807" s="5" t="str">
        <f>IFERROR(__xludf.DUMMYFUNCTION("""COMPUTED_VALUE"""),"JUNTOS")</f>
        <v>JUNTOS</v>
      </c>
      <c r="X807" s="5" t="str">
        <f>IFERROR(__xludf.DUMMYFUNCTION("""COMPUTED_VALUE"""),"SIM")</f>
        <v>SIM</v>
      </c>
    </row>
    <row r="808">
      <c r="A808" s="5">
        <f>IFERROR(__xludf.DUMMYFUNCTION("""COMPUTED_VALUE"""),5.0)</f>
        <v>5</v>
      </c>
      <c r="B808" s="5" t="str">
        <f>IFERROR(__xludf.DUMMYFUNCTION("""COMPUTED_VALUE"""),"BD018")</f>
        <v>BD018</v>
      </c>
      <c r="C808" s="5" t="str">
        <f>IFERROR(__xludf.DUMMYFUNCTION("""COMPUTED_VALUE"""),"ABRIGO METÁLICO PEQUENO PORTE")</f>
        <v>ABRIGO METÁLICO PEQUENO PORTE</v>
      </c>
      <c r="D808" s="5" t="str">
        <f>IFERROR(__xludf.DUMMYFUNCTION("""COMPUTED_VALUE"""),"SEM PLACA")</f>
        <v>SEM PLACA</v>
      </c>
      <c r="E808" s="5" t="str">
        <f>IFERROR(__xludf.DUMMYFUNCTION("""COMPUTED_VALUE"""),"SEM BAIA")</f>
        <v>SEM BAIA</v>
      </c>
      <c r="F808" s="5" t="str">
        <f>IFERROR(__xludf.DUMMYFUNCTION("""COMPUTED_VALUE"""),"NÃO")</f>
        <v>NÃO</v>
      </c>
      <c r="G808" s="5" t="str">
        <f>IFERROR(__xludf.DUMMYFUNCTION("""COMPUTED_VALUE"""),"NÃO")</f>
        <v>NÃO</v>
      </c>
      <c r="H808" s="5" t="str">
        <f>IFERROR(__xludf.DUMMYFUNCTION("""COMPUTED_VALUE"""),"PAVIMENTADA")</f>
        <v>PAVIMENTADA</v>
      </c>
      <c r="I808" s="6" t="str">
        <f>IFERROR(__xludf.DUMMYFUNCTION("""COMPUTED_VALUE"""),"-9.618188")</f>
        <v>-9.618188</v>
      </c>
      <c r="J808" s="6" t="str">
        <f>IFERROR(__xludf.DUMMYFUNCTION("""COMPUTED_VALUE"""),"-35.713189")</f>
        <v>-35.713189</v>
      </c>
      <c r="K808" s="5" t="str">
        <f>IFERROR(__xludf.DUMMYFUNCTION("""COMPUTED_VALUE"""),"AV. JUCÁ SAMPAIO, S/N")</f>
        <v>AV. JUCÁ SAMPAIO, S/N</v>
      </c>
      <c r="L808" s="5" t="str">
        <f>IFERROR(__xludf.DUMMYFUNCTION("""COMPUTED_VALUE"""),"ARTERIAL ")</f>
        <v>ARTERIAL </v>
      </c>
      <c r="M808" s="5" t="str">
        <f>IFERROR(__xludf.DUMMYFUNCTION("""COMPUTED_VALUE"""),"BARRO DURO")</f>
        <v>BARRO DURO</v>
      </c>
      <c r="N808" s="5" t="str">
        <f>IFERROR(__xludf.DUMMYFUNCTION("""COMPUTED_VALUE"""),"CENTRO - BAIRRO")</f>
        <v>CENTRO - BAIRRO</v>
      </c>
      <c r="O808" s="5" t="str">
        <f>IFERROR(__xludf.DUMMYFUNCTION("""COMPUTED_VALUE"""),"NA ENTRADA DO SÃO JORGE")</f>
        <v>NA ENTRADA DO SÃO JORGE</v>
      </c>
      <c r="P808" s="5" t="str">
        <f>IFERROR(__xludf.DUMMYFUNCTION("""COMPUTED_VALUE"""),"PRIORIDADE BAIXA")</f>
        <v>PRIORIDADE BAIXA</v>
      </c>
      <c r="Q808" s="5" t="str">
        <f>IFERROR(__xludf.DUMMYFUNCTION("""COMPUTED_VALUE"""),"NECESSÁRIO LIMPEZA DA COBERTA; REFAZER REBOCO; E REPINTURA DE ABRIGO EXISTENTE. READEQUAÇÃO DE CALÇADA COM ACESSIBILIDADE E BAIA.")</f>
        <v>NECESSÁRIO LIMPEZA DA COBERTA; REFAZER REBOCO; E REPINTURA DE ABRIGO EXISTENTE. READEQUAÇÃO DE CALÇADA COM ACESSIBILIDADE E BAIA.</v>
      </c>
      <c r="R808" s="5" t="str">
        <f>IFERROR(__xludf.DUMMYFUNCTION("""COMPUTED_VALUE"""),"SUBSTITUIR ABRIGO")</f>
        <v>SUBSTITUIR ABRIGO</v>
      </c>
      <c r="S808" s="5"/>
      <c r="T808" s="5"/>
      <c r="U808" s="5"/>
      <c r="V808" s="9" t="str">
        <f>IFERROR(__xludf.DUMMYFUNCTION("""COMPUTED_VALUE"""),"https://drive.google.com/uc?id=1xMq3frmxzx6-4np8lXHLuqbIBG4ZipLm
")</f>
        <v>https://drive.google.com/uc?id=1xMq3frmxzx6-4np8lXHLuqbIBG4ZipLm
</v>
      </c>
      <c r="W808" s="5" t="str">
        <f>IFERROR(__xludf.DUMMYFUNCTION("""COMPUTED_VALUE"""),"NÃO")</f>
        <v>NÃO</v>
      </c>
      <c r="X808" s="5" t="str">
        <f>IFERROR(__xludf.DUMMYFUNCTION("""COMPUTED_VALUE"""),"NÃO SE APLICA")</f>
        <v>NÃO SE APLICA</v>
      </c>
    </row>
    <row r="809">
      <c r="A809" s="5">
        <f>IFERROR(__xludf.DUMMYFUNCTION("""COMPUTED_VALUE"""),5.0)</f>
        <v>5</v>
      </c>
      <c r="B809" s="5" t="str">
        <f>IFERROR(__xludf.DUMMYFUNCTION("""COMPUTED_VALUE"""),"BD019")</f>
        <v>BD019</v>
      </c>
      <c r="C809" s="5" t="str">
        <f>IFERROR(__xludf.DUMMYFUNCTION("""COMPUTED_VALUE"""),"ABRIGO METÁLICO NOVO PEQUENO PORTE")</f>
        <v>ABRIGO METÁLICO NOVO PEQUENO PORTE</v>
      </c>
      <c r="D809" s="5" t="str">
        <f>IFERROR(__xludf.DUMMYFUNCTION("""COMPUTED_VALUE"""),"SEM PLACA")</f>
        <v>SEM PLACA</v>
      </c>
      <c r="E809" s="5" t="str">
        <f>IFERROR(__xludf.DUMMYFUNCTION("""COMPUTED_VALUE"""),"SEM BAIA")</f>
        <v>SEM BAIA</v>
      </c>
      <c r="F809" s="5" t="str">
        <f>IFERROR(__xludf.DUMMYFUNCTION("""COMPUTED_VALUE"""),"NÃO")</f>
        <v>NÃO</v>
      </c>
      <c r="G809" s="5" t="str">
        <f>IFERROR(__xludf.DUMMYFUNCTION("""COMPUTED_VALUE"""),"NÃO")</f>
        <v>NÃO</v>
      </c>
      <c r="H809" s="5" t="str">
        <f>IFERROR(__xludf.DUMMYFUNCTION("""COMPUTED_VALUE"""),"PAVIMENTADA")</f>
        <v>PAVIMENTADA</v>
      </c>
      <c r="I809" s="6" t="str">
        <f>IFERROR(__xludf.DUMMYFUNCTION("""COMPUTED_VALUE"""),"-9.61579")</f>
        <v>-9.61579</v>
      </c>
      <c r="J809" s="6" t="str">
        <f>IFERROR(__xludf.DUMMYFUNCTION("""COMPUTED_VALUE"""),"-35.71523")</f>
        <v>-35.71523</v>
      </c>
      <c r="K809" s="5" t="str">
        <f>IFERROR(__xludf.DUMMYFUNCTION("""COMPUTED_VALUE"""),"AV. JUCÁ SAMPAIO, 1391C")</f>
        <v>AV. JUCÁ SAMPAIO, 1391C</v>
      </c>
      <c r="L809" s="5" t="str">
        <f>IFERROR(__xludf.DUMMYFUNCTION("""COMPUTED_VALUE"""),"ARTERIAL ")</f>
        <v>ARTERIAL </v>
      </c>
      <c r="M809" s="5" t="str">
        <f>IFERROR(__xludf.DUMMYFUNCTION("""COMPUTED_VALUE"""),"BARRO DURO")</f>
        <v>BARRO DURO</v>
      </c>
      <c r="N809" s="5" t="str">
        <f>IFERROR(__xludf.DUMMYFUNCTION("""COMPUTED_VALUE"""),"CENTRO - BAIRRO")</f>
        <v>CENTRO - BAIRRO</v>
      </c>
      <c r="O809" s="5" t="str">
        <f>IFERROR(__xludf.DUMMYFUNCTION("""COMPUTED_VALUE"""),"EM FRENTE A MARINHO COMUNICAÇÃO")</f>
        <v>EM FRENTE A MARINHO COMUNICAÇÃO</v>
      </c>
      <c r="P809" s="5" t="str">
        <f>IFERROR(__xludf.DUMMYFUNCTION("""COMPUTED_VALUE"""),"PRIORIDADE BAIXA")</f>
        <v>PRIORIDADE BAIXA</v>
      </c>
      <c r="Q809" s="5" t="str">
        <f>IFERROR(__xludf.DUMMYFUNCTION("""COMPUTED_VALUE"""),"NECESSÁRIO REPINTURA DE ABRIGO. READEQUAÇÃO DE CALÇADA COM ACESSIBILIDADE E BAIA.")</f>
        <v>NECESSÁRIO REPINTURA DE ABRIGO. READEQUAÇÃO DE CALÇADA COM ACESSIBILIDADE E BAIA.</v>
      </c>
      <c r="R809" s="5" t="str">
        <f>IFERROR(__xludf.DUMMYFUNCTION("""COMPUTED_VALUE"""),"NENHUMA DAS OPÇÕES")</f>
        <v>NENHUMA DAS OPÇÕES</v>
      </c>
      <c r="S809" s="5"/>
      <c r="T809" s="5"/>
      <c r="U809" s="5"/>
      <c r="V809" s="9" t="str">
        <f>IFERROR(__xludf.DUMMYFUNCTION("""COMPUTED_VALUE"""),"https://drive.google.com/uc?id=1_LQT_6lJhhLdaxtDQx5ux_tKhiQzsqCp")</f>
        <v>https://drive.google.com/uc?id=1_LQT_6lJhhLdaxtDQx5ux_tKhiQzsqCp</v>
      </c>
      <c r="W809" s="5" t="str">
        <f>IFERROR(__xludf.DUMMYFUNCTION("""COMPUTED_VALUE"""),"NÃO")</f>
        <v>NÃO</v>
      </c>
      <c r="X809" s="5" t="str">
        <f>IFERROR(__xludf.DUMMYFUNCTION("""COMPUTED_VALUE"""),"SIM")</f>
        <v>SIM</v>
      </c>
    </row>
    <row r="810">
      <c r="A810" s="5">
        <f>IFERROR(__xludf.DUMMYFUNCTION("""COMPUTED_VALUE"""),5.0)</f>
        <v>5</v>
      </c>
      <c r="B810" s="5" t="str">
        <f>IFERROR(__xludf.DUMMYFUNCTION("""COMPUTED_VALUE"""),"BD020")</f>
        <v>BD020</v>
      </c>
      <c r="C810" s="5" t="str">
        <f>IFERROR(__xludf.DUMMYFUNCTION("""COMPUTED_VALUE"""),"ABRIGO CONCRETO")</f>
        <v>ABRIGO CONCRETO</v>
      </c>
      <c r="D810" s="5" t="str">
        <f>IFERROR(__xludf.DUMMYFUNCTION("""COMPUTED_VALUE"""),"FIXADA EM POSTE")</f>
        <v>FIXADA EM POSTE</v>
      </c>
      <c r="E810" s="5" t="str">
        <f>IFERROR(__xludf.DUMMYFUNCTION("""COMPUTED_VALUE"""),"SEM BAIA")</f>
        <v>SEM BAIA</v>
      </c>
      <c r="F810" s="5" t="str">
        <f>IFERROR(__xludf.DUMMYFUNCTION("""COMPUTED_VALUE"""),"NÃO")</f>
        <v>NÃO</v>
      </c>
      <c r="G810" s="5" t="str">
        <f>IFERROR(__xludf.DUMMYFUNCTION("""COMPUTED_VALUE"""),"NÃO")</f>
        <v>NÃO</v>
      </c>
      <c r="H810" s="5" t="str">
        <f>IFERROR(__xludf.DUMMYFUNCTION("""COMPUTED_VALUE"""),"PAVIMENTADA")</f>
        <v>PAVIMENTADA</v>
      </c>
      <c r="I810" s="6" t="str">
        <f>IFERROR(__xludf.DUMMYFUNCTION("""COMPUTED_VALUE"""),"-9.61464")</f>
        <v>-9.61464</v>
      </c>
      <c r="J810" s="6" t="str">
        <f>IFERROR(__xludf.DUMMYFUNCTION("""COMPUTED_VALUE"""),"-35.71758")</f>
        <v>-35.71758</v>
      </c>
      <c r="K810" s="5" t="str">
        <f>IFERROR(__xludf.DUMMYFUNCTION("""COMPUTED_VALUE"""),"AV. MENINO MARCELO, S/N")</f>
        <v>AV. MENINO MARCELO, S/N</v>
      </c>
      <c r="L810" s="5" t="str">
        <f>IFERROR(__xludf.DUMMYFUNCTION("""COMPUTED_VALUE"""),"ARTERIAL ")</f>
        <v>ARTERIAL </v>
      </c>
      <c r="M810" s="5" t="str">
        <f>IFERROR(__xludf.DUMMYFUNCTION("""COMPUTED_VALUE"""),"BARRO DURO")</f>
        <v>BARRO DURO</v>
      </c>
      <c r="N810" s="5" t="str">
        <f>IFERROR(__xludf.DUMMYFUNCTION("""COMPUTED_VALUE"""),"CENTRO - BAIRRO")</f>
        <v>CENTRO - BAIRRO</v>
      </c>
      <c r="O810" s="5" t="str">
        <f>IFERROR(__xludf.DUMMYFUNCTION("""COMPUTED_VALUE"""),"EM FRENTE AO RESTAURANTE BICHO DO MAR")</f>
        <v>EM FRENTE AO RESTAURANTE BICHO DO MAR</v>
      </c>
      <c r="P810" s="5" t="str">
        <f>IFERROR(__xludf.DUMMYFUNCTION("""COMPUTED_VALUE"""),"PRIORIDADE BAIXA")</f>
        <v>PRIORIDADE BAIXA</v>
      </c>
      <c r="Q810" s="5" t="str">
        <f>IFERROR(__xludf.DUMMYFUNCTION("""COMPUTED_VALUE"""),"NECESSÁRIO REFAZER REBOCO E REPINTURA NO ABRIGO. READEQUAÇÃO DE CALÇADA COM ACESSIBILIDADE E BAIA.")</f>
        <v>NECESSÁRIO REFAZER REBOCO E REPINTURA NO ABRIGO. READEQUAÇÃO DE CALÇADA COM ACESSIBILIDADE E BAIA.</v>
      </c>
      <c r="R810" s="5" t="str">
        <f>IFERROR(__xludf.DUMMYFUNCTION("""COMPUTED_VALUE"""),"SUBSTITUIR ABRIGO")</f>
        <v>SUBSTITUIR ABRIGO</v>
      </c>
      <c r="S810" s="5"/>
      <c r="T810" s="5"/>
      <c r="U810" s="5"/>
      <c r="V810" s="9" t="str">
        <f>IFERROR(__xludf.DUMMYFUNCTION("""COMPUTED_VALUE"""),"https://drive.google.com/uc?id=1hWi8Cm4NHTjZ_8IOY0EUrKzcTacusP1c")</f>
        <v>https://drive.google.com/uc?id=1hWi8Cm4NHTjZ_8IOY0EUrKzcTacusP1c</v>
      </c>
      <c r="W810" s="5" t="str">
        <f>IFERROR(__xludf.DUMMYFUNCTION("""COMPUTED_VALUE"""),"NÃO")</f>
        <v>NÃO</v>
      </c>
      <c r="X810" s="5" t="str">
        <f>IFERROR(__xludf.DUMMYFUNCTION("""COMPUTED_VALUE"""),"NÃO SE APLICA")</f>
        <v>NÃO SE APLICA</v>
      </c>
    </row>
    <row r="811">
      <c r="A811" s="5">
        <f>IFERROR(__xludf.DUMMYFUNCTION("""COMPUTED_VALUE"""),5.0)</f>
        <v>5</v>
      </c>
      <c r="B811" s="5" t="str">
        <f>IFERROR(__xludf.DUMMYFUNCTION("""COMPUTED_VALUE"""),"BD021")</f>
        <v>BD021</v>
      </c>
      <c r="C811" s="5" t="str">
        <f>IFERROR(__xludf.DUMMYFUNCTION("""COMPUTED_VALUE"""),"ABRIGO METÁLICO PEQUENO PORTE")</f>
        <v>ABRIGO METÁLICO PEQUENO PORTE</v>
      </c>
      <c r="D811" s="5" t="str">
        <f>IFERROR(__xludf.DUMMYFUNCTION("""COMPUTED_VALUE"""),"SEM PLACA")</f>
        <v>SEM PLACA</v>
      </c>
      <c r="E811" s="5" t="str">
        <f>IFERROR(__xludf.DUMMYFUNCTION("""COMPUTED_VALUE"""),"SEM BAIA")</f>
        <v>SEM BAIA</v>
      </c>
      <c r="F811" s="5" t="str">
        <f>IFERROR(__xludf.DUMMYFUNCTION("""COMPUTED_VALUE"""),"NÃO")</f>
        <v>NÃO</v>
      </c>
      <c r="G811" s="5" t="str">
        <f>IFERROR(__xludf.DUMMYFUNCTION("""COMPUTED_VALUE"""),"NÃO")</f>
        <v>NÃO</v>
      </c>
      <c r="H811" s="5" t="str">
        <f>IFERROR(__xludf.DUMMYFUNCTION("""COMPUTED_VALUE"""),"PAVIMENTADA")</f>
        <v>PAVIMENTADA</v>
      </c>
      <c r="I811" s="6" t="str">
        <f>IFERROR(__xludf.DUMMYFUNCTION("""COMPUTED_VALUE"""),"-9.611049")</f>
        <v>-9.611049</v>
      </c>
      <c r="J811" s="6" t="str">
        <f>IFERROR(__xludf.DUMMYFUNCTION("""COMPUTED_VALUE"""),"-35.719153")</f>
        <v>-35.719153</v>
      </c>
      <c r="K811" s="5" t="str">
        <f>IFERROR(__xludf.DUMMYFUNCTION("""COMPUTED_VALUE"""),"AV. MENINO MARCELO, S/N")</f>
        <v>AV. MENINO MARCELO, S/N</v>
      </c>
      <c r="L811" s="5" t="str">
        <f>IFERROR(__xludf.DUMMYFUNCTION("""COMPUTED_VALUE"""),"ARTERIAL ")</f>
        <v>ARTERIAL </v>
      </c>
      <c r="M811" s="5" t="str">
        <f>IFERROR(__xludf.DUMMYFUNCTION("""COMPUTED_VALUE"""),"BARRO DURO")</f>
        <v>BARRO DURO</v>
      </c>
      <c r="N811" s="5" t="str">
        <f>IFERROR(__xludf.DUMMYFUNCTION("""COMPUTED_VALUE"""),"CENTRO - BAIRRO")</f>
        <v>CENTRO - BAIRRO</v>
      </c>
      <c r="O811" s="5" t="str">
        <f>IFERROR(__xludf.DUMMYFUNCTION("""COMPUTED_VALUE"""),"EM FRENTE AO G BARBOSA")</f>
        <v>EM FRENTE AO G BARBOSA</v>
      </c>
      <c r="P811" s="5" t="str">
        <f>IFERROR(__xludf.DUMMYFUNCTION("""COMPUTED_VALUE"""),"PRIORIDADE BAIXA")</f>
        <v>PRIORIDADE BAIXA</v>
      </c>
      <c r="Q811" s="5" t="str">
        <f>IFERROR(__xludf.DUMMYFUNCTION("""COMPUTED_VALUE"""),"NECESSÁRIO REPINTURA DE ABRIGO E LIMPEZA DA COBERTA. READEQUAÇÃO DE CALÇADA COM ACESSIBILIDADE E BAIA.")</f>
        <v>NECESSÁRIO REPINTURA DE ABRIGO E LIMPEZA DA COBERTA. READEQUAÇÃO DE CALÇADA COM ACESSIBILIDADE E BAIA.</v>
      </c>
      <c r="R811" s="5" t="str">
        <f>IFERROR(__xludf.DUMMYFUNCTION("""COMPUTED_VALUE"""),"NENHUMA DAS OPÇÕES")</f>
        <v>NENHUMA DAS OPÇÕES</v>
      </c>
      <c r="S811" s="5"/>
      <c r="T811" s="5"/>
      <c r="U811" s="5"/>
      <c r="V811" s="9" t="str">
        <f>IFERROR(__xludf.DUMMYFUNCTION("""COMPUTED_VALUE"""),"https://drive.google.com/uc?id=1kQKXk6GoG1VNunW78YpCjjETGpHHWmX0")</f>
        <v>https://drive.google.com/uc?id=1kQKXk6GoG1VNunW78YpCjjETGpHHWmX0</v>
      </c>
      <c r="W811" s="5" t="str">
        <f>IFERROR(__xludf.DUMMYFUNCTION("""COMPUTED_VALUE"""),"NÃO")</f>
        <v>NÃO</v>
      </c>
      <c r="X811" s="5" t="str">
        <f>IFERROR(__xludf.DUMMYFUNCTION("""COMPUTED_VALUE"""),"SIM")</f>
        <v>SIM</v>
      </c>
    </row>
    <row r="812">
      <c r="A812" s="5">
        <f>IFERROR(__xludf.DUMMYFUNCTION("""COMPUTED_VALUE"""),5.0)</f>
        <v>5</v>
      </c>
      <c r="B812" s="5" t="str">
        <f>IFERROR(__xludf.DUMMYFUNCTION("""COMPUTED_VALUE"""),"BD022")</f>
        <v>BD022</v>
      </c>
      <c r="C812" s="5" t="str">
        <f>IFERROR(__xludf.DUMMYFUNCTION("""COMPUTED_VALUE"""),"ABRIGO METÁLICO PEQUENO PORTE")</f>
        <v>ABRIGO METÁLICO PEQUENO PORTE</v>
      </c>
      <c r="D812" s="5" t="str">
        <f>IFERROR(__xludf.DUMMYFUNCTION("""COMPUTED_VALUE"""),"SEM PLACA")</f>
        <v>SEM PLACA</v>
      </c>
      <c r="E812" s="5" t="str">
        <f>IFERROR(__xludf.DUMMYFUNCTION("""COMPUTED_VALUE"""),"SEM BAIA")</f>
        <v>SEM BAIA</v>
      </c>
      <c r="F812" s="5" t="str">
        <f>IFERROR(__xludf.DUMMYFUNCTION("""COMPUTED_VALUE"""),"NÃO")</f>
        <v>NÃO</v>
      </c>
      <c r="G812" s="5" t="str">
        <f>IFERROR(__xludf.DUMMYFUNCTION("""COMPUTED_VALUE"""),"NÃO")</f>
        <v>NÃO</v>
      </c>
      <c r="H812" s="5" t="str">
        <f>IFERROR(__xludf.DUMMYFUNCTION("""COMPUTED_VALUE"""),"PAVIMENTADA")</f>
        <v>PAVIMENTADA</v>
      </c>
      <c r="I812" s="6" t="str">
        <f>IFERROR(__xludf.DUMMYFUNCTION("""COMPUTED_VALUE"""),"-9.60891")</f>
        <v>-9.60891</v>
      </c>
      <c r="J812" s="6" t="str">
        <f>IFERROR(__xludf.DUMMYFUNCTION("""COMPUTED_VALUE"""),"-35.72097")</f>
        <v>-35.72097</v>
      </c>
      <c r="K812" s="5" t="str">
        <f>IFERROR(__xludf.DUMMYFUNCTION("""COMPUTED_VALUE"""),"AV. MENINO MARCELO, S/N")</f>
        <v>AV. MENINO MARCELO, S/N</v>
      </c>
      <c r="L812" s="5" t="str">
        <f>IFERROR(__xludf.DUMMYFUNCTION("""COMPUTED_VALUE"""),"ARTERIAL ")</f>
        <v>ARTERIAL </v>
      </c>
      <c r="M812" s="5" t="str">
        <f>IFERROR(__xludf.DUMMYFUNCTION("""COMPUTED_VALUE"""),"BARRO DURO")</f>
        <v>BARRO DURO</v>
      </c>
      <c r="N812" s="5" t="str">
        <f>IFERROR(__xludf.DUMMYFUNCTION("""COMPUTED_VALUE"""),"CENTRO - BAIRRO")</f>
        <v>CENTRO - BAIRRO</v>
      </c>
      <c r="O812" s="5" t="str">
        <f>IFERROR(__xludf.DUMMYFUNCTION("""COMPUTED_VALUE"""),"EM FRENTE A CERVEJARIA TABERNA")</f>
        <v>EM FRENTE A CERVEJARIA TABERNA</v>
      </c>
      <c r="P812" s="5" t="str">
        <f>IFERROR(__xludf.DUMMYFUNCTION("""COMPUTED_VALUE"""),"PRIORIDADE BAIXA")</f>
        <v>PRIORIDADE BAIXA</v>
      </c>
      <c r="Q812" s="5" t="str">
        <f>IFERROR(__xludf.DUMMYFUNCTION("""COMPUTED_VALUE"""),"NECESSÁRIO REPINTURA DE ABRIGO E LIMPEZA DA COBERTA. READEQUAÇÃO DE CALÇADA COM ACESSIBILIDADE E BAIA.")</f>
        <v>NECESSÁRIO REPINTURA DE ABRIGO E LIMPEZA DA COBERTA. READEQUAÇÃO DE CALÇADA COM ACESSIBILIDADE E BAIA.</v>
      </c>
      <c r="R812" s="5" t="str">
        <f>IFERROR(__xludf.DUMMYFUNCTION("""COMPUTED_VALUE"""),"NENHUMA DAS OPÇÕES")</f>
        <v>NENHUMA DAS OPÇÕES</v>
      </c>
      <c r="S812" s="5"/>
      <c r="T812" s="5"/>
      <c r="U812" s="5"/>
      <c r="V812" s="9" t="str">
        <f>IFERROR(__xludf.DUMMYFUNCTION("""COMPUTED_VALUE"""),"https://drive.google.com/uc?id=1t041zpzz6URQk9jmdx7icjLAWxohMhpH")</f>
        <v>https://drive.google.com/uc?id=1t041zpzz6URQk9jmdx7icjLAWxohMhpH</v>
      </c>
      <c r="W812" s="5" t="str">
        <f>IFERROR(__xludf.DUMMYFUNCTION("""COMPUTED_VALUE"""),"NÃO")</f>
        <v>NÃO</v>
      </c>
      <c r="X812" s="5" t="str">
        <f>IFERROR(__xludf.DUMMYFUNCTION("""COMPUTED_VALUE"""),"SIM")</f>
        <v>SIM</v>
      </c>
    </row>
    <row r="813">
      <c r="A813" s="5">
        <f>IFERROR(__xludf.DUMMYFUNCTION("IMPORTRANGE(""https://docs.google.com/spreadsheets/d/10fxs2z9vz1jmULy_hPFiuZnkh4JvywStH8umOAOqNVY/edit#gid=0"", ""FEITOSA!A3:X28"")"),5.0)</f>
        <v>5</v>
      </c>
      <c r="B813" s="5" t="str">
        <f>IFERROR(__xludf.DUMMYFUNCTION("""COMPUTED_VALUE"""),"FE001")</f>
        <v>FE001</v>
      </c>
      <c r="C813" s="5" t="str">
        <f>IFERROR(__xludf.DUMMYFUNCTION("""COMPUTED_VALUE"""),"ABRIGO METÁLICO PEQUENO PORTE")</f>
        <v>ABRIGO METÁLICO PEQUENO PORTE</v>
      </c>
      <c r="D813" s="5" t="str">
        <f>IFERROR(__xludf.DUMMYFUNCTION("""COMPUTED_VALUE"""),"SEM PLACA")</f>
        <v>SEM PLACA</v>
      </c>
      <c r="E813" s="5" t="str">
        <f>IFERROR(__xludf.DUMMYFUNCTION("""COMPUTED_VALUE"""),"BAIA CONSTRUÍDA")</f>
        <v>BAIA CONSTRUÍDA</v>
      </c>
      <c r="F813" s="5" t="str">
        <f>IFERROR(__xludf.DUMMYFUNCTION("""COMPUTED_VALUE"""),"NÃO")</f>
        <v>NÃO</v>
      </c>
      <c r="G813" s="5" t="str">
        <f>IFERROR(__xludf.DUMMYFUNCTION("""COMPUTED_VALUE"""),"NÃO")</f>
        <v>NÃO</v>
      </c>
      <c r="H813" s="5" t="str">
        <f>IFERROR(__xludf.DUMMYFUNCTION("""COMPUTED_VALUE"""),"PAVIMENTADA")</f>
        <v>PAVIMENTADA</v>
      </c>
      <c r="I813" s="6" t="str">
        <f>IFERROR(__xludf.DUMMYFUNCTION("""COMPUTED_VALUE"""),"-9.623447")</f>
        <v>-9.623447</v>
      </c>
      <c r="J813" s="6" t="str">
        <f>IFERROR(__xludf.DUMMYFUNCTION("""COMPUTED_VALUE""")," -35.716773
")</f>
        <v> -35.716773
</v>
      </c>
      <c r="K813" s="5" t="str">
        <f>IFERROR(__xludf.DUMMYFUNCTION("""COMPUTED_VALUE"""),"AV. COM. GUSTAVO PAIVA, 2034")</f>
        <v>AV. COM. GUSTAVO PAIVA, 2034</v>
      </c>
      <c r="L813" s="5" t="str">
        <f>IFERROR(__xludf.DUMMYFUNCTION("""COMPUTED_VALUE"""),"ARTERIAL ")</f>
        <v>ARTERIAL </v>
      </c>
      <c r="M813" s="5" t="str">
        <f>IFERROR(__xludf.DUMMYFUNCTION("""COMPUTED_VALUE"""),"FEITOSA")</f>
        <v>FEITOSA</v>
      </c>
      <c r="N813" s="5" t="str">
        <f>IFERROR(__xludf.DUMMYFUNCTION("""COMPUTED_VALUE"""),"BAIRRO - CENTRO / CENTRO - BAIRRO")</f>
        <v>BAIRRO - CENTRO / CENTRO - BAIRRO</v>
      </c>
      <c r="O813" s="5" t="str">
        <f>IFERROR(__xludf.DUMMYFUNCTION("""COMPUTED_VALUE"""),"EM FRENTE AO VIADUTO OSCAR FONTES LIMA")</f>
        <v>EM FRENTE AO VIADUTO OSCAR FONTES LIMA</v>
      </c>
      <c r="P813" s="5" t="str">
        <f>IFERROR(__xludf.DUMMYFUNCTION("""COMPUTED_VALUE"""),"PRIORIDADE BAIXA")</f>
        <v>PRIORIDADE BAIXA</v>
      </c>
      <c r="Q813" s="5"/>
      <c r="R813" s="5" t="str">
        <f>IFERROR(__xludf.DUMMYFUNCTION("""COMPUTED_VALUE"""),"NENHUMA DAS OPÇÕES")</f>
        <v>NENHUMA DAS OPÇÕES</v>
      </c>
      <c r="S813" s="5"/>
      <c r="T813" s="5"/>
      <c r="U813" s="7">
        <f>IFERROR(__xludf.DUMMYFUNCTION("""COMPUTED_VALUE"""),44873.0)</f>
        <v>44873</v>
      </c>
      <c r="V813" s="9" t="str">
        <f>IFERROR(__xludf.DUMMYFUNCTION("""COMPUTED_VALUE"""),"https://drive.google.com/uc?id=18PqZWzWmHCLoaPW2P3BmXYtBWrAm8KWr")</f>
        <v>https://drive.google.com/uc?id=18PqZWzWmHCLoaPW2P3BmXYtBWrAm8KWr</v>
      </c>
      <c r="W813" s="5" t="str">
        <f>IFERROR(__xludf.DUMMYFUNCTION("""COMPUTED_VALUE"""),"NÃO")</f>
        <v>NÃO</v>
      </c>
      <c r="X813" s="5" t="str">
        <f>IFERROR(__xludf.DUMMYFUNCTION("""COMPUTED_VALUE"""),"NÃO")</f>
        <v>NÃO</v>
      </c>
    </row>
    <row r="814">
      <c r="A814" s="5">
        <f>IFERROR(__xludf.DUMMYFUNCTION("""COMPUTED_VALUE"""),5.0)</f>
        <v>5</v>
      </c>
      <c r="B814" s="5" t="str">
        <f>IFERROR(__xludf.DUMMYFUNCTION("""COMPUTED_VALUE"""),"FE002")</f>
        <v>FE002</v>
      </c>
      <c r="C814" s="5" t="str">
        <f>IFERROR(__xludf.DUMMYFUNCTION("""COMPUTED_VALUE"""),"ABRIGO CONCRETO")</f>
        <v>ABRIGO CONCRETO</v>
      </c>
      <c r="D814" s="5" t="str">
        <f>IFERROR(__xludf.DUMMYFUNCTION("""COMPUTED_VALUE"""),"SEM PLACA")</f>
        <v>SEM PLACA</v>
      </c>
      <c r="E814" s="5" t="str">
        <f>IFERROR(__xludf.DUMMYFUNCTION("""COMPUTED_VALUE"""),"SEM BAIA")</f>
        <v>SEM BAIA</v>
      </c>
      <c r="F814" s="5" t="str">
        <f>IFERROR(__xludf.DUMMYFUNCTION("""COMPUTED_VALUE"""),"NÃO")</f>
        <v>NÃO</v>
      </c>
      <c r="G814" s="5" t="str">
        <f>IFERROR(__xludf.DUMMYFUNCTION("""COMPUTED_VALUE"""),"NÃO")</f>
        <v>NÃO</v>
      </c>
      <c r="H814" s="5" t="str">
        <f>IFERROR(__xludf.DUMMYFUNCTION("""COMPUTED_VALUE"""),"PAVIMENTADA")</f>
        <v>PAVIMENTADA</v>
      </c>
      <c r="I814" s="6" t="str">
        <f>IFERROR(__xludf.DUMMYFUNCTION("""COMPUTED_VALUE"""),"-9.625137")</f>
        <v>-9.625137</v>
      </c>
      <c r="J814" s="6" t="str">
        <f>IFERROR(__xludf.DUMMYFUNCTION("""COMPUTED_VALUE""")," -35.716917
")</f>
        <v> -35.716917
</v>
      </c>
      <c r="K814" s="5" t="str">
        <f>IFERROR(__xludf.DUMMYFUNCTION("""COMPUTED_VALUE"""),"AV. COM. GUSTAVO PAIVA, 2034")</f>
        <v>AV. COM. GUSTAVO PAIVA, 2034</v>
      </c>
      <c r="L814" s="5" t="str">
        <f>IFERROR(__xludf.DUMMYFUNCTION("""COMPUTED_VALUE"""),"ARTERIAL ")</f>
        <v>ARTERIAL </v>
      </c>
      <c r="M814" s="5" t="str">
        <f>IFERROR(__xludf.DUMMYFUNCTION("""COMPUTED_VALUE"""),"FEITOSA")</f>
        <v>FEITOSA</v>
      </c>
      <c r="N814" s="5" t="str">
        <f>IFERROR(__xludf.DUMMYFUNCTION("""COMPUTED_VALUE"""),"BAIRRO - CENTRO / CENTRO - BAIRRO")</f>
        <v>BAIRRO - CENTRO / CENTRO - BAIRRO</v>
      </c>
      <c r="O814" s="5" t="str">
        <f>IFERROR(__xludf.DUMMYFUNCTION("""COMPUTED_VALUE"""),"EM FRENTE A IGREJA DO SÉTIMO DIA")</f>
        <v>EM FRENTE A IGREJA DO SÉTIMO DIA</v>
      </c>
      <c r="P814" s="5" t="str">
        <f>IFERROR(__xludf.DUMMYFUNCTION("""COMPUTED_VALUE"""),"PRIORIDADE MÉDIA")</f>
        <v>PRIORIDADE MÉDIA</v>
      </c>
      <c r="Q814" s="5" t="str">
        <f>IFERROR(__xludf.DUMMYFUNCTION("""COMPUTED_VALUE"""),"NECESSÁRIO LIMPEZA DA COBERTA; REFAZER REBOCO; E REPINTURA DE ABRIGO, READEQUAÇÃO DE CALÇADA COM ACESSIBILIDADE")</f>
        <v>NECESSÁRIO LIMPEZA DA COBERTA; REFAZER REBOCO; E REPINTURA DE ABRIGO, READEQUAÇÃO DE CALÇADA COM ACESSIBILIDADE</v>
      </c>
      <c r="R814" s="5" t="str">
        <f>IFERROR(__xludf.DUMMYFUNCTION("""COMPUTED_VALUE"""),"SUBSTITUIR ABRIGO")</f>
        <v>SUBSTITUIR ABRIGO</v>
      </c>
      <c r="S814" s="5"/>
      <c r="T814" s="5"/>
      <c r="U814" s="7">
        <f>IFERROR(__xludf.DUMMYFUNCTION("""COMPUTED_VALUE"""),44873.0)</f>
        <v>44873</v>
      </c>
      <c r="V814" s="9" t="str">
        <f>IFERROR(__xludf.DUMMYFUNCTION("""COMPUTED_VALUE"""),"https://drive.google.com/uc?id=13eYDbhF16ZIL9UMBdjSTAt-4qBNut9an")</f>
        <v>https://drive.google.com/uc?id=13eYDbhF16ZIL9UMBdjSTAt-4qBNut9an</v>
      </c>
      <c r="W814" s="5" t="str">
        <f>IFERROR(__xludf.DUMMYFUNCTION("""COMPUTED_VALUE"""),"NÃO")</f>
        <v>NÃO</v>
      </c>
      <c r="X814" s="5" t="str">
        <f>IFERROR(__xludf.DUMMYFUNCTION("""COMPUTED_VALUE"""),"NÃO SE APLICA")</f>
        <v>NÃO SE APLICA</v>
      </c>
    </row>
    <row r="815" hidden="1">
      <c r="A815" s="5">
        <f>IFERROR(__xludf.DUMMYFUNCTION("""COMPUTED_VALUE"""),5.0)</f>
        <v>5</v>
      </c>
      <c r="B815" s="5" t="str">
        <f>IFERROR(__xludf.DUMMYFUNCTION("""COMPUTED_VALUE"""),"FE003")</f>
        <v>FE003</v>
      </c>
      <c r="C815" s="5" t="str">
        <f>IFERROR(__xludf.DUMMYFUNCTION("""COMPUTED_VALUE"""),"NÃO POSSUI")</f>
        <v>NÃO POSSUI</v>
      </c>
      <c r="D815" s="5" t="str">
        <f>IFERROR(__xludf.DUMMYFUNCTION("""COMPUTED_VALUE"""),"COM SUPORTE")</f>
        <v>COM SUPORTE</v>
      </c>
      <c r="E815" s="5" t="str">
        <f>IFERROR(__xludf.DUMMYFUNCTION("""COMPUTED_VALUE"""),"SEM BAIA")</f>
        <v>SEM BAIA</v>
      </c>
      <c r="F815" s="5" t="str">
        <f>IFERROR(__xludf.DUMMYFUNCTION("""COMPUTED_VALUE"""),"NÃO")</f>
        <v>NÃO</v>
      </c>
      <c r="G815" s="5" t="str">
        <f>IFERROR(__xludf.DUMMYFUNCTION("""COMPUTED_VALUE"""),"NÃO")</f>
        <v>NÃO</v>
      </c>
      <c r="H815" s="5" t="str">
        <f>IFERROR(__xludf.DUMMYFUNCTION("""COMPUTED_VALUE"""),"PAVIMENTADA")</f>
        <v>PAVIMENTADA</v>
      </c>
      <c r="I815" s="6" t="str">
        <f>IFERROR(__xludf.DUMMYFUNCTION("""COMPUTED_VALUE"""),"-9.627027")</f>
        <v>-9.627027</v>
      </c>
      <c r="J815" s="6" t="str">
        <f>IFERROR(__xludf.DUMMYFUNCTION("""COMPUTED_VALUE"""),"-35.717855")</f>
        <v>-35.717855</v>
      </c>
      <c r="K815" s="5" t="str">
        <f>IFERROR(__xludf.DUMMYFUNCTION("""COMPUTED_VALUE"""),"AV. COM. GUSTAVO PAIVA, S/N")</f>
        <v>AV. COM. GUSTAVO PAIVA, S/N</v>
      </c>
      <c r="L815" s="5" t="str">
        <f>IFERROR(__xludf.DUMMYFUNCTION("""COMPUTED_VALUE"""),"ARTERIAL ")</f>
        <v>ARTERIAL </v>
      </c>
      <c r="M815" s="5" t="str">
        <f>IFERROR(__xludf.DUMMYFUNCTION("""COMPUTED_VALUE"""),"FEITOSA")</f>
        <v>FEITOSA</v>
      </c>
      <c r="N815" s="5" t="str">
        <f>IFERROR(__xludf.DUMMYFUNCTION("""COMPUTED_VALUE"""),"BAIRRO - CENTRO / CENTRO - BAIRRO")</f>
        <v>BAIRRO - CENTRO / CENTRO - BAIRRO</v>
      </c>
      <c r="O815" s="5" t="str">
        <f>IFERROR(__xludf.DUMMYFUNCTION("""COMPUTED_VALUE"""),"EM FRENTE A CASA 646")</f>
        <v>EM FRENTE A CASA 646</v>
      </c>
      <c r="P815" s="5" t="str">
        <f>IFERROR(__xludf.DUMMYFUNCTION("""COMPUTED_VALUE"""),"PRIORIDADE BAIXA")</f>
        <v>PRIORIDADE BAIXA</v>
      </c>
      <c r="Q815" s="5" t="str">
        <f>IFERROR(__xludf.DUMMYFUNCTION("""COMPUTED_VALUE"""),"READEQUAÇÃO DE CALÇADA COM ACESSIBILIDADE.")</f>
        <v>READEQUAÇÃO DE CALÇADA COM ACESSIBILIDADE.</v>
      </c>
      <c r="R815" s="5" t="str">
        <f>IFERROR(__xludf.DUMMYFUNCTION("""COMPUTED_VALUE"""),"NENHUMA DAS OPÇÕES")</f>
        <v>NENHUMA DAS OPÇÕES</v>
      </c>
      <c r="S815" s="5"/>
      <c r="T815" s="5"/>
      <c r="U815" s="7">
        <f>IFERROR(__xludf.DUMMYFUNCTION("""COMPUTED_VALUE"""),44873.0)</f>
        <v>44873</v>
      </c>
      <c r="V815" s="9" t="str">
        <f>IFERROR(__xludf.DUMMYFUNCTION("""COMPUTED_VALUE"""),"https://drive.google.com/uc?id=1W5V798VShX4Ej56Dx_DDWVFKPxSIszbc")</f>
        <v>https://drive.google.com/uc?id=1W5V798VShX4Ej56Dx_DDWVFKPxSIszbc</v>
      </c>
      <c r="W815" s="5" t="str">
        <f>IFERROR(__xludf.DUMMYFUNCTION("""COMPUTED_VALUE"""),"NÃO")</f>
        <v>NÃO</v>
      </c>
      <c r="X815" s="5" t="str">
        <f>IFERROR(__xludf.DUMMYFUNCTION("""COMPUTED_VALUE"""),"NÃO SE APLICA")</f>
        <v>NÃO SE APLICA</v>
      </c>
    </row>
    <row r="816">
      <c r="A816" s="5">
        <f>IFERROR(__xludf.DUMMYFUNCTION("""COMPUTED_VALUE"""),5.0)</f>
        <v>5</v>
      </c>
      <c r="B816" s="5" t="str">
        <f>IFERROR(__xludf.DUMMYFUNCTION("""COMPUTED_VALUE"""),"FE004")</f>
        <v>FE004</v>
      </c>
      <c r="C816" s="5" t="str">
        <f>IFERROR(__xludf.DUMMYFUNCTION("""COMPUTED_VALUE"""),"ABRIGO CONCRETO")</f>
        <v>ABRIGO CONCRETO</v>
      </c>
      <c r="D816" s="5" t="str">
        <f>IFERROR(__xludf.DUMMYFUNCTION("""COMPUTED_VALUE"""),"SEM PLACA")</f>
        <v>SEM PLACA</v>
      </c>
      <c r="E816" s="5" t="str">
        <f>IFERROR(__xludf.DUMMYFUNCTION("""COMPUTED_VALUE"""),"SEM BAIA")</f>
        <v>SEM BAIA</v>
      </c>
      <c r="F816" s="5" t="str">
        <f>IFERROR(__xludf.DUMMYFUNCTION("""COMPUTED_VALUE"""),"NÃO")</f>
        <v>NÃO</v>
      </c>
      <c r="G816" s="5" t="str">
        <f>IFERROR(__xludf.DUMMYFUNCTION("""COMPUTED_VALUE"""),"NÃO")</f>
        <v>NÃO</v>
      </c>
      <c r="H816" s="5" t="str">
        <f>IFERROR(__xludf.DUMMYFUNCTION("""COMPUTED_VALUE"""),"PAVIMENTADA COM AVARIAS")</f>
        <v>PAVIMENTADA COM AVARIAS</v>
      </c>
      <c r="I816" s="6" t="str">
        <f>IFERROR(__xludf.DUMMYFUNCTION("""COMPUTED_VALUE"""),"-9.626693")</f>
        <v>-9.626693</v>
      </c>
      <c r="J816" s="6" t="str">
        <f>IFERROR(__xludf.DUMMYFUNCTION("""COMPUTED_VALUE"""),"-35.719845
")</f>
        <v>-35.719845
</v>
      </c>
      <c r="K816" s="5" t="str">
        <f>IFERROR(__xludf.DUMMYFUNCTION("""COMPUTED_VALUE"""),"AV. COM. GUSTAVO PAIVA, 250")</f>
        <v>AV. COM. GUSTAVO PAIVA, 250</v>
      </c>
      <c r="L816" s="5" t="str">
        <f>IFERROR(__xludf.DUMMYFUNCTION("""COMPUTED_VALUE"""),"ARTERIAL ")</f>
        <v>ARTERIAL </v>
      </c>
      <c r="M816" s="5" t="str">
        <f>IFERROR(__xludf.DUMMYFUNCTION("""COMPUTED_VALUE"""),"FEITOSA")</f>
        <v>FEITOSA</v>
      </c>
      <c r="N816" s="5" t="str">
        <f>IFERROR(__xludf.DUMMYFUNCTION("""COMPUTED_VALUE"""),"BAIRRO - CENTRO / CENTRO - BAIRRO")</f>
        <v>BAIRRO - CENTRO / CENTRO - BAIRRO</v>
      </c>
      <c r="O816" s="5" t="str">
        <f>IFERROR(__xludf.DUMMYFUNCTION("""COMPUTED_VALUE"""),"EM FRENTE AO COLEGIO EXPOENTE")</f>
        <v>EM FRENTE AO COLEGIO EXPOENTE</v>
      </c>
      <c r="P816" s="5" t="str">
        <f>IFERROR(__xludf.DUMMYFUNCTION("""COMPUTED_VALUE"""),"PRIORIDADE MÉDIA")</f>
        <v>PRIORIDADE MÉDIA</v>
      </c>
      <c r="Q816" s="5" t="str">
        <f>IFERROR(__xludf.DUMMYFUNCTION("""COMPUTED_VALUE"""),"NECESSÁRIO LIMPEZA DA COBERTA; REFAZER REBOCO; E REPINTURA DE ABRIGO, READEQUAÇÃO DE CALÇADA COM ACESSIBILIDADE")</f>
        <v>NECESSÁRIO LIMPEZA DA COBERTA; REFAZER REBOCO; E REPINTURA DE ABRIGO, READEQUAÇÃO DE CALÇADA COM ACESSIBILIDADE</v>
      </c>
      <c r="R816" s="5" t="str">
        <f>IFERROR(__xludf.DUMMYFUNCTION("""COMPUTED_VALUE"""),"SUBSTITUIR ABRIGO")</f>
        <v>SUBSTITUIR ABRIGO</v>
      </c>
      <c r="S816" s="5"/>
      <c r="T816" s="5"/>
      <c r="U816" s="7">
        <f>IFERROR(__xludf.DUMMYFUNCTION("""COMPUTED_VALUE"""),44873.0)</f>
        <v>44873</v>
      </c>
      <c r="V816" s="9" t="str">
        <f>IFERROR(__xludf.DUMMYFUNCTION("""COMPUTED_VALUE"""),"https://drive.google.com/uc?id=1nT0fwvkMOQD5RnX-GtH-HxZ_l6o5u4bM")</f>
        <v>https://drive.google.com/uc?id=1nT0fwvkMOQD5RnX-GtH-HxZ_l6o5u4bM</v>
      </c>
      <c r="W816" s="5" t="str">
        <f>IFERROR(__xludf.DUMMYFUNCTION("""COMPUTED_VALUE"""),"NÃO")</f>
        <v>NÃO</v>
      </c>
      <c r="X816" s="5" t="str">
        <f>IFERROR(__xludf.DUMMYFUNCTION("""COMPUTED_VALUE"""),"NÃO SE APLICA")</f>
        <v>NÃO SE APLICA</v>
      </c>
    </row>
    <row r="817">
      <c r="A817" s="5">
        <f>IFERROR(__xludf.DUMMYFUNCTION("""COMPUTED_VALUE"""),5.0)</f>
        <v>5</v>
      </c>
      <c r="B817" s="5" t="str">
        <f>IFERROR(__xludf.DUMMYFUNCTION("""COMPUTED_VALUE"""),"FE005")</f>
        <v>FE005</v>
      </c>
      <c r="C817" s="5" t="str">
        <f>IFERROR(__xludf.DUMMYFUNCTION("""COMPUTED_VALUE"""),"ABRIGO CONCRETO")</f>
        <v>ABRIGO CONCRETO</v>
      </c>
      <c r="D817" s="5" t="str">
        <f>IFERROR(__xludf.DUMMYFUNCTION("""COMPUTED_VALUE"""),"SEM PLACA")</f>
        <v>SEM PLACA</v>
      </c>
      <c r="E817" s="5" t="str">
        <f>IFERROR(__xludf.DUMMYFUNCTION("""COMPUTED_VALUE"""),"SEM BAIA")</f>
        <v>SEM BAIA</v>
      </c>
      <c r="F817" s="5" t="str">
        <f>IFERROR(__xludf.DUMMYFUNCTION("""COMPUTED_VALUE"""),"NÃO")</f>
        <v>NÃO</v>
      </c>
      <c r="G817" s="5" t="str">
        <f>IFERROR(__xludf.DUMMYFUNCTION("""COMPUTED_VALUE"""),"NÃO")</f>
        <v>NÃO</v>
      </c>
      <c r="H817" s="5" t="str">
        <f>IFERROR(__xludf.DUMMYFUNCTION("""COMPUTED_VALUE"""),"NÃO PAVIMENTADA")</f>
        <v>NÃO PAVIMENTADA</v>
      </c>
      <c r="I817" s="6" t="str">
        <f>IFERROR(__xludf.DUMMYFUNCTION("""COMPUTED_VALUE"""),"-9.626665")</f>
        <v>-9.626665</v>
      </c>
      <c r="J817" s="6" t="str">
        <f>IFERROR(__xludf.DUMMYFUNCTION("""COMPUTED_VALUE""")," -35.722173
")</f>
        <v> -35.722173
</v>
      </c>
      <c r="K817" s="5" t="str">
        <f>IFERROR(__xludf.DUMMYFUNCTION("""COMPUTED_VALUE"""),"AV. JUCA SAMPAIO S/NAV. JORNALISTA MÁRCIO CANUTO")</f>
        <v>AV. JUCA SAMPAIO S/NAV. JORNALISTA MÁRCIO CANUTO</v>
      </c>
      <c r="L817" s="5" t="str">
        <f>IFERROR(__xludf.DUMMYFUNCTION("""COMPUTED_VALUE"""),"ARTERIAL ")</f>
        <v>ARTERIAL </v>
      </c>
      <c r="M817" s="5" t="str">
        <f>IFERROR(__xludf.DUMMYFUNCTION("""COMPUTED_VALUE"""),"FEITOSA")</f>
        <v>FEITOSA</v>
      </c>
      <c r="N817" s="5" t="str">
        <f>IFERROR(__xludf.DUMMYFUNCTION("""COMPUTED_VALUE"""),"BAIRRO - CENTRO / CENTRO - BAIRRO")</f>
        <v>BAIRRO - CENTRO / CENTRO - BAIRRO</v>
      </c>
      <c r="O817" s="5" t="str">
        <f>IFERROR(__xludf.DUMMYFUNCTION("""COMPUTED_VALUE"""),"EM FRENTE A LOJA VERDE OLIVA")</f>
        <v>EM FRENTE A LOJA VERDE OLIVA</v>
      </c>
      <c r="P817" s="5" t="str">
        <f>IFERROR(__xludf.DUMMYFUNCTION("""COMPUTED_VALUE"""),"PRIORIDADE MÉDIA")</f>
        <v>PRIORIDADE MÉDIA</v>
      </c>
      <c r="Q817" s="5" t="str">
        <f>IFERROR(__xludf.DUMMYFUNCTION("""COMPUTED_VALUE"""),"READEQUAÇÃO DE CALÇADA COM ACESSIBILIDADE.")</f>
        <v>READEQUAÇÃO DE CALÇADA COM ACESSIBILIDADE.</v>
      </c>
      <c r="R817" s="5" t="str">
        <f>IFERROR(__xludf.DUMMYFUNCTION("""COMPUTED_VALUE"""),"SUBSTITUIR ABRIGO")</f>
        <v>SUBSTITUIR ABRIGO</v>
      </c>
      <c r="S817" s="5"/>
      <c r="T817" s="5"/>
      <c r="U817" s="7">
        <f>IFERROR(__xludf.DUMMYFUNCTION("""COMPUTED_VALUE"""),44873.0)</f>
        <v>44873</v>
      </c>
      <c r="V817" s="9" t="str">
        <f>IFERROR(__xludf.DUMMYFUNCTION("""COMPUTED_VALUE"""),"https://drive.google.com/uc?id=10As5Gr6JSoDLDlBgEgvcgwiGzleAjcnb")</f>
        <v>https://drive.google.com/uc?id=10As5Gr6JSoDLDlBgEgvcgwiGzleAjcnb</v>
      </c>
      <c r="W817" s="5" t="str">
        <f>IFERROR(__xludf.DUMMYFUNCTION("""COMPUTED_VALUE"""),"NÃO")</f>
        <v>NÃO</v>
      </c>
      <c r="X817" s="5" t="str">
        <f>IFERROR(__xludf.DUMMYFUNCTION("""COMPUTED_VALUE"""),"NÃO SE APLICA")</f>
        <v>NÃO SE APLICA</v>
      </c>
    </row>
    <row r="818">
      <c r="A818" s="5">
        <f>IFERROR(__xludf.DUMMYFUNCTION("""COMPUTED_VALUE"""),5.0)</f>
        <v>5</v>
      </c>
      <c r="B818" s="5" t="str">
        <f>IFERROR(__xludf.DUMMYFUNCTION("""COMPUTED_VALUE"""),"FE006")</f>
        <v>FE006</v>
      </c>
      <c r="C818" s="5" t="str">
        <f>IFERROR(__xludf.DUMMYFUNCTION("""COMPUTED_VALUE"""),"ABRIGO CONCRETO")</f>
        <v>ABRIGO CONCRETO</v>
      </c>
      <c r="D818" s="5" t="str">
        <f>IFERROR(__xludf.DUMMYFUNCTION("""COMPUTED_VALUE"""),"SEM PLACA")</f>
        <v>SEM PLACA</v>
      </c>
      <c r="E818" s="5" t="str">
        <f>IFERROR(__xludf.DUMMYFUNCTION("""COMPUTED_VALUE"""),"SEM BAIA")</f>
        <v>SEM BAIA</v>
      </c>
      <c r="F818" s="5" t="str">
        <f>IFERROR(__xludf.DUMMYFUNCTION("""COMPUTED_VALUE"""),"NÃO")</f>
        <v>NÃO</v>
      </c>
      <c r="G818" s="5" t="str">
        <f>IFERROR(__xludf.DUMMYFUNCTION("""COMPUTED_VALUE"""),"NÃO")</f>
        <v>NÃO</v>
      </c>
      <c r="H818" s="5" t="str">
        <f>IFERROR(__xludf.DUMMYFUNCTION("""COMPUTED_VALUE"""),"PAVIMENTADA")</f>
        <v>PAVIMENTADA</v>
      </c>
      <c r="I818" s="6" t="str">
        <f>IFERROR(__xludf.DUMMYFUNCTION("""COMPUTED_VALUE"""),"-9.627513")</f>
        <v>-9.627513</v>
      </c>
      <c r="J818" s="6" t="str">
        <f>IFERROR(__xludf.DUMMYFUNCTION("""COMPUTED_VALUE"""),"-35.723873")</f>
        <v>-35.723873</v>
      </c>
      <c r="K818" s="5" t="str">
        <f>IFERROR(__xludf.DUMMYFUNCTION("""COMPUTED_VALUE"""),"AV. JUCA SAMPAIO, S/N")</f>
        <v>AV. JUCA SAMPAIO, S/N</v>
      </c>
      <c r="L818" s="5" t="str">
        <f>IFERROR(__xludf.DUMMYFUNCTION("""COMPUTED_VALUE"""),"ARTERIAL ")</f>
        <v>ARTERIAL </v>
      </c>
      <c r="M818" s="5" t="str">
        <f>IFERROR(__xludf.DUMMYFUNCTION("""COMPUTED_VALUE"""),"FEITOSA")</f>
        <v>FEITOSA</v>
      </c>
      <c r="N818" s="5" t="str">
        <f>IFERROR(__xludf.DUMMYFUNCTION("""COMPUTED_VALUE"""),"BAIRRO - CENTRO / CENTRO - BAIRRO")</f>
        <v>BAIRRO - CENTRO / CENTRO - BAIRRO</v>
      </c>
      <c r="O818" s="5" t="str">
        <f>IFERROR(__xludf.DUMMYFUNCTION("""COMPUTED_VALUE"""),"EM FRENTE A PRAÇA NOSSA SRA. DE FÁTIMA ")</f>
        <v>EM FRENTE A PRAÇA NOSSA SRA. DE FÁTIMA </v>
      </c>
      <c r="P818" s="5" t="str">
        <f>IFERROR(__xludf.DUMMYFUNCTION("""COMPUTED_VALUE"""),"PRIORIDADE MÉDIA")</f>
        <v>PRIORIDADE MÉDIA</v>
      </c>
      <c r="Q818" s="5" t="str">
        <f>IFERROR(__xludf.DUMMYFUNCTION("""COMPUTED_VALUE"""),"NECESSÁRIO LIMPEZA DA COBERTA; REFAZER REBOCO; E REPINTURA DE ABRIGO, READEQUAÇÃO DE CALÇADA COM ACESSIBILIDADE")</f>
        <v>NECESSÁRIO LIMPEZA DA COBERTA; REFAZER REBOCO; E REPINTURA DE ABRIGO, READEQUAÇÃO DE CALÇADA COM ACESSIBILIDADE</v>
      </c>
      <c r="R818" s="5" t="str">
        <f>IFERROR(__xludf.DUMMYFUNCTION("""COMPUTED_VALUE"""),"SUBSTITUIR ABRIGO")</f>
        <v>SUBSTITUIR ABRIGO</v>
      </c>
      <c r="S818" s="5"/>
      <c r="T818" s="5"/>
      <c r="U818" s="7">
        <f>IFERROR(__xludf.DUMMYFUNCTION("""COMPUTED_VALUE"""),44873.0)</f>
        <v>44873</v>
      </c>
      <c r="V818" s="9" t="str">
        <f>IFERROR(__xludf.DUMMYFUNCTION("""COMPUTED_VALUE"""),"https://drive.google.com/uc?id=1MAfe6f2FXimXYjhYxala_Mo_eO3D2ybM")</f>
        <v>https://drive.google.com/uc?id=1MAfe6f2FXimXYjhYxala_Mo_eO3D2ybM</v>
      </c>
      <c r="W818" s="5" t="str">
        <f>IFERROR(__xludf.DUMMYFUNCTION("""COMPUTED_VALUE"""),"NÃO")</f>
        <v>NÃO</v>
      </c>
      <c r="X818" s="5" t="str">
        <f>IFERROR(__xludf.DUMMYFUNCTION("""COMPUTED_VALUE"""),"NÃO SE APLICA")</f>
        <v>NÃO SE APLICA</v>
      </c>
    </row>
    <row r="819">
      <c r="A819" s="5">
        <f>IFERROR(__xludf.DUMMYFUNCTION("""COMPUTED_VALUE"""),5.0)</f>
        <v>5</v>
      </c>
      <c r="B819" s="5" t="str">
        <f>IFERROR(__xludf.DUMMYFUNCTION("""COMPUTED_VALUE"""),"FE007")</f>
        <v>FE007</v>
      </c>
      <c r="C819" s="5" t="str">
        <f>IFERROR(__xludf.DUMMYFUNCTION("""COMPUTED_VALUE"""),"ABRIGO CONCRETO")</f>
        <v>ABRIGO CONCRETO</v>
      </c>
      <c r="D819" s="5" t="str">
        <f>IFERROR(__xludf.DUMMYFUNCTION("""COMPUTED_VALUE"""),"SEM PLACA")</f>
        <v>SEM PLACA</v>
      </c>
      <c r="E819" s="5" t="str">
        <f>IFERROR(__xludf.DUMMYFUNCTION("""COMPUTED_VALUE"""),"SEM BAIA")</f>
        <v>SEM BAIA</v>
      </c>
      <c r="F819" s="5" t="str">
        <f>IFERROR(__xludf.DUMMYFUNCTION("""COMPUTED_VALUE"""),"NÃO")</f>
        <v>NÃO</v>
      </c>
      <c r="G819" s="5" t="str">
        <f>IFERROR(__xludf.DUMMYFUNCTION("""COMPUTED_VALUE"""),"NÃO")</f>
        <v>NÃO</v>
      </c>
      <c r="H819" s="5" t="str">
        <f>IFERROR(__xludf.DUMMYFUNCTION("""COMPUTED_VALUE"""),"PAVIMENTADA COM AVARIAS")</f>
        <v>PAVIMENTADA COM AVARIAS</v>
      </c>
      <c r="I819" s="6" t="str">
        <f>IFERROR(__xludf.DUMMYFUNCTION("""COMPUTED_VALUE"""),"-9.629637")</f>
        <v>-9.629637</v>
      </c>
      <c r="J819" s="6" t="str">
        <f>IFERROR(__xludf.DUMMYFUNCTION("""COMPUTED_VALUE"""),"-35.724945
")</f>
        <v>-35.724945
</v>
      </c>
      <c r="K819" s="5" t="str">
        <f>IFERROR(__xludf.DUMMYFUNCTION("""COMPUTED_VALUE"""),"AV. GOVERNADOR LAMENHA FILHO S/N")</f>
        <v>AV. GOVERNADOR LAMENHA FILHO S/N</v>
      </c>
      <c r="L819" s="5" t="str">
        <f>IFERROR(__xludf.DUMMYFUNCTION("""COMPUTED_VALUE"""),"COLETORA")</f>
        <v>COLETORA</v>
      </c>
      <c r="M819" s="5" t="str">
        <f>IFERROR(__xludf.DUMMYFUNCTION("""COMPUTED_VALUE"""),"FEITOSA")</f>
        <v>FEITOSA</v>
      </c>
      <c r="N819" s="5" t="str">
        <f>IFERROR(__xludf.DUMMYFUNCTION("""COMPUTED_VALUE"""),"BAIRRO - CENTRO / CENTRO - BAIRRO")</f>
        <v>BAIRRO - CENTRO / CENTRO - BAIRRO</v>
      </c>
      <c r="O819" s="5" t="str">
        <f>IFERROR(__xludf.DUMMYFUNCTION("""COMPUTED_VALUE"""),"EM FRENTE AO ESPAÇO EDUCACIONAL ARTE DO SABER")</f>
        <v>EM FRENTE AO ESPAÇO EDUCACIONAL ARTE DO SABER</v>
      </c>
      <c r="P819" s="5" t="str">
        <f>IFERROR(__xludf.DUMMYFUNCTION("""COMPUTED_VALUE"""),"PRIORIDADE MÉDIA")</f>
        <v>PRIORIDADE MÉDIA</v>
      </c>
      <c r="Q819" s="5" t="str">
        <f>IFERROR(__xludf.DUMMYFUNCTION("""COMPUTED_VALUE"""),"NECESSÁRIO LIMPEZA DA COBERTA; REFAZER REBOCO; E REPINTURA DE ABRIGO, READEQUAÇÃO DE CALÇADA COM ACESSIBILIDADE")</f>
        <v>NECESSÁRIO LIMPEZA DA COBERTA; REFAZER REBOCO; E REPINTURA DE ABRIGO, READEQUAÇÃO DE CALÇADA COM ACESSIBILIDADE</v>
      </c>
      <c r="R819" s="5" t="str">
        <f>IFERROR(__xludf.DUMMYFUNCTION("""COMPUTED_VALUE"""),"SUBSTITUIR ABRIGO")</f>
        <v>SUBSTITUIR ABRIGO</v>
      </c>
      <c r="S819" s="5"/>
      <c r="T819" s="5"/>
      <c r="U819" s="7">
        <f>IFERROR(__xludf.DUMMYFUNCTION("""COMPUTED_VALUE"""),44873.0)</f>
        <v>44873</v>
      </c>
      <c r="V819" s="9" t="str">
        <f>IFERROR(__xludf.DUMMYFUNCTION("""COMPUTED_VALUE"""),"https://drive.google.com/uc?id=1FgroRzHu8Bn4InJMWhBLXr5hp1NRQak7")</f>
        <v>https://drive.google.com/uc?id=1FgroRzHu8Bn4InJMWhBLXr5hp1NRQak7</v>
      </c>
      <c r="W819" s="5" t="str">
        <f>IFERROR(__xludf.DUMMYFUNCTION("""COMPUTED_VALUE"""),"NÃO")</f>
        <v>NÃO</v>
      </c>
      <c r="X819" s="5" t="str">
        <f>IFERROR(__xludf.DUMMYFUNCTION("""COMPUTED_VALUE"""),"NÃO SE APLICA")</f>
        <v>NÃO SE APLICA</v>
      </c>
    </row>
    <row r="820">
      <c r="A820" s="5">
        <f>IFERROR(__xludf.DUMMYFUNCTION("""COMPUTED_VALUE"""),5.0)</f>
        <v>5</v>
      </c>
      <c r="B820" s="5" t="str">
        <f>IFERROR(__xludf.DUMMYFUNCTION("""COMPUTED_VALUE"""),"FE008")</f>
        <v>FE008</v>
      </c>
      <c r="C820" s="5" t="str">
        <f>IFERROR(__xludf.DUMMYFUNCTION("""COMPUTED_VALUE"""),"ABRIGO CONCRETO")</f>
        <v>ABRIGO CONCRETO</v>
      </c>
      <c r="D820" s="5" t="str">
        <f>IFERROR(__xludf.DUMMYFUNCTION("""COMPUTED_VALUE"""),"SEM PLACA")</f>
        <v>SEM PLACA</v>
      </c>
      <c r="E820" s="5" t="str">
        <f>IFERROR(__xludf.DUMMYFUNCTION("""COMPUTED_VALUE"""),"SEM BAIA")</f>
        <v>SEM BAIA</v>
      </c>
      <c r="F820" s="5" t="str">
        <f>IFERROR(__xludf.DUMMYFUNCTION("""COMPUTED_VALUE"""),"NÃO")</f>
        <v>NÃO</v>
      </c>
      <c r="G820" s="5" t="str">
        <f>IFERROR(__xludf.DUMMYFUNCTION("""COMPUTED_VALUE"""),"NÃO")</f>
        <v>NÃO</v>
      </c>
      <c r="H820" s="5" t="str">
        <f>IFERROR(__xludf.DUMMYFUNCTION("""COMPUTED_VALUE"""),"PAVIMENTADA")</f>
        <v>PAVIMENTADA</v>
      </c>
      <c r="I820" s="6" t="str">
        <f>IFERROR(__xludf.DUMMYFUNCTION("""COMPUTED_VALUE"""),"-9.633438")</f>
        <v>-9.633438</v>
      </c>
      <c r="J820" s="6" t="str">
        <f>IFERROR(__xludf.DUMMYFUNCTION("""COMPUTED_VALUE"""),"-35.725572
")</f>
        <v>-35.725572
</v>
      </c>
      <c r="K820" s="5" t="str">
        <f>IFERROR(__xludf.DUMMYFUNCTION("""COMPUTED_VALUE"""),"AV. GOVERNADOR LAMENHA FILHO S/N")</f>
        <v>AV. GOVERNADOR LAMENHA FILHO S/N</v>
      </c>
      <c r="L820" s="5" t="str">
        <f>IFERROR(__xludf.DUMMYFUNCTION("""COMPUTED_VALUE"""),"COLETORA")</f>
        <v>COLETORA</v>
      </c>
      <c r="M820" s="5" t="str">
        <f>IFERROR(__xludf.DUMMYFUNCTION("""COMPUTED_VALUE"""),"FEITOSA")</f>
        <v>FEITOSA</v>
      </c>
      <c r="N820" s="5" t="str">
        <f>IFERROR(__xludf.DUMMYFUNCTION("""COMPUTED_VALUE"""),"BAIRRO - CENTRO / CENTRO - BAIRRO")</f>
        <v>BAIRRO - CENTRO / CENTRO - BAIRRO</v>
      </c>
      <c r="O820" s="5" t="str">
        <f>IFERROR(__xludf.DUMMYFUNCTION("""COMPUTED_VALUE"""),"EM FRENTE AO COLÉGIO ESTADUAL MARIA DAS GRAÇAS DE SÁ TEIXEIRA")</f>
        <v>EM FRENTE AO COLÉGIO ESTADUAL MARIA DAS GRAÇAS DE SÁ TEIXEIRA</v>
      </c>
      <c r="P820" s="5" t="str">
        <f>IFERROR(__xludf.DUMMYFUNCTION("""COMPUTED_VALUE"""),"PRIORIDADE MÉDIA")</f>
        <v>PRIORIDADE MÉDIA</v>
      </c>
      <c r="Q820" s="5" t="str">
        <f>IFERROR(__xludf.DUMMYFUNCTION("""COMPUTED_VALUE"""),"NECESSÁRIO LIMPEZA DA COBERTA; REFAZER REBOCO; E REPINTURA DE ABRIGO, READEQUAÇÃO DE CALÇADA COM ACESSIBILIDADE")</f>
        <v>NECESSÁRIO LIMPEZA DA COBERTA; REFAZER REBOCO; E REPINTURA DE ABRIGO, READEQUAÇÃO DE CALÇADA COM ACESSIBILIDADE</v>
      </c>
      <c r="R820" s="5" t="str">
        <f>IFERROR(__xludf.DUMMYFUNCTION("""COMPUTED_VALUE"""),"SUBSTITUIR ABRIGO")</f>
        <v>SUBSTITUIR ABRIGO</v>
      </c>
      <c r="S820" s="5"/>
      <c r="T820" s="5"/>
      <c r="U820" s="7">
        <f>IFERROR(__xludf.DUMMYFUNCTION("""COMPUTED_VALUE"""),44873.0)</f>
        <v>44873</v>
      </c>
      <c r="V820" s="9" t="str">
        <f>IFERROR(__xludf.DUMMYFUNCTION("""COMPUTED_VALUE"""),"https://drive.google.com/uc?id=1ATSELfMBPYmylDCIXol2Z6Myez44F3uG")</f>
        <v>https://drive.google.com/uc?id=1ATSELfMBPYmylDCIXol2Z6Myez44F3uG</v>
      </c>
      <c r="W820" s="5" t="str">
        <f>IFERROR(__xludf.DUMMYFUNCTION("""COMPUTED_VALUE"""),"NÃO")</f>
        <v>NÃO</v>
      </c>
      <c r="X820" s="5" t="str">
        <f>IFERROR(__xludf.DUMMYFUNCTION("""COMPUTED_VALUE"""),"NÃO SE APLICA")</f>
        <v>NÃO SE APLICA</v>
      </c>
    </row>
    <row r="821" hidden="1">
      <c r="A821" s="5">
        <f>IFERROR(__xludf.DUMMYFUNCTION("""COMPUTED_VALUE"""),5.0)</f>
        <v>5</v>
      </c>
      <c r="B821" s="5" t="str">
        <f>IFERROR(__xludf.DUMMYFUNCTION("""COMPUTED_VALUE"""),"FE009")</f>
        <v>FE009</v>
      </c>
      <c r="C821" s="5" t="str">
        <f>IFERROR(__xludf.DUMMYFUNCTION("""COMPUTED_VALUE"""),"NÃO POSSUI")</f>
        <v>NÃO POSSUI</v>
      </c>
      <c r="D821" s="5" t="str">
        <f>IFERROR(__xludf.DUMMYFUNCTION("""COMPUTED_VALUE"""),"SEM PLACA")</f>
        <v>SEM PLACA</v>
      </c>
      <c r="E821" s="5" t="str">
        <f>IFERROR(__xludf.DUMMYFUNCTION("""COMPUTED_VALUE"""),"SEM BAIA")</f>
        <v>SEM BAIA</v>
      </c>
      <c r="F821" s="5" t="str">
        <f>IFERROR(__xludf.DUMMYFUNCTION("""COMPUTED_VALUE"""),"NÃO")</f>
        <v>NÃO</v>
      </c>
      <c r="G821" s="5" t="str">
        <f>IFERROR(__xludf.DUMMYFUNCTION("""COMPUTED_VALUE"""),"NÃO")</f>
        <v>NÃO</v>
      </c>
      <c r="H821" s="5" t="str">
        <f>IFERROR(__xludf.DUMMYFUNCTION("""COMPUTED_VALUE"""),"PAVIMENTADA")</f>
        <v>PAVIMENTADA</v>
      </c>
      <c r="I821" s="6" t="str">
        <f>IFERROR(__xludf.DUMMYFUNCTION("""COMPUTED_VALUE"""),"-9.636616")</f>
        <v>-9.636616</v>
      </c>
      <c r="J821" s="6" t="str">
        <f>IFERROR(__xludf.DUMMYFUNCTION("""COMPUTED_VALUE"""),"-35.726641
")</f>
        <v>-35.726641
</v>
      </c>
      <c r="K821" s="5" t="str">
        <f>IFERROR(__xludf.DUMMYFUNCTION("""COMPUTED_VALUE"""),"AV. GOVERNADOR LAMENHA FILHO S/N")</f>
        <v>AV. GOVERNADOR LAMENHA FILHO S/N</v>
      </c>
      <c r="L821" s="5" t="str">
        <f>IFERROR(__xludf.DUMMYFUNCTION("""COMPUTED_VALUE"""),"COLETORA")</f>
        <v>COLETORA</v>
      </c>
      <c r="M821" s="5" t="str">
        <f>IFERROR(__xludf.DUMMYFUNCTION("""COMPUTED_VALUE"""),"FEITOSA")</f>
        <v>FEITOSA</v>
      </c>
      <c r="N821" s="5" t="str">
        <f>IFERROR(__xludf.DUMMYFUNCTION("""COMPUTED_VALUE"""),"BAIRRO - CENTRO / CENTRO - BAIRRO")</f>
        <v>BAIRRO - CENTRO / CENTRO - BAIRRO</v>
      </c>
      <c r="O821" s="5" t="str">
        <f>IFERROR(__xludf.DUMMYFUNCTION("""COMPUTED_VALUE"""),"EM FRENTE A HONORATO REFRIGERAÇÃO")</f>
        <v>EM FRENTE A HONORATO REFRIGERAÇÃO</v>
      </c>
      <c r="P821" s="5" t="str">
        <f>IFERROR(__xludf.DUMMYFUNCTION("""COMPUTED_VALUE"""),"URGENTE")</f>
        <v>URGENTE</v>
      </c>
      <c r="Q821" s="5" t="str">
        <f>IFERROR(__xludf.DUMMYFUNCTION("""COMPUTED_VALUE"""),"READEQUAÇÃO DE CALÇADA COM ACESSIBILIDADE, PINTURA DA BAÍA NO ASFALTO,.")</f>
        <v>READEQUAÇÃO DE CALÇADA COM ACESSIBILIDADE, PINTURA DA BAÍA NO ASFALTO,.</v>
      </c>
      <c r="R821" s="5" t="str">
        <f>IFERROR(__xludf.DUMMYFUNCTION("""COMPUTED_VALUE"""),"NENHUMA DAS OPÇÕES")</f>
        <v>NENHUMA DAS OPÇÕES</v>
      </c>
      <c r="S821" s="5"/>
      <c r="T821" s="5"/>
      <c r="U821" s="7">
        <f>IFERROR(__xludf.DUMMYFUNCTION("""COMPUTED_VALUE"""),44873.0)</f>
        <v>44873</v>
      </c>
      <c r="V821" s="9" t="str">
        <f>IFERROR(__xludf.DUMMYFUNCTION("""COMPUTED_VALUE"""),"https://drive.google.com/uc?id=19Ixjl3LM2GaFyExT2bdXPXpTjCIM0wBL")</f>
        <v>https://drive.google.com/uc?id=19Ixjl3LM2GaFyExT2bdXPXpTjCIM0wBL</v>
      </c>
      <c r="W821" s="5" t="str">
        <f>IFERROR(__xludf.DUMMYFUNCTION("""COMPUTED_VALUE"""),"NÃO")</f>
        <v>NÃO</v>
      </c>
      <c r="X821" s="5" t="str">
        <f>IFERROR(__xludf.DUMMYFUNCTION("""COMPUTED_VALUE"""),"NÃO SE APLICA")</f>
        <v>NÃO SE APLICA</v>
      </c>
    </row>
    <row r="822" hidden="1">
      <c r="A822" s="5">
        <f>IFERROR(__xludf.DUMMYFUNCTION("""COMPUTED_VALUE"""),5.0)</f>
        <v>5</v>
      </c>
      <c r="B822" s="5" t="str">
        <f>IFERROR(__xludf.DUMMYFUNCTION("""COMPUTED_VALUE"""),"FE010")</f>
        <v>FE010</v>
      </c>
      <c r="C822" s="5" t="str">
        <f>IFERROR(__xludf.DUMMYFUNCTION("""COMPUTED_VALUE"""),"NÃO POSSUI")</f>
        <v>NÃO POSSUI</v>
      </c>
      <c r="D822" s="5" t="str">
        <f>IFERROR(__xludf.DUMMYFUNCTION("""COMPUTED_VALUE"""),"COM SUPORTE")</f>
        <v>COM SUPORTE</v>
      </c>
      <c r="E822" s="5" t="str">
        <f>IFERROR(__xludf.DUMMYFUNCTION("""COMPUTED_VALUE"""),"SEM BAIA")</f>
        <v>SEM BAIA</v>
      </c>
      <c r="F822" s="5" t="str">
        <f>IFERROR(__xludf.DUMMYFUNCTION("""COMPUTED_VALUE"""),"NÃO")</f>
        <v>NÃO</v>
      </c>
      <c r="G822" s="5" t="str">
        <f>IFERROR(__xludf.DUMMYFUNCTION("""COMPUTED_VALUE"""),"NÃO")</f>
        <v>NÃO</v>
      </c>
      <c r="H822" s="5" t="str">
        <f>IFERROR(__xludf.DUMMYFUNCTION("""COMPUTED_VALUE"""),"PAVIMENTADA")</f>
        <v>PAVIMENTADA</v>
      </c>
      <c r="I822" s="6" t="str">
        <f>IFERROR(__xludf.DUMMYFUNCTION("""COMPUTED_VALUE"""),"-9.637948")</f>
        <v>-9.637948</v>
      </c>
      <c r="J822" s="6" t="str">
        <f>IFERROR(__xludf.DUMMYFUNCTION("""COMPUTED_VALUE"""),"-35.727290")</f>
        <v>-35.727290</v>
      </c>
      <c r="K822" s="5" t="str">
        <f>IFERROR(__xludf.DUMMYFUNCTION("""COMPUTED_VALUE"""),"AV. GOVERNADOR LAMENHA FILHO S/N")</f>
        <v>AV. GOVERNADOR LAMENHA FILHO S/N</v>
      </c>
      <c r="L822" s="5" t="str">
        <f>IFERROR(__xludf.DUMMYFUNCTION("""COMPUTED_VALUE"""),"COLETORA")</f>
        <v>COLETORA</v>
      </c>
      <c r="M822" s="5" t="str">
        <f>IFERROR(__xludf.DUMMYFUNCTION("""COMPUTED_VALUE"""),"FEITOSA")</f>
        <v>FEITOSA</v>
      </c>
      <c r="N822" s="5" t="str">
        <f>IFERROR(__xludf.DUMMYFUNCTION("""COMPUTED_VALUE"""),"BAIRRO - CENTRO / CENTRO - BAIRRO")</f>
        <v>BAIRRO - CENTRO / CENTRO - BAIRRO</v>
      </c>
      <c r="O822" s="5" t="str">
        <f>IFERROR(__xludf.DUMMYFUNCTION("""COMPUTED_VALUE"""),"EM FRENTE A CASA 910")</f>
        <v>EM FRENTE A CASA 910</v>
      </c>
      <c r="P822" s="5" t="str">
        <f>IFERROR(__xludf.DUMMYFUNCTION("""COMPUTED_VALUE"""),"PRIORIDADE BAIXA")</f>
        <v>PRIORIDADE BAIXA</v>
      </c>
      <c r="Q822" s="5" t="str">
        <f>IFERROR(__xludf.DUMMYFUNCTION("""COMPUTED_VALUE"""),"READEQUAÇÃO DE CALÇADA COM ACESSIBILIDADE, PINTURA DA BAÍA NO ASFALTO,.")</f>
        <v>READEQUAÇÃO DE CALÇADA COM ACESSIBILIDADE, PINTURA DA BAÍA NO ASFALTO,.</v>
      </c>
      <c r="R822" s="5" t="str">
        <f>IFERROR(__xludf.DUMMYFUNCTION("""COMPUTED_VALUE"""),"IMPLANTAR ABRIGO")</f>
        <v>IMPLANTAR ABRIGO</v>
      </c>
      <c r="S822" s="5"/>
      <c r="T822" s="5"/>
      <c r="U822" s="7">
        <f>IFERROR(__xludf.DUMMYFUNCTION("""COMPUTED_VALUE"""),44873.0)</f>
        <v>44873</v>
      </c>
      <c r="V822" s="9" t="str">
        <f>IFERROR(__xludf.DUMMYFUNCTION("""COMPUTED_VALUE"""),"https://drive.google.com/uc?id=1wu5Wy8SOMB1aR5kpv9l8sntFLVROsh_I")</f>
        <v>https://drive.google.com/uc?id=1wu5Wy8SOMB1aR5kpv9l8sntFLVROsh_I</v>
      </c>
      <c r="W822" s="5" t="str">
        <f>IFERROR(__xludf.DUMMYFUNCTION("""COMPUTED_VALUE"""),"NÃO")</f>
        <v>NÃO</v>
      </c>
      <c r="X822" s="5" t="str">
        <f>IFERROR(__xludf.DUMMYFUNCTION("""COMPUTED_VALUE"""),"NÃO SE APLICA")</f>
        <v>NÃO SE APLICA</v>
      </c>
    </row>
    <row r="823" hidden="1">
      <c r="A823" s="5">
        <f>IFERROR(__xludf.DUMMYFUNCTION("""COMPUTED_VALUE"""),5.0)</f>
        <v>5</v>
      </c>
      <c r="B823" s="5" t="str">
        <f>IFERROR(__xludf.DUMMYFUNCTION("""COMPUTED_VALUE"""),"FE011")</f>
        <v>FE011</v>
      </c>
      <c r="C823" s="5" t="str">
        <f>IFERROR(__xludf.DUMMYFUNCTION("""COMPUTED_VALUE"""),"NÃO POSSUI")</f>
        <v>NÃO POSSUI</v>
      </c>
      <c r="D823" s="5" t="str">
        <f>IFERROR(__xludf.DUMMYFUNCTION("""COMPUTED_VALUE"""),"COM SUPORTE")</f>
        <v>COM SUPORTE</v>
      </c>
      <c r="E823" s="5" t="str">
        <f>IFERROR(__xludf.DUMMYFUNCTION("""COMPUTED_VALUE"""),"SEM BAIA")</f>
        <v>SEM BAIA</v>
      </c>
      <c r="F823" s="5" t="str">
        <f>IFERROR(__xludf.DUMMYFUNCTION("""COMPUTED_VALUE"""),"NÃO")</f>
        <v>NÃO</v>
      </c>
      <c r="G823" s="5" t="str">
        <f>IFERROR(__xludf.DUMMYFUNCTION("""COMPUTED_VALUE"""),"NÃO")</f>
        <v>NÃO</v>
      </c>
      <c r="H823" s="5" t="str">
        <f>IFERROR(__xludf.DUMMYFUNCTION("""COMPUTED_VALUE"""),"PAVIMENTADA")</f>
        <v>PAVIMENTADA</v>
      </c>
      <c r="I823" s="6" t="str">
        <f>IFERROR(__xludf.DUMMYFUNCTION("""COMPUTED_VALUE"""),"-9.640752")</f>
        <v>-9.640752</v>
      </c>
      <c r="J823" s="6" t="str">
        <f>IFERROR(__xludf.DUMMYFUNCTION("""COMPUTED_VALUE"""),"-35.728582
")</f>
        <v>-35.728582
</v>
      </c>
      <c r="K823" s="5" t="str">
        <f>IFERROR(__xludf.DUMMYFUNCTION("""COMPUTED_VALUE"""),"AV. GOVERNADOR LAMENHA FILHO S/N")</f>
        <v>AV. GOVERNADOR LAMENHA FILHO S/N</v>
      </c>
      <c r="L823" s="5" t="str">
        <f>IFERROR(__xludf.DUMMYFUNCTION("""COMPUTED_VALUE"""),"COLETORA")</f>
        <v>COLETORA</v>
      </c>
      <c r="M823" s="5" t="str">
        <f>IFERROR(__xludf.DUMMYFUNCTION("""COMPUTED_VALUE"""),"FEITOSA")</f>
        <v>FEITOSA</v>
      </c>
      <c r="N823" s="5" t="str">
        <f>IFERROR(__xludf.DUMMYFUNCTION("""COMPUTED_VALUE"""),"BAIRRO - CENTRO / CENTRO - BAIRRO")</f>
        <v>BAIRRO - CENTRO / CENTRO - BAIRRO</v>
      </c>
      <c r="O823" s="5" t="str">
        <f>IFERROR(__xludf.DUMMYFUNCTION("""COMPUTED_VALUE"""),"EM FRENTE A ALEX BARBER")</f>
        <v>EM FRENTE A ALEX BARBER</v>
      </c>
      <c r="P823" s="5" t="str">
        <f>IFERROR(__xludf.DUMMYFUNCTION("""COMPUTED_VALUE"""),"PRIORIDADE BAIXA")</f>
        <v>PRIORIDADE BAIXA</v>
      </c>
      <c r="Q823" s="5" t="str">
        <f>IFERROR(__xludf.DUMMYFUNCTION("""COMPUTED_VALUE"""),"READEQUAÇÃO DE CALÇADA COM ACESSIBILIDADE, PINTURA DA BAÍA NO ASFALTO,.")</f>
        <v>READEQUAÇÃO DE CALÇADA COM ACESSIBILIDADE, PINTURA DA BAÍA NO ASFALTO,.</v>
      </c>
      <c r="R823" s="5" t="str">
        <f>IFERROR(__xludf.DUMMYFUNCTION("""COMPUTED_VALUE"""),"IMPLANTAR ABRIGO")</f>
        <v>IMPLANTAR ABRIGO</v>
      </c>
      <c r="S823" s="5"/>
      <c r="T823" s="5"/>
      <c r="U823" s="7">
        <f>IFERROR(__xludf.DUMMYFUNCTION("""COMPUTED_VALUE"""),44873.0)</f>
        <v>44873</v>
      </c>
      <c r="V823" s="9" t="str">
        <f>IFERROR(__xludf.DUMMYFUNCTION("""COMPUTED_VALUE"""),"https://drive.google.com/uc?id=1hjh44ygu9xsoLxN6oMydv9zOgRxxvUvi")</f>
        <v>https://drive.google.com/uc?id=1hjh44ygu9xsoLxN6oMydv9zOgRxxvUvi</v>
      </c>
      <c r="W823" s="5" t="str">
        <f>IFERROR(__xludf.DUMMYFUNCTION("""COMPUTED_VALUE"""),"NÃO")</f>
        <v>NÃO</v>
      </c>
      <c r="X823" s="5" t="str">
        <f>IFERROR(__xludf.DUMMYFUNCTION("""COMPUTED_VALUE"""),"NÃO SE APLICA")</f>
        <v>NÃO SE APLICA</v>
      </c>
    </row>
    <row r="824">
      <c r="A824" s="5">
        <f>IFERROR(__xludf.DUMMYFUNCTION("""COMPUTED_VALUE"""),5.0)</f>
        <v>5</v>
      </c>
      <c r="B824" s="5" t="str">
        <f>IFERROR(__xludf.DUMMYFUNCTION("""COMPUTED_VALUE"""),"FE012")</f>
        <v>FE012</v>
      </c>
      <c r="C824" s="5" t="str">
        <f>IFERROR(__xludf.DUMMYFUNCTION("""COMPUTED_VALUE"""),"ABRIGO CONCRETO")</f>
        <v>ABRIGO CONCRETO</v>
      </c>
      <c r="D824" s="5" t="str">
        <f>IFERROR(__xludf.DUMMYFUNCTION("""COMPUTED_VALUE"""),"SEM PLACA")</f>
        <v>SEM PLACA</v>
      </c>
      <c r="E824" s="5" t="str">
        <f>IFERROR(__xludf.DUMMYFUNCTION("""COMPUTED_VALUE"""),"SEM BAIA")</f>
        <v>SEM BAIA</v>
      </c>
      <c r="F824" s="5" t="str">
        <f>IFERROR(__xludf.DUMMYFUNCTION("""COMPUTED_VALUE"""),"NÃO")</f>
        <v>NÃO</v>
      </c>
      <c r="G824" s="5" t="str">
        <f>IFERROR(__xludf.DUMMYFUNCTION("""COMPUTED_VALUE"""),"NÃO")</f>
        <v>NÃO</v>
      </c>
      <c r="H824" s="5" t="str">
        <f>IFERROR(__xludf.DUMMYFUNCTION("""COMPUTED_VALUE"""),"NÃO PAVIMENTADA")</f>
        <v>NÃO PAVIMENTADA</v>
      </c>
      <c r="I824" s="6" t="str">
        <f>IFERROR(__xludf.DUMMYFUNCTION("""COMPUTED_VALUE"""),"-9.644759")</f>
        <v>-9.644759</v>
      </c>
      <c r="J824" s="6" t="str">
        <f>IFERROR(__xludf.DUMMYFUNCTION("""COMPUTED_VALUE"""),"-35.728513
")</f>
        <v>-35.728513
</v>
      </c>
      <c r="K824" s="5" t="str">
        <f>IFERROR(__xludf.DUMMYFUNCTION("""COMPUTED_VALUE"""),"AV. GOVERNADOR LAMENHA FILHO S/N")</f>
        <v>AV. GOVERNADOR LAMENHA FILHO S/N</v>
      </c>
      <c r="L824" s="5" t="str">
        <f>IFERROR(__xludf.DUMMYFUNCTION("""COMPUTED_VALUE"""),"COLETORA")</f>
        <v>COLETORA</v>
      </c>
      <c r="M824" s="5" t="str">
        <f>IFERROR(__xludf.DUMMYFUNCTION("""COMPUTED_VALUE"""),"FEITOSA")</f>
        <v>FEITOSA</v>
      </c>
      <c r="N824" s="5" t="str">
        <f>IFERROR(__xludf.DUMMYFUNCTION("""COMPUTED_VALUE"""),"BAIRRO - CENTRO / CENTRO - BAIRRO")</f>
        <v>BAIRRO - CENTRO / CENTRO - BAIRRO</v>
      </c>
      <c r="O824" s="5" t="str">
        <f>IFERROR(__xludf.DUMMYFUNCTION("""COMPUTED_VALUE"""),"EM FRENTE A FÁBIO BIKE")</f>
        <v>EM FRENTE A FÁBIO BIKE</v>
      </c>
      <c r="P824" s="5" t="str">
        <f>IFERROR(__xludf.DUMMYFUNCTION("""COMPUTED_VALUE"""),"PRIORIDADE MÉDIA")</f>
        <v>PRIORIDADE MÉDIA</v>
      </c>
      <c r="Q824" s="5" t="str">
        <f>IFERROR(__xludf.DUMMYFUNCTION("""COMPUTED_VALUE"""),"NECESSÁRIO LIMPEZA DA COBERTA; REFAZER REBOCO; E REPINTURA DE ABRIGO, READEQUAÇÃO DE CALÇADA COM ACESSIBILIDADE")</f>
        <v>NECESSÁRIO LIMPEZA DA COBERTA; REFAZER REBOCO; E REPINTURA DE ABRIGO, READEQUAÇÃO DE CALÇADA COM ACESSIBILIDADE</v>
      </c>
      <c r="R824" s="5" t="str">
        <f>IFERROR(__xludf.DUMMYFUNCTION("""COMPUTED_VALUE"""),"SUBSTITUIR ABRIGO")</f>
        <v>SUBSTITUIR ABRIGO</v>
      </c>
      <c r="S824" s="5"/>
      <c r="T824" s="5"/>
      <c r="U824" s="7">
        <f>IFERROR(__xludf.DUMMYFUNCTION("""COMPUTED_VALUE"""),44873.0)</f>
        <v>44873</v>
      </c>
      <c r="V824" s="9" t="str">
        <f>IFERROR(__xludf.DUMMYFUNCTION("""COMPUTED_VALUE"""),"https://drive.google.com/uc?id=11lb1ij1EsQ_fPFyaE4LIA02D7dYU65OW")</f>
        <v>https://drive.google.com/uc?id=11lb1ij1EsQ_fPFyaE4LIA02D7dYU65OW</v>
      </c>
      <c r="W824" s="5" t="str">
        <f>IFERROR(__xludf.DUMMYFUNCTION("""COMPUTED_VALUE"""),"NÃO")</f>
        <v>NÃO</v>
      </c>
      <c r="X824" s="5" t="str">
        <f>IFERROR(__xludf.DUMMYFUNCTION("""COMPUTED_VALUE"""),"NÃO SE APLICA")</f>
        <v>NÃO SE APLICA</v>
      </c>
    </row>
    <row r="825">
      <c r="A825" s="5">
        <f>IFERROR(__xludf.DUMMYFUNCTION("""COMPUTED_VALUE"""),5.0)</f>
        <v>5</v>
      </c>
      <c r="B825" s="5" t="str">
        <f>IFERROR(__xludf.DUMMYFUNCTION("""COMPUTED_VALUE"""),"FE013")</f>
        <v>FE013</v>
      </c>
      <c r="C825" s="5" t="str">
        <f>IFERROR(__xludf.DUMMYFUNCTION("""COMPUTED_VALUE"""),"ABRIGO PERSONALIZADO")</f>
        <v>ABRIGO PERSONALIZADO</v>
      </c>
      <c r="D825" s="5" t="str">
        <f>IFERROR(__xludf.DUMMYFUNCTION("""COMPUTED_VALUE"""),"SEM PLACA")</f>
        <v>SEM PLACA</v>
      </c>
      <c r="E825" s="5" t="str">
        <f>IFERROR(__xludf.DUMMYFUNCTION("""COMPUTED_VALUE"""),"SEM BAIA")</f>
        <v>SEM BAIA</v>
      </c>
      <c r="F825" s="5" t="str">
        <f>IFERROR(__xludf.DUMMYFUNCTION("""COMPUTED_VALUE"""),"NÃO")</f>
        <v>NÃO</v>
      </c>
      <c r="G825" s="5" t="str">
        <f>IFERROR(__xludf.DUMMYFUNCTION("""COMPUTED_VALUE"""),"NÃO")</f>
        <v>NÃO</v>
      </c>
      <c r="H825" s="5" t="str">
        <f>IFERROR(__xludf.DUMMYFUNCTION("""COMPUTED_VALUE"""),"PAVIMENTADA")</f>
        <v>PAVIMENTADA</v>
      </c>
      <c r="I825" s="6" t="str">
        <f>IFERROR(__xludf.DUMMYFUNCTION("""COMPUTED_VALUE"""),"-9.645539")</f>
        <v>-9.645539</v>
      </c>
      <c r="J825" s="6" t="str">
        <f>IFERROR(__xludf.DUMMYFUNCTION("""COMPUTED_VALUE"""),"-35.726289")</f>
        <v>-35.726289</v>
      </c>
      <c r="K825" s="5" t="str">
        <f>IFERROR(__xludf.DUMMYFUNCTION("""COMPUTED_VALUE"""),"AV. GOVERNADOR LAMENHA FILHO S/N")</f>
        <v>AV. GOVERNADOR LAMENHA FILHO S/N</v>
      </c>
      <c r="L825" s="5" t="str">
        <f>IFERROR(__xludf.DUMMYFUNCTION("""COMPUTED_VALUE"""),"COLETORA")</f>
        <v>COLETORA</v>
      </c>
      <c r="M825" s="5" t="str">
        <f>IFERROR(__xludf.DUMMYFUNCTION("""COMPUTED_VALUE"""),"FEITOSA")</f>
        <v>FEITOSA</v>
      </c>
      <c r="N825" s="5" t="str">
        <f>IFERROR(__xludf.DUMMYFUNCTION("""COMPUTED_VALUE"""),"BAIRRO - CENTRO / CENTRO - BAIRRO")</f>
        <v>BAIRRO - CENTRO / CENTRO - BAIRRO</v>
      </c>
      <c r="O825" s="5" t="str">
        <f>IFERROR(__xludf.DUMMYFUNCTION("""COMPUTED_VALUE"""),"AO LADO DO TERMINAL RODOVIÁRIO DE MACEIÓ")</f>
        <v>AO LADO DO TERMINAL RODOVIÁRIO DE MACEIÓ</v>
      </c>
      <c r="P825" s="5" t="str">
        <f>IFERROR(__xludf.DUMMYFUNCTION("""COMPUTED_VALUE"""),"PRIORIDADE BAIXA")</f>
        <v>PRIORIDADE BAIXA</v>
      </c>
      <c r="Q825" s="5"/>
      <c r="R825" s="5" t="str">
        <f>IFERROR(__xludf.DUMMYFUNCTION("""COMPUTED_VALUE"""),"NENHUMA DAS OPÇÕES")</f>
        <v>NENHUMA DAS OPÇÕES</v>
      </c>
      <c r="S825" s="5"/>
      <c r="T825" s="5"/>
      <c r="U825" s="7">
        <f>IFERROR(__xludf.DUMMYFUNCTION("""COMPUTED_VALUE"""),44873.0)</f>
        <v>44873</v>
      </c>
      <c r="V825" s="9" t="str">
        <f>IFERROR(__xludf.DUMMYFUNCTION("""COMPUTED_VALUE"""),"https://drive.google.com/uc?id=1YiOb8uPGqC4HltGxxpB6DuSuaHGSfdnz")</f>
        <v>https://drive.google.com/uc?id=1YiOb8uPGqC4HltGxxpB6DuSuaHGSfdnz</v>
      </c>
      <c r="W825" s="5" t="str">
        <f>IFERROR(__xludf.DUMMYFUNCTION("""COMPUTED_VALUE"""),"NÃO")</f>
        <v>NÃO</v>
      </c>
      <c r="X825" s="5" t="str">
        <f>IFERROR(__xludf.DUMMYFUNCTION("""COMPUTED_VALUE"""),"NÃO SE APLICA")</f>
        <v>NÃO SE APLICA</v>
      </c>
    </row>
    <row r="826" hidden="1">
      <c r="A826" s="5">
        <f>IFERROR(__xludf.DUMMYFUNCTION("""COMPUTED_VALUE"""),5.0)</f>
        <v>5</v>
      </c>
      <c r="B826" s="5" t="str">
        <f>IFERROR(__xludf.DUMMYFUNCTION("""COMPUTED_VALUE"""),"FE014")</f>
        <v>FE014</v>
      </c>
      <c r="C826" s="5" t="str">
        <f>IFERROR(__xludf.DUMMYFUNCTION("""COMPUTED_VALUE"""),"NÃO POSSUI")</f>
        <v>NÃO POSSUI</v>
      </c>
      <c r="D826" s="5" t="str">
        <f>IFERROR(__xludf.DUMMYFUNCTION("""COMPUTED_VALUE"""),"FIXADA EM POSTE")</f>
        <v>FIXADA EM POSTE</v>
      </c>
      <c r="E826" s="5" t="str">
        <f>IFERROR(__xludf.DUMMYFUNCTION("""COMPUTED_VALUE"""),"SEM BAIA")</f>
        <v>SEM BAIA</v>
      </c>
      <c r="F826" s="5" t="str">
        <f>IFERROR(__xludf.DUMMYFUNCTION("""COMPUTED_VALUE"""),"NÃO")</f>
        <v>NÃO</v>
      </c>
      <c r="G826" s="5" t="str">
        <f>IFERROR(__xludf.DUMMYFUNCTION("""COMPUTED_VALUE"""),"NÃO")</f>
        <v>NÃO</v>
      </c>
      <c r="H826" s="5" t="str">
        <f>IFERROR(__xludf.DUMMYFUNCTION("""COMPUTED_VALUE"""),"PAVIMENTADA")</f>
        <v>PAVIMENTADA</v>
      </c>
      <c r="I826" s="6" t="str">
        <f>IFERROR(__xludf.DUMMYFUNCTION("""COMPUTED_VALUE"""),"-9.643539")</f>
        <v>-9.643539</v>
      </c>
      <c r="J826" s="6" t="str">
        <f>IFERROR(__xludf.DUMMYFUNCTION("""COMPUTED_VALUE"""),"-35.728533
")</f>
        <v>-35.728533
</v>
      </c>
      <c r="K826" s="5" t="str">
        <f>IFERROR(__xludf.DUMMYFUNCTION("""COMPUTED_VALUE"""),"AV. GOVERNADOR LAMENHA FILHO S/N")</f>
        <v>AV. GOVERNADOR LAMENHA FILHO S/N</v>
      </c>
      <c r="L826" s="5" t="str">
        <f>IFERROR(__xludf.DUMMYFUNCTION("""COMPUTED_VALUE"""),"COLETORA")</f>
        <v>COLETORA</v>
      </c>
      <c r="M826" s="5" t="str">
        <f>IFERROR(__xludf.DUMMYFUNCTION("""COMPUTED_VALUE"""),"FEITOSA")</f>
        <v>FEITOSA</v>
      </c>
      <c r="N826" s="5" t="str">
        <f>IFERROR(__xludf.DUMMYFUNCTION("""COMPUTED_VALUE"""),"BAIRRO - CENTRO / CENTRO - BAIRRO")</f>
        <v>BAIRRO - CENTRO / CENTRO - BAIRRO</v>
      </c>
      <c r="O826" s="5" t="str">
        <f>IFERROR(__xludf.DUMMYFUNCTION("""COMPUTED_VALUE"""),"EM FRENTE A ASSEMBLEIA DE DEUS")</f>
        <v>EM FRENTE A ASSEMBLEIA DE DEUS</v>
      </c>
      <c r="P826" s="5" t="str">
        <f>IFERROR(__xludf.DUMMYFUNCTION("""COMPUTED_VALUE"""),"PRIORIDADE BAIXA")</f>
        <v>PRIORIDADE BAIXA</v>
      </c>
      <c r="Q826" s="5" t="str">
        <f>IFERROR(__xludf.DUMMYFUNCTION("""COMPUTED_VALUE"""),"READEQUAÇÃO DE CALÇADA COM ACESSIBILIDADE, PINTURA DA BAÍA NO ASFALTO,.")</f>
        <v>READEQUAÇÃO DE CALÇADA COM ACESSIBILIDADE, PINTURA DA BAÍA NO ASFALTO,.</v>
      </c>
      <c r="R826" s="5" t="str">
        <f>IFERROR(__xludf.DUMMYFUNCTION("""COMPUTED_VALUE"""),"NENHUMA DAS OPÇÕES")</f>
        <v>NENHUMA DAS OPÇÕES</v>
      </c>
      <c r="S826" s="5"/>
      <c r="T826" s="5"/>
      <c r="U826" s="7">
        <f>IFERROR(__xludf.DUMMYFUNCTION("""COMPUTED_VALUE"""),44873.0)</f>
        <v>44873</v>
      </c>
      <c r="V826" s="9" t="str">
        <f>IFERROR(__xludf.DUMMYFUNCTION("""COMPUTED_VALUE"""),"https://drive.google.com/uc?id=1qDyZ3XepOUe3rXasbPjnrbBqrLU6CI1b")</f>
        <v>https://drive.google.com/uc?id=1qDyZ3XepOUe3rXasbPjnrbBqrLU6CI1b</v>
      </c>
      <c r="W826" s="5" t="str">
        <f>IFERROR(__xludf.DUMMYFUNCTION("""COMPUTED_VALUE"""),"NÃO")</f>
        <v>NÃO</v>
      </c>
      <c r="X826" s="5" t="str">
        <f>IFERROR(__xludf.DUMMYFUNCTION("""COMPUTED_VALUE"""),"NÃO SE APLICA")</f>
        <v>NÃO SE APLICA</v>
      </c>
    </row>
    <row r="827" hidden="1">
      <c r="A827" s="5">
        <f>IFERROR(__xludf.DUMMYFUNCTION("""COMPUTED_VALUE"""),5.0)</f>
        <v>5</v>
      </c>
      <c r="B827" s="5" t="str">
        <f>IFERROR(__xludf.DUMMYFUNCTION("""COMPUTED_VALUE"""),"FE015")</f>
        <v>FE015</v>
      </c>
      <c r="C827" s="5" t="str">
        <f>IFERROR(__xludf.DUMMYFUNCTION("""COMPUTED_VALUE"""),"NÃO POSSUI")</f>
        <v>NÃO POSSUI</v>
      </c>
      <c r="D827" s="5" t="str">
        <f>IFERROR(__xludf.DUMMYFUNCTION("""COMPUTED_VALUE"""),"FIXADA EM POSTE")</f>
        <v>FIXADA EM POSTE</v>
      </c>
      <c r="E827" s="5" t="str">
        <f>IFERROR(__xludf.DUMMYFUNCTION("""COMPUTED_VALUE"""),"SEM BAIA")</f>
        <v>SEM BAIA</v>
      </c>
      <c r="F827" s="5" t="str">
        <f>IFERROR(__xludf.DUMMYFUNCTION("""COMPUTED_VALUE"""),"NÃO")</f>
        <v>NÃO</v>
      </c>
      <c r="G827" s="5" t="str">
        <f>IFERROR(__xludf.DUMMYFUNCTION("""COMPUTED_VALUE"""),"NÃO")</f>
        <v>NÃO</v>
      </c>
      <c r="H827" s="5" t="str">
        <f>IFERROR(__xludf.DUMMYFUNCTION("""COMPUTED_VALUE"""),"PAVIMENTADA")</f>
        <v>PAVIMENTADA</v>
      </c>
      <c r="I827" s="6" t="str">
        <f>IFERROR(__xludf.DUMMYFUNCTION("""COMPUTED_VALUE"""),"-9.640655")</f>
        <v>-9.640655</v>
      </c>
      <c r="J827" s="6" t="str">
        <f>IFERROR(__xludf.DUMMYFUNCTION("""COMPUTED_VALUE""")," -35.728478
")</f>
        <v> -35.728478
</v>
      </c>
      <c r="K827" s="5" t="str">
        <f>IFERROR(__xludf.DUMMYFUNCTION("""COMPUTED_VALUE"""),"AV. GOVERNADOR LAMENHA FILHO S/N")</f>
        <v>AV. GOVERNADOR LAMENHA FILHO S/N</v>
      </c>
      <c r="L827" s="5" t="str">
        <f>IFERROR(__xludf.DUMMYFUNCTION("""COMPUTED_VALUE"""),"COLETORA")</f>
        <v>COLETORA</v>
      </c>
      <c r="M827" s="5" t="str">
        <f>IFERROR(__xludf.DUMMYFUNCTION("""COMPUTED_VALUE"""),"FEITOSA")</f>
        <v>FEITOSA</v>
      </c>
      <c r="N827" s="5" t="str">
        <f>IFERROR(__xludf.DUMMYFUNCTION("""COMPUTED_VALUE"""),"BAIRRO - CENTRO / CENTRO - BAIRRO")</f>
        <v>BAIRRO - CENTRO / CENTRO - BAIRRO</v>
      </c>
      <c r="O827" s="5" t="str">
        <f>IFERROR(__xludf.DUMMYFUNCTION("""COMPUTED_VALUE"""),"AO LADO DA CASA 598")</f>
        <v>AO LADO DA CASA 598</v>
      </c>
      <c r="P827" s="5" t="str">
        <f>IFERROR(__xludf.DUMMYFUNCTION("""COMPUTED_VALUE"""),"PRIORIDADE BAIXA")</f>
        <v>PRIORIDADE BAIXA</v>
      </c>
      <c r="Q827" s="5" t="str">
        <f>IFERROR(__xludf.DUMMYFUNCTION("""COMPUTED_VALUE"""),"READEQUAÇÃO DE CALÇADA COM ACESSIBILIDADE, PINTURA DA BAÍA NO ASFALTO,.")</f>
        <v>READEQUAÇÃO DE CALÇADA COM ACESSIBILIDADE, PINTURA DA BAÍA NO ASFALTO,.</v>
      </c>
      <c r="R827" s="5" t="str">
        <f>IFERROR(__xludf.DUMMYFUNCTION("""COMPUTED_VALUE"""),"NENHUMA DAS OPÇÕES")</f>
        <v>NENHUMA DAS OPÇÕES</v>
      </c>
      <c r="S827" s="5"/>
      <c r="T827" s="5"/>
      <c r="U827" s="7">
        <f>IFERROR(__xludf.DUMMYFUNCTION("""COMPUTED_VALUE"""),44873.0)</f>
        <v>44873</v>
      </c>
      <c r="V827" s="9" t="str">
        <f>IFERROR(__xludf.DUMMYFUNCTION("""COMPUTED_VALUE"""),"https://drive.google.com/uc?id=15Uxi0yF5tqjYkTadKlc1SoYoXhG4rk8c")</f>
        <v>https://drive.google.com/uc?id=15Uxi0yF5tqjYkTadKlc1SoYoXhG4rk8c</v>
      </c>
      <c r="W827" s="5" t="str">
        <f>IFERROR(__xludf.DUMMYFUNCTION("""COMPUTED_VALUE"""),"NÃO")</f>
        <v>NÃO</v>
      </c>
      <c r="X827" s="5" t="str">
        <f>IFERROR(__xludf.DUMMYFUNCTION("""COMPUTED_VALUE"""),"NÃO SE APLICA")</f>
        <v>NÃO SE APLICA</v>
      </c>
    </row>
    <row r="828" hidden="1">
      <c r="A828" s="5">
        <f>IFERROR(__xludf.DUMMYFUNCTION("""COMPUTED_VALUE"""),5.0)</f>
        <v>5</v>
      </c>
      <c r="B828" s="5" t="str">
        <f>IFERROR(__xludf.DUMMYFUNCTION("""COMPUTED_VALUE"""),"FE016")</f>
        <v>FE016</v>
      </c>
      <c r="C828" s="5" t="str">
        <f>IFERROR(__xludf.DUMMYFUNCTION("""COMPUTED_VALUE"""),"NÃO POSSUI")</f>
        <v>NÃO POSSUI</v>
      </c>
      <c r="D828" s="5" t="str">
        <f>IFERROR(__xludf.DUMMYFUNCTION("""COMPUTED_VALUE"""),"FIXADA EM POSTE")</f>
        <v>FIXADA EM POSTE</v>
      </c>
      <c r="E828" s="5" t="str">
        <f>IFERROR(__xludf.DUMMYFUNCTION("""COMPUTED_VALUE"""),"SEM BAIA")</f>
        <v>SEM BAIA</v>
      </c>
      <c r="F828" s="5" t="str">
        <f>IFERROR(__xludf.DUMMYFUNCTION("""COMPUTED_VALUE"""),"NÃO")</f>
        <v>NÃO</v>
      </c>
      <c r="G828" s="5" t="str">
        <f>IFERROR(__xludf.DUMMYFUNCTION("""COMPUTED_VALUE"""),"NÃO")</f>
        <v>NÃO</v>
      </c>
      <c r="H828" s="5" t="str">
        <f>IFERROR(__xludf.DUMMYFUNCTION("""COMPUTED_VALUE"""),"PAVIMENTADA")</f>
        <v>PAVIMENTADA</v>
      </c>
      <c r="I828" s="6" t="str">
        <f>IFERROR(__xludf.DUMMYFUNCTION("""COMPUTED_VALUE"""),"-9.638330")</f>
        <v>-9.638330</v>
      </c>
      <c r="J828" s="6" t="str">
        <f>IFERROR(__xludf.DUMMYFUNCTION("""COMPUTED_VALUE"""),"-35.727392")</f>
        <v>-35.727392</v>
      </c>
      <c r="K828" s="5" t="str">
        <f>IFERROR(__xludf.DUMMYFUNCTION("""COMPUTED_VALUE"""),"AV. GOVERNADOR LAMENHA FILHO S/N")</f>
        <v>AV. GOVERNADOR LAMENHA FILHO S/N</v>
      </c>
      <c r="L828" s="5" t="str">
        <f>IFERROR(__xludf.DUMMYFUNCTION("""COMPUTED_VALUE"""),"COLETORA")</f>
        <v>COLETORA</v>
      </c>
      <c r="M828" s="5" t="str">
        <f>IFERROR(__xludf.DUMMYFUNCTION("""COMPUTED_VALUE"""),"FEITOSA")</f>
        <v>FEITOSA</v>
      </c>
      <c r="N828" s="5" t="str">
        <f>IFERROR(__xludf.DUMMYFUNCTION("""COMPUTED_VALUE"""),"BAIRRO - CENTRO / CENTRO - BAIRRO")</f>
        <v>BAIRRO - CENTRO / CENTRO - BAIRRO</v>
      </c>
      <c r="O828" s="5" t="str">
        <f>IFERROR(__xludf.DUMMYFUNCTION("""COMPUTED_VALUE"""),"EM FRENTE A TRANSPORTADORA PROGRESSO CARGAS")</f>
        <v>EM FRENTE A TRANSPORTADORA PROGRESSO CARGAS</v>
      </c>
      <c r="P828" s="5" t="str">
        <f>IFERROR(__xludf.DUMMYFUNCTION("""COMPUTED_VALUE"""),"PRIORIDADE BAIXA")</f>
        <v>PRIORIDADE BAIXA</v>
      </c>
      <c r="Q828" s="5" t="str">
        <f>IFERROR(__xludf.DUMMYFUNCTION("""COMPUTED_VALUE"""),"READEQUAÇÃO DE CALÇADA COM ACESSIBILIDADE, PINTURA DA BAÍA NO ASFALTO,.")</f>
        <v>READEQUAÇÃO DE CALÇADA COM ACESSIBILIDADE, PINTURA DA BAÍA NO ASFALTO,.</v>
      </c>
      <c r="R828" s="5" t="str">
        <f>IFERROR(__xludf.DUMMYFUNCTION("""COMPUTED_VALUE"""),"NENHUMA DAS OPÇÕES")</f>
        <v>NENHUMA DAS OPÇÕES</v>
      </c>
      <c r="S828" s="5"/>
      <c r="T828" s="5"/>
      <c r="U828" s="7">
        <f>IFERROR(__xludf.DUMMYFUNCTION("""COMPUTED_VALUE"""),44873.0)</f>
        <v>44873</v>
      </c>
      <c r="V828" s="9" t="str">
        <f>IFERROR(__xludf.DUMMYFUNCTION("""COMPUTED_VALUE"""),"https://drive.google.com/uc?id=1Skw0Ug4yB5NRTFToGp9eRrnOc69y2m1K")</f>
        <v>https://drive.google.com/uc?id=1Skw0Ug4yB5NRTFToGp9eRrnOc69y2m1K</v>
      </c>
      <c r="W828" s="5" t="str">
        <f>IFERROR(__xludf.DUMMYFUNCTION("""COMPUTED_VALUE"""),"NÃO")</f>
        <v>NÃO</v>
      </c>
      <c r="X828" s="5" t="str">
        <f>IFERROR(__xludf.DUMMYFUNCTION("""COMPUTED_VALUE"""),"NÃO SE APLICA")</f>
        <v>NÃO SE APLICA</v>
      </c>
    </row>
    <row r="829">
      <c r="A829" s="5">
        <f>IFERROR(__xludf.DUMMYFUNCTION("""COMPUTED_VALUE"""),5.0)</f>
        <v>5</v>
      </c>
      <c r="B829" s="5" t="str">
        <f>IFERROR(__xludf.DUMMYFUNCTION("""COMPUTED_VALUE"""),"FE017")</f>
        <v>FE017</v>
      </c>
      <c r="C829" s="5" t="str">
        <f>IFERROR(__xludf.DUMMYFUNCTION("""COMPUTED_VALUE"""),"ABRIGO CONCRETO")</f>
        <v>ABRIGO CONCRETO</v>
      </c>
      <c r="D829" s="5" t="str">
        <f>IFERROR(__xludf.DUMMYFUNCTION("""COMPUTED_VALUE"""),"SEM PLACA")</f>
        <v>SEM PLACA</v>
      </c>
      <c r="E829" s="5" t="str">
        <f>IFERROR(__xludf.DUMMYFUNCTION("""COMPUTED_VALUE"""),"SEM BAIA")</f>
        <v>SEM BAIA</v>
      </c>
      <c r="F829" s="5" t="str">
        <f>IFERROR(__xludf.DUMMYFUNCTION("""COMPUTED_VALUE"""),"NÃO")</f>
        <v>NÃO</v>
      </c>
      <c r="G829" s="5" t="str">
        <f>IFERROR(__xludf.DUMMYFUNCTION("""COMPUTED_VALUE"""),"NÃO")</f>
        <v>NÃO</v>
      </c>
      <c r="H829" s="5" t="str">
        <f>IFERROR(__xludf.DUMMYFUNCTION("""COMPUTED_VALUE"""),"PAVIMENTADA")</f>
        <v>PAVIMENTADA</v>
      </c>
      <c r="I829" s="6" t="str">
        <f>IFERROR(__xludf.DUMMYFUNCTION("""COMPUTED_VALUE"""),"-9.636450")</f>
        <v>-9.636450</v>
      </c>
      <c r="J829" s="6" t="str">
        <f>IFERROR(__xludf.DUMMYFUNCTION("""COMPUTED_VALUE"""),"-35.726450")</f>
        <v>-35.726450</v>
      </c>
      <c r="K829" s="5" t="str">
        <f>IFERROR(__xludf.DUMMYFUNCTION("""COMPUTED_VALUE"""),"AV. GOVERNADOR LAMENHA FILHO S/N")</f>
        <v>AV. GOVERNADOR LAMENHA FILHO S/N</v>
      </c>
      <c r="L829" s="5" t="str">
        <f>IFERROR(__xludf.DUMMYFUNCTION("""COMPUTED_VALUE"""),"COLETORA")</f>
        <v>COLETORA</v>
      </c>
      <c r="M829" s="5" t="str">
        <f>IFERROR(__xludf.DUMMYFUNCTION("""COMPUTED_VALUE"""),"FEITOSA")</f>
        <v>FEITOSA</v>
      </c>
      <c r="N829" s="5" t="str">
        <f>IFERROR(__xludf.DUMMYFUNCTION("""COMPUTED_VALUE"""),"BAIRRO - CENTRO / CENTRO - BAIRRO")</f>
        <v>BAIRRO - CENTRO / CENTRO - BAIRRO</v>
      </c>
      <c r="O829" s="5" t="str">
        <f>IFERROR(__xludf.DUMMYFUNCTION("""COMPUTED_VALUE"""),"AO LADO DA PANIFICAÇÃO J. PAULINO")</f>
        <v>AO LADO DA PANIFICAÇÃO J. PAULINO</v>
      </c>
      <c r="P829" s="5" t="str">
        <f>IFERROR(__xludf.DUMMYFUNCTION("""COMPUTED_VALUE"""),"PRIORIDADE MÉDIA")</f>
        <v>PRIORIDADE MÉDIA</v>
      </c>
      <c r="Q829" s="5" t="str">
        <f>IFERROR(__xludf.DUMMYFUNCTION("""COMPUTED_VALUE"""),"NECESSÁRIO LIMPEZA DA COBERTA; REFAZER REBOCO; E REPINTURA DE ABRIGO, READEQUAÇÃO DE CALÇADA COM ACESSIBILIDADE")</f>
        <v>NECESSÁRIO LIMPEZA DA COBERTA; REFAZER REBOCO; E REPINTURA DE ABRIGO, READEQUAÇÃO DE CALÇADA COM ACESSIBILIDADE</v>
      </c>
      <c r="R829" s="5" t="str">
        <f>IFERROR(__xludf.DUMMYFUNCTION("""COMPUTED_VALUE"""),"SUBSTITUIR ABRIGO")</f>
        <v>SUBSTITUIR ABRIGO</v>
      </c>
      <c r="S829" s="5"/>
      <c r="T829" s="5"/>
      <c r="U829" s="7">
        <f>IFERROR(__xludf.DUMMYFUNCTION("""COMPUTED_VALUE"""),44873.0)</f>
        <v>44873</v>
      </c>
      <c r="V829" s="9" t="str">
        <f>IFERROR(__xludf.DUMMYFUNCTION("""COMPUTED_VALUE"""),"https://drive.google.com/uc?id=1vWZ4txXKKVK3UDfyg--HdD8Vk__hDJZv")</f>
        <v>https://drive.google.com/uc?id=1vWZ4txXKKVK3UDfyg--HdD8Vk__hDJZv</v>
      </c>
      <c r="W829" s="5" t="str">
        <f>IFERROR(__xludf.DUMMYFUNCTION("""COMPUTED_VALUE"""),"NÃO")</f>
        <v>NÃO</v>
      </c>
      <c r="X829" s="5" t="str">
        <f>IFERROR(__xludf.DUMMYFUNCTION("""COMPUTED_VALUE"""),"NÃO SE APLICA")</f>
        <v>NÃO SE APLICA</v>
      </c>
    </row>
    <row r="830">
      <c r="A830" s="5">
        <f>IFERROR(__xludf.DUMMYFUNCTION("""COMPUTED_VALUE"""),5.0)</f>
        <v>5</v>
      </c>
      <c r="B830" s="5" t="str">
        <f>IFERROR(__xludf.DUMMYFUNCTION("""COMPUTED_VALUE"""),"FE018")</f>
        <v>FE018</v>
      </c>
      <c r="C830" s="5" t="str">
        <f>IFERROR(__xludf.DUMMYFUNCTION("""COMPUTED_VALUE"""),"ABRIGO CONCRETO")</f>
        <v>ABRIGO CONCRETO</v>
      </c>
      <c r="D830" s="5" t="str">
        <f>IFERROR(__xludf.DUMMYFUNCTION("""COMPUTED_VALUE"""),"SEM PLACA")</f>
        <v>SEM PLACA</v>
      </c>
      <c r="E830" s="5" t="str">
        <f>IFERROR(__xludf.DUMMYFUNCTION("""COMPUTED_VALUE"""),"SEM BAIA")</f>
        <v>SEM BAIA</v>
      </c>
      <c r="F830" s="5" t="str">
        <f>IFERROR(__xludf.DUMMYFUNCTION("""COMPUTED_VALUE"""),"NÃO")</f>
        <v>NÃO</v>
      </c>
      <c r="G830" s="5" t="str">
        <f>IFERROR(__xludf.DUMMYFUNCTION("""COMPUTED_VALUE"""),"NÃO")</f>
        <v>NÃO</v>
      </c>
      <c r="H830" s="5" t="str">
        <f>IFERROR(__xludf.DUMMYFUNCTION("""COMPUTED_VALUE"""),"PAVIMENTADA")</f>
        <v>PAVIMENTADA</v>
      </c>
      <c r="I830" s="6" t="str">
        <f>IFERROR(__xludf.DUMMYFUNCTION("""COMPUTED_VALUE"""),"-9.633797")</f>
        <v>-9.633797</v>
      </c>
      <c r="J830" s="6" t="str">
        <f>IFERROR(__xludf.DUMMYFUNCTION("""COMPUTED_VALUE"""),"-35.725555")</f>
        <v>-35.725555</v>
      </c>
      <c r="K830" s="5" t="str">
        <f>IFERROR(__xludf.DUMMYFUNCTION("""COMPUTED_VALUE"""),"AV. GOVERNADOR LAMENHA FILHO S/N")</f>
        <v>AV. GOVERNADOR LAMENHA FILHO S/N</v>
      </c>
      <c r="L830" s="5" t="str">
        <f>IFERROR(__xludf.DUMMYFUNCTION("""COMPUTED_VALUE"""),"COLETORA")</f>
        <v>COLETORA</v>
      </c>
      <c r="M830" s="5" t="str">
        <f>IFERROR(__xludf.DUMMYFUNCTION("""COMPUTED_VALUE"""),"FEITOSA")</f>
        <v>FEITOSA</v>
      </c>
      <c r="N830" s="5" t="str">
        <f>IFERROR(__xludf.DUMMYFUNCTION("""COMPUTED_VALUE"""),"BAIRRO - CENTRO / CENTRO - BAIRRO")</f>
        <v>BAIRRO - CENTRO / CENTRO - BAIRRO</v>
      </c>
      <c r="O830" s="5" t="str">
        <f>IFERROR(__xludf.DUMMYFUNCTION("""COMPUTED_VALUE"""),"EM FRENTE AO COLÉGIO ESTADUAL MARIA DAS GRAÇAS DE SÁ TEIXEIRA")</f>
        <v>EM FRENTE AO COLÉGIO ESTADUAL MARIA DAS GRAÇAS DE SÁ TEIXEIRA</v>
      </c>
      <c r="P830" s="5" t="str">
        <f>IFERROR(__xludf.DUMMYFUNCTION("""COMPUTED_VALUE"""),"PRIORIDADE MÉDIA")</f>
        <v>PRIORIDADE MÉDIA</v>
      </c>
      <c r="Q830" s="5" t="str">
        <f>IFERROR(__xludf.DUMMYFUNCTION("""COMPUTED_VALUE"""),"NECESSÁRIO LIMPEZA DA COBERTA; REFAZER REBOCO; E REPINTURA DE ABRIGO, READEQUAÇÃO DE CALÇADA COM ACESSIBILIDADE")</f>
        <v>NECESSÁRIO LIMPEZA DA COBERTA; REFAZER REBOCO; E REPINTURA DE ABRIGO, READEQUAÇÃO DE CALÇADA COM ACESSIBILIDADE</v>
      </c>
      <c r="R830" s="5" t="str">
        <f>IFERROR(__xludf.DUMMYFUNCTION("""COMPUTED_VALUE"""),"SUBSTITUIR ABRIGO")</f>
        <v>SUBSTITUIR ABRIGO</v>
      </c>
      <c r="S830" s="5"/>
      <c r="T830" s="5"/>
      <c r="U830" s="7">
        <f>IFERROR(__xludf.DUMMYFUNCTION("""COMPUTED_VALUE"""),44873.0)</f>
        <v>44873</v>
      </c>
      <c r="V830" s="9" t="str">
        <f>IFERROR(__xludf.DUMMYFUNCTION("""COMPUTED_VALUE"""),"https://drive.google.com/uc?id=1Kn9c0V_xPC6TX4GG5A6NVuObCneEE4ax")</f>
        <v>https://drive.google.com/uc?id=1Kn9c0V_xPC6TX4GG5A6NVuObCneEE4ax</v>
      </c>
      <c r="W830" s="5" t="str">
        <f>IFERROR(__xludf.DUMMYFUNCTION("""COMPUTED_VALUE"""),"NÃO")</f>
        <v>NÃO</v>
      </c>
      <c r="X830" s="5" t="str">
        <f>IFERROR(__xludf.DUMMYFUNCTION("""COMPUTED_VALUE"""),"NÃO SE APLICA")</f>
        <v>NÃO SE APLICA</v>
      </c>
    </row>
    <row r="831" hidden="1">
      <c r="A831" s="5">
        <f>IFERROR(__xludf.DUMMYFUNCTION("""COMPUTED_VALUE"""),5.0)</f>
        <v>5</v>
      </c>
      <c r="B831" s="5" t="str">
        <f>IFERROR(__xludf.DUMMYFUNCTION("""COMPUTED_VALUE"""),"FE019")</f>
        <v>FE019</v>
      </c>
      <c r="C831" s="5" t="str">
        <f>IFERROR(__xludf.DUMMYFUNCTION("""COMPUTED_VALUE"""),"NÃO POSSUI")</f>
        <v>NÃO POSSUI</v>
      </c>
      <c r="D831" s="5" t="str">
        <f>IFERROR(__xludf.DUMMYFUNCTION("""COMPUTED_VALUE"""),"FIXADA EM POSTE")</f>
        <v>FIXADA EM POSTE</v>
      </c>
      <c r="E831" s="5" t="str">
        <f>IFERROR(__xludf.DUMMYFUNCTION("""COMPUTED_VALUE"""),"SEM BAIA")</f>
        <v>SEM BAIA</v>
      </c>
      <c r="F831" s="5" t="str">
        <f>IFERROR(__xludf.DUMMYFUNCTION("""COMPUTED_VALUE"""),"NÃO")</f>
        <v>NÃO</v>
      </c>
      <c r="G831" s="5" t="str">
        <f>IFERROR(__xludf.DUMMYFUNCTION("""COMPUTED_VALUE"""),"NÃO")</f>
        <v>NÃO</v>
      </c>
      <c r="H831" s="5" t="str">
        <f>IFERROR(__xludf.DUMMYFUNCTION("""COMPUTED_VALUE"""),"PAVIMENTADA")</f>
        <v>PAVIMENTADA</v>
      </c>
      <c r="I831" s="6" t="str">
        <f>IFERROR(__xludf.DUMMYFUNCTION("""COMPUTED_VALUE"""),"-9.630250")</f>
        <v>-9.630250</v>
      </c>
      <c r="J831" s="6" t="str">
        <f>IFERROR(__xludf.DUMMYFUNCTION("""COMPUTED_VALUE"""),"-35.724963
")</f>
        <v>-35.724963
</v>
      </c>
      <c r="K831" s="5" t="str">
        <f>IFERROR(__xludf.DUMMYFUNCTION("""COMPUTED_VALUE"""),"AV. GOVERNADOR LAMENHA FILHO S/N")</f>
        <v>AV. GOVERNADOR LAMENHA FILHO S/N</v>
      </c>
      <c r="L831" s="5" t="str">
        <f>IFERROR(__xludf.DUMMYFUNCTION("""COMPUTED_VALUE"""),"COLETORA")</f>
        <v>COLETORA</v>
      </c>
      <c r="M831" s="5" t="str">
        <f>IFERROR(__xludf.DUMMYFUNCTION("""COMPUTED_VALUE"""),"FEITOSA")</f>
        <v>FEITOSA</v>
      </c>
      <c r="N831" s="5" t="str">
        <f>IFERROR(__xludf.DUMMYFUNCTION("""COMPUTED_VALUE"""),"BAIRRO - CENTRO / CENTRO - BAIRRO")</f>
        <v>BAIRRO - CENTRO / CENTRO - BAIRRO</v>
      </c>
      <c r="O831" s="5" t="str">
        <f>IFERROR(__xludf.DUMMYFUNCTION("""COMPUTED_VALUE"""),"AO LADO DO SINDICATO SESCOOP/AL")</f>
        <v>AO LADO DO SINDICATO SESCOOP/AL</v>
      </c>
      <c r="P831" s="5" t="str">
        <f>IFERROR(__xludf.DUMMYFUNCTION("""COMPUTED_VALUE"""),"PRIORIDADE BAIXA")</f>
        <v>PRIORIDADE BAIXA</v>
      </c>
      <c r="Q831" s="5"/>
      <c r="R831" s="5" t="str">
        <f>IFERROR(__xludf.DUMMYFUNCTION("""COMPUTED_VALUE"""),"IMPLANTAR ABRIGO")</f>
        <v>IMPLANTAR ABRIGO</v>
      </c>
      <c r="S831" s="5"/>
      <c r="T831" s="5"/>
      <c r="U831" s="7">
        <f>IFERROR(__xludf.DUMMYFUNCTION("""COMPUTED_VALUE"""),44873.0)</f>
        <v>44873</v>
      </c>
      <c r="V831" s="9" t="str">
        <f>IFERROR(__xludf.DUMMYFUNCTION("""COMPUTED_VALUE"""),"https://drive.google.com/uc?id=1TY0wdV1TwADA1iojA3mnUDmqM9BkaOPF")</f>
        <v>https://drive.google.com/uc?id=1TY0wdV1TwADA1iojA3mnUDmqM9BkaOPF</v>
      </c>
      <c r="W831" s="5" t="str">
        <f>IFERROR(__xludf.DUMMYFUNCTION("""COMPUTED_VALUE"""),"NÃO")</f>
        <v>NÃO</v>
      </c>
      <c r="X831" s="5" t="str">
        <f>IFERROR(__xludf.DUMMYFUNCTION("""COMPUTED_VALUE"""),"NÃO SE APLICA")</f>
        <v>NÃO SE APLICA</v>
      </c>
    </row>
    <row r="832" hidden="1">
      <c r="A832" s="5">
        <f>IFERROR(__xludf.DUMMYFUNCTION("""COMPUTED_VALUE"""),5.0)</f>
        <v>5</v>
      </c>
      <c r="B832" s="5" t="str">
        <f>IFERROR(__xludf.DUMMYFUNCTION("""COMPUTED_VALUE"""),"FE020")</f>
        <v>FE020</v>
      </c>
      <c r="C832" s="5" t="str">
        <f>IFERROR(__xludf.DUMMYFUNCTION("""COMPUTED_VALUE"""),"NÃO POSSUI")</f>
        <v>NÃO POSSUI</v>
      </c>
      <c r="D832" s="5" t="str">
        <f>IFERROR(__xludf.DUMMYFUNCTION("""COMPUTED_VALUE"""),"FIXADA EM POSTE")</f>
        <v>FIXADA EM POSTE</v>
      </c>
      <c r="E832" s="5" t="str">
        <f>IFERROR(__xludf.DUMMYFUNCTION("""COMPUTED_VALUE"""),"SEM BAIA")</f>
        <v>SEM BAIA</v>
      </c>
      <c r="F832" s="5" t="str">
        <f>IFERROR(__xludf.DUMMYFUNCTION("""COMPUTED_VALUE"""),"NÃO")</f>
        <v>NÃO</v>
      </c>
      <c r="G832" s="5" t="str">
        <f>IFERROR(__xludf.DUMMYFUNCTION("""COMPUTED_VALUE"""),"NÃO")</f>
        <v>NÃO</v>
      </c>
      <c r="H832" s="5" t="str">
        <f>IFERROR(__xludf.DUMMYFUNCTION("""COMPUTED_VALUE"""),"PAVIMENTADA")</f>
        <v>PAVIMENTADA</v>
      </c>
      <c r="I832" s="6" t="str">
        <f>IFERROR(__xludf.DUMMYFUNCTION("""COMPUTED_VALUE"""),"-9.627872")</f>
        <v>-9.627872</v>
      </c>
      <c r="J832" s="6" t="str">
        <f>IFERROR(__xludf.DUMMYFUNCTION("""COMPUTED_VALUE"""),"-35.723250")</f>
        <v>-35.723250</v>
      </c>
      <c r="K832" s="5" t="str">
        <f>IFERROR(__xludf.DUMMYFUNCTION("""COMPUTED_VALUE"""),"AV. GOVERNADOR LAMENHA FILHO S/N")</f>
        <v>AV. GOVERNADOR LAMENHA FILHO S/N</v>
      </c>
      <c r="L832" s="5" t="str">
        <f>IFERROR(__xludf.DUMMYFUNCTION("""COMPUTED_VALUE"""),"COLETORA")</f>
        <v>COLETORA</v>
      </c>
      <c r="M832" s="5" t="str">
        <f>IFERROR(__xludf.DUMMYFUNCTION("""COMPUTED_VALUE"""),"FEITOSA")</f>
        <v>FEITOSA</v>
      </c>
      <c r="N832" s="5" t="str">
        <f>IFERROR(__xludf.DUMMYFUNCTION("""COMPUTED_VALUE"""),"BAIRRO - CENTRO / CENTRO - BAIRRO")</f>
        <v>BAIRRO - CENTRO / CENTRO - BAIRRO</v>
      </c>
      <c r="O832" s="5" t="str">
        <f>IFERROR(__xludf.DUMMYFUNCTION("""COMPUTED_VALUE"""),"EM FRENTE A PRAÇA NOSSA SRA. DE FÁTIMA ")</f>
        <v>EM FRENTE A PRAÇA NOSSA SRA. DE FÁTIMA </v>
      </c>
      <c r="P832" s="5" t="str">
        <f>IFERROR(__xludf.DUMMYFUNCTION("""COMPUTED_VALUE"""),"PRIORIDADE BAIXA")</f>
        <v>PRIORIDADE BAIXA</v>
      </c>
      <c r="Q832" s="5"/>
      <c r="R832" s="5" t="str">
        <f>IFERROR(__xludf.DUMMYFUNCTION("""COMPUTED_VALUE"""),"IMPLANTAR ABRIGO")</f>
        <v>IMPLANTAR ABRIGO</v>
      </c>
      <c r="S832" s="5"/>
      <c r="T832" s="5"/>
      <c r="U832" s="7">
        <f>IFERROR(__xludf.DUMMYFUNCTION("""COMPUTED_VALUE"""),44873.0)</f>
        <v>44873</v>
      </c>
      <c r="V832" s="9" t="str">
        <f>IFERROR(__xludf.DUMMYFUNCTION("""COMPUTED_VALUE"""),"https://drive.google.com/uc?id=1-s4lViTKlFohrm__9FU4WpjNLVmP6-6R")</f>
        <v>https://drive.google.com/uc?id=1-s4lViTKlFohrm__9FU4WpjNLVmP6-6R</v>
      </c>
      <c r="W832" s="5" t="str">
        <f>IFERROR(__xludf.DUMMYFUNCTION("""COMPUTED_VALUE"""),"NÃO")</f>
        <v>NÃO</v>
      </c>
      <c r="X832" s="5" t="str">
        <f>IFERROR(__xludf.DUMMYFUNCTION("""COMPUTED_VALUE"""),"NÃO SE APLICA")</f>
        <v>NÃO SE APLICA</v>
      </c>
    </row>
    <row r="833">
      <c r="A833" s="5">
        <f>IFERROR(__xludf.DUMMYFUNCTION("""COMPUTED_VALUE"""),5.0)</f>
        <v>5</v>
      </c>
      <c r="B833" s="5" t="str">
        <f>IFERROR(__xludf.DUMMYFUNCTION("""COMPUTED_VALUE"""),"FE021")</f>
        <v>FE021</v>
      </c>
      <c r="C833" s="5" t="str">
        <f>IFERROR(__xludf.DUMMYFUNCTION("""COMPUTED_VALUE"""),"ABRIGO CONCRETO")</f>
        <v>ABRIGO CONCRETO</v>
      </c>
      <c r="D833" s="5" t="str">
        <f>IFERROR(__xludf.DUMMYFUNCTION("""COMPUTED_VALUE"""),"SEM PLACA")</f>
        <v>SEM PLACA</v>
      </c>
      <c r="E833" s="5" t="str">
        <f>IFERROR(__xludf.DUMMYFUNCTION("""COMPUTED_VALUE"""),"SEM BAIA")</f>
        <v>SEM BAIA</v>
      </c>
      <c r="F833" s="5" t="str">
        <f>IFERROR(__xludf.DUMMYFUNCTION("""COMPUTED_VALUE"""),"NÃO")</f>
        <v>NÃO</v>
      </c>
      <c r="G833" s="5" t="str">
        <f>IFERROR(__xludf.DUMMYFUNCTION("""COMPUTED_VALUE"""),"NÃO")</f>
        <v>NÃO</v>
      </c>
      <c r="H833" s="5" t="str">
        <f>IFERROR(__xludf.DUMMYFUNCTION("""COMPUTED_VALUE"""),"PAVIMENTADA")</f>
        <v>PAVIMENTADA</v>
      </c>
      <c r="I833" s="6" t="str">
        <f>IFERROR(__xludf.DUMMYFUNCTION("""COMPUTED_VALUE"""),"-9.627980")</f>
        <v>-9.627980</v>
      </c>
      <c r="J833" s="6" t="str">
        <f>IFERROR(__xludf.DUMMYFUNCTION("""COMPUTED_VALUE"""),"-35.720492")</f>
        <v>-35.720492</v>
      </c>
      <c r="K833" s="5" t="str">
        <f>IFERROR(__xludf.DUMMYFUNCTION("""COMPUTED_VALUE"""),"AV. GOVERNADOR LAMENHA FILHO S/N")</f>
        <v>AV. GOVERNADOR LAMENHA FILHO S/N</v>
      </c>
      <c r="L833" s="5" t="str">
        <f>IFERROR(__xludf.DUMMYFUNCTION("""COMPUTED_VALUE"""),"COLETORA")</f>
        <v>COLETORA</v>
      </c>
      <c r="M833" s="5" t="str">
        <f>IFERROR(__xludf.DUMMYFUNCTION("""COMPUTED_VALUE"""),"FEITOSA")</f>
        <v>FEITOSA</v>
      </c>
      <c r="N833" s="5" t="str">
        <f>IFERROR(__xludf.DUMMYFUNCTION("""COMPUTED_VALUE"""),"BAIRRO - CENTRO / CENTRO - BAIRRO")</f>
        <v>BAIRRO - CENTRO / CENTRO - BAIRRO</v>
      </c>
      <c r="O833" s="5" t="str">
        <f>IFERROR(__xludf.DUMMYFUNCTION("""COMPUTED_VALUE"""),"APÓS COLEGIO PIERRE CHALITA ")</f>
        <v>APÓS COLEGIO PIERRE CHALITA </v>
      </c>
      <c r="P833" s="5" t="str">
        <f>IFERROR(__xludf.DUMMYFUNCTION("""COMPUTED_VALUE"""),"PRIORIDADE MÉDIA")</f>
        <v>PRIORIDADE MÉDIA</v>
      </c>
      <c r="Q833" s="5" t="str">
        <f>IFERROR(__xludf.DUMMYFUNCTION("""COMPUTED_VALUE"""),"NECESSÁRIO LIMPEZA DA COBERTA; REFAZER REBOCO; E REPINTURA DE ABRIGO, READEQUAÇÃO DE CALÇADA COM ACESSIBILIDADE")</f>
        <v>NECESSÁRIO LIMPEZA DA COBERTA; REFAZER REBOCO; E REPINTURA DE ABRIGO, READEQUAÇÃO DE CALÇADA COM ACESSIBILIDADE</v>
      </c>
      <c r="R833" s="5" t="str">
        <f>IFERROR(__xludf.DUMMYFUNCTION("""COMPUTED_VALUE"""),"SUBSTITUIR ABRIGO")</f>
        <v>SUBSTITUIR ABRIGO</v>
      </c>
      <c r="S833" s="5"/>
      <c r="T833" s="5"/>
      <c r="U833" s="7">
        <f>IFERROR(__xludf.DUMMYFUNCTION("""COMPUTED_VALUE"""),44873.0)</f>
        <v>44873</v>
      </c>
      <c r="V833" s="9" t="str">
        <f>IFERROR(__xludf.DUMMYFUNCTION("""COMPUTED_VALUE"""),"https://drive.google.com/uc?id=1wVOcGMZ3NwC_huO1ZDuYB_LfRaovh_L_")</f>
        <v>https://drive.google.com/uc?id=1wVOcGMZ3NwC_huO1ZDuYB_LfRaovh_L_</v>
      </c>
      <c r="W833" s="5" t="str">
        <f>IFERROR(__xludf.DUMMYFUNCTION("""COMPUTED_VALUE"""),"NÃO")</f>
        <v>NÃO</v>
      </c>
      <c r="X833" s="5" t="str">
        <f>IFERROR(__xludf.DUMMYFUNCTION("""COMPUTED_VALUE"""),"NÃO SE APLICA")</f>
        <v>NÃO SE APLICA</v>
      </c>
    </row>
    <row r="834">
      <c r="A834" s="5">
        <f>IFERROR(__xludf.DUMMYFUNCTION("""COMPUTED_VALUE"""),5.0)</f>
        <v>5</v>
      </c>
      <c r="B834" s="5" t="str">
        <f>IFERROR(__xludf.DUMMYFUNCTION("""COMPUTED_VALUE"""),"FE022")</f>
        <v>FE022</v>
      </c>
      <c r="C834" s="5" t="str">
        <f>IFERROR(__xludf.DUMMYFUNCTION("""COMPUTED_VALUE"""),"ABRIGO CONCRETO")</f>
        <v>ABRIGO CONCRETO</v>
      </c>
      <c r="D834" s="5" t="str">
        <f>IFERROR(__xludf.DUMMYFUNCTION("""COMPUTED_VALUE"""),"SEM PLACA")</f>
        <v>SEM PLACA</v>
      </c>
      <c r="E834" s="5" t="str">
        <f>IFERROR(__xludf.DUMMYFUNCTION("""COMPUTED_VALUE"""),"SEM BAIA")</f>
        <v>SEM BAIA</v>
      </c>
      <c r="F834" s="5" t="str">
        <f>IFERROR(__xludf.DUMMYFUNCTION("""COMPUTED_VALUE"""),"NÃO")</f>
        <v>NÃO</v>
      </c>
      <c r="G834" s="5" t="str">
        <f>IFERROR(__xludf.DUMMYFUNCTION("""COMPUTED_VALUE"""),"NÃO")</f>
        <v>NÃO</v>
      </c>
      <c r="H834" s="5" t="str">
        <f>IFERROR(__xludf.DUMMYFUNCTION("""COMPUTED_VALUE"""),"PAVIMENTADA")</f>
        <v>PAVIMENTADA</v>
      </c>
      <c r="I834" s="6" t="str">
        <f>IFERROR(__xludf.DUMMYFUNCTION("""COMPUTED_VALUE"""),"-9.628077")</f>
        <v>-9.628077</v>
      </c>
      <c r="J834" s="6" t="str">
        <f>IFERROR(__xludf.DUMMYFUNCTION("""COMPUTED_VALUE"""),"-35.717800")</f>
        <v>-35.717800</v>
      </c>
      <c r="K834" s="5" t="str">
        <f>IFERROR(__xludf.DUMMYFUNCTION("""COMPUTED_VALUE"""),"AV. GOVERNADOR LAMENHA FILHO S/N")</f>
        <v>AV. GOVERNADOR LAMENHA FILHO S/N</v>
      </c>
      <c r="L834" s="5" t="str">
        <f>IFERROR(__xludf.DUMMYFUNCTION("""COMPUTED_VALUE"""),"COLETORA")</f>
        <v>COLETORA</v>
      </c>
      <c r="M834" s="5" t="str">
        <f>IFERROR(__xludf.DUMMYFUNCTION("""COMPUTED_VALUE"""),"FEITOSA")</f>
        <v>FEITOSA</v>
      </c>
      <c r="N834" s="5" t="str">
        <f>IFERROR(__xludf.DUMMYFUNCTION("""COMPUTED_VALUE"""),"BAIRRO - CENTRO / CENTRO - BAIRRO")</f>
        <v>BAIRRO - CENTRO / CENTRO - BAIRRO</v>
      </c>
      <c r="O834" s="5" t="str">
        <f>IFERROR(__xludf.DUMMYFUNCTION("""COMPUTED_VALUE"""),"PRÓXIMO A OFICINA VIP SERVICE CAR")</f>
        <v>PRÓXIMO A OFICINA VIP SERVICE CAR</v>
      </c>
      <c r="P834" s="5" t="str">
        <f>IFERROR(__xludf.DUMMYFUNCTION("""COMPUTED_VALUE"""),"PRIORIDADE BAIXA")</f>
        <v>PRIORIDADE BAIXA</v>
      </c>
      <c r="Q834" s="5" t="str">
        <f>IFERROR(__xludf.DUMMYFUNCTION("""COMPUTED_VALUE"""),"NECESSÁRIO LIMPEZA DA COBERTA; REFAZER REBOCO; E REPINTURA DE ABRIGO, READEQUAÇÃO DE CALÇADA COM ACESSIBILIDADE")</f>
        <v>NECESSÁRIO LIMPEZA DA COBERTA; REFAZER REBOCO; E REPINTURA DE ABRIGO, READEQUAÇÃO DE CALÇADA COM ACESSIBILIDADE</v>
      </c>
      <c r="R834" s="5" t="str">
        <f>IFERROR(__xludf.DUMMYFUNCTION("""COMPUTED_VALUE"""),"SUBSTITUIR ABRIGO")</f>
        <v>SUBSTITUIR ABRIGO</v>
      </c>
      <c r="S834" s="5"/>
      <c r="T834" s="5"/>
      <c r="U834" s="7">
        <f>IFERROR(__xludf.DUMMYFUNCTION("""COMPUTED_VALUE"""),44873.0)</f>
        <v>44873</v>
      </c>
      <c r="V834" s="9" t="str">
        <f>IFERROR(__xludf.DUMMYFUNCTION("""COMPUTED_VALUE"""),"https://drive.google.com/uc?id=1-SYUeMDexCITfJb8Znn8z2zBDgR2x94-")</f>
        <v>https://drive.google.com/uc?id=1-SYUeMDexCITfJb8Znn8z2zBDgR2x94-</v>
      </c>
      <c r="W834" s="5" t="str">
        <f>IFERROR(__xludf.DUMMYFUNCTION("""COMPUTED_VALUE"""),"NÃO")</f>
        <v>NÃO</v>
      </c>
      <c r="X834" s="5" t="str">
        <f>IFERROR(__xludf.DUMMYFUNCTION("""COMPUTED_VALUE"""),"NÃO SE APLICA")</f>
        <v>NÃO SE APLICA</v>
      </c>
    </row>
    <row r="835">
      <c r="A835" s="5">
        <f>IFERROR(__xludf.DUMMYFUNCTION("""COMPUTED_VALUE"""),5.0)</f>
        <v>5</v>
      </c>
      <c r="B835" s="5" t="str">
        <f>IFERROR(__xludf.DUMMYFUNCTION("""COMPUTED_VALUE"""),"FE023")</f>
        <v>FE023</v>
      </c>
      <c r="C835" s="5" t="str">
        <f>IFERROR(__xludf.DUMMYFUNCTION("""COMPUTED_VALUE"""),"ABRIGO METÁLICO PEQUENO PORTE")</f>
        <v>ABRIGO METÁLICO PEQUENO PORTE</v>
      </c>
      <c r="D835" s="5" t="str">
        <f>IFERROR(__xludf.DUMMYFUNCTION("""COMPUTED_VALUE"""),"SEM PLACA")</f>
        <v>SEM PLACA</v>
      </c>
      <c r="E835" s="5" t="str">
        <f>IFERROR(__xludf.DUMMYFUNCTION("""COMPUTED_VALUE"""),"BAIA CONSTRUÍDA")</f>
        <v>BAIA CONSTRUÍDA</v>
      </c>
      <c r="F835" s="5" t="str">
        <f>IFERROR(__xludf.DUMMYFUNCTION("""COMPUTED_VALUE"""),"NÃO")</f>
        <v>NÃO</v>
      </c>
      <c r="G835" s="5" t="str">
        <f>IFERROR(__xludf.DUMMYFUNCTION("""COMPUTED_VALUE"""),"NÃO")</f>
        <v>NÃO</v>
      </c>
      <c r="H835" s="5" t="str">
        <f>IFERROR(__xludf.DUMMYFUNCTION("""COMPUTED_VALUE"""),"PAVIMENTADA COM AVARIAS")</f>
        <v>PAVIMENTADA COM AVARIAS</v>
      </c>
      <c r="I835" s="6" t="str">
        <f>IFERROR(__xludf.DUMMYFUNCTION("""COMPUTED_VALUE"""),"-9.625972")</f>
        <v>-9.625972</v>
      </c>
      <c r="J835" s="6" t="str">
        <f>IFERROR(__xludf.DUMMYFUNCTION("""COMPUTED_VALUE"""),"-35.716932")</f>
        <v>-35.716932</v>
      </c>
      <c r="K835" s="5" t="str">
        <f>IFERROR(__xludf.DUMMYFUNCTION("""COMPUTED_VALUE"""),"AV. JUCA SAMPAIO S/N")</f>
        <v>AV. JUCA SAMPAIO S/N</v>
      </c>
      <c r="L835" s="5" t="str">
        <f>IFERROR(__xludf.DUMMYFUNCTION("""COMPUTED_VALUE"""),"ARTERIAL ")</f>
        <v>ARTERIAL </v>
      </c>
      <c r="M835" s="5" t="str">
        <f>IFERROR(__xludf.DUMMYFUNCTION("""COMPUTED_VALUE"""),"FEITOSA")</f>
        <v>FEITOSA</v>
      </c>
      <c r="N835" s="5" t="str">
        <f>IFERROR(__xludf.DUMMYFUNCTION("""COMPUTED_VALUE"""),"BAIRRO - CENTRO / CENTRO - BAIRRO")</f>
        <v>BAIRRO - CENTRO / CENTRO - BAIRRO</v>
      </c>
      <c r="O835" s="5" t="str">
        <f>IFERROR(__xludf.DUMMYFUNCTION("""COMPUTED_VALUE"""),"EM FRENTE A SERRARIA NOVO HORIZONTE")</f>
        <v>EM FRENTE A SERRARIA NOVO HORIZONTE</v>
      </c>
      <c r="P835" s="5" t="str">
        <f>IFERROR(__xludf.DUMMYFUNCTION("""COMPUTED_VALUE"""),"PRIORIDADE BAIXA")</f>
        <v>PRIORIDADE BAIXA</v>
      </c>
      <c r="Q835" s="5" t="str">
        <f>IFERROR(__xludf.DUMMYFUNCTION("""COMPUTED_VALUE"""),"REPINTURA DE ABRIGO, READEQUAÇÃO DE CALÇADA COM ACESSIBILIDADE")</f>
        <v>REPINTURA DE ABRIGO, READEQUAÇÃO DE CALÇADA COM ACESSIBILIDADE</v>
      </c>
      <c r="R835" s="5" t="str">
        <f>IFERROR(__xludf.DUMMYFUNCTION("""COMPUTED_VALUE"""),"NENHUMA DAS OPÇÕES")</f>
        <v>NENHUMA DAS OPÇÕES</v>
      </c>
      <c r="S835" s="5"/>
      <c r="T835" s="5"/>
      <c r="U835" s="7">
        <f>IFERROR(__xludf.DUMMYFUNCTION("""COMPUTED_VALUE"""),44873.0)</f>
        <v>44873</v>
      </c>
      <c r="V835" s="9" t="str">
        <f>IFERROR(__xludf.DUMMYFUNCTION("""COMPUTED_VALUE"""),"https://drive.google.com/uc?id=1GjgzhETAWKT4F5D7_YX3ciSCG9rotmLO")</f>
        <v>https://drive.google.com/uc?id=1GjgzhETAWKT4F5D7_YX3ciSCG9rotmLO</v>
      </c>
      <c r="W835" s="5" t="str">
        <f>IFERROR(__xludf.DUMMYFUNCTION("""COMPUTED_VALUE"""),"JUNTOS")</f>
        <v>JUNTOS</v>
      </c>
      <c r="X835" s="5" t="str">
        <f>IFERROR(__xludf.DUMMYFUNCTION("""COMPUTED_VALUE"""),"NÃO")</f>
        <v>NÃO</v>
      </c>
    </row>
    <row r="836">
      <c r="A836" s="5">
        <f>IFERROR(__xludf.DUMMYFUNCTION("""COMPUTED_VALUE"""),5.0)</f>
        <v>5</v>
      </c>
      <c r="B836" s="5" t="str">
        <f>IFERROR(__xludf.DUMMYFUNCTION("""COMPUTED_VALUE"""),"FE024")</f>
        <v>FE024</v>
      </c>
      <c r="C836" s="5" t="str">
        <f>IFERROR(__xludf.DUMMYFUNCTION("""COMPUTED_VALUE"""),"ABRIGO CONCRETO")</f>
        <v>ABRIGO CONCRETO</v>
      </c>
      <c r="D836" s="5" t="str">
        <f>IFERROR(__xludf.DUMMYFUNCTION("""COMPUTED_VALUE"""),"SEM PLACA")</f>
        <v>SEM PLACA</v>
      </c>
      <c r="E836" s="5" t="str">
        <f>IFERROR(__xludf.DUMMYFUNCTION("""COMPUTED_VALUE"""),"SEM BAIA")</f>
        <v>SEM BAIA</v>
      </c>
      <c r="F836" s="5" t="str">
        <f>IFERROR(__xludf.DUMMYFUNCTION("""COMPUTED_VALUE"""),"NÃO")</f>
        <v>NÃO</v>
      </c>
      <c r="G836" s="5" t="str">
        <f>IFERROR(__xludf.DUMMYFUNCTION("""COMPUTED_VALUE"""),"NÃO")</f>
        <v>NÃO</v>
      </c>
      <c r="H836" s="5" t="str">
        <f>IFERROR(__xludf.DUMMYFUNCTION("""COMPUTED_VALUE"""),"NÃO PAVIMENTADA")</f>
        <v>NÃO PAVIMENTADA</v>
      </c>
      <c r="I836" s="6" t="str">
        <f>IFERROR(__xludf.DUMMYFUNCTION("""COMPUTED_VALUE"""),"-9.629991")</f>
        <v>-9.629991</v>
      </c>
      <c r="J836" s="6" t="str">
        <f>IFERROR(__xludf.DUMMYFUNCTION("""COMPUTED_VALUE"""),"-35.716297
")</f>
        <v>-35.716297
</v>
      </c>
      <c r="K836" s="5" t="str">
        <f>IFERROR(__xludf.DUMMYFUNCTION("""COMPUTED_VALUE"""),"AV. JUCA SAMPAIO S/N")</f>
        <v>AV. JUCA SAMPAIO S/N</v>
      </c>
      <c r="L836" s="5" t="str">
        <f>IFERROR(__xludf.DUMMYFUNCTION("""COMPUTED_VALUE"""),"ARTERIAL ")</f>
        <v>ARTERIAL </v>
      </c>
      <c r="M836" s="5" t="str">
        <f>IFERROR(__xludf.DUMMYFUNCTION("""COMPUTED_VALUE"""),"FEITOSA")</f>
        <v>FEITOSA</v>
      </c>
      <c r="N836" s="5" t="str">
        <f>IFERROR(__xludf.DUMMYFUNCTION("""COMPUTED_VALUE"""),"BAIRRO - CENTRO / CENTRO - BAIRRO")</f>
        <v>BAIRRO - CENTRO / CENTRO - BAIRRO</v>
      </c>
      <c r="O836" s="5" t="str">
        <f>IFERROR(__xludf.DUMMYFUNCTION("""COMPUTED_VALUE"""),"EM FRENTE A INSTITUTO DE OLHOS MACEIÓ")</f>
        <v>EM FRENTE A INSTITUTO DE OLHOS MACEIÓ</v>
      </c>
      <c r="P836" s="5" t="str">
        <f>IFERROR(__xludf.DUMMYFUNCTION("""COMPUTED_VALUE"""),"PRIORIDADE MÉDIA")</f>
        <v>PRIORIDADE MÉDIA</v>
      </c>
      <c r="Q836" s="5" t="str">
        <f>IFERROR(__xludf.DUMMYFUNCTION("""COMPUTED_VALUE"""),"REPINTURA DE ABRIGO, READEQUAÇÃO DE CALÇADA COM ACESSIBILIDADE")</f>
        <v>REPINTURA DE ABRIGO, READEQUAÇÃO DE CALÇADA COM ACESSIBILIDADE</v>
      </c>
      <c r="R836" s="5" t="str">
        <f>IFERROR(__xludf.DUMMYFUNCTION("""COMPUTED_VALUE"""),"SUBSTITUIR ABRIGO")</f>
        <v>SUBSTITUIR ABRIGO</v>
      </c>
      <c r="S836" s="5"/>
      <c r="T836" s="5"/>
      <c r="U836" s="7">
        <f>IFERROR(__xludf.DUMMYFUNCTION("""COMPUTED_VALUE"""),44873.0)</f>
        <v>44873</v>
      </c>
      <c r="V836" s="9" t="str">
        <f>IFERROR(__xludf.DUMMYFUNCTION("""COMPUTED_VALUE"""),"https://drive.google.com/uc?id=1U3ouc6JCEHcgsvaJZ5zkLMn_uR2jkNre")</f>
        <v>https://drive.google.com/uc?id=1U3ouc6JCEHcgsvaJZ5zkLMn_uR2jkNre</v>
      </c>
      <c r="W836" s="5" t="str">
        <f>IFERROR(__xludf.DUMMYFUNCTION("""COMPUTED_VALUE"""),"NÃO")</f>
        <v>NÃO</v>
      </c>
      <c r="X836" s="5" t="str">
        <f>IFERROR(__xludf.DUMMYFUNCTION("""COMPUTED_VALUE"""),"NÃO SE APLICA")</f>
        <v>NÃO SE APLICA</v>
      </c>
    </row>
    <row r="837">
      <c r="A837" s="5">
        <f>IFERROR(__xludf.DUMMYFUNCTION("""COMPUTED_VALUE"""),5.0)</f>
        <v>5</v>
      </c>
      <c r="B837" s="5" t="str">
        <f>IFERROR(__xludf.DUMMYFUNCTION("""COMPUTED_VALUE"""),"FE025")</f>
        <v>FE025</v>
      </c>
      <c r="C837" s="5" t="str">
        <f>IFERROR(__xludf.DUMMYFUNCTION("""COMPUTED_VALUE"""),"ABRIGO CONCRETO")</f>
        <v>ABRIGO CONCRETO</v>
      </c>
      <c r="D837" s="5" t="str">
        <f>IFERROR(__xludf.DUMMYFUNCTION("""COMPUTED_VALUE"""),"SEM PLACA")</f>
        <v>SEM PLACA</v>
      </c>
      <c r="E837" s="5" t="str">
        <f>IFERROR(__xludf.DUMMYFUNCTION("""COMPUTED_VALUE"""),"SEM BAIA")</f>
        <v>SEM BAIA</v>
      </c>
      <c r="F837" s="5" t="str">
        <f>IFERROR(__xludf.DUMMYFUNCTION("""COMPUTED_VALUE"""),"NÃO")</f>
        <v>NÃO</v>
      </c>
      <c r="G837" s="5" t="str">
        <f>IFERROR(__xludf.DUMMYFUNCTION("""COMPUTED_VALUE"""),"NÃO")</f>
        <v>NÃO</v>
      </c>
      <c r="H837" s="5" t="str">
        <f>IFERROR(__xludf.DUMMYFUNCTION("""COMPUTED_VALUE"""),"NÃO PAVIMENTADA")</f>
        <v>NÃO PAVIMENTADA</v>
      </c>
      <c r="I837" s="6" t="str">
        <f>IFERROR(__xludf.DUMMYFUNCTION("""COMPUTED_VALUE"""),"-9.630397")</f>
        <v>-9.630397</v>
      </c>
      <c r="J837" s="6" t="str">
        <f>IFERROR(__xludf.DUMMYFUNCTION("""COMPUTED_VALUE"""),"-35.715850
")</f>
        <v>-35.715850
</v>
      </c>
      <c r="K837" s="5" t="str">
        <f>IFERROR(__xludf.DUMMYFUNCTION("""COMPUTED_VALUE"""),"AV. JUCA SAMPAIO S/N")</f>
        <v>AV. JUCA SAMPAIO S/N</v>
      </c>
      <c r="L837" s="5" t="str">
        <f>IFERROR(__xludf.DUMMYFUNCTION("""COMPUTED_VALUE"""),"ARTERIAL ")</f>
        <v>ARTERIAL </v>
      </c>
      <c r="M837" s="5" t="str">
        <f>IFERROR(__xludf.DUMMYFUNCTION("""COMPUTED_VALUE"""),"FEITOSA")</f>
        <v>FEITOSA</v>
      </c>
      <c r="N837" s="5" t="str">
        <f>IFERROR(__xludf.DUMMYFUNCTION("""COMPUTED_VALUE"""),"BAIRRO - CENTRO / CENTRO - BAIRRO")</f>
        <v>BAIRRO - CENTRO / CENTRO - BAIRRO</v>
      </c>
      <c r="O837" s="5" t="str">
        <f>IFERROR(__xludf.DUMMYFUNCTION("""COMPUTED_VALUE"""),"EM FRENTE AO POSTO IPIRANGA")</f>
        <v>EM FRENTE AO POSTO IPIRANGA</v>
      </c>
      <c r="P837" s="5" t="str">
        <f>IFERROR(__xludf.DUMMYFUNCTION("""COMPUTED_VALUE"""),"PRIORIDADE BAIXA")</f>
        <v>PRIORIDADE BAIXA</v>
      </c>
      <c r="Q837" s="5" t="str">
        <f>IFERROR(__xludf.DUMMYFUNCTION("""COMPUTED_VALUE"""),"REPINTURA DE ABRIGO, READEQUAÇÃO DE CALÇADA COM ACESSIBILIDADE")</f>
        <v>REPINTURA DE ABRIGO, READEQUAÇÃO DE CALÇADA COM ACESSIBILIDADE</v>
      </c>
      <c r="R837" s="5" t="str">
        <f>IFERROR(__xludf.DUMMYFUNCTION("""COMPUTED_VALUE"""),"SUBSTITUIR ABRIGO")</f>
        <v>SUBSTITUIR ABRIGO</v>
      </c>
      <c r="S837" s="5"/>
      <c r="T837" s="5"/>
      <c r="U837" s="7">
        <f>IFERROR(__xludf.DUMMYFUNCTION("""COMPUTED_VALUE"""),44873.0)</f>
        <v>44873</v>
      </c>
      <c r="V837" s="9" t="str">
        <f>IFERROR(__xludf.DUMMYFUNCTION("""COMPUTED_VALUE"""),"https://drive.google.com/uc?id=1U6OtS4Vh2md6-7XF2UckE20KWTSXJ-Kr")</f>
        <v>https://drive.google.com/uc?id=1U6OtS4Vh2md6-7XF2UckE20KWTSXJ-Kr</v>
      </c>
      <c r="W837" s="5" t="str">
        <f>IFERROR(__xludf.DUMMYFUNCTION("""COMPUTED_VALUE"""),"NÃO")</f>
        <v>NÃO</v>
      </c>
      <c r="X837" s="5" t="str">
        <f>IFERROR(__xludf.DUMMYFUNCTION("""COMPUTED_VALUE"""),"NÃO SE APLICA")</f>
        <v>NÃO SE APLICA</v>
      </c>
    </row>
    <row r="838">
      <c r="A838" s="5">
        <f>IFERROR(__xludf.DUMMYFUNCTION("""COMPUTED_VALUE"""),5.0)</f>
        <v>5</v>
      </c>
      <c r="B838" s="5" t="str">
        <f>IFERROR(__xludf.DUMMYFUNCTION("""COMPUTED_VALUE"""),"FE026")</f>
        <v>FE026</v>
      </c>
      <c r="C838" s="5" t="str">
        <f>IFERROR(__xludf.DUMMYFUNCTION("""COMPUTED_VALUE"""),"ABRIGO CONCRETO")</f>
        <v>ABRIGO CONCRETO</v>
      </c>
      <c r="D838" s="5" t="str">
        <f>IFERROR(__xludf.DUMMYFUNCTION("""COMPUTED_VALUE"""),"SEM PLACA")</f>
        <v>SEM PLACA</v>
      </c>
      <c r="E838" s="5" t="str">
        <f>IFERROR(__xludf.DUMMYFUNCTION("""COMPUTED_VALUE"""),"SEM BAIA")</f>
        <v>SEM BAIA</v>
      </c>
      <c r="F838" s="5" t="str">
        <f>IFERROR(__xludf.DUMMYFUNCTION("""COMPUTED_VALUE"""),"NÃO")</f>
        <v>NÃO</v>
      </c>
      <c r="G838" s="5" t="str">
        <f>IFERROR(__xludf.DUMMYFUNCTION("""COMPUTED_VALUE"""),"NÃO")</f>
        <v>NÃO</v>
      </c>
      <c r="H838" s="5" t="str">
        <f>IFERROR(__xludf.DUMMYFUNCTION("""COMPUTED_VALUE"""),"PAVIMENTADA")</f>
        <v>PAVIMENTADA</v>
      </c>
      <c r="I838" s="6" t="str">
        <f>IFERROR(__xludf.DUMMYFUNCTION("""COMPUTED_VALUE"""),"-9.633240")</f>
        <v>-9.633240</v>
      </c>
      <c r="J838" s="6" t="str">
        <f>IFERROR(__xludf.DUMMYFUNCTION("""COMPUTED_VALUE"""),"-35.715479")</f>
        <v>-35.715479</v>
      </c>
      <c r="K838" s="5" t="str">
        <f>IFERROR(__xludf.DUMMYFUNCTION("""COMPUTED_VALUE"""),"AV. JUCA SAMPAIO S/N")</f>
        <v>AV. JUCA SAMPAIO S/N</v>
      </c>
      <c r="L838" s="5" t="str">
        <f>IFERROR(__xludf.DUMMYFUNCTION("""COMPUTED_VALUE"""),"ARTERIAL ")</f>
        <v>ARTERIAL </v>
      </c>
      <c r="M838" s="5" t="str">
        <f>IFERROR(__xludf.DUMMYFUNCTION("""COMPUTED_VALUE"""),"FEITOSA")</f>
        <v>FEITOSA</v>
      </c>
      <c r="N838" s="5" t="str">
        <f>IFERROR(__xludf.DUMMYFUNCTION("""COMPUTED_VALUE"""),"BAIRRO - CENTRO")</f>
        <v>BAIRRO - CENTRO</v>
      </c>
      <c r="O838" s="5" t="str">
        <f>IFERROR(__xludf.DUMMYFUNCTION("""COMPUTED_VALUE"""),"AO LADO DO COLÉGIO ADVENTISTA ")</f>
        <v>AO LADO DO COLÉGIO ADVENTISTA </v>
      </c>
      <c r="P838" s="5" t="str">
        <f>IFERROR(__xludf.DUMMYFUNCTION("""COMPUTED_VALUE"""),"PRIORIDADE BAIXA")</f>
        <v>PRIORIDADE BAIXA</v>
      </c>
      <c r="Q838" s="5" t="str">
        <f>IFERROR(__xludf.DUMMYFUNCTION("""COMPUTED_VALUE"""),"PINTURA DA BAIA NO ASFALTO, MANUTENÇÃO NO ABRIGO.")</f>
        <v>PINTURA DA BAIA NO ASFALTO, MANUTENÇÃO NO ABRIGO.</v>
      </c>
      <c r="R838" s="5" t="str">
        <f>IFERROR(__xludf.DUMMYFUNCTION("""COMPUTED_VALUE"""),"SUBSTITUIR ABRIGO")</f>
        <v>SUBSTITUIR ABRIGO</v>
      </c>
      <c r="S838" s="5"/>
      <c r="T838" s="5" t="str">
        <f>IFERROR(__xludf.DUMMYFUNCTION("""COMPUTED_VALUE"""),"NÃO REALIZADO")</f>
        <v>NÃO REALIZADO</v>
      </c>
      <c r="U838" s="7">
        <f>IFERROR(__xludf.DUMMYFUNCTION("""COMPUTED_VALUE"""),44874.0)</f>
        <v>44874</v>
      </c>
      <c r="V838" s="9" t="str">
        <f>IFERROR(__xludf.DUMMYFUNCTION("""COMPUTED_VALUE"""),"https://drive.google.com/uc?id=1UIQMMaRFHNhcfRLVwKTv5FUkSbRMipKZ")</f>
        <v>https://drive.google.com/uc?id=1UIQMMaRFHNhcfRLVwKTv5FUkSbRMipKZ</v>
      </c>
      <c r="W838" s="5" t="str">
        <f>IFERROR(__xludf.DUMMYFUNCTION("""COMPUTED_VALUE"""),"NÃO")</f>
        <v>NÃO</v>
      </c>
      <c r="X838" s="5" t="str">
        <f>IFERROR(__xludf.DUMMYFUNCTION("""COMPUTED_VALUE"""),"NÃO SE APLICA")</f>
        <v>NÃO SE APLICA</v>
      </c>
    </row>
    <row r="839">
      <c r="A839" s="5">
        <f>IFERROR(__xludf.DUMMYFUNCTION("IMPORTRANGE(""https://docs.google.com/spreadsheets/d/10fxs2z9vz1jmULy_hPFiuZnkh4JvywStH8umOAOqNVY/edit#gid=1478612641"", ""JACINTINHO!A3:X28"")"),5.0)</f>
        <v>5</v>
      </c>
      <c r="B839" s="5" t="str">
        <f>IFERROR(__xludf.DUMMYFUNCTION("""COMPUTED_VALUE"""),"JC001")</f>
        <v>JC001</v>
      </c>
      <c r="C839" s="5" t="str">
        <f>IFERROR(__xludf.DUMMYFUNCTION("""COMPUTED_VALUE"""),"ABRIGO METÁLICO PEQUENO PORTE")</f>
        <v>ABRIGO METÁLICO PEQUENO PORTE</v>
      </c>
      <c r="D839" s="5" t="str">
        <f>IFERROR(__xludf.DUMMYFUNCTION("""COMPUTED_VALUE"""),"SEM PLACA")</f>
        <v>SEM PLACA</v>
      </c>
      <c r="E839" s="5" t="str">
        <f>IFERROR(__xludf.DUMMYFUNCTION("""COMPUTED_VALUE"""),"SEM BAIA")</f>
        <v>SEM BAIA</v>
      </c>
      <c r="F839" s="5" t="str">
        <f>IFERROR(__xludf.DUMMYFUNCTION("""COMPUTED_VALUE"""),"NÃO")</f>
        <v>NÃO</v>
      </c>
      <c r="G839" s="5" t="str">
        <f>IFERROR(__xludf.DUMMYFUNCTION("""COMPUTED_VALUE"""),"NÃO")</f>
        <v>NÃO</v>
      </c>
      <c r="H839" s="5" t="str">
        <f>IFERROR(__xludf.DUMMYFUNCTION("""COMPUTED_VALUE"""),"NÃO PAVIMENTADA")</f>
        <v>NÃO PAVIMENTADA</v>
      </c>
      <c r="I839" s="6" t="str">
        <f>IFERROR(__xludf.DUMMYFUNCTION("""COMPUTED_VALUE"""),"-9.633473")</f>
        <v>-9.633473</v>
      </c>
      <c r="J839" s="6" t="str">
        <f>IFERROR(__xludf.DUMMYFUNCTION("""COMPUTED_VALUE"""),"-35.715680")</f>
        <v>-35.715680</v>
      </c>
      <c r="K839" s="5" t="str">
        <f>IFERROR(__xludf.DUMMYFUNCTION("""COMPUTED_VALUE"""),"AV. JUCA SAMPAIO, 1834.")</f>
        <v>AV. JUCA SAMPAIO, 1834.</v>
      </c>
      <c r="L839" s="5" t="str">
        <f>IFERROR(__xludf.DUMMYFUNCTION("""COMPUTED_VALUE"""),"ARTERIAL ")</f>
        <v>ARTERIAL </v>
      </c>
      <c r="M839" s="5" t="str">
        <f>IFERROR(__xludf.DUMMYFUNCTION("""COMPUTED_VALUE"""),"JACINTINHO")</f>
        <v>JACINTINHO</v>
      </c>
      <c r="N839" s="5" t="str">
        <f>IFERROR(__xludf.DUMMYFUNCTION("""COMPUTED_VALUE"""),"BAIRRO - CENTRO")</f>
        <v>BAIRRO - CENTRO</v>
      </c>
      <c r="O839" s="5" t="str">
        <f>IFERROR(__xludf.DUMMYFUNCTION("""COMPUTED_VALUE"""),"EM FRENTE A ACIOLY AUTO CENTER")</f>
        <v>EM FRENTE A ACIOLY AUTO CENTER</v>
      </c>
      <c r="P839" s="5" t="str">
        <f>IFERROR(__xludf.DUMMYFUNCTION("""COMPUTED_VALUE"""),"PRIORIDADE MÉDIA")</f>
        <v>PRIORIDADE MÉDIA</v>
      </c>
      <c r="Q839" s="5" t="str">
        <f>IFERROR(__xludf.DUMMYFUNCTION("""COMPUTED_VALUE"""),"PINTURA DA BAÍA NO ASFALTO, ADEQUAÇÃO DA CALÇADA COM ACESSIBILIDADE, IMPLANTAÇÃO DE PLACA EM SUPORTE DE MADEIRA.")</f>
        <v>PINTURA DA BAÍA NO ASFALTO, ADEQUAÇÃO DA CALÇADA COM ACESSIBILIDADE, IMPLANTAÇÃO DE PLACA EM SUPORTE DE MADEIRA.</v>
      </c>
      <c r="R839" s="5" t="str">
        <f>IFERROR(__xludf.DUMMYFUNCTION("""COMPUTED_VALUE"""),"NENHUMA DAS OPÇÕES")</f>
        <v>NENHUMA DAS OPÇÕES</v>
      </c>
      <c r="S839" s="5"/>
      <c r="T839" s="5" t="str">
        <f>IFERROR(__xludf.DUMMYFUNCTION("""COMPUTED_VALUE"""),"NÃO REALIZADO")</f>
        <v>NÃO REALIZADO</v>
      </c>
      <c r="U839" s="5"/>
      <c r="V839" s="9" t="str">
        <f>IFERROR(__xludf.DUMMYFUNCTION("""COMPUTED_VALUE"""),"https://drive.google.com/uc?id=1SfSgAixSo7hIFk3T3UBgI1E_BOsgigeP")</f>
        <v>https://drive.google.com/uc?id=1SfSgAixSo7hIFk3T3UBgI1E_BOsgigeP</v>
      </c>
      <c r="W839" s="5" t="str">
        <f>IFERROR(__xludf.DUMMYFUNCTION("""COMPUTED_VALUE"""),"NÃO")</f>
        <v>NÃO</v>
      </c>
      <c r="X839" s="5" t="str">
        <f>IFERROR(__xludf.DUMMYFUNCTION("""COMPUTED_VALUE"""),"NÃO")</f>
        <v>NÃO</v>
      </c>
    </row>
    <row r="840" hidden="1">
      <c r="A840" s="5">
        <f>IFERROR(__xludf.DUMMYFUNCTION("""COMPUTED_VALUE"""),5.0)</f>
        <v>5</v>
      </c>
      <c r="B840" s="5" t="str">
        <f>IFERROR(__xludf.DUMMYFUNCTION("""COMPUTED_VALUE"""),"JC002")</f>
        <v>JC002</v>
      </c>
      <c r="C840" s="5" t="str">
        <f>IFERROR(__xludf.DUMMYFUNCTION("""COMPUTED_VALUE"""),"NÃO POSSUI")</f>
        <v>NÃO POSSUI</v>
      </c>
      <c r="D840" s="5" t="str">
        <f>IFERROR(__xludf.DUMMYFUNCTION("""COMPUTED_VALUE"""),"SEM PLACA")</f>
        <v>SEM PLACA</v>
      </c>
      <c r="E840" s="5" t="str">
        <f>IFERROR(__xludf.DUMMYFUNCTION("""COMPUTED_VALUE"""),"SEM BAIA")</f>
        <v>SEM BAIA</v>
      </c>
      <c r="F840" s="5" t="str">
        <f>IFERROR(__xludf.DUMMYFUNCTION("""COMPUTED_VALUE"""),"NÃO")</f>
        <v>NÃO</v>
      </c>
      <c r="G840" s="5" t="str">
        <f>IFERROR(__xludf.DUMMYFUNCTION("""COMPUTED_VALUE"""),"NÃO")</f>
        <v>NÃO</v>
      </c>
      <c r="H840" s="5" t="str">
        <f>IFERROR(__xludf.DUMMYFUNCTION("""COMPUTED_VALUE"""),"PAVIMENTADA")</f>
        <v>PAVIMENTADA</v>
      </c>
      <c r="I840" s="6" t="str">
        <f>IFERROR(__xludf.DUMMYFUNCTION("""COMPUTED_VALUE"""),"-9.635238")</f>
        <v>-9.635238</v>
      </c>
      <c r="J840" s="6" t="str">
        <f>IFERROR(__xludf.DUMMYFUNCTION("""COMPUTED_VALUE"""),"-35.718142")</f>
        <v>-35.718142</v>
      </c>
      <c r="K840" s="5" t="str">
        <f>IFERROR(__xludf.DUMMYFUNCTION("""COMPUTED_VALUE"""),"R. ITAUPÃ 115 A")</f>
        <v>R. ITAUPÃ 115 A</v>
      </c>
      <c r="L840" s="5" t="str">
        <f>IFERROR(__xludf.DUMMYFUNCTION("""COMPUTED_VALUE"""),"COLETORA")</f>
        <v>COLETORA</v>
      </c>
      <c r="M840" s="5" t="str">
        <f>IFERROR(__xludf.DUMMYFUNCTION("""COMPUTED_VALUE"""),"JACINTINHO")</f>
        <v>JACINTINHO</v>
      </c>
      <c r="N840" s="5" t="str">
        <f>IFERROR(__xludf.DUMMYFUNCTION("""COMPUTED_VALUE"""),"BAIRRO - CENTRO")</f>
        <v>BAIRRO - CENTRO</v>
      </c>
      <c r="O840" s="5" t="str">
        <f>IFERROR(__xludf.DUMMYFUNCTION("""COMPUTED_VALUE"""),"PRÓXIMO A JACK CABELOS")</f>
        <v>PRÓXIMO A JACK CABELOS</v>
      </c>
      <c r="P840" s="5" t="str">
        <f>IFERROR(__xludf.DUMMYFUNCTION("""COMPUTED_VALUE"""),"PRIORIDADE BAIXA")</f>
        <v>PRIORIDADE BAIXA</v>
      </c>
      <c r="Q840" s="5" t="str">
        <f>IFERROR(__xludf.DUMMYFUNCTION("""COMPUTED_VALUE"""),"IMPLANTAR PLACA COM SUPORTE DE MADEIRA E PINTURA DA BAIA NO ASFALTO.")</f>
        <v>IMPLANTAR PLACA COM SUPORTE DE MADEIRA E PINTURA DA BAIA NO ASFALTO.</v>
      </c>
      <c r="R840" s="5" t="str">
        <f>IFERROR(__xludf.DUMMYFUNCTION("""COMPUTED_VALUE"""),"IMPLANTAR ABRIGO")</f>
        <v>IMPLANTAR ABRIGO</v>
      </c>
      <c r="S840" s="5"/>
      <c r="T840" s="5" t="str">
        <f>IFERROR(__xludf.DUMMYFUNCTION("""COMPUTED_VALUE"""),"NÃO REALIZADO")</f>
        <v>NÃO REALIZADO</v>
      </c>
      <c r="U840" s="5"/>
      <c r="V840" s="9" t="str">
        <f>IFERROR(__xludf.DUMMYFUNCTION("""COMPUTED_VALUE"""),"https://drive.google.com/uc?id=1SftUo5r3VAPKZC16ah1Mv6YRU6PiVoV0")</f>
        <v>https://drive.google.com/uc?id=1SftUo5r3VAPKZC16ah1Mv6YRU6PiVoV0</v>
      </c>
      <c r="W840" s="5" t="str">
        <f>IFERROR(__xludf.DUMMYFUNCTION("""COMPUTED_VALUE"""),"NÃO")</f>
        <v>NÃO</v>
      </c>
      <c r="X840" s="5" t="str">
        <f>IFERROR(__xludf.DUMMYFUNCTION("""COMPUTED_VALUE"""),"NÃO SE APLICA")</f>
        <v>NÃO SE APLICA</v>
      </c>
    </row>
    <row r="841" hidden="1">
      <c r="A841" s="5">
        <f>IFERROR(__xludf.DUMMYFUNCTION("""COMPUTED_VALUE"""),5.0)</f>
        <v>5</v>
      </c>
      <c r="B841" s="5" t="str">
        <f>IFERROR(__xludf.DUMMYFUNCTION("""COMPUTED_VALUE"""),"JC003")</f>
        <v>JC003</v>
      </c>
      <c r="C841" s="5" t="str">
        <f>IFERROR(__xludf.DUMMYFUNCTION("""COMPUTED_VALUE"""),"NÃO POSSUI")</f>
        <v>NÃO POSSUI</v>
      </c>
      <c r="D841" s="5" t="str">
        <f>IFERROR(__xludf.DUMMYFUNCTION("""COMPUTED_VALUE"""),"FIXADA EM POSTE")</f>
        <v>FIXADA EM POSTE</v>
      </c>
      <c r="E841" s="5" t="str">
        <f>IFERROR(__xludf.DUMMYFUNCTION("""COMPUTED_VALUE"""),"SEM BAIA")</f>
        <v>SEM BAIA</v>
      </c>
      <c r="F841" s="5" t="str">
        <f>IFERROR(__xludf.DUMMYFUNCTION("""COMPUTED_VALUE"""),"NÃO")</f>
        <v>NÃO</v>
      </c>
      <c r="G841" s="5" t="str">
        <f>IFERROR(__xludf.DUMMYFUNCTION("""COMPUTED_VALUE"""),"NÃO")</f>
        <v>NÃO</v>
      </c>
      <c r="H841" s="5" t="str">
        <f>IFERROR(__xludf.DUMMYFUNCTION("""COMPUTED_VALUE"""),"PAVIMENTADA")</f>
        <v>PAVIMENTADA</v>
      </c>
      <c r="I841" s="6" t="str">
        <f>IFERROR(__xludf.DUMMYFUNCTION("""COMPUTED_VALUE"""),"-9.637938")</f>
        <v>-9.637938</v>
      </c>
      <c r="J841" s="6" t="str">
        <f>IFERROR(__xludf.DUMMYFUNCTION("""COMPUTED_VALUE"""),"-35.718253")</f>
        <v>-35.718253</v>
      </c>
      <c r="K841" s="5" t="str">
        <f>IFERROR(__xludf.DUMMYFUNCTION("""COMPUTED_VALUE"""),"R. CLETO CAMPELO 136")</f>
        <v>R. CLETO CAMPELO 136</v>
      </c>
      <c r="L841" s="5" t="str">
        <f>IFERROR(__xludf.DUMMYFUNCTION("""COMPUTED_VALUE"""),"COLETORA")</f>
        <v>COLETORA</v>
      </c>
      <c r="M841" s="5" t="str">
        <f>IFERROR(__xludf.DUMMYFUNCTION("""COMPUTED_VALUE"""),"JACINTINHO")</f>
        <v>JACINTINHO</v>
      </c>
      <c r="N841" s="5" t="str">
        <f>IFERROR(__xludf.DUMMYFUNCTION("""COMPUTED_VALUE"""),"BAIRRO - CENTRO")</f>
        <v>BAIRRO - CENTRO</v>
      </c>
      <c r="O841" s="5" t="str">
        <f>IFERROR(__xludf.DUMMYFUNCTION("""COMPUTED_VALUE"""),"PRÓXIMO AO UNICOMPRA")</f>
        <v>PRÓXIMO AO UNICOMPRA</v>
      </c>
      <c r="P841" s="5" t="str">
        <f>IFERROR(__xludf.DUMMYFUNCTION("""COMPUTED_VALUE"""),"PRIORIDADE BAIXA")</f>
        <v>PRIORIDADE BAIXA</v>
      </c>
      <c r="Q841" s="5" t="str">
        <f>IFERROR(__xludf.DUMMYFUNCTION("""COMPUTED_VALUE"""),"IMPLANTAR PLACA COM SUPORTE DE MADEIRA E PINTURA DA BAIA NO ASFALTO.")</f>
        <v>IMPLANTAR PLACA COM SUPORTE DE MADEIRA E PINTURA DA BAIA NO ASFALTO.</v>
      </c>
      <c r="R841" s="5" t="str">
        <f>IFERROR(__xludf.DUMMYFUNCTION("""COMPUTED_VALUE"""),"NENHUMA DAS OPÇÕES")</f>
        <v>NENHUMA DAS OPÇÕES</v>
      </c>
      <c r="S841" s="5"/>
      <c r="T841" s="5" t="str">
        <f>IFERROR(__xludf.DUMMYFUNCTION("""COMPUTED_VALUE"""),"NÃO REALIZADO")</f>
        <v>NÃO REALIZADO</v>
      </c>
      <c r="U841" s="5"/>
      <c r="V841" s="9" t="str">
        <f>IFERROR(__xludf.DUMMYFUNCTION("""COMPUTED_VALUE"""),"https://drive.google.com/uc?id=1SoaiDq37ljPlOipAmDOPszOn0Meeh9EY")</f>
        <v>https://drive.google.com/uc?id=1SoaiDq37ljPlOipAmDOPszOn0Meeh9EY</v>
      </c>
      <c r="W841" s="5" t="str">
        <f>IFERROR(__xludf.DUMMYFUNCTION("""COMPUTED_VALUE"""),"NÃO")</f>
        <v>NÃO</v>
      </c>
      <c r="X841" s="5" t="str">
        <f>IFERROR(__xludf.DUMMYFUNCTION("""COMPUTED_VALUE"""),"NÃO SE APLICA")</f>
        <v>NÃO SE APLICA</v>
      </c>
    </row>
    <row r="842" hidden="1">
      <c r="A842" s="5">
        <f>IFERROR(__xludf.DUMMYFUNCTION("""COMPUTED_VALUE"""),5.0)</f>
        <v>5</v>
      </c>
      <c r="B842" s="5" t="str">
        <f>IFERROR(__xludf.DUMMYFUNCTION("""COMPUTED_VALUE"""),"JC004")</f>
        <v>JC004</v>
      </c>
      <c r="C842" s="5" t="str">
        <f>IFERROR(__xludf.DUMMYFUNCTION("""COMPUTED_VALUE"""),"NÃO POSSUI")</f>
        <v>NÃO POSSUI</v>
      </c>
      <c r="D842" s="5" t="str">
        <f>IFERROR(__xludf.DUMMYFUNCTION("""COMPUTED_VALUE"""),"FIXADA EM POSTE")</f>
        <v>FIXADA EM POSTE</v>
      </c>
      <c r="E842" s="5" t="str">
        <f>IFERROR(__xludf.DUMMYFUNCTION("""COMPUTED_VALUE"""),"SEM BAIA")</f>
        <v>SEM BAIA</v>
      </c>
      <c r="F842" s="5" t="str">
        <f>IFERROR(__xludf.DUMMYFUNCTION("""COMPUTED_VALUE"""),"NÃO")</f>
        <v>NÃO</v>
      </c>
      <c r="G842" s="5" t="str">
        <f>IFERROR(__xludf.DUMMYFUNCTION("""COMPUTED_VALUE"""),"NÃO")</f>
        <v>NÃO</v>
      </c>
      <c r="H842" s="5" t="str">
        <f>IFERROR(__xludf.DUMMYFUNCTION("""COMPUTED_VALUE"""),"PAVIMENTADA COM AVARIAS")</f>
        <v>PAVIMENTADA COM AVARIAS</v>
      </c>
      <c r="I842" s="6" t="str">
        <f>IFERROR(__xludf.DUMMYFUNCTION("""COMPUTED_VALUE"""),"-9.640015")</f>
        <v>-9.640015</v>
      </c>
      <c r="J842" s="6" t="str">
        <f>IFERROR(__xludf.DUMMYFUNCTION("""COMPUTED_VALUE"""),"-35.717737")</f>
        <v>-35.717737</v>
      </c>
      <c r="K842" s="5" t="str">
        <f>IFERROR(__xludf.DUMMYFUNCTION("""COMPUTED_VALUE"""),"R. CLETO CAMPELO 35")</f>
        <v>R. CLETO CAMPELO 35</v>
      </c>
      <c r="L842" s="5" t="str">
        <f>IFERROR(__xludf.DUMMYFUNCTION("""COMPUTED_VALUE"""),"COLETORA")</f>
        <v>COLETORA</v>
      </c>
      <c r="M842" s="5" t="str">
        <f>IFERROR(__xludf.DUMMYFUNCTION("""COMPUTED_VALUE"""),"JACINTINHO")</f>
        <v>JACINTINHO</v>
      </c>
      <c r="N842" s="5" t="str">
        <f>IFERROR(__xludf.DUMMYFUNCTION("""COMPUTED_VALUE"""),"BAIRRO - CENTRO")</f>
        <v>BAIRRO - CENTRO</v>
      </c>
      <c r="O842" s="5" t="str">
        <f>IFERROR(__xludf.DUMMYFUNCTION("""COMPUTED_VALUE"""),"PRÓXIMO A SENNA MÓVEIS")</f>
        <v>PRÓXIMO A SENNA MÓVEIS</v>
      </c>
      <c r="P842" s="5" t="str">
        <f>IFERROR(__xludf.DUMMYFUNCTION("""COMPUTED_VALUE"""),"PRIORIDADE BAIXA")</f>
        <v>PRIORIDADE BAIXA</v>
      </c>
      <c r="Q842" s="5" t="str">
        <f>IFERROR(__xludf.DUMMYFUNCTION("""COMPUTED_VALUE"""),"PINTURA DA BAÍA NO ASFALTO E RADEQUAÇÃO DA CALÇADA COM ACESSIBILIDADE.")</f>
        <v>PINTURA DA BAÍA NO ASFALTO E RADEQUAÇÃO DA CALÇADA COM ACESSIBILIDADE.</v>
      </c>
      <c r="R842" s="5" t="str">
        <f>IFERROR(__xludf.DUMMYFUNCTION("""COMPUTED_VALUE"""),"NENHUMA DAS OPÇÕES")</f>
        <v>NENHUMA DAS OPÇÕES</v>
      </c>
      <c r="S842" s="5"/>
      <c r="T842" s="5" t="str">
        <f>IFERROR(__xludf.DUMMYFUNCTION("""COMPUTED_VALUE"""),"NÃO REALIZADO")</f>
        <v>NÃO REALIZADO</v>
      </c>
      <c r="U842" s="5"/>
      <c r="V842" s="9" t="str">
        <f>IFERROR(__xludf.DUMMYFUNCTION("""COMPUTED_VALUE"""),"https://drive.google.com/uc?id=1SoeiXsNyyoOFA2EdoIq2Lyl1UdzgRRQZ")</f>
        <v>https://drive.google.com/uc?id=1SoeiXsNyyoOFA2EdoIq2Lyl1UdzgRRQZ</v>
      </c>
      <c r="W842" s="5" t="str">
        <f>IFERROR(__xludf.DUMMYFUNCTION("""COMPUTED_VALUE"""),"NÃO")</f>
        <v>NÃO</v>
      </c>
      <c r="X842" s="5" t="str">
        <f>IFERROR(__xludf.DUMMYFUNCTION("""COMPUTED_VALUE"""),"NÃO SE APLICA")</f>
        <v>NÃO SE APLICA</v>
      </c>
    </row>
    <row r="843" hidden="1">
      <c r="A843" s="5">
        <f>IFERROR(__xludf.DUMMYFUNCTION("""COMPUTED_VALUE"""),5.0)</f>
        <v>5</v>
      </c>
      <c r="B843" s="5" t="str">
        <f>IFERROR(__xludf.DUMMYFUNCTION("""COMPUTED_VALUE"""),"JC005")</f>
        <v>JC005</v>
      </c>
      <c r="C843" s="5" t="str">
        <f>IFERROR(__xludf.DUMMYFUNCTION("""COMPUTED_VALUE"""),"NÃO POSSUI")</f>
        <v>NÃO POSSUI</v>
      </c>
      <c r="D843" s="5" t="str">
        <f>IFERROR(__xludf.DUMMYFUNCTION("""COMPUTED_VALUE"""),"COM SUPORTE")</f>
        <v>COM SUPORTE</v>
      </c>
      <c r="E843" s="5" t="str">
        <f>IFERROR(__xludf.DUMMYFUNCTION("""COMPUTED_VALUE"""),"SEM BAIA")</f>
        <v>SEM BAIA</v>
      </c>
      <c r="F843" s="5" t="str">
        <f>IFERROR(__xludf.DUMMYFUNCTION("""COMPUTED_VALUE"""),"NÃO")</f>
        <v>NÃO</v>
      </c>
      <c r="G843" s="5" t="str">
        <f>IFERROR(__xludf.DUMMYFUNCTION("""COMPUTED_VALUE"""),"NÃO")</f>
        <v>NÃO</v>
      </c>
      <c r="H843" s="5" t="str">
        <f>IFERROR(__xludf.DUMMYFUNCTION("""COMPUTED_VALUE"""),"PAVIMENTADA")</f>
        <v>PAVIMENTADA</v>
      </c>
      <c r="I843" s="6" t="str">
        <f>IFERROR(__xludf.DUMMYFUNCTION("""COMPUTED_VALUE"""),"-9.642250")</f>
        <v>-9.642250</v>
      </c>
      <c r="J843" s="6" t="str">
        <f>IFERROR(__xludf.DUMMYFUNCTION("""COMPUTED_VALUE"""),"-35.718275")</f>
        <v>-35.718275</v>
      </c>
      <c r="K843" s="5" t="str">
        <f>IFERROR(__xludf.DUMMYFUNCTION("""COMPUTED_VALUE"""),"R. CLETO CAMPELO 25")</f>
        <v>R. CLETO CAMPELO 25</v>
      </c>
      <c r="L843" s="5" t="str">
        <f>IFERROR(__xludf.DUMMYFUNCTION("""COMPUTED_VALUE"""),"COLETORA")</f>
        <v>COLETORA</v>
      </c>
      <c r="M843" s="5" t="str">
        <f>IFERROR(__xludf.DUMMYFUNCTION("""COMPUTED_VALUE"""),"JACINTINHO")</f>
        <v>JACINTINHO</v>
      </c>
      <c r="N843" s="5" t="str">
        <f>IFERROR(__xludf.DUMMYFUNCTION("""COMPUTED_VALUE"""),"BAIRRO - CENTRO")</f>
        <v>BAIRRO - CENTRO</v>
      </c>
      <c r="O843" s="5" t="str">
        <f>IFERROR(__xludf.DUMMYFUNCTION("""COMPUTED_VALUE"""),"PRÓXIMO A BIKE E ACESSÓRIOS
")</f>
        <v>PRÓXIMO A BIKE E ACESSÓRIOS
</v>
      </c>
      <c r="P843" s="5" t="str">
        <f>IFERROR(__xludf.DUMMYFUNCTION("""COMPUTED_VALUE"""),"PRIORIDADE BAIXA")</f>
        <v>PRIORIDADE BAIXA</v>
      </c>
      <c r="Q843" s="5" t="str">
        <f>IFERROR(__xludf.DUMMYFUNCTION("""COMPUTED_VALUE"""),"PINTURA DA BAÍA NO ASFALTO E READEQUAÇÃO DA CALÇADA COM ACESSIBILIDADE.")</f>
        <v>PINTURA DA BAÍA NO ASFALTO E READEQUAÇÃO DA CALÇADA COM ACESSIBILIDADE.</v>
      </c>
      <c r="R843" s="5" t="str">
        <f>IFERROR(__xludf.DUMMYFUNCTION("""COMPUTED_VALUE"""),"NENHUMA DAS OPÇÕES")</f>
        <v>NENHUMA DAS OPÇÕES</v>
      </c>
      <c r="S843" s="5"/>
      <c r="T843" s="5" t="str">
        <f>IFERROR(__xludf.DUMMYFUNCTION("""COMPUTED_VALUE"""),"NÃO REALIZADO")</f>
        <v>NÃO REALIZADO</v>
      </c>
      <c r="U843" s="5"/>
      <c r="V843" s="9" t="str">
        <f>IFERROR(__xludf.DUMMYFUNCTION("""COMPUTED_VALUE"""),"https://drive.google.com/uc?id=1Sp27qq_0_KCBxJe91yZ9o_LQpZFYEzhv")</f>
        <v>https://drive.google.com/uc?id=1Sp27qq_0_KCBxJe91yZ9o_LQpZFYEzhv</v>
      </c>
      <c r="W843" s="5" t="str">
        <f>IFERROR(__xludf.DUMMYFUNCTION("""COMPUTED_VALUE"""),"NÃO")</f>
        <v>NÃO</v>
      </c>
      <c r="X843" s="5" t="str">
        <f>IFERROR(__xludf.DUMMYFUNCTION("""COMPUTED_VALUE"""),"NÃO SE APLICA")</f>
        <v>NÃO SE APLICA</v>
      </c>
    </row>
    <row r="844">
      <c r="A844" s="5">
        <f>IFERROR(__xludf.DUMMYFUNCTION("""COMPUTED_VALUE"""),5.0)</f>
        <v>5</v>
      </c>
      <c r="B844" s="5" t="str">
        <f>IFERROR(__xludf.DUMMYFUNCTION("""COMPUTED_VALUE"""),"JC006")</f>
        <v>JC006</v>
      </c>
      <c r="C844" s="5" t="str">
        <f>IFERROR(__xludf.DUMMYFUNCTION("""COMPUTED_VALUE"""),"ABRIGO CONCRETO")</f>
        <v>ABRIGO CONCRETO</v>
      </c>
      <c r="D844" s="5" t="str">
        <f>IFERROR(__xludf.DUMMYFUNCTION("""COMPUTED_VALUE"""),"SEM PLACA")</f>
        <v>SEM PLACA</v>
      </c>
      <c r="E844" s="5" t="str">
        <f>IFERROR(__xludf.DUMMYFUNCTION("""COMPUTED_VALUE"""),"SEM BAIA")</f>
        <v>SEM BAIA</v>
      </c>
      <c r="F844" s="5" t="str">
        <f>IFERROR(__xludf.DUMMYFUNCTION("""COMPUTED_VALUE"""),"NÃO")</f>
        <v>NÃO</v>
      </c>
      <c r="G844" s="5" t="str">
        <f>IFERROR(__xludf.DUMMYFUNCTION("""COMPUTED_VALUE"""),"NÃO")</f>
        <v>NÃO</v>
      </c>
      <c r="H844" s="5" t="str">
        <f>IFERROR(__xludf.DUMMYFUNCTION("""COMPUTED_VALUE"""),"PAVIMENTADA COM AVARIAS")</f>
        <v>PAVIMENTADA COM AVARIAS</v>
      </c>
      <c r="I844" s="6" t="str">
        <f>IFERROR(__xludf.DUMMYFUNCTION("""COMPUTED_VALUE"""),"-9.648012")</f>
        <v>-9.648012</v>
      </c>
      <c r="J844" s="6" t="str">
        <f>IFERROR(__xludf.DUMMYFUNCTION("""COMPUTED_VALUE"""),"-35.719983")</f>
        <v>-35.719983</v>
      </c>
      <c r="K844" s="5" t="str">
        <f>IFERROR(__xludf.DUMMYFUNCTION("""COMPUTED_VALUE"""),"R. CORONEL PARANHOS")</f>
        <v>R. CORONEL PARANHOS</v>
      </c>
      <c r="L844" s="5" t="str">
        <f>IFERROR(__xludf.DUMMYFUNCTION("""COMPUTED_VALUE"""),"COLETORA")</f>
        <v>COLETORA</v>
      </c>
      <c r="M844" s="5" t="str">
        <f>IFERROR(__xludf.DUMMYFUNCTION("""COMPUTED_VALUE"""),"JACINTINHO")</f>
        <v>JACINTINHO</v>
      </c>
      <c r="N844" s="5" t="str">
        <f>IFERROR(__xludf.DUMMYFUNCTION("""COMPUTED_VALUE"""),"BAIRRO - CENTRO")</f>
        <v>BAIRRO - CENTRO</v>
      </c>
      <c r="O844" s="5" t="str">
        <f>IFERROR(__xludf.DUMMYFUNCTION("""COMPUTED_VALUE"""),"EM FRENTE A ESCOLA DE FUTEBOL")</f>
        <v>EM FRENTE A ESCOLA DE FUTEBOL</v>
      </c>
      <c r="P844" s="5" t="str">
        <f>IFERROR(__xludf.DUMMYFUNCTION("""COMPUTED_VALUE"""),"PRIORIDADE BAIXA")</f>
        <v>PRIORIDADE BAIXA</v>
      </c>
      <c r="Q844" s="5" t="str">
        <f>IFERROR(__xludf.DUMMYFUNCTION("""COMPUTED_VALUE"""),"PINTURA DA BAÍA NO ASFALTO E READEQUAÇÃO DA CALÇADA COM ACESSIBILIDADE.")</f>
        <v>PINTURA DA BAÍA NO ASFALTO E READEQUAÇÃO DA CALÇADA COM ACESSIBILIDADE.</v>
      </c>
      <c r="R844" s="5" t="str">
        <f>IFERROR(__xludf.DUMMYFUNCTION("""COMPUTED_VALUE"""),"SUBSTITUIR ABRIGO")</f>
        <v>SUBSTITUIR ABRIGO</v>
      </c>
      <c r="S844" s="5"/>
      <c r="T844" s="5" t="str">
        <f>IFERROR(__xludf.DUMMYFUNCTION("""COMPUTED_VALUE"""),"NÃO REALIZADO")</f>
        <v>NÃO REALIZADO</v>
      </c>
      <c r="U844" s="5"/>
      <c r="V844" s="9" t="str">
        <f>IFERROR(__xludf.DUMMYFUNCTION("""COMPUTED_VALUE"""),"https://drive.google.com/uc?id=1StSFjnMkeTQV72o5JR8ivKUUACzJeMyX")</f>
        <v>https://drive.google.com/uc?id=1StSFjnMkeTQV72o5JR8ivKUUACzJeMyX</v>
      </c>
      <c r="W844" s="5" t="str">
        <f>IFERROR(__xludf.DUMMYFUNCTION("""COMPUTED_VALUE"""),"NÃO")</f>
        <v>NÃO</v>
      </c>
      <c r="X844" s="5" t="str">
        <f>IFERROR(__xludf.DUMMYFUNCTION("""COMPUTED_VALUE"""),"NÃO SE APLICA")</f>
        <v>NÃO SE APLICA</v>
      </c>
    </row>
    <row r="845" hidden="1">
      <c r="A845" s="5">
        <f>IFERROR(__xludf.DUMMYFUNCTION("""COMPUTED_VALUE"""),5.0)</f>
        <v>5</v>
      </c>
      <c r="B845" s="5" t="str">
        <f>IFERROR(__xludf.DUMMYFUNCTION("""COMPUTED_VALUE"""),"JC007")</f>
        <v>JC007</v>
      </c>
      <c r="C845" s="5" t="str">
        <f>IFERROR(__xludf.DUMMYFUNCTION("""COMPUTED_VALUE"""),"NÃO POSSUI")</f>
        <v>NÃO POSSUI</v>
      </c>
      <c r="D845" s="5" t="str">
        <f>IFERROR(__xludf.DUMMYFUNCTION("""COMPUTED_VALUE"""),"COM SUPORTE")</f>
        <v>COM SUPORTE</v>
      </c>
      <c r="E845" s="5" t="str">
        <f>IFERROR(__xludf.DUMMYFUNCTION("""COMPUTED_VALUE"""),"SEM BAIA")</f>
        <v>SEM BAIA</v>
      </c>
      <c r="F845" s="5" t="str">
        <f>IFERROR(__xludf.DUMMYFUNCTION("""COMPUTED_VALUE"""),"NÃO")</f>
        <v>NÃO</v>
      </c>
      <c r="G845" s="5" t="str">
        <f>IFERROR(__xludf.DUMMYFUNCTION("""COMPUTED_VALUE"""),"NÃO")</f>
        <v>NÃO</v>
      </c>
      <c r="H845" s="5" t="str">
        <f>IFERROR(__xludf.DUMMYFUNCTION("""COMPUTED_VALUE"""),"PAVIMENTADA")</f>
        <v>PAVIMENTADA</v>
      </c>
      <c r="I845" s="6" t="str">
        <f>IFERROR(__xludf.DUMMYFUNCTION("""COMPUTED_VALUE"""),"-9.651078")</f>
        <v>-9.651078</v>
      </c>
      <c r="J845" s="6" t="str">
        <f>IFERROR(__xludf.DUMMYFUNCTION("""COMPUTED_VALUE"""),"-35.721638")</f>
        <v>-35.721638</v>
      </c>
      <c r="K845" s="5" t="str">
        <f>IFERROR(__xludf.DUMMYFUNCTION("""COMPUTED_VALUE"""),"R. CORONEL PARANHOS")</f>
        <v>R. CORONEL PARANHOS</v>
      </c>
      <c r="L845" s="5" t="str">
        <f>IFERROR(__xludf.DUMMYFUNCTION("""COMPUTED_VALUE"""),"COLETORA")</f>
        <v>COLETORA</v>
      </c>
      <c r="M845" s="5" t="str">
        <f>IFERROR(__xludf.DUMMYFUNCTION("""COMPUTED_VALUE"""),"JACINTINHO")</f>
        <v>JACINTINHO</v>
      </c>
      <c r="N845" s="5" t="str">
        <f>IFERROR(__xludf.DUMMYFUNCTION("""COMPUTED_VALUE"""),"BAIRRO - CENTRO")</f>
        <v>BAIRRO - CENTRO</v>
      </c>
      <c r="O845" s="5" t="str">
        <f>IFERROR(__xludf.DUMMYFUNCTION("""COMPUTED_VALUE"""),"EM A CITY CELL")</f>
        <v>EM A CITY CELL</v>
      </c>
      <c r="P845" s="5" t="str">
        <f>IFERROR(__xludf.DUMMYFUNCTION("""COMPUTED_VALUE"""),"PRIORIDADE BAIXA")</f>
        <v>PRIORIDADE BAIXA</v>
      </c>
      <c r="Q845" s="5" t="str">
        <f>IFERROR(__xludf.DUMMYFUNCTION("""COMPUTED_VALUE"""),"PINTURA DA BAÍA NO ASFALTO E READEQUAÇÃO DA CALÇADA COM ACESSIBILIDADE.")</f>
        <v>PINTURA DA BAÍA NO ASFALTO E READEQUAÇÃO DA CALÇADA COM ACESSIBILIDADE.</v>
      </c>
      <c r="R845" s="5" t="str">
        <f>IFERROR(__xludf.DUMMYFUNCTION("""COMPUTED_VALUE"""),"NENHUMA DAS OPÇÕES")</f>
        <v>NENHUMA DAS OPÇÕES</v>
      </c>
      <c r="S845" s="5"/>
      <c r="T845" s="5" t="str">
        <f>IFERROR(__xludf.DUMMYFUNCTION("""COMPUTED_VALUE"""),"NÃO REALIZADO")</f>
        <v>NÃO REALIZADO</v>
      </c>
      <c r="U845" s="5"/>
      <c r="V845" s="9" t="str">
        <f>IFERROR(__xludf.DUMMYFUNCTION("""COMPUTED_VALUE"""),"https://drive.google.com/uc?id=1SuwVXgTgPL6ROWpnnykiIrvpP4-FVsVd")</f>
        <v>https://drive.google.com/uc?id=1SuwVXgTgPL6ROWpnnykiIrvpP4-FVsVd</v>
      </c>
      <c r="W845" s="5" t="str">
        <f>IFERROR(__xludf.DUMMYFUNCTION("""COMPUTED_VALUE"""),"NÃO")</f>
        <v>NÃO</v>
      </c>
      <c r="X845" s="5" t="str">
        <f>IFERROR(__xludf.DUMMYFUNCTION("""COMPUTED_VALUE"""),"NÃO SE APLICA")</f>
        <v>NÃO SE APLICA</v>
      </c>
    </row>
    <row r="846" ht="20.25" customHeight="1">
      <c r="A846" s="5">
        <f>IFERROR(__xludf.DUMMYFUNCTION("""COMPUTED_VALUE"""),5.0)</f>
        <v>5</v>
      </c>
      <c r="B846" s="5" t="str">
        <f>IFERROR(__xludf.DUMMYFUNCTION("""COMPUTED_VALUE"""),"JC008")</f>
        <v>JC008</v>
      </c>
      <c r="C846" s="5" t="str">
        <f>IFERROR(__xludf.DUMMYFUNCTION("""COMPUTED_VALUE"""),"ABRIGO CONCRETO")</f>
        <v>ABRIGO CONCRETO</v>
      </c>
      <c r="D846" s="5" t="str">
        <f>IFERROR(__xludf.DUMMYFUNCTION("""COMPUTED_VALUE"""),"SEM PLACA")</f>
        <v>SEM PLACA</v>
      </c>
      <c r="E846" s="5" t="str">
        <f>IFERROR(__xludf.DUMMYFUNCTION("""COMPUTED_VALUE"""),"SEM BAIA")</f>
        <v>SEM BAIA</v>
      </c>
      <c r="F846" s="5" t="str">
        <f>IFERROR(__xludf.DUMMYFUNCTION("""COMPUTED_VALUE"""),"NÃO")</f>
        <v>NÃO</v>
      </c>
      <c r="G846" s="5" t="str">
        <f>IFERROR(__xludf.DUMMYFUNCTION("""COMPUTED_VALUE"""),"NÃO")</f>
        <v>NÃO</v>
      </c>
      <c r="H846" s="5" t="str">
        <f>IFERROR(__xludf.DUMMYFUNCTION("""COMPUTED_VALUE"""),"NÃO PAVIMENTADA")</f>
        <v>NÃO PAVIMENTADA</v>
      </c>
      <c r="I846" s="6" t="str">
        <f>IFERROR(__xludf.DUMMYFUNCTION("""COMPUTED_VALUE"""),"-9.654617")</f>
        <v>-9.654617</v>
      </c>
      <c r="J846" s="6" t="str">
        <f>IFERROR(__xludf.DUMMYFUNCTION("""COMPUTED_VALUE""")," -35.723718")</f>
        <v> -35.723718</v>
      </c>
      <c r="K846" s="5" t="str">
        <f>IFERROR(__xludf.DUMMYFUNCTION("""COMPUTED_VALUE"""),"R. CORONEL PARANHOS, 386.")</f>
        <v>R. CORONEL PARANHOS, 386.</v>
      </c>
      <c r="L846" s="5" t="str">
        <f>IFERROR(__xludf.DUMMYFUNCTION("""COMPUTED_VALUE"""),"COLETORA")</f>
        <v>COLETORA</v>
      </c>
      <c r="M846" s="5" t="str">
        <f>IFERROR(__xludf.DUMMYFUNCTION("""COMPUTED_VALUE"""),"JACINTINHO")</f>
        <v>JACINTINHO</v>
      </c>
      <c r="N846" s="5" t="str">
        <f>IFERROR(__xludf.DUMMYFUNCTION("""COMPUTED_VALUE"""),"BAIRRO - CENTRO")</f>
        <v>BAIRRO - CENTRO</v>
      </c>
      <c r="O846" s="5" t="str">
        <f>IFERROR(__xludf.DUMMYFUNCTION("""COMPUTED_VALUE"""),"EM FRENTE A ASSEMBLEIA DE DEUS")</f>
        <v>EM FRENTE A ASSEMBLEIA DE DEUS</v>
      </c>
      <c r="P846" s="5" t="str">
        <f>IFERROR(__xludf.DUMMYFUNCTION("""COMPUTED_VALUE"""),"PRIORIDADE MÉDIA")</f>
        <v>PRIORIDADE MÉDIA</v>
      </c>
      <c r="Q846" s="5" t="str">
        <f>IFERROR(__xludf.DUMMYFUNCTION("""COMPUTED_VALUE"""),"PINTURA DA BAÍA NO ASFALTO E READEQUAÇÃO DA CALÇADA COM ACESSIBILIDADE.")</f>
        <v>PINTURA DA BAÍA NO ASFALTO E READEQUAÇÃO DA CALÇADA COM ACESSIBILIDADE.</v>
      </c>
      <c r="R846" s="5" t="str">
        <f>IFERROR(__xludf.DUMMYFUNCTION("""COMPUTED_VALUE"""),"SUBSTITUIR ABRIGO")</f>
        <v>SUBSTITUIR ABRIGO</v>
      </c>
      <c r="S846" s="5"/>
      <c r="T846" s="5" t="str">
        <f>IFERROR(__xludf.DUMMYFUNCTION("""COMPUTED_VALUE"""),"NÃO REALIZADO")</f>
        <v>NÃO REALIZADO</v>
      </c>
      <c r="U846" s="5"/>
      <c r="V846" s="9" t="str">
        <f>IFERROR(__xludf.DUMMYFUNCTION("""COMPUTED_VALUE"""),"https://drive.google.com/uc?id=1SvQeFoq_AFnLUxpoPIk7fUEnK2x7zFS3")</f>
        <v>https://drive.google.com/uc?id=1SvQeFoq_AFnLUxpoPIk7fUEnK2x7zFS3</v>
      </c>
      <c r="W846" s="5" t="str">
        <f>IFERROR(__xludf.DUMMYFUNCTION("""COMPUTED_VALUE"""),"NÃO")</f>
        <v>NÃO</v>
      </c>
      <c r="X846" s="5" t="str">
        <f>IFERROR(__xludf.DUMMYFUNCTION("""COMPUTED_VALUE"""),"NÃO SE APLICA")</f>
        <v>NÃO SE APLICA</v>
      </c>
    </row>
    <row r="847" hidden="1">
      <c r="A847" s="5">
        <f>IFERROR(__xludf.DUMMYFUNCTION("""COMPUTED_VALUE"""),5.0)</f>
        <v>5</v>
      </c>
      <c r="B847" s="5" t="str">
        <f>IFERROR(__xludf.DUMMYFUNCTION("""COMPUTED_VALUE"""),"JC009")</f>
        <v>JC009</v>
      </c>
      <c r="C847" s="5" t="str">
        <f>IFERROR(__xludf.DUMMYFUNCTION("""COMPUTED_VALUE"""),"NÃO POSSUI")</f>
        <v>NÃO POSSUI</v>
      </c>
      <c r="D847" s="5" t="str">
        <f>IFERROR(__xludf.DUMMYFUNCTION("""COMPUTED_VALUE"""),"COM SUPORTE")</f>
        <v>COM SUPORTE</v>
      </c>
      <c r="E847" s="5" t="str">
        <f>IFERROR(__xludf.DUMMYFUNCTION("""COMPUTED_VALUE"""),"SEM BAIA")</f>
        <v>SEM BAIA</v>
      </c>
      <c r="F847" s="5" t="str">
        <f>IFERROR(__xludf.DUMMYFUNCTION("""COMPUTED_VALUE"""),"NÃO")</f>
        <v>NÃO</v>
      </c>
      <c r="G847" s="5" t="str">
        <f>IFERROR(__xludf.DUMMYFUNCTION("""COMPUTED_VALUE"""),"NÃO")</f>
        <v>NÃO</v>
      </c>
      <c r="H847" s="5" t="str">
        <f>IFERROR(__xludf.DUMMYFUNCTION("""COMPUTED_VALUE"""),"PAVIMENTADA")</f>
        <v>PAVIMENTADA</v>
      </c>
      <c r="I847" s="6" t="str">
        <f>IFERROR(__xludf.DUMMYFUNCTION("""COMPUTED_VALUE"""),"-9.654212")</f>
        <v>-9.654212</v>
      </c>
      <c r="J847" s="6" t="str">
        <f>IFERROR(__xludf.DUMMYFUNCTION("""COMPUTED_VALUE"""),"-35.723420")</f>
        <v>-35.723420</v>
      </c>
      <c r="K847" s="5" t="str">
        <f>IFERROR(__xludf.DUMMYFUNCTION("""COMPUTED_VALUE"""),"R. CORONEL PARANHOS, 444.")</f>
        <v>R. CORONEL PARANHOS, 444.</v>
      </c>
      <c r="L847" s="5" t="str">
        <f>IFERROR(__xludf.DUMMYFUNCTION("""COMPUTED_VALUE"""),"COLETORA")</f>
        <v>COLETORA</v>
      </c>
      <c r="M847" s="5" t="str">
        <f>IFERROR(__xludf.DUMMYFUNCTION("""COMPUTED_VALUE"""),"JACINTINHO")</f>
        <v>JACINTINHO</v>
      </c>
      <c r="N847" s="5" t="str">
        <f>IFERROR(__xludf.DUMMYFUNCTION("""COMPUTED_VALUE"""),"CENTRO - BAIRRO")</f>
        <v>CENTRO - BAIRRO</v>
      </c>
      <c r="O847" s="5" t="str">
        <f>IFERROR(__xludf.DUMMYFUNCTION("""COMPUTED_VALUE"""),"EM FRENTE ZEZO CABELOS")</f>
        <v>EM FRENTE ZEZO CABELOS</v>
      </c>
      <c r="P847" s="5" t="str">
        <f>IFERROR(__xludf.DUMMYFUNCTION("""COMPUTED_VALUE"""),"PRIORIDADE BAIXA")</f>
        <v>PRIORIDADE BAIXA</v>
      </c>
      <c r="Q847" s="5" t="str">
        <f>IFERROR(__xludf.DUMMYFUNCTION("""COMPUTED_VALUE"""),"PINTURA DA BAÍA NO ASFALTO E READEQUAÇÃO DA CALÇADA COM ACESSIBILIDADE.")</f>
        <v>PINTURA DA BAÍA NO ASFALTO E READEQUAÇÃO DA CALÇADA COM ACESSIBILIDADE.</v>
      </c>
      <c r="R847" s="5" t="str">
        <f>IFERROR(__xludf.DUMMYFUNCTION("""COMPUTED_VALUE"""),"NENHUMA DAS OPÇÕES")</f>
        <v>NENHUMA DAS OPÇÕES</v>
      </c>
      <c r="S847" s="5"/>
      <c r="T847" s="5" t="str">
        <f>IFERROR(__xludf.DUMMYFUNCTION("""COMPUTED_VALUE"""),"NÃO REALIZADO")</f>
        <v>NÃO REALIZADO</v>
      </c>
      <c r="U847" s="5"/>
      <c r="V847" s="9" t="str">
        <f>IFERROR(__xludf.DUMMYFUNCTION("""COMPUTED_VALUE"""),"https://drive.google.com/uc?id=1SzrQHiHLEAU538UjKOD_I2blTfu2c2vN")</f>
        <v>https://drive.google.com/uc?id=1SzrQHiHLEAU538UjKOD_I2blTfu2c2vN</v>
      </c>
      <c r="W847" s="5" t="str">
        <f>IFERROR(__xludf.DUMMYFUNCTION("""COMPUTED_VALUE"""),"NÃO")</f>
        <v>NÃO</v>
      </c>
      <c r="X847" s="5" t="str">
        <f>IFERROR(__xludf.DUMMYFUNCTION("""COMPUTED_VALUE"""),"NÃO SE APLICA")</f>
        <v>NÃO SE APLICA</v>
      </c>
    </row>
    <row r="848" hidden="1">
      <c r="A848" s="5">
        <f>IFERROR(__xludf.DUMMYFUNCTION("""COMPUTED_VALUE"""),5.0)</f>
        <v>5</v>
      </c>
      <c r="B848" s="5" t="str">
        <f>IFERROR(__xludf.DUMMYFUNCTION("""COMPUTED_VALUE"""),"JC010")</f>
        <v>JC010</v>
      </c>
      <c r="C848" s="5" t="str">
        <f>IFERROR(__xludf.DUMMYFUNCTION("""COMPUTED_VALUE"""),"NÃO POSSUI")</f>
        <v>NÃO POSSUI</v>
      </c>
      <c r="D848" s="5" t="str">
        <f>IFERROR(__xludf.DUMMYFUNCTION("""COMPUTED_VALUE"""),"COM SUPORTE")</f>
        <v>COM SUPORTE</v>
      </c>
      <c r="E848" s="5" t="str">
        <f>IFERROR(__xludf.DUMMYFUNCTION("""COMPUTED_VALUE"""),"SEM BAIA")</f>
        <v>SEM BAIA</v>
      </c>
      <c r="F848" s="5" t="str">
        <f>IFERROR(__xludf.DUMMYFUNCTION("""COMPUTED_VALUE"""),"NÃO")</f>
        <v>NÃO</v>
      </c>
      <c r="G848" s="5" t="str">
        <f>IFERROR(__xludf.DUMMYFUNCTION("""COMPUTED_VALUE"""),"NÃO")</f>
        <v>NÃO</v>
      </c>
      <c r="H848" s="5" t="str">
        <f>IFERROR(__xludf.DUMMYFUNCTION("""COMPUTED_VALUE"""),"PAVIMENTADA")</f>
        <v>PAVIMENTADA</v>
      </c>
      <c r="I848" s="6" t="str">
        <f>IFERROR(__xludf.DUMMYFUNCTION("""COMPUTED_VALUE"""),"-9.652312")</f>
        <v>-9.652312</v>
      </c>
      <c r="J848" s="6" t="str">
        <f>IFERROR(__xludf.DUMMYFUNCTION("""COMPUTED_VALUE"""),"-35.722260")</f>
        <v>-35.722260</v>
      </c>
      <c r="K848" s="5" t="str">
        <f>IFERROR(__xludf.DUMMYFUNCTION("""COMPUTED_VALUE"""),"R. CORONEL PARANHOS, 43.")</f>
        <v>R. CORONEL PARANHOS, 43.</v>
      </c>
      <c r="L848" s="5" t="str">
        <f>IFERROR(__xludf.DUMMYFUNCTION("""COMPUTED_VALUE"""),"COLETORA")</f>
        <v>COLETORA</v>
      </c>
      <c r="M848" s="5" t="str">
        <f>IFERROR(__xludf.DUMMYFUNCTION("""COMPUTED_VALUE"""),"JACINTINHO")</f>
        <v>JACINTINHO</v>
      </c>
      <c r="N848" s="5" t="str">
        <f>IFERROR(__xludf.DUMMYFUNCTION("""COMPUTED_VALUE"""),"CENTRO - BAIRRO")</f>
        <v>CENTRO - BAIRRO</v>
      </c>
      <c r="O848" s="5" t="str">
        <f>IFERROR(__xludf.DUMMYFUNCTION("""COMPUTED_VALUE"""),"EM A CASA 666")</f>
        <v>EM A CASA 666</v>
      </c>
      <c r="P848" s="5" t="str">
        <f>IFERROR(__xludf.DUMMYFUNCTION("""COMPUTED_VALUE"""),"PRIORIDADE BAIXA")</f>
        <v>PRIORIDADE BAIXA</v>
      </c>
      <c r="Q848" s="5" t="str">
        <f>IFERROR(__xludf.DUMMYFUNCTION("""COMPUTED_VALUE"""),"PINTURA DA BAÍA NO ASFALTO E READEQUAÇÃO DA CALÇADA COM ACESSIBILIDADE.")</f>
        <v>PINTURA DA BAÍA NO ASFALTO E READEQUAÇÃO DA CALÇADA COM ACESSIBILIDADE.</v>
      </c>
      <c r="R848" s="5" t="str">
        <f>IFERROR(__xludf.DUMMYFUNCTION("""COMPUTED_VALUE"""),"NENHUMA DAS OPÇÕES")</f>
        <v>NENHUMA DAS OPÇÕES</v>
      </c>
      <c r="S848" s="5"/>
      <c r="T848" s="5" t="str">
        <f>IFERROR(__xludf.DUMMYFUNCTION("""COMPUTED_VALUE"""),"NÃO REALIZADO")</f>
        <v>NÃO REALIZADO</v>
      </c>
      <c r="U848" s="5"/>
      <c r="V848" s="9" t="str">
        <f>IFERROR(__xludf.DUMMYFUNCTION("""COMPUTED_VALUE"""),"https://drive.google.com/uc?id=1T0Kem-vr7y8R276dzWz-nNFBmMpHoNmx")</f>
        <v>https://drive.google.com/uc?id=1T0Kem-vr7y8R276dzWz-nNFBmMpHoNmx</v>
      </c>
      <c r="W848" s="5" t="str">
        <f>IFERROR(__xludf.DUMMYFUNCTION("""COMPUTED_VALUE"""),"NÃO")</f>
        <v>NÃO</v>
      </c>
      <c r="X848" s="5" t="str">
        <f>IFERROR(__xludf.DUMMYFUNCTION("""COMPUTED_VALUE"""),"NÃO SE APLICA")</f>
        <v>NÃO SE APLICA</v>
      </c>
    </row>
    <row r="849">
      <c r="A849" s="5">
        <f>IFERROR(__xludf.DUMMYFUNCTION("""COMPUTED_VALUE"""),5.0)</f>
        <v>5</v>
      </c>
      <c r="B849" s="5" t="str">
        <f>IFERROR(__xludf.DUMMYFUNCTION("""COMPUTED_VALUE"""),"JC011")</f>
        <v>JC011</v>
      </c>
      <c r="C849" s="5" t="str">
        <f>IFERROR(__xludf.DUMMYFUNCTION("""COMPUTED_VALUE"""),"ABRIGO CONCRETO")</f>
        <v>ABRIGO CONCRETO</v>
      </c>
      <c r="D849" s="5" t="str">
        <f>IFERROR(__xludf.DUMMYFUNCTION("""COMPUTED_VALUE"""),"SEM PLACA")</f>
        <v>SEM PLACA</v>
      </c>
      <c r="E849" s="5" t="str">
        <f>IFERROR(__xludf.DUMMYFUNCTION("""COMPUTED_VALUE"""),"SEM BAIA")</f>
        <v>SEM BAIA</v>
      </c>
      <c r="F849" s="5" t="str">
        <f>IFERROR(__xludf.DUMMYFUNCTION("""COMPUTED_VALUE"""),"SIM")</f>
        <v>SIM</v>
      </c>
      <c r="G849" s="5" t="str">
        <f>IFERROR(__xludf.DUMMYFUNCTION("""COMPUTED_VALUE"""),"NÃO")</f>
        <v>NÃO</v>
      </c>
      <c r="H849" s="5" t="str">
        <f>IFERROR(__xludf.DUMMYFUNCTION("""COMPUTED_VALUE"""),"PAVIMENTADA")</f>
        <v>PAVIMENTADA</v>
      </c>
      <c r="I849" s="6" t="str">
        <f>IFERROR(__xludf.DUMMYFUNCTION("""COMPUTED_VALUE"""),"-9.650582")</f>
        <v>-9.650582</v>
      </c>
      <c r="J849" s="6" t="str">
        <f>IFERROR(__xludf.DUMMYFUNCTION("""COMPUTED_VALUE"""),"-35.721043")</f>
        <v>-35.721043</v>
      </c>
      <c r="K849" s="5" t="str">
        <f>IFERROR(__xludf.DUMMYFUNCTION("""COMPUTED_VALUE"""),"R. CORONEL PARANHOS, 863.")</f>
        <v>R. CORONEL PARANHOS, 863.</v>
      </c>
      <c r="L849" s="5" t="str">
        <f>IFERROR(__xludf.DUMMYFUNCTION("""COMPUTED_VALUE"""),"COLETORA")</f>
        <v>COLETORA</v>
      </c>
      <c r="M849" s="5" t="str">
        <f>IFERROR(__xludf.DUMMYFUNCTION("""COMPUTED_VALUE"""),"JACINTINHO")</f>
        <v>JACINTINHO</v>
      </c>
      <c r="N849" s="5" t="str">
        <f>IFERROR(__xludf.DUMMYFUNCTION("""COMPUTED_VALUE"""),"CENTRO - BAIRRO")</f>
        <v>CENTRO - BAIRRO</v>
      </c>
      <c r="O849" s="5" t="str">
        <f>IFERROR(__xludf.DUMMYFUNCTION("""COMPUTED_VALUE"""),"VIZINHO A IGREJA ADVENTISTA ")</f>
        <v>VIZINHO A IGREJA ADVENTISTA </v>
      </c>
      <c r="P849" s="5" t="str">
        <f>IFERROR(__xludf.DUMMYFUNCTION("""COMPUTED_VALUE"""),"PRIORIDADE BAIXA")</f>
        <v>PRIORIDADE BAIXA</v>
      </c>
      <c r="Q849" s="5" t="str">
        <f>IFERROR(__xludf.DUMMYFUNCTION("""COMPUTED_VALUE"""),"PINTURA DA BAÍA NO ASFALTO E READEQUAÇÃO DA CALÇADA COM ACESSIBILIDADE POIS POSSUI AVARIAS.")</f>
        <v>PINTURA DA BAÍA NO ASFALTO E READEQUAÇÃO DA CALÇADA COM ACESSIBILIDADE POIS POSSUI AVARIAS.</v>
      </c>
      <c r="R849" s="5" t="str">
        <f>IFERROR(__xludf.DUMMYFUNCTION("""COMPUTED_VALUE"""),"SUBSTITUIR ABRIGO")</f>
        <v>SUBSTITUIR ABRIGO</v>
      </c>
      <c r="S849" s="5"/>
      <c r="T849" s="5" t="str">
        <f>IFERROR(__xludf.DUMMYFUNCTION("""COMPUTED_VALUE"""),"NÃO REALIZADO")</f>
        <v>NÃO REALIZADO</v>
      </c>
      <c r="U849" s="5"/>
      <c r="V849" s="9" t="str">
        <f>IFERROR(__xludf.DUMMYFUNCTION("""COMPUTED_VALUE"""),"https://drive.google.com/uc?id=1T3U7gCaL9JR9ixis9XyO1exc9IgXpaFX")</f>
        <v>https://drive.google.com/uc?id=1T3U7gCaL9JR9ixis9XyO1exc9IgXpaFX</v>
      </c>
      <c r="W849" s="5" t="str">
        <f>IFERROR(__xludf.DUMMYFUNCTION("""COMPUTED_VALUE"""),"NÃO")</f>
        <v>NÃO</v>
      </c>
      <c r="X849" s="5" t="str">
        <f>IFERROR(__xludf.DUMMYFUNCTION("""COMPUTED_VALUE"""),"NÃO SE APLICA")</f>
        <v>NÃO SE APLICA</v>
      </c>
    </row>
    <row r="850" hidden="1">
      <c r="A850" s="5">
        <f>IFERROR(__xludf.DUMMYFUNCTION("""COMPUTED_VALUE"""),5.0)</f>
        <v>5</v>
      </c>
      <c r="B850" s="5" t="str">
        <f>IFERROR(__xludf.DUMMYFUNCTION("""COMPUTED_VALUE"""),"JC012")</f>
        <v>JC012</v>
      </c>
      <c r="C850" s="5" t="str">
        <f>IFERROR(__xludf.DUMMYFUNCTION("""COMPUTED_VALUE"""),"NÃO POSSUI")</f>
        <v>NÃO POSSUI</v>
      </c>
      <c r="D850" s="5" t="str">
        <f>IFERROR(__xludf.DUMMYFUNCTION("""COMPUTED_VALUE"""),"FIXADA EM POSTE")</f>
        <v>FIXADA EM POSTE</v>
      </c>
      <c r="E850" s="5" t="str">
        <f>IFERROR(__xludf.DUMMYFUNCTION("""COMPUTED_VALUE"""),"SEM BAIA")</f>
        <v>SEM BAIA</v>
      </c>
      <c r="F850" s="5" t="str">
        <f>IFERROR(__xludf.DUMMYFUNCTION("""COMPUTED_VALUE"""),"NÃO")</f>
        <v>NÃO</v>
      </c>
      <c r="G850" s="5" t="str">
        <f>IFERROR(__xludf.DUMMYFUNCTION("""COMPUTED_VALUE"""),"NÃO")</f>
        <v>NÃO</v>
      </c>
      <c r="H850" s="5" t="str">
        <f>IFERROR(__xludf.DUMMYFUNCTION("""COMPUTED_VALUE"""),"PAVIMENTADA COM AVARIAS")</f>
        <v>PAVIMENTADA COM AVARIAS</v>
      </c>
      <c r="I850" s="6" t="str">
        <f>IFERROR(__xludf.DUMMYFUNCTION("""COMPUTED_VALUE"""),"-9.647033")</f>
        <v>-9.647033</v>
      </c>
      <c r="J850" s="6" t="str">
        <f>IFERROR(__xludf.DUMMYFUNCTION("""COMPUTED_VALUE"""),"-35.719814")</f>
        <v>-35.719814</v>
      </c>
      <c r="K850" s="5" t="str">
        <f>IFERROR(__xludf.DUMMYFUNCTION("""COMPUTED_VALUE"""),"R. COMENDADOR JOSÉ GERALDO SILVA")</f>
        <v>R. COMENDADOR JOSÉ GERALDO SILVA</v>
      </c>
      <c r="L850" s="5" t="str">
        <f>IFERROR(__xludf.DUMMYFUNCTION("""COMPUTED_VALUE"""),"COLETORA")</f>
        <v>COLETORA</v>
      </c>
      <c r="M850" s="5" t="str">
        <f>IFERROR(__xludf.DUMMYFUNCTION("""COMPUTED_VALUE"""),"JACINTINHO")</f>
        <v>JACINTINHO</v>
      </c>
      <c r="N850" s="5" t="str">
        <f>IFERROR(__xludf.DUMMYFUNCTION("""COMPUTED_VALUE"""),"CENTRO - BAIRRO")</f>
        <v>CENTRO - BAIRRO</v>
      </c>
      <c r="O850" s="5" t="str">
        <f>IFERROR(__xludf.DUMMYFUNCTION("""COMPUTED_VALUE"""),"EM FRENTE PROFESSOR THEONILO GAMA")</f>
        <v>EM FRENTE PROFESSOR THEONILO GAMA</v>
      </c>
      <c r="P850" s="5" t="str">
        <f>IFERROR(__xludf.DUMMYFUNCTION("""COMPUTED_VALUE"""),"PRIORIDADE BAIXA")</f>
        <v>PRIORIDADE BAIXA</v>
      </c>
      <c r="Q850" s="5" t="str">
        <f>IFERROR(__xludf.DUMMYFUNCTION("""COMPUTED_VALUE"""),"PINTURA DA BAÍA NO ASFALTO E READEQUAÇÃO DA CALÇADA COM ACESSIBILIDADE.")</f>
        <v>PINTURA DA BAÍA NO ASFALTO E READEQUAÇÃO DA CALÇADA COM ACESSIBILIDADE.</v>
      </c>
      <c r="R850" s="5" t="str">
        <f>IFERROR(__xludf.DUMMYFUNCTION("""COMPUTED_VALUE"""),"IMPLANTAR ABRIGO")</f>
        <v>IMPLANTAR ABRIGO</v>
      </c>
      <c r="S850" s="5"/>
      <c r="T850" s="5" t="str">
        <f>IFERROR(__xludf.DUMMYFUNCTION("""COMPUTED_VALUE"""),"NÃO REALIZADO")</f>
        <v>NÃO REALIZADO</v>
      </c>
      <c r="U850" s="5"/>
      <c r="V850" s="9" t="str">
        <f>IFERROR(__xludf.DUMMYFUNCTION("""COMPUTED_VALUE"""),"https://drive.google.com/uc?id=1TM5tJtXUECxh3r4Qwm6CvfmFFEReUIeE")</f>
        <v>https://drive.google.com/uc?id=1TM5tJtXUECxh3r4Qwm6CvfmFFEReUIeE</v>
      </c>
      <c r="W850" s="5" t="str">
        <f>IFERROR(__xludf.DUMMYFUNCTION("""COMPUTED_VALUE"""),"NÃO")</f>
        <v>NÃO</v>
      </c>
      <c r="X850" s="5" t="str">
        <f>IFERROR(__xludf.DUMMYFUNCTION("""COMPUTED_VALUE"""),"NÃO SE APLICA")</f>
        <v>NÃO SE APLICA</v>
      </c>
    </row>
    <row r="851">
      <c r="A851" s="5">
        <f>IFERROR(__xludf.DUMMYFUNCTION("""COMPUTED_VALUE"""),5.0)</f>
        <v>5</v>
      </c>
      <c r="B851" s="5" t="str">
        <f>IFERROR(__xludf.DUMMYFUNCTION("""COMPUTED_VALUE"""),"JC013")</f>
        <v>JC013</v>
      </c>
      <c r="C851" s="5" t="str">
        <f>IFERROR(__xludf.DUMMYFUNCTION("""COMPUTED_VALUE"""),"ABRIGO METÁLICO GRANDE PORTE")</f>
        <v>ABRIGO METÁLICO GRANDE PORTE</v>
      </c>
      <c r="D851" s="5" t="str">
        <f>IFERROR(__xludf.DUMMYFUNCTION("""COMPUTED_VALUE"""),"SEM PLACA")</f>
        <v>SEM PLACA</v>
      </c>
      <c r="E851" s="5" t="str">
        <f>IFERROR(__xludf.DUMMYFUNCTION("""COMPUTED_VALUE"""),"BAIA PINTADA")</f>
        <v>BAIA PINTADA</v>
      </c>
      <c r="F851" s="5" t="str">
        <f>IFERROR(__xludf.DUMMYFUNCTION("""COMPUTED_VALUE"""),"SIM")</f>
        <v>SIM</v>
      </c>
      <c r="G851" s="5" t="str">
        <f>IFERROR(__xludf.DUMMYFUNCTION("""COMPUTED_VALUE"""),"NÃO")</f>
        <v>NÃO</v>
      </c>
      <c r="H851" s="5" t="str">
        <f>IFERROR(__xludf.DUMMYFUNCTION("""COMPUTED_VALUE"""),"PAVIMENTADA")</f>
        <v>PAVIMENTADA</v>
      </c>
      <c r="I851" s="6" t="str">
        <f>IFERROR(__xludf.DUMMYFUNCTION("""COMPUTED_VALUE"""),"-9.636860")</f>
        <v>-9.636860</v>
      </c>
      <c r="J851" s="6" t="str">
        <f>IFERROR(__xludf.DUMMYFUNCTION("""COMPUTED_VALUE"""),"-35.718204")</f>
        <v>-35.718204</v>
      </c>
      <c r="K851" s="5" t="str">
        <f>IFERROR(__xludf.DUMMYFUNCTION("""COMPUTED_VALUE"""),"R. PADRE SIZENANDO SILVA, 28.")</f>
        <v>R. PADRE SIZENANDO SILVA, 28.</v>
      </c>
      <c r="L851" s="5" t="str">
        <f>IFERROR(__xludf.DUMMYFUNCTION("""COMPUTED_VALUE"""),"COLETORA")</f>
        <v>COLETORA</v>
      </c>
      <c r="M851" s="5" t="str">
        <f>IFERROR(__xludf.DUMMYFUNCTION("""COMPUTED_VALUE"""),"JACINTINHO")</f>
        <v>JACINTINHO</v>
      </c>
      <c r="N851" s="5" t="str">
        <f>IFERROR(__xludf.DUMMYFUNCTION("""COMPUTED_VALUE"""),"CENTRO - BAIRRO")</f>
        <v>CENTRO - BAIRRO</v>
      </c>
      <c r="O851" s="5" t="str">
        <f>IFERROR(__xludf.DUMMYFUNCTION("""COMPUTED_VALUE"""),"ESCOLA MUNICIPAL ANTÔNIO SEMEÃO")</f>
        <v>ESCOLA MUNICIPAL ANTÔNIO SEMEÃO</v>
      </c>
      <c r="P851" s="5" t="str">
        <f>IFERROR(__xludf.DUMMYFUNCTION("""COMPUTED_VALUE"""),"PRIORIDADE BAIXA")</f>
        <v>PRIORIDADE BAIXA</v>
      </c>
      <c r="Q851" s="5" t="str">
        <f>IFERROR(__xludf.DUMMYFUNCTION("""COMPUTED_VALUE"""),"MANUTENÇÃO DE PRIORIDADE BAIXA NO ABRIGO.")</f>
        <v>MANUTENÇÃO DE PRIORIDADE BAIXA NO ABRIGO.</v>
      </c>
      <c r="R851" s="5" t="str">
        <f>IFERROR(__xludf.DUMMYFUNCTION("""COMPUTED_VALUE"""),"NENHUMA DAS OPÇÕES")</f>
        <v>NENHUMA DAS OPÇÕES</v>
      </c>
      <c r="S851" s="5"/>
      <c r="T851" s="5" t="str">
        <f>IFERROR(__xludf.DUMMYFUNCTION("""COMPUTED_VALUE"""),"NÃO REALIZADO")</f>
        <v>NÃO REALIZADO</v>
      </c>
      <c r="U851" s="5"/>
      <c r="V851" s="9" t="str">
        <f>IFERROR(__xludf.DUMMYFUNCTION("""COMPUTED_VALUE"""),"https://drive.google.com/uc?id=1TTQbbzmT5D_NfHkkaMgO9tL10M-ii5w0")</f>
        <v>https://drive.google.com/uc?id=1TTQbbzmT5D_NfHkkaMgO9tL10M-ii5w0</v>
      </c>
      <c r="W851" s="5" t="str">
        <f>IFERROR(__xludf.DUMMYFUNCTION("""COMPUTED_VALUE"""),"NÃO")</f>
        <v>NÃO</v>
      </c>
      <c r="X851" s="5" t="str">
        <f>IFERROR(__xludf.DUMMYFUNCTION("""COMPUTED_VALUE"""),"SIM")</f>
        <v>SIM</v>
      </c>
    </row>
    <row r="852">
      <c r="A852" s="5">
        <f>IFERROR(__xludf.DUMMYFUNCTION("""COMPUTED_VALUE"""),5.0)</f>
        <v>5</v>
      </c>
      <c r="B852" s="5" t="str">
        <f>IFERROR(__xludf.DUMMYFUNCTION("""COMPUTED_VALUE"""),"JC014")</f>
        <v>JC014</v>
      </c>
      <c r="C852" s="5" t="str">
        <f>IFERROR(__xludf.DUMMYFUNCTION("""COMPUTED_VALUE"""),"ABRIGO CONCRETO")</f>
        <v>ABRIGO CONCRETO</v>
      </c>
      <c r="D852" s="5" t="str">
        <f>IFERROR(__xludf.DUMMYFUNCTION("""COMPUTED_VALUE"""),"SEM PLACA")</f>
        <v>SEM PLACA</v>
      </c>
      <c r="E852" s="5" t="str">
        <f>IFERROR(__xludf.DUMMYFUNCTION("""COMPUTED_VALUE"""),"SEM BAIA")</f>
        <v>SEM BAIA</v>
      </c>
      <c r="F852" s="5" t="str">
        <f>IFERROR(__xludf.DUMMYFUNCTION("""COMPUTED_VALUE"""),"NÃO")</f>
        <v>NÃO</v>
      </c>
      <c r="G852" s="5" t="str">
        <f>IFERROR(__xludf.DUMMYFUNCTION("""COMPUTED_VALUE"""),"NÃO")</f>
        <v>NÃO</v>
      </c>
      <c r="H852" s="5" t="str">
        <f>IFERROR(__xludf.DUMMYFUNCTION("""COMPUTED_VALUE"""),"PAVIMENTADA")</f>
        <v>PAVIMENTADA</v>
      </c>
      <c r="I852" s="6" t="str">
        <f>IFERROR(__xludf.DUMMYFUNCTION("""COMPUTED_VALUE"""),"-9.635311")</f>
        <v>-9.635311</v>
      </c>
      <c r="J852" s="6" t="str">
        <f>IFERROR(__xludf.DUMMYFUNCTION("""COMPUTED_VALUE"""),"-35.709651")</f>
        <v>-35.709651</v>
      </c>
      <c r="K852" s="5" t="str">
        <f>IFERROR(__xludf.DUMMYFUNCTION("""COMPUTED_VALUE"""),"AV. JUCA SAMPAIO 800")</f>
        <v>AV. JUCA SAMPAIO 800</v>
      </c>
      <c r="L852" s="5" t="str">
        <f>IFERROR(__xludf.DUMMYFUNCTION("""COMPUTED_VALUE"""),"ARTERIAL ")</f>
        <v>ARTERIAL </v>
      </c>
      <c r="M852" s="5" t="str">
        <f>IFERROR(__xludf.DUMMYFUNCTION("""COMPUTED_VALUE"""),"JACINTINHO")</f>
        <v>JACINTINHO</v>
      </c>
      <c r="N852" s="5" t="str">
        <f>IFERROR(__xludf.DUMMYFUNCTION("""COMPUTED_VALUE"""),"BAIRRO - CENTRO")</f>
        <v>BAIRRO - CENTRO</v>
      </c>
      <c r="O852" s="5" t="str">
        <f>IFERROR(__xludf.DUMMYFUNCTION("""COMPUTED_VALUE"""),"PRÓXIMO A PANIFICAÇÃO BRAÇOS ABERTOS")</f>
        <v>PRÓXIMO A PANIFICAÇÃO BRAÇOS ABERTOS</v>
      </c>
      <c r="P852" s="5" t="str">
        <f>IFERROR(__xludf.DUMMYFUNCTION("""COMPUTED_VALUE"""),"PRIORIDADE BAIXA")</f>
        <v>PRIORIDADE BAIXA</v>
      </c>
      <c r="Q852" s="5" t="str">
        <f>IFERROR(__xludf.DUMMYFUNCTION("""COMPUTED_VALUE"""),"READEQUAÇÃO DA CALÇADA COM ACESSIBILIDADE POIS POSSUI AVARIAS.")</f>
        <v>READEQUAÇÃO DA CALÇADA COM ACESSIBILIDADE POIS POSSUI AVARIAS.</v>
      </c>
      <c r="R852" s="5" t="str">
        <f>IFERROR(__xludf.DUMMYFUNCTION("""COMPUTED_VALUE"""),"SUBSTITUIR ABRIGO")</f>
        <v>SUBSTITUIR ABRIGO</v>
      </c>
      <c r="S852" s="5"/>
      <c r="T852" s="5" t="str">
        <f>IFERROR(__xludf.DUMMYFUNCTION("""COMPUTED_VALUE"""),"NÃO REALIZADO")</f>
        <v>NÃO REALIZADO</v>
      </c>
      <c r="U852" s="5"/>
      <c r="V852" s="9" t="str">
        <f>IFERROR(__xludf.DUMMYFUNCTION("""COMPUTED_VALUE"""),"https://drive.google.com/uc?id=1TaJFnQQauODxxSsa0O8sHt8XvgkrI10E")</f>
        <v>https://drive.google.com/uc?id=1TaJFnQQauODxxSsa0O8sHt8XvgkrI10E</v>
      </c>
      <c r="W852" s="5" t="str">
        <f>IFERROR(__xludf.DUMMYFUNCTION("""COMPUTED_VALUE"""),"NÃO")</f>
        <v>NÃO</v>
      </c>
      <c r="X852" s="5" t="str">
        <f>IFERROR(__xludf.DUMMYFUNCTION("""COMPUTED_VALUE"""),"NÃO SE APLICA")</f>
        <v>NÃO SE APLICA</v>
      </c>
    </row>
    <row r="853" ht="15.75" customHeight="1">
      <c r="A853" s="5">
        <f>IFERROR(__xludf.DUMMYFUNCTION("""COMPUTED_VALUE"""),5.0)</f>
        <v>5</v>
      </c>
      <c r="B853" s="5" t="str">
        <f>IFERROR(__xludf.DUMMYFUNCTION("""COMPUTED_VALUE"""),"JC015")</f>
        <v>JC015</v>
      </c>
      <c r="C853" s="5" t="str">
        <f>IFERROR(__xludf.DUMMYFUNCTION("""COMPUTED_VALUE"""),"ABRIGO METÁLICO PEQUENO PORTE")</f>
        <v>ABRIGO METÁLICO PEQUENO PORTE</v>
      </c>
      <c r="D853" s="5" t="str">
        <f>IFERROR(__xludf.DUMMYFUNCTION("""COMPUTED_VALUE"""),"SEM PLACA")</f>
        <v>SEM PLACA</v>
      </c>
      <c r="E853" s="5" t="str">
        <f>IFERROR(__xludf.DUMMYFUNCTION("""COMPUTED_VALUE"""),"SEM BAIA")</f>
        <v>SEM BAIA</v>
      </c>
      <c r="F853" s="5" t="str">
        <f>IFERROR(__xludf.DUMMYFUNCTION("""COMPUTED_VALUE"""),"NÃO")</f>
        <v>NÃO</v>
      </c>
      <c r="G853" s="5" t="str">
        <f>IFERROR(__xludf.DUMMYFUNCTION("""COMPUTED_VALUE"""),"NÃO")</f>
        <v>NÃO</v>
      </c>
      <c r="H853" s="5" t="str">
        <f>IFERROR(__xludf.DUMMYFUNCTION("""COMPUTED_VALUE"""),"PAVIMENTADA COM AVARIAS")</f>
        <v>PAVIMENTADA COM AVARIAS</v>
      </c>
      <c r="I853" s="6" t="str">
        <f>IFERROR(__xludf.DUMMYFUNCTION("""COMPUTED_VALUE"""),"-9.635715
")</f>
        <v>-9.635715
</v>
      </c>
      <c r="J853" s="6" t="str">
        <f>IFERROR(__xludf.DUMMYFUNCTION("""COMPUTED_VALUE"""),"-35.716165")</f>
        <v>-35.716165</v>
      </c>
      <c r="K853" s="5" t="str">
        <f>IFERROR(__xludf.DUMMYFUNCTION("""COMPUTED_VALUE"""),"R. APOLÔNIA ROCHA DOS SANTOS, 2-20.")</f>
        <v>R. APOLÔNIA ROCHA DOS SANTOS, 2-20.</v>
      </c>
      <c r="L853" s="5" t="str">
        <f>IFERROR(__xludf.DUMMYFUNCTION("""COMPUTED_VALUE"""),"COLETORA")</f>
        <v>COLETORA</v>
      </c>
      <c r="M853" s="5" t="str">
        <f>IFERROR(__xludf.DUMMYFUNCTION("""COMPUTED_VALUE"""),"JACINTINHO")</f>
        <v>JACINTINHO</v>
      </c>
      <c r="N853" s="5" t="str">
        <f>IFERROR(__xludf.DUMMYFUNCTION("""COMPUTED_VALUE"""),"BAIRRO - CENTRO")</f>
        <v>BAIRRO - CENTRO</v>
      </c>
      <c r="O853" s="5" t="str">
        <f>IFERROR(__xludf.DUMMYFUNCTION("""COMPUTED_VALUE"""),"PRÓXIMO VIDRO MAIS
")</f>
        <v>PRÓXIMO VIDRO MAIS
</v>
      </c>
      <c r="P853" s="5" t="str">
        <f>IFERROR(__xludf.DUMMYFUNCTION("""COMPUTED_VALUE"""),"PRIORIDADE BAIXA")</f>
        <v>PRIORIDADE BAIXA</v>
      </c>
      <c r="Q853" s="5" t="str">
        <f>IFERROR(__xludf.DUMMYFUNCTION("""COMPUTED_VALUE"""),"READEQUAÇÃO DA CALÇADA COM ACESSIBILIDADE; PINTURA DA BAIA NO ASFALTO.")</f>
        <v>READEQUAÇÃO DA CALÇADA COM ACESSIBILIDADE; PINTURA DA BAIA NO ASFALTO.</v>
      </c>
      <c r="R853" s="5" t="str">
        <f>IFERROR(__xludf.DUMMYFUNCTION("""COMPUTED_VALUE"""),"NENHUMA DAS OPÇÕES")</f>
        <v>NENHUMA DAS OPÇÕES</v>
      </c>
      <c r="S853" s="5"/>
      <c r="T853" s="5" t="str">
        <f>IFERROR(__xludf.DUMMYFUNCTION("""COMPUTED_VALUE"""),"NÃO REALIZADO")</f>
        <v>NÃO REALIZADO</v>
      </c>
      <c r="U853" s="5"/>
      <c r="V853" s="9" t="str">
        <f>IFERROR(__xludf.DUMMYFUNCTION("""COMPUTED_VALUE"""),"https://drive.google.com/uc?id=1awfXyPHyUVHCO5RuOcNnclwX1kxFKZe4")</f>
        <v>https://drive.google.com/uc?id=1awfXyPHyUVHCO5RuOcNnclwX1kxFKZe4</v>
      </c>
      <c r="W853" s="5" t="str">
        <f>IFERROR(__xludf.DUMMYFUNCTION("""COMPUTED_VALUE"""),"NÃO")</f>
        <v>NÃO</v>
      </c>
      <c r="X853" s="5" t="str">
        <f>IFERROR(__xludf.DUMMYFUNCTION("""COMPUTED_VALUE"""),"NÃO")</f>
        <v>NÃO</v>
      </c>
    </row>
    <row r="854" ht="18.75" hidden="1" customHeight="1">
      <c r="A854" s="5">
        <f>IFERROR(__xludf.DUMMYFUNCTION("""COMPUTED_VALUE"""),5.0)</f>
        <v>5</v>
      </c>
      <c r="B854" s="5" t="str">
        <f>IFERROR(__xludf.DUMMYFUNCTION("""COMPUTED_VALUE"""),"JC016")</f>
        <v>JC016</v>
      </c>
      <c r="C854" s="5" t="str">
        <f>IFERROR(__xludf.DUMMYFUNCTION("""COMPUTED_VALUE"""),"NÃO POSSUI")</f>
        <v>NÃO POSSUI</v>
      </c>
      <c r="D854" s="5" t="str">
        <f>IFERROR(__xludf.DUMMYFUNCTION("""COMPUTED_VALUE"""),"FIXADA EM POSTE")</f>
        <v>FIXADA EM POSTE</v>
      </c>
      <c r="E854" s="5" t="str">
        <f>IFERROR(__xludf.DUMMYFUNCTION("""COMPUTED_VALUE"""),"SEM BAIA")</f>
        <v>SEM BAIA</v>
      </c>
      <c r="F854" s="5" t="str">
        <f>IFERROR(__xludf.DUMMYFUNCTION("""COMPUTED_VALUE"""),"NÃO")</f>
        <v>NÃO</v>
      </c>
      <c r="G854" s="5" t="str">
        <f>IFERROR(__xludf.DUMMYFUNCTION("""COMPUTED_VALUE"""),"NÃO")</f>
        <v>NÃO</v>
      </c>
      <c r="H854" s="5" t="str">
        <f>IFERROR(__xludf.DUMMYFUNCTION("""COMPUTED_VALUE"""),"PAVIMENTADA COM AVARIAS")</f>
        <v>PAVIMENTADA COM AVARIAS</v>
      </c>
      <c r="I854" s="6" t="str">
        <f>IFERROR(__xludf.DUMMYFUNCTION("""COMPUTED_VALUE"""),"-9.644815")</f>
        <v>-9.644815</v>
      </c>
      <c r="J854" s="6" t="str">
        <f>IFERROR(__xludf.DUMMYFUNCTION("""COMPUTED_VALUE"""),"-35.719307")</f>
        <v>-35.719307</v>
      </c>
      <c r="K854" s="5" t="str">
        <f>IFERROR(__xludf.DUMMYFUNCTION("""COMPUTED_VALUE"""),"R. COMENDADOR JOSÉ GERALDO SILVA")</f>
        <v>R. COMENDADOR JOSÉ GERALDO SILVA</v>
      </c>
      <c r="L854" s="5" t="str">
        <f>IFERROR(__xludf.DUMMYFUNCTION("""COMPUTED_VALUE"""),"COLETORA")</f>
        <v>COLETORA</v>
      </c>
      <c r="M854" s="5" t="str">
        <f>IFERROR(__xludf.DUMMYFUNCTION("""COMPUTED_VALUE"""),"JACINTINHO")</f>
        <v>JACINTINHO</v>
      </c>
      <c r="N854" s="5" t="str">
        <f>IFERROR(__xludf.DUMMYFUNCTION("""COMPUTED_VALUE"""),"CENTRO - BAIRRO")</f>
        <v>CENTRO - BAIRRO</v>
      </c>
      <c r="O854" s="5" t="str">
        <f>IFERROR(__xludf.DUMMYFUNCTION("""COMPUTED_VALUE"""),"PRÓXIMO A LOJA BONÉ STORES")</f>
        <v>PRÓXIMO A LOJA BONÉ STORES</v>
      </c>
      <c r="P854" s="5" t="str">
        <f>IFERROR(__xludf.DUMMYFUNCTION("""COMPUTED_VALUE"""),"PRIORIDADE BAIXA")</f>
        <v>PRIORIDADE BAIXA</v>
      </c>
      <c r="Q854" s="5" t="str">
        <f>IFERROR(__xludf.DUMMYFUNCTION("""COMPUTED_VALUE"""),"READEQUAÇÃO DA CALÇADA COM ACESSIBILIDADE; PINTURA DA BAIA NO ASFALTO.")</f>
        <v>READEQUAÇÃO DA CALÇADA COM ACESSIBILIDADE; PINTURA DA BAIA NO ASFALTO.</v>
      </c>
      <c r="R854" s="5" t="str">
        <f>IFERROR(__xludf.DUMMYFUNCTION("""COMPUTED_VALUE"""),"IMPLANTAR ABRIGO")</f>
        <v>IMPLANTAR ABRIGO</v>
      </c>
      <c r="S854" s="5"/>
      <c r="T854" s="5" t="str">
        <f>IFERROR(__xludf.DUMMYFUNCTION("""COMPUTED_VALUE"""),"NÃO REALIZADO")</f>
        <v>NÃO REALIZADO</v>
      </c>
      <c r="U854" s="5"/>
      <c r="V854" s="9" t="str">
        <f>IFERROR(__xludf.DUMMYFUNCTION("""COMPUTED_VALUE"""),"https://drive.google.com/uc?id=1Tc9a0sHBdi0LLdk6bv3XobAGEKwdIA2n")</f>
        <v>https://drive.google.com/uc?id=1Tc9a0sHBdi0LLdk6bv3XobAGEKwdIA2n</v>
      </c>
      <c r="W854" s="5" t="str">
        <f>IFERROR(__xludf.DUMMYFUNCTION("""COMPUTED_VALUE"""),"NÃO")</f>
        <v>NÃO</v>
      </c>
      <c r="X854" s="5" t="str">
        <f>IFERROR(__xludf.DUMMYFUNCTION("""COMPUTED_VALUE"""),"NÃO SE APLICA")</f>
        <v>NÃO SE APLICA</v>
      </c>
    </row>
    <row r="855">
      <c r="A855" s="5">
        <f>IFERROR(__xludf.DUMMYFUNCTION("""COMPUTED_VALUE"""),5.0)</f>
        <v>5</v>
      </c>
      <c r="B855" s="5" t="str">
        <f>IFERROR(__xludf.DUMMYFUNCTION("""COMPUTED_VALUE"""),"JC017")</f>
        <v>JC017</v>
      </c>
      <c r="C855" s="5" t="str">
        <f>IFERROR(__xludf.DUMMYFUNCTION("""COMPUTED_VALUE"""),"ABRIGO CONCRETO")</f>
        <v>ABRIGO CONCRETO</v>
      </c>
      <c r="D855" s="5" t="str">
        <f>IFERROR(__xludf.DUMMYFUNCTION("""COMPUTED_VALUE"""),"SEM PLACA")</f>
        <v>SEM PLACA</v>
      </c>
      <c r="E855" s="5" t="str">
        <f>IFERROR(__xludf.DUMMYFUNCTION("""COMPUTED_VALUE"""),"SEM BAIA")</f>
        <v>SEM BAIA</v>
      </c>
      <c r="F855" s="5" t="str">
        <f>IFERROR(__xludf.DUMMYFUNCTION("""COMPUTED_VALUE"""),"NÃO")</f>
        <v>NÃO</v>
      </c>
      <c r="G855" s="5" t="str">
        <f>IFERROR(__xludf.DUMMYFUNCTION("""COMPUTED_VALUE"""),"NÃO")</f>
        <v>NÃO</v>
      </c>
      <c r="H855" s="5" t="str">
        <f>IFERROR(__xludf.DUMMYFUNCTION("""COMPUTED_VALUE"""),"NÃO PAVIMENTADA")</f>
        <v>NÃO PAVIMENTADA</v>
      </c>
      <c r="I855" s="6" t="str">
        <f>IFERROR(__xludf.DUMMYFUNCTION("""COMPUTED_VALUE"""),"-9.641563")</f>
        <v>-9.641563</v>
      </c>
      <c r="J855" s="6" t="str">
        <f>IFERROR(__xludf.DUMMYFUNCTION("""COMPUTED_VALUE"""),"-35.717901")</f>
        <v>-35.717901</v>
      </c>
      <c r="K855" s="5" t="str">
        <f>IFERROR(__xludf.DUMMYFUNCTION("""COMPUTED_VALUE"""),"R. CLETO CAMPELO, 268.")</f>
        <v>R. CLETO CAMPELO, 268.</v>
      </c>
      <c r="L855" s="5" t="str">
        <f>IFERROR(__xludf.DUMMYFUNCTION("""COMPUTED_VALUE"""),"COLETORA")</f>
        <v>COLETORA</v>
      </c>
      <c r="M855" s="5" t="str">
        <f>IFERROR(__xludf.DUMMYFUNCTION("""COMPUTED_VALUE"""),"JACINTINHO")</f>
        <v>JACINTINHO</v>
      </c>
      <c r="N855" s="5" t="str">
        <f>IFERROR(__xludf.DUMMYFUNCTION("""COMPUTED_VALUE"""),"CENTRO - BAIRRO")</f>
        <v>CENTRO - BAIRRO</v>
      </c>
      <c r="O855" s="5" t="str">
        <f>IFERROR(__xludf.DUMMYFUNCTION("""COMPUTED_VALUE"""),"AO LADO DA IGREJA DA GRAÇA DE DEUS")</f>
        <v>AO LADO DA IGREJA DA GRAÇA DE DEUS</v>
      </c>
      <c r="P855" s="5" t="str">
        <f>IFERROR(__xludf.DUMMYFUNCTION("""COMPUTED_VALUE"""),"PRIORIDADE MÉDIA")</f>
        <v>PRIORIDADE MÉDIA</v>
      </c>
      <c r="Q855" s="5" t="str">
        <f>IFERROR(__xludf.DUMMYFUNCTION("""COMPUTED_VALUE"""),"READEQUAÇÃO DA CALÇADA COM ACESSIBILIDADE; PINTURA DA BAIA NO ASFALTO.")</f>
        <v>READEQUAÇÃO DA CALÇADA COM ACESSIBILIDADE; PINTURA DA BAIA NO ASFALTO.</v>
      </c>
      <c r="R855" s="5" t="str">
        <f>IFERROR(__xludf.DUMMYFUNCTION("""COMPUTED_VALUE"""),"SUBSTITUIR ABRIGO")</f>
        <v>SUBSTITUIR ABRIGO</v>
      </c>
      <c r="S855" s="5"/>
      <c r="T855" s="5" t="str">
        <f>IFERROR(__xludf.DUMMYFUNCTION("""COMPUTED_VALUE"""),"NÃO REALIZADO")</f>
        <v>NÃO REALIZADO</v>
      </c>
      <c r="U855" s="5"/>
      <c r="V855" s="9" t="str">
        <f>IFERROR(__xludf.DUMMYFUNCTION("""COMPUTED_VALUE"""),"https://drive.google.com/uc?id=1TkWTuyeUx55E7NOKYJqjxWd9q23n-Zq8")</f>
        <v>https://drive.google.com/uc?id=1TkWTuyeUx55E7NOKYJqjxWd9q23n-Zq8</v>
      </c>
      <c r="W855" s="5" t="str">
        <f>IFERROR(__xludf.DUMMYFUNCTION("""COMPUTED_VALUE"""),"NÃO")</f>
        <v>NÃO</v>
      </c>
      <c r="X855" s="5" t="str">
        <f>IFERROR(__xludf.DUMMYFUNCTION("""COMPUTED_VALUE"""),"NÃO SE APLICA")</f>
        <v>NÃO SE APLICA</v>
      </c>
    </row>
    <row r="856">
      <c r="A856" s="5">
        <f>IFERROR(__xludf.DUMMYFUNCTION("""COMPUTED_VALUE"""),5.0)</f>
        <v>5</v>
      </c>
      <c r="B856" s="5" t="str">
        <f>IFERROR(__xludf.DUMMYFUNCTION("""COMPUTED_VALUE"""),"JC018")</f>
        <v>JC018</v>
      </c>
      <c r="C856" s="5" t="str">
        <f>IFERROR(__xludf.DUMMYFUNCTION("""COMPUTED_VALUE"""),"ABRIGO CONCRETO")</f>
        <v>ABRIGO CONCRETO</v>
      </c>
      <c r="D856" s="5" t="str">
        <f>IFERROR(__xludf.DUMMYFUNCTION("""COMPUTED_VALUE"""),"SEM PLACA")</f>
        <v>SEM PLACA</v>
      </c>
      <c r="E856" s="5" t="str">
        <f>IFERROR(__xludf.DUMMYFUNCTION("""COMPUTED_VALUE"""),"SEM BAIA")</f>
        <v>SEM BAIA</v>
      </c>
      <c r="F856" s="5" t="str">
        <f>IFERROR(__xludf.DUMMYFUNCTION("""COMPUTED_VALUE"""),"NÃO")</f>
        <v>NÃO</v>
      </c>
      <c r="G856" s="5" t="str">
        <f>IFERROR(__xludf.DUMMYFUNCTION("""COMPUTED_VALUE"""),"NÃO")</f>
        <v>NÃO</v>
      </c>
      <c r="H856" s="5" t="str">
        <f>IFERROR(__xludf.DUMMYFUNCTION("""COMPUTED_VALUE"""),"PAVIMENTADA")</f>
        <v>PAVIMENTADA</v>
      </c>
      <c r="I856" s="6" t="str">
        <f>IFERROR(__xludf.DUMMYFUNCTION("""COMPUTED_VALUE"""),"-9.634860")</f>
        <v>-9.634860</v>
      </c>
      <c r="J856" s="6" t="str">
        <f>IFERROR(__xludf.DUMMYFUNCTION("""COMPUTED_VALUE"""),"-35.703952")</f>
        <v>-35.703952</v>
      </c>
      <c r="K856" s="5" t="str">
        <f>IFERROR(__xludf.DUMMYFUNCTION("""COMPUTED_VALUE"""),"AV. JUCA SAMPAIO 151")</f>
        <v>AV. JUCA SAMPAIO 151</v>
      </c>
      <c r="L856" s="5" t="str">
        <f>IFERROR(__xludf.DUMMYFUNCTION("""COMPUTED_VALUE"""),"ARTERIAL ")</f>
        <v>ARTERIAL </v>
      </c>
      <c r="M856" s="5" t="str">
        <f>IFERROR(__xludf.DUMMYFUNCTION("""COMPUTED_VALUE"""),"JACINTINHO")</f>
        <v>JACINTINHO</v>
      </c>
      <c r="N856" s="5" t="str">
        <f>IFERROR(__xludf.DUMMYFUNCTION("""COMPUTED_VALUE"""),"CENTRO - BAIRRO")</f>
        <v>CENTRO - BAIRRO</v>
      </c>
      <c r="O856" s="5" t="str">
        <f>IFERROR(__xludf.DUMMYFUNCTION("""COMPUTED_VALUE"""),"EM FRENTE A UPA ")</f>
        <v>EM FRENTE A UPA </v>
      </c>
      <c r="P856" s="5" t="str">
        <f>IFERROR(__xludf.DUMMYFUNCTION("""COMPUTED_VALUE"""),"PRIORIDADE BAIXA")</f>
        <v>PRIORIDADE BAIXA</v>
      </c>
      <c r="Q856" s="5" t="str">
        <f>IFERROR(__xludf.DUMMYFUNCTION("""COMPUTED_VALUE"""),"READEQUAÇÃO DA CALÇADA COM ACESSIBILIDADE; PINTURA DA BAIA NO ASFALTO; MANUTENÇÃO DO ABRIGO DE CONCRETO.")</f>
        <v>READEQUAÇÃO DA CALÇADA COM ACESSIBILIDADE; PINTURA DA BAIA NO ASFALTO; MANUTENÇÃO DO ABRIGO DE CONCRETO.</v>
      </c>
      <c r="R856" s="5" t="str">
        <f>IFERROR(__xludf.DUMMYFUNCTION("""COMPUTED_VALUE"""),"SUBSTITUIR ABRIGO")</f>
        <v>SUBSTITUIR ABRIGO</v>
      </c>
      <c r="S856" s="5"/>
      <c r="T856" s="5" t="str">
        <f>IFERROR(__xludf.DUMMYFUNCTION("""COMPUTED_VALUE"""),"NÃO REALIZADO")</f>
        <v>NÃO REALIZADO</v>
      </c>
      <c r="U856" s="5"/>
      <c r="V856" s="9" t="str">
        <f>IFERROR(__xludf.DUMMYFUNCTION("""COMPUTED_VALUE"""),"https://drive.google.com/uc?id=1TmMtdj4DN-OY25gVYAXjiuVQRbZDzTM6")</f>
        <v>https://drive.google.com/uc?id=1TmMtdj4DN-OY25gVYAXjiuVQRbZDzTM6</v>
      </c>
      <c r="W856" s="5" t="str">
        <f>IFERROR(__xludf.DUMMYFUNCTION("""COMPUTED_VALUE"""),"NÃO")</f>
        <v>NÃO</v>
      </c>
      <c r="X856" s="5" t="str">
        <f>IFERROR(__xludf.DUMMYFUNCTION("""COMPUTED_VALUE"""),"NÃO SE APLICA")</f>
        <v>NÃO SE APLICA</v>
      </c>
    </row>
    <row r="857" hidden="1">
      <c r="A857" s="5">
        <f>IFERROR(__xludf.DUMMYFUNCTION("""COMPUTED_VALUE"""),5.0)</f>
        <v>5</v>
      </c>
      <c r="B857" s="5" t="str">
        <f>IFERROR(__xludf.DUMMYFUNCTION("""COMPUTED_VALUE"""),"JC019")</f>
        <v>JC019</v>
      </c>
      <c r="C857" s="5" t="str">
        <f>IFERROR(__xludf.DUMMYFUNCTION("""COMPUTED_VALUE"""),"NÃO POSSUI")</f>
        <v>NÃO POSSUI</v>
      </c>
      <c r="D857" s="5" t="str">
        <f>IFERROR(__xludf.DUMMYFUNCTION("""COMPUTED_VALUE"""),"FIXADA EM POSTE")</f>
        <v>FIXADA EM POSTE</v>
      </c>
      <c r="E857" s="5" t="str">
        <f>IFERROR(__xludf.DUMMYFUNCTION("""COMPUTED_VALUE"""),"SEM BAIA")</f>
        <v>SEM BAIA</v>
      </c>
      <c r="F857" s="5" t="str">
        <f>IFERROR(__xludf.DUMMYFUNCTION("""COMPUTED_VALUE"""),"NÃO")</f>
        <v>NÃO</v>
      </c>
      <c r="G857" s="5" t="str">
        <f>IFERROR(__xludf.DUMMYFUNCTION("""COMPUTED_VALUE"""),"NÃO")</f>
        <v>NÃO</v>
      </c>
      <c r="H857" s="5" t="str">
        <f>IFERROR(__xludf.DUMMYFUNCTION("""COMPUTED_VALUE"""),"PAVIMENTADA")</f>
        <v>PAVIMENTADA</v>
      </c>
      <c r="I857" s="6" t="str">
        <f>IFERROR(__xludf.DUMMYFUNCTION("""COMPUTED_VALUE"""),"-9.635231")</f>
        <v>-9.635231</v>
      </c>
      <c r="J857" s="6" t="str">
        <f>IFERROR(__xludf.DUMMYFUNCTION("""COMPUTED_VALUE"""),"-35.710009")</f>
        <v>-35.710009</v>
      </c>
      <c r="K857" s="5" t="str">
        <f>IFERROR(__xludf.DUMMYFUNCTION("""COMPUTED_VALUE"""),"AV. JUCA SAMPAIO 52")</f>
        <v>AV. JUCA SAMPAIO 52</v>
      </c>
      <c r="L857" s="5" t="str">
        <f>IFERROR(__xludf.DUMMYFUNCTION("""COMPUTED_VALUE"""),"ARTERIAL ")</f>
        <v>ARTERIAL </v>
      </c>
      <c r="M857" s="5" t="str">
        <f>IFERROR(__xludf.DUMMYFUNCTION("""COMPUTED_VALUE"""),"JACINTINHO")</f>
        <v>JACINTINHO</v>
      </c>
      <c r="N857" s="5" t="str">
        <f>IFERROR(__xludf.DUMMYFUNCTION("""COMPUTED_VALUE"""),"CENTRO - BAIRRO")</f>
        <v>CENTRO - BAIRRO</v>
      </c>
      <c r="O857" s="5" t="str">
        <f>IFERROR(__xludf.DUMMYFUNCTION("""COMPUTED_VALUE"""),"EM FRENTE A CONECTA INFORMÁTICA")</f>
        <v>EM FRENTE A CONECTA INFORMÁTICA</v>
      </c>
      <c r="P857" s="5" t="str">
        <f>IFERROR(__xludf.DUMMYFUNCTION("""COMPUTED_VALUE"""),"PRIORIDADE BAIXA")</f>
        <v>PRIORIDADE BAIXA</v>
      </c>
      <c r="Q857" s="5" t="str">
        <f>IFERROR(__xludf.DUMMYFUNCTION("""COMPUTED_VALUE"""),"READEQUAÇÃO DA CALÇADA COM ACESSIBILIDADE; PINTURA DA BAIA NO ASFALTO, IMPLANTAR NOVA PLACA.")</f>
        <v>READEQUAÇÃO DA CALÇADA COM ACESSIBILIDADE; PINTURA DA BAIA NO ASFALTO, IMPLANTAR NOVA PLACA.</v>
      </c>
      <c r="R857" s="5" t="str">
        <f>IFERROR(__xludf.DUMMYFUNCTION("""COMPUTED_VALUE"""),"NENHUMA DAS OPÇÕES")</f>
        <v>NENHUMA DAS OPÇÕES</v>
      </c>
      <c r="S857" s="5"/>
      <c r="T857" s="5" t="str">
        <f>IFERROR(__xludf.DUMMYFUNCTION("""COMPUTED_VALUE"""),"NÃO REALIZADO")</f>
        <v>NÃO REALIZADO</v>
      </c>
      <c r="U857" s="5"/>
      <c r="V857" s="9" t="str">
        <f>IFERROR(__xludf.DUMMYFUNCTION("""COMPUTED_VALUE"""),"https://drive.google.com/uc?id=1Tqzx_Li7qi6kVRDbzW35CmvLEhsHUueG")</f>
        <v>https://drive.google.com/uc?id=1Tqzx_Li7qi6kVRDbzW35CmvLEhsHUueG</v>
      </c>
      <c r="W857" s="5" t="str">
        <f>IFERROR(__xludf.DUMMYFUNCTION("""COMPUTED_VALUE"""),"NÃO")</f>
        <v>NÃO</v>
      </c>
      <c r="X857" s="5" t="str">
        <f>IFERROR(__xludf.DUMMYFUNCTION("""COMPUTED_VALUE"""),"NÃO SE APLICA")</f>
        <v>NÃO SE APLICA</v>
      </c>
    </row>
    <row r="858" hidden="1">
      <c r="A858" s="5">
        <f>IFERROR(__xludf.DUMMYFUNCTION("""COMPUTED_VALUE"""),5.0)</f>
        <v>5</v>
      </c>
      <c r="B858" s="5" t="str">
        <f>IFERROR(__xludf.DUMMYFUNCTION("""COMPUTED_VALUE"""),"JC020")</f>
        <v>JC020</v>
      </c>
      <c r="C858" s="5" t="str">
        <f>IFERROR(__xludf.DUMMYFUNCTION("""COMPUTED_VALUE"""),"NÃO POSSUI")</f>
        <v>NÃO POSSUI</v>
      </c>
      <c r="D858" s="5" t="str">
        <f>IFERROR(__xludf.DUMMYFUNCTION("""COMPUTED_VALUE"""),"FIXADA EM POSTE")</f>
        <v>FIXADA EM POSTE</v>
      </c>
      <c r="E858" s="5" t="str">
        <f>IFERROR(__xludf.DUMMYFUNCTION("""COMPUTED_VALUE"""),"SEM BAIA")</f>
        <v>SEM BAIA</v>
      </c>
      <c r="F858" s="5" t="str">
        <f>IFERROR(__xludf.DUMMYFUNCTION("""COMPUTED_VALUE"""),"SIM")</f>
        <v>SIM</v>
      </c>
      <c r="G858" s="5" t="str">
        <f>IFERROR(__xludf.DUMMYFUNCTION("""COMPUTED_VALUE"""),"SIM")</f>
        <v>SIM</v>
      </c>
      <c r="H858" s="5" t="str">
        <f>IFERROR(__xludf.DUMMYFUNCTION("""COMPUTED_VALUE"""),"PAVIMENTADA")</f>
        <v>PAVIMENTADA</v>
      </c>
      <c r="I858" s="6" t="str">
        <f>IFERROR(__xludf.DUMMYFUNCTION("""COMPUTED_VALUE"""),"-9.635047")</f>
        <v>-9.635047</v>
      </c>
      <c r="J858" s="6" t="str">
        <f>IFERROR(__xludf.DUMMYFUNCTION("""COMPUTED_VALUE"""),"-35.703725")</f>
        <v>-35.703725</v>
      </c>
      <c r="K858" s="5" t="str">
        <f>IFERROR(__xludf.DUMMYFUNCTION("""COMPUTED_VALUE"""),"AV. JUCA SAMPAIO 169")</f>
        <v>AV. JUCA SAMPAIO 169</v>
      </c>
      <c r="L858" s="5" t="str">
        <f>IFERROR(__xludf.DUMMYFUNCTION("""COMPUTED_VALUE"""),"ARTERIAL ")</f>
        <v>ARTERIAL </v>
      </c>
      <c r="M858" s="5" t="str">
        <f>IFERROR(__xludf.DUMMYFUNCTION("""COMPUTED_VALUE"""),"JACINTINHO")</f>
        <v>JACINTINHO</v>
      </c>
      <c r="N858" s="5" t="str">
        <f>IFERROR(__xludf.DUMMYFUNCTION("""COMPUTED_VALUE"""),"BAIRRO - CENTRO")</f>
        <v>BAIRRO - CENTRO</v>
      </c>
      <c r="O858" s="5" t="str">
        <f>IFERROR(__xludf.DUMMYFUNCTION("""COMPUTED_VALUE"""),"EM FRENTE A UPA")</f>
        <v>EM FRENTE A UPA</v>
      </c>
      <c r="P858" s="5" t="str">
        <f>IFERROR(__xludf.DUMMYFUNCTION("""COMPUTED_VALUE"""),"PRIORIDADE BAIXA")</f>
        <v>PRIORIDADE BAIXA</v>
      </c>
      <c r="Q858" s="5" t="str">
        <f>IFERROR(__xludf.DUMMYFUNCTION("""COMPUTED_VALUE"""),"PINTURA DA BAIA NO ASFALTO, IMPLANTAR PLACA")</f>
        <v>PINTURA DA BAIA NO ASFALTO, IMPLANTAR PLACA</v>
      </c>
      <c r="R858" s="5" t="str">
        <f>IFERROR(__xludf.DUMMYFUNCTION("""COMPUTED_VALUE"""),"IMPLANTAR ABRIGO")</f>
        <v>IMPLANTAR ABRIGO</v>
      </c>
      <c r="S858" s="5"/>
      <c r="T858" s="5" t="str">
        <f>IFERROR(__xludf.DUMMYFUNCTION("""COMPUTED_VALUE"""),"NÃO REALIZADO")</f>
        <v>NÃO REALIZADO</v>
      </c>
      <c r="U858" s="5"/>
      <c r="V858" s="9" t="str">
        <f>IFERROR(__xludf.DUMMYFUNCTION("""COMPUTED_VALUE"""),"https://drive.google.com/uc?id=1TyQHTi5kIYhkI9inMoh0i_1eTmogmYtv")</f>
        <v>https://drive.google.com/uc?id=1TyQHTi5kIYhkI9inMoh0i_1eTmogmYtv</v>
      </c>
      <c r="W858" s="5" t="str">
        <f>IFERROR(__xludf.DUMMYFUNCTION("""COMPUTED_VALUE"""),"NÃO")</f>
        <v>NÃO</v>
      </c>
      <c r="X858" s="5" t="str">
        <f>IFERROR(__xludf.DUMMYFUNCTION("""COMPUTED_VALUE"""),"NÃO SE APLICA")</f>
        <v>NÃO SE APLICA</v>
      </c>
    </row>
    <row r="859" hidden="1">
      <c r="A859" s="5">
        <f>IFERROR(__xludf.DUMMYFUNCTION("""COMPUTED_VALUE"""),5.0)</f>
        <v>5</v>
      </c>
      <c r="B859" s="5" t="str">
        <f>IFERROR(__xludf.DUMMYFUNCTION("""COMPUTED_VALUE"""),"JC021")</f>
        <v>JC021</v>
      </c>
      <c r="C859" s="5" t="str">
        <f>IFERROR(__xludf.DUMMYFUNCTION("""COMPUTED_VALUE"""),"NÃO POSSUI")</f>
        <v>NÃO POSSUI</v>
      </c>
      <c r="D859" s="5" t="str">
        <f>IFERROR(__xludf.DUMMYFUNCTION("""COMPUTED_VALUE"""),"SEM PLACA")</f>
        <v>SEM PLACA</v>
      </c>
      <c r="E859" s="5" t="str">
        <f>IFERROR(__xludf.DUMMYFUNCTION("""COMPUTED_VALUE"""),"SEM BAIA")</f>
        <v>SEM BAIA</v>
      </c>
      <c r="F859" s="5" t="str">
        <f>IFERROR(__xludf.DUMMYFUNCTION("""COMPUTED_VALUE"""),"NÃO")</f>
        <v>NÃO</v>
      </c>
      <c r="G859" s="5" t="str">
        <f>IFERROR(__xludf.DUMMYFUNCTION("""COMPUTED_VALUE"""),"NÃO")</f>
        <v>NÃO</v>
      </c>
      <c r="H859" s="5" t="str">
        <f>IFERROR(__xludf.DUMMYFUNCTION("""COMPUTED_VALUE"""),"NÃO PAVIMENTADA")</f>
        <v>NÃO PAVIMENTADA</v>
      </c>
      <c r="I859" s="6" t="str">
        <f>IFERROR(__xludf.DUMMYFUNCTION("""COMPUTED_VALUE"""),"-9.636767")</f>
        <v>-9.636767</v>
      </c>
      <c r="J859" s="6" t="str">
        <f>IFERROR(__xludf.DUMMYFUNCTION("""COMPUTED_VALUE"""),"-35.712753")</f>
        <v>-35.712753</v>
      </c>
      <c r="K859" s="5" t="str">
        <f>IFERROR(__xludf.DUMMYFUNCTION("""COMPUTED_VALUE"""),"AV. JUCA SAMPAIO ")</f>
        <v>AV. JUCA SAMPAIO </v>
      </c>
      <c r="L859" s="5" t="str">
        <f>IFERROR(__xludf.DUMMYFUNCTION("""COMPUTED_VALUE"""),"ARTERIAL ")</f>
        <v>ARTERIAL </v>
      </c>
      <c r="M859" s="5" t="str">
        <f>IFERROR(__xludf.DUMMYFUNCTION("""COMPUTED_VALUE"""),"JACINTINHO")</f>
        <v>JACINTINHO</v>
      </c>
      <c r="N859" s="5" t="str">
        <f>IFERROR(__xludf.DUMMYFUNCTION("""COMPUTED_VALUE"""),"BAIRRO - CENTRO")</f>
        <v>BAIRRO - CENTRO</v>
      </c>
      <c r="O859" s="5" t="str">
        <f>IFERROR(__xludf.DUMMYFUNCTION("""COMPUTED_VALUE"""),"EM FRENTE A MOBEL OFICINA AUTOMOTIVA")</f>
        <v>EM FRENTE A MOBEL OFICINA AUTOMOTIVA</v>
      </c>
      <c r="P859" s="5" t="str">
        <f>IFERROR(__xludf.DUMMYFUNCTION("""COMPUTED_VALUE"""),"PRIORIDADE BAIXA")</f>
        <v>PRIORIDADE BAIXA</v>
      </c>
      <c r="Q859" s="5" t="str">
        <f>IFERROR(__xludf.DUMMYFUNCTION("""COMPUTED_VALUE"""),"PINTURA DA BAIA NO ASFALTO, REALIZAR PAVIMENTAÇÃO PARA IMPLANTAÇÃO DE PLACA COM BARROTE DE MADEIRA.")</f>
        <v>PINTURA DA BAIA NO ASFALTO, REALIZAR PAVIMENTAÇÃO PARA IMPLANTAÇÃO DE PLACA COM BARROTE DE MADEIRA.</v>
      </c>
      <c r="R859" s="5" t="str">
        <f>IFERROR(__xludf.DUMMYFUNCTION("""COMPUTED_VALUE"""),"IMPLANTAR ABRIGO")</f>
        <v>IMPLANTAR ABRIGO</v>
      </c>
      <c r="S859" s="5"/>
      <c r="T859" s="5" t="str">
        <f>IFERROR(__xludf.DUMMYFUNCTION("""COMPUTED_VALUE"""),"NÃO REALIZADO")</f>
        <v>NÃO REALIZADO</v>
      </c>
      <c r="U859" s="5"/>
      <c r="V859" s="9" t="str">
        <f>IFERROR(__xludf.DUMMYFUNCTION("""COMPUTED_VALUE"""),"https://drive.google.com/uc?id=1U-IWlJT36WnKLb-5t6D2GrT76QFWgUhp")</f>
        <v>https://drive.google.com/uc?id=1U-IWlJT36WnKLb-5t6D2GrT76QFWgUhp</v>
      </c>
      <c r="W859" s="5" t="str">
        <f>IFERROR(__xludf.DUMMYFUNCTION("""COMPUTED_VALUE"""),"NÃO")</f>
        <v>NÃO</v>
      </c>
      <c r="X859" s="5" t="str">
        <f>IFERROR(__xludf.DUMMYFUNCTION("""COMPUTED_VALUE"""),"NÃO SE APLICA")</f>
        <v>NÃO SE APLICA</v>
      </c>
    </row>
    <row r="860" hidden="1">
      <c r="A860" s="5">
        <f>IFERROR(__xludf.DUMMYFUNCTION("""COMPUTED_VALUE"""),5.0)</f>
        <v>5</v>
      </c>
      <c r="B860" s="5" t="str">
        <f>IFERROR(__xludf.DUMMYFUNCTION("""COMPUTED_VALUE"""),"JC022")</f>
        <v>JC022</v>
      </c>
      <c r="C860" s="5" t="str">
        <f>IFERROR(__xludf.DUMMYFUNCTION("""COMPUTED_VALUE"""),"NÃO POSSUI")</f>
        <v>NÃO POSSUI</v>
      </c>
      <c r="D860" s="5" t="str">
        <f>IFERROR(__xludf.DUMMYFUNCTION("""COMPUTED_VALUE"""),"FIXADA EM POSTE")</f>
        <v>FIXADA EM POSTE</v>
      </c>
      <c r="E860" s="5" t="str">
        <f>IFERROR(__xludf.DUMMYFUNCTION("""COMPUTED_VALUE"""),"SEM BAIA")</f>
        <v>SEM BAIA</v>
      </c>
      <c r="F860" s="5" t="str">
        <f>IFERROR(__xludf.DUMMYFUNCTION("""COMPUTED_VALUE"""),"NÃO")</f>
        <v>NÃO</v>
      </c>
      <c r="G860" s="5" t="str">
        <f>IFERROR(__xludf.DUMMYFUNCTION("""COMPUTED_VALUE"""),"NÃO")</f>
        <v>NÃO</v>
      </c>
      <c r="H860" s="5" t="str">
        <f>IFERROR(__xludf.DUMMYFUNCTION("""COMPUTED_VALUE"""),"PAVIMENTADA COM AVARIAS")</f>
        <v>PAVIMENTADA COM AVARIAS</v>
      </c>
      <c r="I860" s="6" t="str">
        <f>IFERROR(__xludf.DUMMYFUNCTION("""COMPUTED_VALUE"""),"-9.636087")</f>
        <v>-9.636087</v>
      </c>
      <c r="J860" s="6" t="str">
        <f>IFERROR(__xludf.DUMMYFUNCTION("""COMPUTED_VALUE"""),"-35.715058")</f>
        <v>-35.715058</v>
      </c>
      <c r="K860" s="5" t="str">
        <f>IFERROR(__xludf.DUMMYFUNCTION("""COMPUTED_VALUE"""),"AV. JUCA SAMPAIO, 58A.")</f>
        <v>AV. JUCA SAMPAIO, 58A.</v>
      </c>
      <c r="L860" s="5" t="str">
        <f>IFERROR(__xludf.DUMMYFUNCTION("""COMPUTED_VALUE"""),"ARTERIAL ")</f>
        <v>ARTERIAL </v>
      </c>
      <c r="M860" s="5" t="str">
        <f>IFERROR(__xludf.DUMMYFUNCTION("""COMPUTED_VALUE"""),"JACINTINHO")</f>
        <v>JACINTINHO</v>
      </c>
      <c r="N860" s="5" t="str">
        <f>IFERROR(__xludf.DUMMYFUNCTION("""COMPUTED_VALUE"""),"CENTRO - BAIRRO")</f>
        <v>CENTRO - BAIRRO</v>
      </c>
      <c r="O860" s="5" t="str">
        <f>IFERROR(__xludf.DUMMYFUNCTION("""COMPUTED_VALUE"""),"PRÓXIMO AO POSTO SHELL")</f>
        <v>PRÓXIMO AO POSTO SHELL</v>
      </c>
      <c r="P860" s="5" t="str">
        <f>IFERROR(__xludf.DUMMYFUNCTION("""COMPUTED_VALUE"""),"PRIORIDADE BAIXA")</f>
        <v>PRIORIDADE BAIXA</v>
      </c>
      <c r="Q860" s="5" t="str">
        <f>IFERROR(__xludf.DUMMYFUNCTION("""COMPUTED_VALUE"""),"PINTURA DA BAIA NO ASFALTO, IMPLANTAR PLACA FIXADA EM POSTE, LIMPEZA DE VEGETAÇÃO E READEQUAÇÃO DA CALÇADA COM ACESSIBILIDADE.")</f>
        <v>PINTURA DA BAIA NO ASFALTO, IMPLANTAR PLACA FIXADA EM POSTE, LIMPEZA DE VEGETAÇÃO E READEQUAÇÃO DA CALÇADA COM ACESSIBILIDADE.</v>
      </c>
      <c r="R860" s="5" t="str">
        <f>IFERROR(__xludf.DUMMYFUNCTION("""COMPUTED_VALUE"""),"IMPLANTAR ABRIGO")</f>
        <v>IMPLANTAR ABRIGO</v>
      </c>
      <c r="S860" s="5"/>
      <c r="T860" s="5" t="str">
        <f>IFERROR(__xludf.DUMMYFUNCTION("""COMPUTED_VALUE"""),"NÃO REALIZADO")</f>
        <v>NÃO REALIZADO</v>
      </c>
      <c r="U860" s="5"/>
      <c r="V860" s="9" t="str">
        <f>IFERROR(__xludf.DUMMYFUNCTION("""COMPUTED_VALUE"""),"https://drive.google.com/uc?id=1U3S0v1Ncg-FzPrliLxEeaMMDlMVhmomf")</f>
        <v>https://drive.google.com/uc?id=1U3S0v1Ncg-FzPrliLxEeaMMDlMVhmomf</v>
      </c>
      <c r="W860" s="5" t="str">
        <f>IFERROR(__xludf.DUMMYFUNCTION("""COMPUTED_VALUE"""),"NÃO")</f>
        <v>NÃO</v>
      </c>
      <c r="X860" s="5" t="str">
        <f>IFERROR(__xludf.DUMMYFUNCTION("""COMPUTED_VALUE"""),"NÃO SE APLICA")</f>
        <v>NÃO SE APLICA</v>
      </c>
    </row>
    <row r="861" ht="21.0" hidden="1" customHeight="1">
      <c r="A861" s="5">
        <f>IFERROR(__xludf.DUMMYFUNCTION("""COMPUTED_VALUE"""),5.0)</f>
        <v>5</v>
      </c>
      <c r="B861" s="5" t="str">
        <f>IFERROR(__xludf.DUMMYFUNCTION("""COMPUTED_VALUE"""),"JC023")</f>
        <v>JC023</v>
      </c>
      <c r="C861" s="5" t="str">
        <f>IFERROR(__xludf.DUMMYFUNCTION("""COMPUTED_VALUE"""),"NÃO POSSUI")</f>
        <v>NÃO POSSUI</v>
      </c>
      <c r="D861" s="5" t="str">
        <f>IFERROR(__xludf.DUMMYFUNCTION("""COMPUTED_VALUE"""),"FIXADA EM POSTE")</f>
        <v>FIXADA EM POSTE</v>
      </c>
      <c r="E861" s="5" t="str">
        <f>IFERROR(__xludf.DUMMYFUNCTION("""COMPUTED_VALUE"""),"SEM BAIA")</f>
        <v>SEM BAIA</v>
      </c>
      <c r="F861" s="5" t="str">
        <f>IFERROR(__xludf.DUMMYFUNCTION("""COMPUTED_VALUE"""),"NÃO")</f>
        <v>NÃO</v>
      </c>
      <c r="G861" s="5" t="str">
        <f>IFERROR(__xludf.DUMMYFUNCTION("""COMPUTED_VALUE"""),"NÃO")</f>
        <v>NÃO</v>
      </c>
      <c r="H861" s="5" t="str">
        <f>IFERROR(__xludf.DUMMYFUNCTION("""COMPUTED_VALUE"""),"PAVIMENTADA COM AVARIAS")</f>
        <v>PAVIMENTADA COM AVARIAS</v>
      </c>
      <c r="I861" s="6" t="str">
        <f>IFERROR(__xludf.DUMMYFUNCTION("""COMPUTED_VALUE"""),"-9.636438")</f>
        <v>-9.636438</v>
      </c>
      <c r="J861" s="6" t="str">
        <f>IFERROR(__xludf.DUMMYFUNCTION("""COMPUTED_VALUE"""),"-35.715370")</f>
        <v>-35.715370</v>
      </c>
      <c r="K861" s="5" t="str">
        <f>IFERROR(__xludf.DUMMYFUNCTION("""COMPUTED_VALUE"""),"R. COLÉGIO GUIDO DE FONTGALAND 5A")</f>
        <v>R. COLÉGIO GUIDO DE FONTGALAND 5A</v>
      </c>
      <c r="L861" s="5" t="str">
        <f>IFERROR(__xludf.DUMMYFUNCTION("""COMPUTED_VALUE"""),"ARTERIAL ")</f>
        <v>ARTERIAL </v>
      </c>
      <c r="M861" s="5" t="str">
        <f>IFERROR(__xludf.DUMMYFUNCTION("""COMPUTED_VALUE"""),"JACINTINHO")</f>
        <v>JACINTINHO</v>
      </c>
      <c r="N861" s="5" t="str">
        <f>IFERROR(__xludf.DUMMYFUNCTION("""COMPUTED_VALUE"""),"BAIRRO - CENTRO")</f>
        <v>BAIRRO - CENTRO</v>
      </c>
      <c r="O861" s="5" t="str">
        <f>IFERROR(__xludf.DUMMYFUNCTION("""COMPUTED_VALUE"""),"EM FRENTE AO PONTO DAS CARNES ")</f>
        <v>EM FRENTE AO PONTO DAS CARNES </v>
      </c>
      <c r="P861" s="5" t="str">
        <f>IFERROR(__xludf.DUMMYFUNCTION("""COMPUTED_VALUE"""),"PRIORIDADE BAIXA")</f>
        <v>PRIORIDADE BAIXA</v>
      </c>
      <c r="Q861" s="5" t="str">
        <f>IFERROR(__xludf.DUMMYFUNCTION("""COMPUTED_VALUE"""),"PINTURA DA BAIA NO ASFALTO, IMPLANTAR PLACA EM BARROTE DE MADEIRA, READEQUAÇÃO DA CALÇADA COM ACESSIBILIDADE.
(PONTO EXISTENTE, ACABOU SENDO RETIRADO APÓS ACIDENTE DE CARRO)
")</f>
        <v>PINTURA DA BAIA NO ASFALTO, IMPLANTAR PLACA EM BARROTE DE MADEIRA, READEQUAÇÃO DA CALÇADA COM ACESSIBILIDADE.
(PONTO EXISTENTE, ACABOU SENDO RETIRADO APÓS ACIDENTE DE CARRO)
</v>
      </c>
      <c r="R861" s="5" t="str">
        <f>IFERROR(__xludf.DUMMYFUNCTION("""COMPUTED_VALUE"""),"NENHUMA DAS OPÇÕES")</f>
        <v>NENHUMA DAS OPÇÕES</v>
      </c>
      <c r="S861" s="5"/>
      <c r="T861" s="5" t="str">
        <f>IFERROR(__xludf.DUMMYFUNCTION("""COMPUTED_VALUE"""),"NÃO REALIZADO")</f>
        <v>NÃO REALIZADO</v>
      </c>
      <c r="U861" s="5"/>
      <c r="V861" s="9" t="str">
        <f>IFERROR(__xludf.DUMMYFUNCTION("""COMPUTED_VALUE"""),"https://drive.google.com/uc?id=1U3dtsYDu0afWRVhDcDnvcD7BXFLr4-ro")</f>
        <v>https://drive.google.com/uc?id=1U3dtsYDu0afWRVhDcDnvcD7BXFLr4-ro</v>
      </c>
      <c r="W861" s="5" t="str">
        <f>IFERROR(__xludf.DUMMYFUNCTION("""COMPUTED_VALUE"""),"NÃO")</f>
        <v>NÃO</v>
      </c>
      <c r="X861" s="5" t="str">
        <f>IFERROR(__xludf.DUMMYFUNCTION("""COMPUTED_VALUE"""),"NÃO SE APLICA")</f>
        <v>NÃO SE APLICA</v>
      </c>
    </row>
    <row r="862">
      <c r="A862" s="5">
        <f>IFERROR(__xludf.DUMMYFUNCTION("""COMPUTED_VALUE"""),5.0)</f>
        <v>5</v>
      </c>
      <c r="B862" s="5" t="str">
        <f>IFERROR(__xludf.DUMMYFUNCTION("""COMPUTED_VALUE"""),"JC024")</f>
        <v>JC024</v>
      </c>
      <c r="C862" s="5" t="str">
        <f>IFERROR(__xludf.DUMMYFUNCTION("""COMPUTED_VALUE"""),"ABRIGO CONCRETO")</f>
        <v>ABRIGO CONCRETO</v>
      </c>
      <c r="D862" s="5" t="str">
        <f>IFERROR(__xludf.DUMMYFUNCTION("""COMPUTED_VALUE"""),"FIXADA EM POSTE")</f>
        <v>FIXADA EM POSTE</v>
      </c>
      <c r="E862" s="5" t="str">
        <f>IFERROR(__xludf.DUMMYFUNCTION("""COMPUTED_VALUE"""),"SEM BAIA")</f>
        <v>SEM BAIA</v>
      </c>
      <c r="F862" s="5" t="str">
        <f>IFERROR(__xludf.DUMMYFUNCTION("""COMPUTED_VALUE"""),"NÃO")</f>
        <v>NÃO</v>
      </c>
      <c r="G862" s="5" t="str">
        <f>IFERROR(__xludf.DUMMYFUNCTION("""COMPUTED_VALUE"""),"NÃO")</f>
        <v>NÃO</v>
      </c>
      <c r="H862" s="5" t="str">
        <f>IFERROR(__xludf.DUMMYFUNCTION("""COMPUTED_VALUE"""),"PAVIMENTADA")</f>
        <v>PAVIMENTADA</v>
      </c>
      <c r="I862" s="6" t="str">
        <f>IFERROR(__xludf.DUMMYFUNCTION("""COMPUTED_VALUE"""),"-9.6363538")</f>
        <v>-9.6363538</v>
      </c>
      <c r="J862" s="6" t="str">
        <f>IFERROR(__xludf.DUMMYFUNCTION("""COMPUTED_VALUE"""),"-35.71240")</f>
        <v>-35.71240</v>
      </c>
      <c r="K862" s="5" t="str">
        <f>IFERROR(__xludf.DUMMYFUNCTION("""COMPUTED_VALUE"""),"AV. JUCA SAMPAIO 79")</f>
        <v>AV. JUCA SAMPAIO 79</v>
      </c>
      <c r="L862" s="5" t="str">
        <f>IFERROR(__xludf.DUMMYFUNCTION("""COMPUTED_VALUE"""),"ARTERIAL ")</f>
        <v>ARTERIAL </v>
      </c>
      <c r="M862" s="5" t="str">
        <f>IFERROR(__xludf.DUMMYFUNCTION("""COMPUTED_VALUE"""),"JACINTINHO")</f>
        <v>JACINTINHO</v>
      </c>
      <c r="N862" s="5" t="str">
        <f>IFERROR(__xludf.DUMMYFUNCTION("""COMPUTED_VALUE"""),"BAIRRO - CENTRO")</f>
        <v>BAIRRO - CENTRO</v>
      </c>
      <c r="O862" s="5" t="str">
        <f>IFERROR(__xludf.DUMMYFUNCTION("""COMPUTED_VALUE"""),"EM FRENTE AO FUMÊ")</f>
        <v>EM FRENTE AO FUMÊ</v>
      </c>
      <c r="P862" s="5" t="str">
        <f>IFERROR(__xludf.DUMMYFUNCTION("""COMPUTED_VALUE"""),"PRIORIDADE MÉDIA")</f>
        <v>PRIORIDADE MÉDIA</v>
      </c>
      <c r="Q862" s="5" t="str">
        <f>IFERROR(__xludf.DUMMYFUNCTION("""COMPUTED_VALUE"""),"PINTURA DA BAIA NO ASFALTO")</f>
        <v>PINTURA DA BAIA NO ASFALTO</v>
      </c>
      <c r="R862" s="5" t="str">
        <f>IFERROR(__xludf.DUMMYFUNCTION("""COMPUTED_VALUE"""),"SUBSTITUIR ABRIGO")</f>
        <v>SUBSTITUIR ABRIGO</v>
      </c>
      <c r="S862" s="5"/>
      <c r="T862" s="5" t="str">
        <f>IFERROR(__xludf.DUMMYFUNCTION("""COMPUTED_VALUE"""),"NÃO REALIZADO")</f>
        <v>NÃO REALIZADO</v>
      </c>
      <c r="U862" s="5"/>
      <c r="V862" s="9" t="str">
        <f>IFERROR(__xludf.DUMMYFUNCTION("""COMPUTED_VALUE"""),"https://drive.google.com/uc?id=1UIQMMaRFHNhcfRLVwKTv5FUkSbRMipKZ")</f>
        <v>https://drive.google.com/uc?id=1UIQMMaRFHNhcfRLVwKTv5FUkSbRMipKZ</v>
      </c>
      <c r="W862" s="5" t="str">
        <f>IFERROR(__xludf.DUMMYFUNCTION("""COMPUTED_VALUE"""),"NÃO")</f>
        <v>NÃO</v>
      </c>
      <c r="X862" s="5" t="str">
        <f>IFERROR(__xludf.DUMMYFUNCTION("""COMPUTED_VALUE"""),"NÃO SE APLICA")</f>
        <v>NÃO SE APLICA</v>
      </c>
    </row>
    <row r="863">
      <c r="A863" s="5">
        <f>IFERROR(__xludf.DUMMYFUNCTION("""COMPUTED_VALUE"""),5.0)</f>
        <v>5</v>
      </c>
      <c r="B863" s="5" t="str">
        <f>IFERROR(__xludf.DUMMYFUNCTION("""COMPUTED_VALUE"""),"JC025")</f>
        <v>JC025</v>
      </c>
      <c r="C863" s="5" t="str">
        <f>IFERROR(__xludf.DUMMYFUNCTION("""COMPUTED_VALUE"""),"ABRIGO METÁLICO PEQUENO PORTE")</f>
        <v>ABRIGO METÁLICO PEQUENO PORTE</v>
      </c>
      <c r="D863" s="5" t="str">
        <f>IFERROR(__xludf.DUMMYFUNCTION("""COMPUTED_VALUE"""),"SEM PLACA")</f>
        <v>SEM PLACA</v>
      </c>
      <c r="E863" s="5" t="str">
        <f>IFERROR(__xludf.DUMMYFUNCTION("""COMPUTED_VALUE"""),"SEM BAIA")</f>
        <v>SEM BAIA</v>
      </c>
      <c r="F863" s="5" t="str">
        <f>IFERROR(__xludf.DUMMYFUNCTION("""COMPUTED_VALUE"""),"NÃO")</f>
        <v>NÃO</v>
      </c>
      <c r="G863" s="5" t="str">
        <f>IFERROR(__xludf.DUMMYFUNCTION("""COMPUTED_VALUE"""),"NÃO")</f>
        <v>NÃO</v>
      </c>
      <c r="H863" s="5" t="str">
        <f>IFERROR(__xludf.DUMMYFUNCTION("""COMPUTED_VALUE"""),"PAVIMENTADA")</f>
        <v>PAVIMENTADA</v>
      </c>
      <c r="I863" s="6" t="str">
        <f>IFERROR(__xludf.DUMMYFUNCTION("""COMPUTED_VALUE"""),"-9.640464")</f>
        <v>-9.640464</v>
      </c>
      <c r="J863" s="6" t="str">
        <f>IFERROR(__xludf.DUMMYFUNCTION("""COMPUTED_VALUE"""),"-35.720401")</f>
        <v>-35.720401</v>
      </c>
      <c r="K863" s="5" t="str">
        <f>IFERROR(__xludf.DUMMYFUNCTION("""COMPUTED_VALUE"""),"RUA JORGE JOSÉ DE MELO")</f>
        <v>RUA JORGE JOSÉ DE MELO</v>
      </c>
      <c r="L863" s="5" t="str">
        <f>IFERROR(__xludf.DUMMYFUNCTION("""COMPUTED_VALUE"""),"LOCAL")</f>
        <v>LOCAL</v>
      </c>
      <c r="M863" s="5" t="str">
        <f>IFERROR(__xludf.DUMMYFUNCTION("""COMPUTED_VALUE"""),"JACINTINHO")</f>
        <v>JACINTINHO</v>
      </c>
      <c r="N863" s="5" t="str">
        <f>IFERROR(__xludf.DUMMYFUNCTION("""COMPUTED_VALUE"""),"BAIRRO - CENTRO")</f>
        <v>BAIRRO - CENTRO</v>
      </c>
      <c r="O863" s="5" t="str">
        <f>IFERROR(__xludf.DUMMYFUNCTION("""COMPUTED_VALUE"""),"ESCOLA MUNICIPAL ARNON AFONSO")</f>
        <v>ESCOLA MUNICIPAL ARNON AFONSO</v>
      </c>
      <c r="P863" s="5" t="str">
        <f>IFERROR(__xludf.DUMMYFUNCTION("""COMPUTED_VALUE"""),"PRIORIDADE BAIXA")</f>
        <v>PRIORIDADE BAIXA</v>
      </c>
      <c r="Q863" s="5" t="str">
        <f>IFERROR(__xludf.DUMMYFUNCTION("""COMPUTED_VALUE"""),"PINTURA DA BAIA NO ASFALTO ")</f>
        <v>PINTURA DA BAIA NO ASFALTO </v>
      </c>
      <c r="R863" s="5" t="str">
        <f>IFERROR(__xludf.DUMMYFUNCTION("""COMPUTED_VALUE"""),"NENHUMA DAS OPÇÕES")</f>
        <v>NENHUMA DAS OPÇÕES</v>
      </c>
      <c r="S863" s="5"/>
      <c r="T863" s="5" t="str">
        <f>IFERROR(__xludf.DUMMYFUNCTION("""COMPUTED_VALUE"""),"NÃO REALIZADO")</f>
        <v>NÃO REALIZADO</v>
      </c>
      <c r="U863" s="5"/>
      <c r="V863" s="9" t="str">
        <f>IFERROR(__xludf.DUMMYFUNCTION("""COMPUTED_VALUE"""),"https://drive.google.com/uc?id=1uKXr-TDXu5vJXHLuTzmqSVzt6rstjH3O")</f>
        <v>https://drive.google.com/uc?id=1uKXr-TDXu5vJXHLuTzmqSVzt6rstjH3O</v>
      </c>
      <c r="W863" s="5" t="str">
        <f>IFERROR(__xludf.DUMMYFUNCTION("""COMPUTED_VALUE"""),"NÃO")</f>
        <v>NÃO</v>
      </c>
      <c r="X863" s="5" t="str">
        <f>IFERROR(__xludf.DUMMYFUNCTION("""COMPUTED_VALUE"""),"NÃO SE APLICA")</f>
        <v>NÃO SE APLICA</v>
      </c>
    </row>
    <row r="864">
      <c r="A864" s="5">
        <f>IFERROR(__xludf.DUMMYFUNCTION("""COMPUTED_VALUE"""),5.0)</f>
        <v>5</v>
      </c>
      <c r="B864" s="5" t="str">
        <f>IFERROR(__xludf.DUMMYFUNCTION("""COMPUTED_VALUE"""),"JC026")</f>
        <v>JC026</v>
      </c>
      <c r="C864" s="5" t="str">
        <f>IFERROR(__xludf.DUMMYFUNCTION("""COMPUTED_VALUE"""),"ABRIGO METÁLICO PEQUENO PORTE")</f>
        <v>ABRIGO METÁLICO PEQUENO PORTE</v>
      </c>
      <c r="D864" s="5" t="str">
        <f>IFERROR(__xludf.DUMMYFUNCTION("""COMPUTED_VALUE"""),"SEM PLACA")</f>
        <v>SEM PLACA</v>
      </c>
      <c r="E864" s="5" t="str">
        <f>IFERROR(__xludf.DUMMYFUNCTION("""COMPUTED_VALUE"""),"SEM BAIA")</f>
        <v>SEM BAIA</v>
      </c>
      <c r="F864" s="5" t="str">
        <f>IFERROR(__xludf.DUMMYFUNCTION("""COMPUTED_VALUE"""),"NÃO")</f>
        <v>NÃO</v>
      </c>
      <c r="G864" s="5" t="str">
        <f>IFERROR(__xludf.DUMMYFUNCTION("""COMPUTED_VALUE"""),"NÃO")</f>
        <v>NÃO</v>
      </c>
      <c r="H864" s="5" t="str">
        <f>IFERROR(__xludf.DUMMYFUNCTION("""COMPUTED_VALUE"""),"PAVIMENTADA")</f>
        <v>PAVIMENTADA</v>
      </c>
      <c r="I864" s="6" t="str">
        <f>IFERROR(__xludf.DUMMYFUNCTION("""COMPUTED_VALUE"""),"-9.640421")</f>
        <v>-9.640421</v>
      </c>
      <c r="J864" s="6" t="str">
        <f>IFERROR(__xludf.DUMMYFUNCTION("""COMPUTED_VALUE"""),"-35.723833")</f>
        <v>-35.723833</v>
      </c>
      <c r="K864" s="5" t="str">
        <f>IFERROR(__xludf.DUMMYFUNCTION("""COMPUTED_VALUE"""),"RUA JORGE JOSÉ DE MELO")</f>
        <v>RUA JORGE JOSÉ DE MELO</v>
      </c>
      <c r="L864" s="5" t="str">
        <f>IFERROR(__xludf.DUMMYFUNCTION("""COMPUTED_VALUE"""),"LOCAL")</f>
        <v>LOCAL</v>
      </c>
      <c r="M864" s="5" t="str">
        <f>IFERROR(__xludf.DUMMYFUNCTION("""COMPUTED_VALUE"""),"JACINTINHO")</f>
        <v>JACINTINHO</v>
      </c>
      <c r="N864" s="5" t="str">
        <f>IFERROR(__xludf.DUMMYFUNCTION("""COMPUTED_VALUE"""),"CENTRO - BAIRRO")</f>
        <v>CENTRO - BAIRRO</v>
      </c>
      <c r="O864" s="5" t="str">
        <f>IFERROR(__xludf.DUMMYFUNCTION("""COMPUTED_VALUE"""),"EM FRENTE AO PET SHOP")</f>
        <v>EM FRENTE AO PET SHOP</v>
      </c>
      <c r="P864" s="5" t="str">
        <f>IFERROR(__xludf.DUMMYFUNCTION("""COMPUTED_VALUE"""),"PRIORIDADE BAIXA")</f>
        <v>PRIORIDADE BAIXA</v>
      </c>
      <c r="Q864" s="5" t="str">
        <f>IFERROR(__xludf.DUMMYFUNCTION("""COMPUTED_VALUE"""),"PINTURA DA BAIA NO ASFALTO")</f>
        <v>PINTURA DA BAIA NO ASFALTO</v>
      </c>
      <c r="R864" s="5" t="str">
        <f>IFERROR(__xludf.DUMMYFUNCTION("""COMPUTED_VALUE"""),"NENHUMA DAS OPÇÕES")</f>
        <v>NENHUMA DAS OPÇÕES</v>
      </c>
      <c r="S864" s="5"/>
      <c r="T864" s="5" t="str">
        <f>IFERROR(__xludf.DUMMYFUNCTION("""COMPUTED_VALUE"""),"NÃO REALIZADO")</f>
        <v>NÃO REALIZADO</v>
      </c>
      <c r="U864" s="5"/>
      <c r="V864" s="9" t="str">
        <f>IFERROR(__xludf.DUMMYFUNCTION("""COMPUTED_VALUE"""),"https://drive.google.com/uc?id=1PKH-rL06SSpSAe76qIg2gsZl2ybaDN4y")</f>
        <v>https://drive.google.com/uc?id=1PKH-rL06SSpSAe76qIg2gsZl2ybaDN4y</v>
      </c>
      <c r="W864" s="5" t="str">
        <f>IFERROR(__xludf.DUMMYFUNCTION("""COMPUTED_VALUE"""),"NÃO")</f>
        <v>NÃO</v>
      </c>
      <c r="X864" s="5" t="str">
        <f>IFERROR(__xludf.DUMMYFUNCTION("""COMPUTED_VALUE"""),"NÃO SE APLICA")</f>
        <v>NÃO SE APLICA</v>
      </c>
    </row>
    <row r="865" hidden="1">
      <c r="A865" s="5">
        <f>IFERROR(__xludf.DUMMYFUNCTION("IMPORTRANGE(""https://docs.google.com/spreadsheets/d/10fxs2z9vz1jmULy_hPFiuZnkh4JvywStH8umOAOqNVY/edit#gid=1612198575"", ""SERRARIA!A3:X47"")"),5.0)</f>
        <v>5</v>
      </c>
      <c r="B865" s="5" t="str">
        <f>IFERROR(__xludf.DUMMYFUNCTION("""COMPUTED_VALUE"""),"SR001")</f>
        <v>SR001</v>
      </c>
      <c r="C865" s="5" t="str">
        <f>IFERROR(__xludf.DUMMYFUNCTION("""COMPUTED_VALUE"""),"NÃO POSSUI")</f>
        <v>NÃO POSSUI</v>
      </c>
      <c r="D865" s="5" t="str">
        <f>IFERROR(__xludf.DUMMYFUNCTION("""COMPUTED_VALUE"""),"FIXADA EM POSTE")</f>
        <v>FIXADA EM POSTE</v>
      </c>
      <c r="E865" s="5" t="str">
        <f>IFERROR(__xludf.DUMMYFUNCTION("""COMPUTED_VALUE"""),"SEM BAIA")</f>
        <v>SEM BAIA</v>
      </c>
      <c r="F865" s="5" t="str">
        <f>IFERROR(__xludf.DUMMYFUNCTION("""COMPUTED_VALUE"""),"NÃO")</f>
        <v>NÃO</v>
      </c>
      <c r="G865" s="5" t="str">
        <f>IFERROR(__xludf.DUMMYFUNCTION("""COMPUTED_VALUE"""),"NÃO")</f>
        <v>NÃO</v>
      </c>
      <c r="H865" s="5" t="str">
        <f>IFERROR(__xludf.DUMMYFUNCTION("""COMPUTED_VALUE"""),"PAVIMENTADA COM AVARIAS")</f>
        <v>PAVIMENTADA COM AVARIAS</v>
      </c>
      <c r="I865" s="6" t="str">
        <f>IFERROR(__xludf.DUMMYFUNCTION("""COMPUTED_VALUE"""),"-9.61415")</f>
        <v>-9.61415</v>
      </c>
      <c r="J865" s="6" t="str">
        <f>IFERROR(__xludf.DUMMYFUNCTION("""COMPUTED_VALUE"""),"-35.72759")</f>
        <v>-35.72759</v>
      </c>
      <c r="K865" s="5" t="str">
        <f>IFERROR(__xludf.DUMMYFUNCTION("""COMPUTED_VALUE"""),"AV. ERALDO LINS CAVALCANTE, 267")</f>
        <v>AV. ERALDO LINS CAVALCANTE, 267</v>
      </c>
      <c r="L865" s="5" t="str">
        <f>IFERROR(__xludf.DUMMYFUNCTION("""COMPUTED_VALUE"""),"COLETORA")</f>
        <v>COLETORA</v>
      </c>
      <c r="M865" s="5" t="str">
        <f>IFERROR(__xludf.DUMMYFUNCTION("""COMPUTED_VALUE"""),"SERRARIA")</f>
        <v>SERRARIA</v>
      </c>
      <c r="N865" s="5" t="str">
        <f>IFERROR(__xludf.DUMMYFUNCTION("""COMPUTED_VALUE"""),"CENTRO - BAIRRO")</f>
        <v>CENTRO - BAIRRO</v>
      </c>
      <c r="O865" s="5" t="str">
        <f>IFERROR(__xludf.DUMMYFUNCTION("""COMPUTED_VALUE"""),"LOT. MURILÓPOLIS - EM FRENTE A CROSSFIT EXPERIENCE")</f>
        <v>LOT. MURILÓPOLIS - EM FRENTE A CROSSFIT EXPERIENCE</v>
      </c>
      <c r="P865" s="5" t="str">
        <f>IFERROR(__xludf.DUMMYFUNCTION("""COMPUTED_VALUE"""),"PRIORIDADE BAIXA")</f>
        <v>PRIORIDADE BAIXA</v>
      </c>
      <c r="Q865" s="5" t="str">
        <f>IFERROR(__xludf.DUMMYFUNCTION("""COMPUTED_VALUE"""),"READEQUAÇÃO DE CALÇADA COM ACESSIBILIDADE.")</f>
        <v>READEQUAÇÃO DE CALÇADA COM ACESSIBILIDADE.</v>
      </c>
      <c r="R865" s="5" t="str">
        <f>IFERROR(__xludf.DUMMYFUNCTION("""COMPUTED_VALUE"""),"IMPLANTAR ABRIGO")</f>
        <v>IMPLANTAR ABRIGO</v>
      </c>
      <c r="S865" s="5"/>
      <c r="T865" s="5"/>
      <c r="U865" s="7">
        <f>IFERROR(__xludf.DUMMYFUNCTION("""COMPUTED_VALUE"""),44835.0)</f>
        <v>44835</v>
      </c>
      <c r="V865" s="9" t="str">
        <f>IFERROR(__xludf.DUMMYFUNCTION("""COMPUTED_VALUE"""),"https://drive.google.com/uc?id=1saWm46h6xUbNZNSFX9ew_5Lrct7fNoJb")</f>
        <v>https://drive.google.com/uc?id=1saWm46h6xUbNZNSFX9ew_5Lrct7fNoJb</v>
      </c>
      <c r="W865" s="5" t="str">
        <f>IFERROR(__xludf.DUMMYFUNCTION("""COMPUTED_VALUE"""),"NÃO")</f>
        <v>NÃO</v>
      </c>
      <c r="X865" s="5" t="str">
        <f>IFERROR(__xludf.DUMMYFUNCTION("""COMPUTED_VALUE"""),"NÃO SE APLICA")</f>
        <v>NÃO SE APLICA</v>
      </c>
    </row>
    <row r="866" hidden="1">
      <c r="A866" s="5">
        <f>IFERROR(__xludf.DUMMYFUNCTION("""COMPUTED_VALUE"""),5.0)</f>
        <v>5</v>
      </c>
      <c r="B866" s="5" t="str">
        <f>IFERROR(__xludf.DUMMYFUNCTION("""COMPUTED_VALUE"""),"SR002")</f>
        <v>SR002</v>
      </c>
      <c r="C866" s="5" t="str">
        <f>IFERROR(__xludf.DUMMYFUNCTION("""COMPUTED_VALUE"""),"NÃO POSSUI")</f>
        <v>NÃO POSSUI</v>
      </c>
      <c r="D866" s="5" t="str">
        <f>IFERROR(__xludf.DUMMYFUNCTION("""COMPUTED_VALUE"""),"FIXADA EM POSTE")</f>
        <v>FIXADA EM POSTE</v>
      </c>
      <c r="E866" s="5" t="str">
        <f>IFERROR(__xludf.DUMMYFUNCTION("""COMPUTED_VALUE"""),"SEM BAIA")</f>
        <v>SEM BAIA</v>
      </c>
      <c r="F866" s="5" t="str">
        <f>IFERROR(__xludf.DUMMYFUNCTION("""COMPUTED_VALUE"""),"NÃO")</f>
        <v>NÃO</v>
      </c>
      <c r="G866" s="5" t="str">
        <f>IFERROR(__xludf.DUMMYFUNCTION("""COMPUTED_VALUE"""),"NÃO")</f>
        <v>NÃO</v>
      </c>
      <c r="H866" s="5" t="str">
        <f>IFERROR(__xludf.DUMMYFUNCTION("""COMPUTED_VALUE"""),"PAVIMENTADA COM AVARIAS")</f>
        <v>PAVIMENTADA COM AVARIAS</v>
      </c>
      <c r="I866" s="6" t="str">
        <f>IFERROR(__xludf.DUMMYFUNCTION("""COMPUTED_VALUE"""),"-9.61422")</f>
        <v>-9.61422</v>
      </c>
      <c r="J866" s="6" t="str">
        <f>IFERROR(__xludf.DUMMYFUNCTION("""COMPUTED_VALUE"""),"-35.72511")</f>
        <v>-35.72511</v>
      </c>
      <c r="K866" s="5" t="str">
        <f>IFERROR(__xludf.DUMMYFUNCTION("""COMPUTED_VALUE"""),"AV. ERALDO LINS CAVALCANTE, 491")</f>
        <v>AV. ERALDO LINS CAVALCANTE, 491</v>
      </c>
      <c r="L866" s="5" t="str">
        <f>IFERROR(__xludf.DUMMYFUNCTION("""COMPUTED_VALUE"""),"COLETORA")</f>
        <v>COLETORA</v>
      </c>
      <c r="M866" s="5" t="str">
        <f>IFERROR(__xludf.DUMMYFUNCTION("""COMPUTED_VALUE"""),"SERRARIA")</f>
        <v>SERRARIA</v>
      </c>
      <c r="N866" s="5" t="str">
        <f>IFERROR(__xludf.DUMMYFUNCTION("""COMPUTED_VALUE"""),"CENTRO - BAIRRO")</f>
        <v>CENTRO - BAIRRO</v>
      </c>
      <c r="O866" s="5" t="str">
        <f>IFERROR(__xludf.DUMMYFUNCTION("""COMPUTED_VALUE"""),"LOT. MURILÓPOLIS - EM FRENTE A EDIFÍCIO MARANELO")</f>
        <v>LOT. MURILÓPOLIS - EM FRENTE A EDIFÍCIO MARANELO</v>
      </c>
      <c r="P866" s="5" t="str">
        <f>IFERROR(__xludf.DUMMYFUNCTION("""COMPUTED_VALUE"""),"PRIORIDADE BAIXA")</f>
        <v>PRIORIDADE BAIXA</v>
      </c>
      <c r="Q866" s="5" t="str">
        <f>IFERROR(__xludf.DUMMYFUNCTION("""COMPUTED_VALUE"""),"READEQUAÇÃO DE CALÇADA COM ACESSIBILIDADE.")</f>
        <v>READEQUAÇÃO DE CALÇADA COM ACESSIBILIDADE.</v>
      </c>
      <c r="R866" s="5" t="str">
        <f>IFERROR(__xludf.DUMMYFUNCTION("""COMPUTED_VALUE"""),"NENHUMA DAS OPÇÕES")</f>
        <v>NENHUMA DAS OPÇÕES</v>
      </c>
      <c r="S866" s="5"/>
      <c r="T866" s="5"/>
      <c r="U866" s="7">
        <f>IFERROR(__xludf.DUMMYFUNCTION("""COMPUTED_VALUE"""),44836.0)</f>
        <v>44836</v>
      </c>
      <c r="V866" s="9" t="str">
        <f>IFERROR(__xludf.DUMMYFUNCTION("""COMPUTED_VALUE"""),"https://drive.google.com/uc?id=1x42IT9K3reb88-vQIF8O88UIem2O39-K")</f>
        <v>https://drive.google.com/uc?id=1x42IT9K3reb88-vQIF8O88UIem2O39-K</v>
      </c>
      <c r="W866" s="5" t="str">
        <f>IFERROR(__xludf.DUMMYFUNCTION("""COMPUTED_VALUE"""),"NÃO")</f>
        <v>NÃO</v>
      </c>
      <c r="X866" s="5" t="str">
        <f>IFERROR(__xludf.DUMMYFUNCTION("""COMPUTED_VALUE"""),"NÃO SE APLICA")</f>
        <v>NÃO SE APLICA</v>
      </c>
    </row>
    <row r="867" hidden="1">
      <c r="A867" s="5">
        <f>IFERROR(__xludf.DUMMYFUNCTION("""COMPUTED_VALUE"""),5.0)</f>
        <v>5</v>
      </c>
      <c r="B867" s="5" t="str">
        <f>IFERROR(__xludf.DUMMYFUNCTION("""COMPUTED_VALUE"""),"SR003")</f>
        <v>SR003</v>
      </c>
      <c r="C867" s="5" t="str">
        <f>IFERROR(__xludf.DUMMYFUNCTION("""COMPUTED_VALUE"""),"NÃO POSSUI")</f>
        <v>NÃO POSSUI</v>
      </c>
      <c r="D867" s="5" t="str">
        <f>IFERROR(__xludf.DUMMYFUNCTION("""COMPUTED_VALUE"""),"FIXADA EM POSTE")</f>
        <v>FIXADA EM POSTE</v>
      </c>
      <c r="E867" s="5" t="str">
        <f>IFERROR(__xludf.DUMMYFUNCTION("""COMPUTED_VALUE"""),"SEM BAIA")</f>
        <v>SEM BAIA</v>
      </c>
      <c r="F867" s="5" t="str">
        <f>IFERROR(__xludf.DUMMYFUNCTION("""COMPUTED_VALUE"""),"NÃO")</f>
        <v>NÃO</v>
      </c>
      <c r="G867" s="5" t="str">
        <f>IFERROR(__xludf.DUMMYFUNCTION("""COMPUTED_VALUE"""),"NÃO")</f>
        <v>NÃO</v>
      </c>
      <c r="H867" s="5" t="str">
        <f>IFERROR(__xludf.DUMMYFUNCTION("""COMPUTED_VALUE"""),"NÃO PAVIMENTADA")</f>
        <v>NÃO PAVIMENTADA</v>
      </c>
      <c r="I867" s="6" t="str">
        <f>IFERROR(__xludf.DUMMYFUNCTION("""COMPUTED_VALUE"""),"-9.61420")</f>
        <v>-9.61420</v>
      </c>
      <c r="J867" s="6" t="str">
        <f>IFERROR(__xludf.DUMMYFUNCTION("""COMPUTED_VALUE"""),"-35.72241")</f>
        <v>-35.72241</v>
      </c>
      <c r="K867" s="5" t="str">
        <f>IFERROR(__xludf.DUMMYFUNCTION("""COMPUTED_VALUE"""),"AV. ERALDO LINS CAVALCANTE, 807")</f>
        <v>AV. ERALDO LINS CAVALCANTE, 807</v>
      </c>
      <c r="L867" s="5" t="str">
        <f>IFERROR(__xludf.DUMMYFUNCTION("""COMPUTED_VALUE"""),"COLETORA")</f>
        <v>COLETORA</v>
      </c>
      <c r="M867" s="5" t="str">
        <f>IFERROR(__xludf.DUMMYFUNCTION("""COMPUTED_VALUE"""),"SERRARIA")</f>
        <v>SERRARIA</v>
      </c>
      <c r="N867" s="5" t="str">
        <f>IFERROR(__xludf.DUMMYFUNCTION("""COMPUTED_VALUE"""),"CENTRO - BAIRRO")</f>
        <v>CENTRO - BAIRRO</v>
      </c>
      <c r="O867" s="5" t="str">
        <f>IFERROR(__xludf.DUMMYFUNCTION("""COMPUTED_VALUE"""),"PRÓXIMO A CONSTRUTORA CONENGE")</f>
        <v>PRÓXIMO A CONSTRUTORA CONENGE</v>
      </c>
      <c r="P867" s="5" t="str">
        <f>IFERROR(__xludf.DUMMYFUNCTION("""COMPUTED_VALUE"""),"PRIORIDADE BAIXA")</f>
        <v>PRIORIDADE BAIXA</v>
      </c>
      <c r="Q867" s="5" t="str">
        <f>IFERROR(__xludf.DUMMYFUNCTION("""COMPUTED_VALUE"""),"READEQUAÇÃO DE CALÇADA COM ACESSIBILIDADE.")</f>
        <v>READEQUAÇÃO DE CALÇADA COM ACESSIBILIDADE.</v>
      </c>
      <c r="R867" s="5" t="str">
        <f>IFERROR(__xludf.DUMMYFUNCTION("""COMPUTED_VALUE"""),"NENHUMA DAS OPÇÕES")</f>
        <v>NENHUMA DAS OPÇÕES</v>
      </c>
      <c r="S867" s="5"/>
      <c r="T867" s="5"/>
      <c r="U867" s="7">
        <f>IFERROR(__xludf.DUMMYFUNCTION("""COMPUTED_VALUE"""),44837.0)</f>
        <v>44837</v>
      </c>
      <c r="V867" s="9" t="str">
        <f>IFERROR(__xludf.DUMMYFUNCTION("""COMPUTED_VALUE"""),"https://drive.google.com/uc?id=1Yq0n-wHLq092RDzRgls675_imWekFZwl")</f>
        <v>https://drive.google.com/uc?id=1Yq0n-wHLq092RDzRgls675_imWekFZwl</v>
      </c>
      <c r="W867" s="5" t="str">
        <f>IFERROR(__xludf.DUMMYFUNCTION("""COMPUTED_VALUE"""),"NÃO")</f>
        <v>NÃO</v>
      </c>
      <c r="X867" s="5" t="str">
        <f>IFERROR(__xludf.DUMMYFUNCTION("""COMPUTED_VALUE"""),"NÃO SE APLICA")</f>
        <v>NÃO SE APLICA</v>
      </c>
    </row>
    <row r="868" hidden="1">
      <c r="A868" s="5">
        <f>IFERROR(__xludf.DUMMYFUNCTION("""COMPUTED_VALUE"""),5.0)</f>
        <v>5</v>
      </c>
      <c r="B868" s="5" t="str">
        <f>IFERROR(__xludf.DUMMYFUNCTION("""COMPUTED_VALUE"""),"SR004")</f>
        <v>SR004</v>
      </c>
      <c r="C868" s="5" t="str">
        <f>IFERROR(__xludf.DUMMYFUNCTION("""COMPUTED_VALUE"""),"NÃO POSSUI")</f>
        <v>NÃO POSSUI</v>
      </c>
      <c r="D868" s="5" t="str">
        <f>IFERROR(__xludf.DUMMYFUNCTION("""COMPUTED_VALUE"""),"COM SUPORTE")</f>
        <v>COM SUPORTE</v>
      </c>
      <c r="E868" s="5" t="str">
        <f>IFERROR(__xludf.DUMMYFUNCTION("""COMPUTED_VALUE"""),"BAIA PINTADA")</f>
        <v>BAIA PINTADA</v>
      </c>
      <c r="F868" s="5" t="str">
        <f>IFERROR(__xludf.DUMMYFUNCTION("""COMPUTED_VALUE"""),"NÃO")</f>
        <v>NÃO</v>
      </c>
      <c r="G868" s="5" t="str">
        <f>IFERROR(__xludf.DUMMYFUNCTION("""COMPUTED_VALUE"""),"NÃO")</f>
        <v>NÃO</v>
      </c>
      <c r="H868" s="5" t="str">
        <f>IFERROR(__xludf.DUMMYFUNCTION("""COMPUTED_VALUE"""),"NÃO PAVIMENTADA")</f>
        <v>NÃO PAVIMENTADA</v>
      </c>
      <c r="I868" s="6" t="str">
        <f>IFERROR(__xludf.DUMMYFUNCTION("""COMPUTED_VALUE"""),"-9.61419")</f>
        <v>-9.61419</v>
      </c>
      <c r="J868" s="6" t="str">
        <f>IFERROR(__xludf.DUMMYFUNCTION("""COMPUTED_VALUE"""),"-35.71946")</f>
        <v>-35.71946</v>
      </c>
      <c r="K868" s="5" t="str">
        <f>IFERROR(__xludf.DUMMYFUNCTION("""COMPUTED_VALUE"""),"AV. ERALDO LINS CAVALCANTE, 1089")</f>
        <v>AV. ERALDO LINS CAVALCANTE, 1089</v>
      </c>
      <c r="L868" s="5" t="str">
        <f>IFERROR(__xludf.DUMMYFUNCTION("""COMPUTED_VALUE"""),"COLETORA")</f>
        <v>COLETORA</v>
      </c>
      <c r="M868" s="5" t="str">
        <f>IFERROR(__xludf.DUMMYFUNCTION("""COMPUTED_VALUE"""),"SERRARIA")</f>
        <v>SERRARIA</v>
      </c>
      <c r="N868" s="5" t="str">
        <f>IFERROR(__xludf.DUMMYFUNCTION("""COMPUTED_VALUE"""),"CENTRO - BAIRRO")</f>
        <v>CENTRO - BAIRRO</v>
      </c>
      <c r="O868" s="5" t="str">
        <f>IFERROR(__xludf.DUMMYFUNCTION("""COMPUTED_VALUE"""),"EM FRENTE A GALERIA BOULEVARD")</f>
        <v>EM FRENTE A GALERIA BOULEVARD</v>
      </c>
      <c r="P868" s="5" t="str">
        <f>IFERROR(__xludf.DUMMYFUNCTION("""COMPUTED_VALUE"""),"PRIORIDADE BAIXA")</f>
        <v>PRIORIDADE BAIXA</v>
      </c>
      <c r="Q868" s="5" t="str">
        <f>IFERROR(__xludf.DUMMYFUNCTION("""COMPUTED_VALUE"""),"REALIZAR PINTURA EM TODA A ESTRUTURA ASSIM COMO ASSENTOS; READEQUAÇÃO DE CALÇADA COM ACESSIBILIDADE")</f>
        <v>REALIZAR PINTURA EM TODA A ESTRUTURA ASSIM COMO ASSENTOS; READEQUAÇÃO DE CALÇADA COM ACESSIBILIDADE</v>
      </c>
      <c r="R868" s="5" t="str">
        <f>IFERROR(__xludf.DUMMYFUNCTION("""COMPUTED_VALUE"""),"IMPLANTAR ABRIGO")</f>
        <v>IMPLANTAR ABRIGO</v>
      </c>
      <c r="S868" s="5"/>
      <c r="T868" s="5"/>
      <c r="U868" s="7">
        <f>IFERROR(__xludf.DUMMYFUNCTION("""COMPUTED_VALUE"""),44838.0)</f>
        <v>44838</v>
      </c>
      <c r="V868" s="9" t="str">
        <f>IFERROR(__xludf.DUMMYFUNCTION("""COMPUTED_VALUE"""),"https://drive.google.com/uc?id=1_Y7Ss50--fIIv-swvJJ8OVFsuKFvh0Z8")</f>
        <v>https://drive.google.com/uc?id=1_Y7Ss50--fIIv-swvJJ8OVFsuKFvh0Z8</v>
      </c>
      <c r="W868" s="5" t="str">
        <f>IFERROR(__xludf.DUMMYFUNCTION("""COMPUTED_VALUE"""),"NÃO")</f>
        <v>NÃO</v>
      </c>
      <c r="X868" s="5" t="str">
        <f>IFERROR(__xludf.DUMMYFUNCTION("""COMPUTED_VALUE"""),"NÃO SE APLICA")</f>
        <v>NÃO SE APLICA</v>
      </c>
    </row>
    <row r="869">
      <c r="A869" s="5">
        <f>IFERROR(__xludf.DUMMYFUNCTION("""COMPUTED_VALUE"""),5.0)</f>
        <v>5</v>
      </c>
      <c r="B869" s="5" t="str">
        <f>IFERROR(__xludf.DUMMYFUNCTION("""COMPUTED_VALUE"""),"SR005")</f>
        <v>SR005</v>
      </c>
      <c r="C869" s="5" t="str">
        <f>IFERROR(__xludf.DUMMYFUNCTION("""COMPUTED_VALUE"""),"ABRIGO METÁLICO PEQUENO PORTE")</f>
        <v>ABRIGO METÁLICO PEQUENO PORTE</v>
      </c>
      <c r="D869" s="5" t="str">
        <f>IFERROR(__xludf.DUMMYFUNCTION("""COMPUTED_VALUE"""),"COM SUPORTE")</f>
        <v>COM SUPORTE</v>
      </c>
      <c r="E869" s="5" t="str">
        <f>IFERROR(__xludf.DUMMYFUNCTION("""COMPUTED_VALUE"""),"SEM BAIA")</f>
        <v>SEM BAIA</v>
      </c>
      <c r="F869" s="5" t="str">
        <f>IFERROR(__xludf.DUMMYFUNCTION("""COMPUTED_VALUE"""),"NÃO")</f>
        <v>NÃO</v>
      </c>
      <c r="G869" s="5" t="str">
        <f>IFERROR(__xludf.DUMMYFUNCTION("""COMPUTED_VALUE"""),"NÃO")</f>
        <v>NÃO</v>
      </c>
      <c r="H869" s="5" t="str">
        <f>IFERROR(__xludf.DUMMYFUNCTION("""COMPUTED_VALUE"""),"PAVIMENTADA COM AVARIAS")</f>
        <v>PAVIMENTADA COM AVARIAS</v>
      </c>
      <c r="I869" s="6" t="str">
        <f>IFERROR(__xludf.DUMMYFUNCTION("""COMPUTED_VALUE"""),"-9.604435")</f>
        <v>-9.604435</v>
      </c>
      <c r="J869" s="6" t="str">
        <f>IFERROR(__xludf.DUMMYFUNCTION("""COMPUTED_VALUE"""),"-35.722530")</f>
        <v>-35.722530</v>
      </c>
      <c r="K869" s="5" t="str">
        <f>IFERROR(__xludf.DUMMYFUNCTION("""COMPUTED_VALUE"""),"AV. MENINO MARCELO, S/N")</f>
        <v>AV. MENINO MARCELO, S/N</v>
      </c>
      <c r="L869" s="5" t="str">
        <f>IFERROR(__xludf.DUMMYFUNCTION("""COMPUTED_VALUE"""),"ARTERIAL ")</f>
        <v>ARTERIAL </v>
      </c>
      <c r="M869" s="5" t="str">
        <f>IFERROR(__xludf.DUMMYFUNCTION("""COMPUTED_VALUE"""),"SERRARIA")</f>
        <v>SERRARIA</v>
      </c>
      <c r="N869" s="5" t="str">
        <f>IFERROR(__xludf.DUMMYFUNCTION("""COMPUTED_VALUE"""),"CENTRO - BAIRRO")</f>
        <v>CENTRO - BAIRRO</v>
      </c>
      <c r="O869" s="5" t="str">
        <f>IFERROR(__xludf.DUMMYFUNCTION("""COMPUTED_VALUE"""),"EM FRENTE A PAGUE MENOS DA ENTRADA DO CONJ. JOSÉ TENÓRIO ")</f>
        <v>EM FRENTE A PAGUE MENOS DA ENTRADA DO CONJ. JOSÉ TENÓRIO </v>
      </c>
      <c r="P869" s="5" t="str">
        <f>IFERROR(__xludf.DUMMYFUNCTION("""COMPUTED_VALUE"""),"PRIORIDADE ALTA")</f>
        <v>PRIORIDADE ALTA</v>
      </c>
      <c r="Q869" s="5" t="str">
        <f>IFERROR(__xludf.DUMMYFUNCTION("""COMPUTED_VALUE"""),"REALIZAR PINTURA EM TODA A ESTRUTURA ASSIM COMO ASSENTOS; READEQUAÇÃO DE CALÇADA COM ACESSIBILIDADE")</f>
        <v>REALIZAR PINTURA EM TODA A ESTRUTURA ASSIM COMO ASSENTOS; READEQUAÇÃO DE CALÇADA COM ACESSIBILIDADE</v>
      </c>
      <c r="R869" s="5" t="str">
        <f>IFERROR(__xludf.DUMMYFUNCTION("""COMPUTED_VALUE"""),"NENHUMA DAS OPÇÕES")</f>
        <v>NENHUMA DAS OPÇÕES</v>
      </c>
      <c r="S869" s="5"/>
      <c r="T869" s="5"/>
      <c r="U869" s="7">
        <f>IFERROR(__xludf.DUMMYFUNCTION("""COMPUTED_VALUE"""),44839.0)</f>
        <v>44839</v>
      </c>
      <c r="V869" s="9" t="str">
        <f>IFERROR(__xludf.DUMMYFUNCTION("""COMPUTED_VALUE"""),"https://drive.google.com/uc?id=1lUiqoIxhvhDIVQUT01v6t8b66y3qjaby")</f>
        <v>https://drive.google.com/uc?id=1lUiqoIxhvhDIVQUT01v6t8b66y3qjaby</v>
      </c>
      <c r="W869" s="5" t="str">
        <f>IFERROR(__xludf.DUMMYFUNCTION("""COMPUTED_VALUE"""),"NÃO")</f>
        <v>NÃO</v>
      </c>
      <c r="X869" s="5" t="str">
        <f>IFERROR(__xludf.DUMMYFUNCTION("""COMPUTED_VALUE"""),"SIM")</f>
        <v>SIM</v>
      </c>
    </row>
    <row r="870">
      <c r="A870" s="5">
        <f>IFERROR(__xludf.DUMMYFUNCTION("""COMPUTED_VALUE"""),5.0)</f>
        <v>5</v>
      </c>
      <c r="B870" s="5" t="str">
        <f>IFERROR(__xludf.DUMMYFUNCTION("""COMPUTED_VALUE"""),"SR006")</f>
        <v>SR006</v>
      </c>
      <c r="C870" s="5" t="str">
        <f>IFERROR(__xludf.DUMMYFUNCTION("""COMPUTED_VALUE"""),"ABRIGO METÁLICO PEQUENO PORTE")</f>
        <v>ABRIGO METÁLICO PEQUENO PORTE</v>
      </c>
      <c r="D870" s="5" t="str">
        <f>IFERROR(__xludf.DUMMYFUNCTION("""COMPUTED_VALUE"""),"COM SUPORTE")</f>
        <v>COM SUPORTE</v>
      </c>
      <c r="E870" s="5" t="str">
        <f>IFERROR(__xludf.DUMMYFUNCTION("""COMPUTED_VALUE"""),"SEM BAIA")</f>
        <v>SEM BAIA</v>
      </c>
      <c r="F870" s="5" t="str">
        <f>IFERROR(__xludf.DUMMYFUNCTION("""COMPUTED_VALUE"""),"NÃO")</f>
        <v>NÃO</v>
      </c>
      <c r="G870" s="5" t="str">
        <f>IFERROR(__xludf.DUMMYFUNCTION("""COMPUTED_VALUE"""),"NÃO")</f>
        <v>NÃO</v>
      </c>
      <c r="H870" s="5" t="str">
        <f>IFERROR(__xludf.DUMMYFUNCTION("""COMPUTED_VALUE"""),"NÃO PAVIMENTADA")</f>
        <v>NÃO PAVIMENTADA</v>
      </c>
      <c r="I870" s="6" t="str">
        <f>IFERROR(__xludf.DUMMYFUNCTION("""COMPUTED_VALUE"""),"-9.5985979")</f>
        <v>-9.5985979</v>
      </c>
      <c r="J870" s="6" t="str">
        <f>IFERROR(__xludf.DUMMYFUNCTION("""COMPUTED_VALUE"""),"-35.7231991")</f>
        <v>-35.7231991</v>
      </c>
      <c r="K870" s="5" t="str">
        <f>IFERROR(__xludf.DUMMYFUNCTION("""COMPUTED_VALUE"""),"AV. MENINO MARCELO, S/N")</f>
        <v>AV. MENINO MARCELO, S/N</v>
      </c>
      <c r="L870" s="5" t="str">
        <f>IFERROR(__xludf.DUMMYFUNCTION("""COMPUTED_VALUE"""),"ARTERIAL ")</f>
        <v>ARTERIAL </v>
      </c>
      <c r="M870" s="5" t="str">
        <f>IFERROR(__xludf.DUMMYFUNCTION("""COMPUTED_VALUE"""),"SERRARIA")</f>
        <v>SERRARIA</v>
      </c>
      <c r="N870" s="5" t="str">
        <f>IFERROR(__xludf.DUMMYFUNCTION("""COMPUTED_VALUE"""),"CENTRO - BAIRRO")</f>
        <v>CENTRO - BAIRRO</v>
      </c>
      <c r="O870" s="5" t="str">
        <f>IFERROR(__xludf.DUMMYFUNCTION("""COMPUTED_VALUE"""),"AO LADO DA SERGIO PEÇAS E SERVIÇOS")</f>
        <v>AO LADO DA SERGIO PEÇAS E SERVIÇOS</v>
      </c>
      <c r="P870" s="5" t="str">
        <f>IFERROR(__xludf.DUMMYFUNCTION("""COMPUTED_VALUE"""),"PRIORIDADE ALTA")</f>
        <v>PRIORIDADE ALTA</v>
      </c>
      <c r="Q870" s="5" t="str">
        <f>IFERROR(__xludf.DUMMYFUNCTION("""COMPUTED_VALUE"""),"REALIZAR PINTURA EM TODA A ESTRUTURA ASSIM COMO ASSENTOS; READEQUAÇÃO DE CALÇADA COM ACESSIBILIDADE")</f>
        <v>REALIZAR PINTURA EM TODA A ESTRUTURA ASSIM COMO ASSENTOS; READEQUAÇÃO DE CALÇADA COM ACESSIBILIDADE</v>
      </c>
      <c r="R870" s="5" t="str">
        <f>IFERROR(__xludf.DUMMYFUNCTION("""COMPUTED_VALUE"""),"NENHUMA DAS OPÇÕES")</f>
        <v>NENHUMA DAS OPÇÕES</v>
      </c>
      <c r="S870" s="5"/>
      <c r="T870" s="5"/>
      <c r="U870" s="7">
        <f>IFERROR(__xludf.DUMMYFUNCTION("""COMPUTED_VALUE"""),44840.0)</f>
        <v>44840</v>
      </c>
      <c r="V870" s="9" t="str">
        <f>IFERROR(__xludf.DUMMYFUNCTION("""COMPUTED_VALUE"""),"https://drive.google.com/uc?id=1rQ3F6tYR3dDhFN3FGcshjs1mjemVe_-M")</f>
        <v>https://drive.google.com/uc?id=1rQ3F6tYR3dDhFN3FGcshjs1mjemVe_-M</v>
      </c>
      <c r="W870" s="5" t="str">
        <f>IFERROR(__xludf.DUMMYFUNCTION("""COMPUTED_VALUE"""),"NÃO")</f>
        <v>NÃO</v>
      </c>
      <c r="X870" s="5" t="str">
        <f>IFERROR(__xludf.DUMMYFUNCTION("""COMPUTED_VALUE"""),"NÃO SE APLICA")</f>
        <v>NÃO SE APLICA</v>
      </c>
    </row>
    <row r="871">
      <c r="A871" s="5">
        <f>IFERROR(__xludf.DUMMYFUNCTION("""COMPUTED_VALUE"""),5.0)</f>
        <v>5</v>
      </c>
      <c r="B871" s="5" t="str">
        <f>IFERROR(__xludf.DUMMYFUNCTION("""COMPUTED_VALUE"""),"SR007")</f>
        <v>SR007</v>
      </c>
      <c r="C871" s="5" t="str">
        <f>IFERROR(__xludf.DUMMYFUNCTION("""COMPUTED_VALUE"""),"ABRIGO METÁLICO PEQUENO PORTE")</f>
        <v>ABRIGO METÁLICO PEQUENO PORTE</v>
      </c>
      <c r="D871" s="5" t="str">
        <f>IFERROR(__xludf.DUMMYFUNCTION("""COMPUTED_VALUE"""),"COM SUPORTE")</f>
        <v>COM SUPORTE</v>
      </c>
      <c r="E871" s="5" t="str">
        <f>IFERROR(__xludf.DUMMYFUNCTION("""COMPUTED_VALUE"""),"SEM BAIA")</f>
        <v>SEM BAIA</v>
      </c>
      <c r="F871" s="5" t="str">
        <f>IFERROR(__xludf.DUMMYFUNCTION("""COMPUTED_VALUE"""),"NÃO")</f>
        <v>NÃO</v>
      </c>
      <c r="G871" s="5" t="str">
        <f>IFERROR(__xludf.DUMMYFUNCTION("""COMPUTED_VALUE"""),"NÃO")</f>
        <v>NÃO</v>
      </c>
      <c r="H871" s="5" t="str">
        <f>IFERROR(__xludf.DUMMYFUNCTION("""COMPUTED_VALUE"""),"PAVIMENTADA COM AVARIAS")</f>
        <v>PAVIMENTADA COM AVARIAS</v>
      </c>
      <c r="I871" s="6" t="str">
        <f>IFERROR(__xludf.DUMMYFUNCTION("""COMPUTED_VALUE"""),"-9.591311")</f>
        <v>-9.591311</v>
      </c>
      <c r="J871" s="6" t="str">
        <f>IFERROR(__xludf.DUMMYFUNCTION("""COMPUTED_VALUE"""),"-35.726248")</f>
        <v>-35.726248</v>
      </c>
      <c r="K871" s="5" t="str">
        <f>IFERROR(__xludf.DUMMYFUNCTION("""COMPUTED_VALUE"""),"AV. MENINO MARCELO, S/N")</f>
        <v>AV. MENINO MARCELO, S/N</v>
      </c>
      <c r="L871" s="5" t="str">
        <f>IFERROR(__xludf.DUMMYFUNCTION("""COMPUTED_VALUE"""),"ARTERIAL ")</f>
        <v>ARTERIAL </v>
      </c>
      <c r="M871" s="5" t="str">
        <f>IFERROR(__xludf.DUMMYFUNCTION("""COMPUTED_VALUE"""),"SERRARIA")</f>
        <v>SERRARIA</v>
      </c>
      <c r="N871" s="5" t="str">
        <f>IFERROR(__xludf.DUMMYFUNCTION("""COMPUTED_VALUE"""),"CENTRO - BAIRRO")</f>
        <v>CENTRO - BAIRRO</v>
      </c>
      <c r="O871" s="5" t="str">
        <f>IFERROR(__xludf.DUMMYFUNCTION("""COMPUTED_VALUE"""),"EM FRENTE AO MOTEL FETICHE")</f>
        <v>EM FRENTE AO MOTEL FETICHE</v>
      </c>
      <c r="P871" s="5" t="str">
        <f>IFERROR(__xludf.DUMMYFUNCTION("""COMPUTED_VALUE"""),"PRIORIDADE BAIXA")</f>
        <v>PRIORIDADE BAIXA</v>
      </c>
      <c r="Q871" s="5" t="str">
        <f>IFERROR(__xludf.DUMMYFUNCTION("""COMPUTED_VALUE"""),"READEQUAÇÃO DE CALÇADA COM ACESSIBILIDADE.")</f>
        <v>READEQUAÇÃO DE CALÇADA COM ACESSIBILIDADE.</v>
      </c>
      <c r="R871" s="5" t="str">
        <f>IFERROR(__xludf.DUMMYFUNCTION("""COMPUTED_VALUE"""),"NENHUMA DAS OPÇÕES")</f>
        <v>NENHUMA DAS OPÇÕES</v>
      </c>
      <c r="S871" s="5"/>
      <c r="T871" s="5"/>
      <c r="U871" s="7">
        <f>IFERROR(__xludf.DUMMYFUNCTION("""COMPUTED_VALUE"""),44841.0)</f>
        <v>44841</v>
      </c>
      <c r="V871" s="9" t="str">
        <f>IFERROR(__xludf.DUMMYFUNCTION("""COMPUTED_VALUE"""),"https://drive.google.com/uc?id=17EyZ4VGDiLmD1O_WQQrXwNVsl-AHiDi4")</f>
        <v>https://drive.google.com/uc?id=17EyZ4VGDiLmD1O_WQQrXwNVsl-AHiDi4</v>
      </c>
      <c r="W871" s="5" t="str">
        <f>IFERROR(__xludf.DUMMYFUNCTION("""COMPUTED_VALUE"""),"NÃO")</f>
        <v>NÃO</v>
      </c>
      <c r="X871" s="5" t="str">
        <f>IFERROR(__xludf.DUMMYFUNCTION("""COMPUTED_VALUE"""),"NÃO SE APLICA")</f>
        <v>NÃO SE APLICA</v>
      </c>
    </row>
    <row r="872" hidden="1">
      <c r="A872" s="5">
        <f>IFERROR(__xludf.DUMMYFUNCTION("""COMPUTED_VALUE"""),5.0)</f>
        <v>5</v>
      </c>
      <c r="B872" s="5" t="str">
        <f>IFERROR(__xludf.DUMMYFUNCTION("""COMPUTED_VALUE"""),"SR008")</f>
        <v>SR008</v>
      </c>
      <c r="C872" s="5" t="str">
        <f>IFERROR(__xludf.DUMMYFUNCTION("""COMPUTED_VALUE"""),"NÃO POSSUI")</f>
        <v>NÃO POSSUI</v>
      </c>
      <c r="D872" s="5" t="str">
        <f>IFERROR(__xludf.DUMMYFUNCTION("""COMPUTED_VALUE"""),"COM SUPORTE")</f>
        <v>COM SUPORTE</v>
      </c>
      <c r="E872" s="5" t="str">
        <f>IFERROR(__xludf.DUMMYFUNCTION("""COMPUTED_VALUE"""),"SEM BAIA")</f>
        <v>SEM BAIA</v>
      </c>
      <c r="F872" s="5" t="str">
        <f>IFERROR(__xludf.DUMMYFUNCTION("""COMPUTED_VALUE"""),"NÃO")</f>
        <v>NÃO</v>
      </c>
      <c r="G872" s="5" t="str">
        <f>IFERROR(__xludf.DUMMYFUNCTION("""COMPUTED_VALUE"""),"NÃO")</f>
        <v>NÃO</v>
      </c>
      <c r="H872" s="5" t="str">
        <f>IFERROR(__xludf.DUMMYFUNCTION("""COMPUTED_VALUE"""),"PAVIMENTADA COM AVARIAS")</f>
        <v>PAVIMENTADA COM AVARIAS</v>
      </c>
      <c r="I872" s="6" t="str">
        <f>IFERROR(__xludf.DUMMYFUNCTION("""COMPUTED_VALUE"""),"-9.588625")</f>
        <v>-9.588625</v>
      </c>
      <c r="J872" s="6" t="str">
        <f>IFERROR(__xludf.DUMMYFUNCTION("""COMPUTED_VALUE"""),"-35.729385")</f>
        <v>-35.729385</v>
      </c>
      <c r="K872" s="5" t="str">
        <f>IFERROR(__xludf.DUMMYFUNCTION("""COMPUTED_VALUE"""),"AV. MENINO MARCELO, S/N")</f>
        <v>AV. MENINO MARCELO, S/N</v>
      </c>
      <c r="L872" s="5" t="str">
        <f>IFERROR(__xludf.DUMMYFUNCTION("""COMPUTED_VALUE"""),"ARTERIAL ")</f>
        <v>ARTERIAL </v>
      </c>
      <c r="M872" s="5" t="str">
        <f>IFERROR(__xludf.DUMMYFUNCTION("""COMPUTED_VALUE"""),"SERRARIA")</f>
        <v>SERRARIA</v>
      </c>
      <c r="N872" s="5" t="str">
        <f>IFERROR(__xludf.DUMMYFUNCTION("""COMPUTED_VALUE"""),"CENTRO - BAIRRO")</f>
        <v>CENTRO - BAIRRO</v>
      </c>
      <c r="O872" s="5" t="str">
        <f>IFERROR(__xludf.DUMMYFUNCTION("""COMPUTED_VALUE"""),"EM FRENTE AO MOTEL FETICHE")</f>
        <v>EM FRENTE AO MOTEL FETICHE</v>
      </c>
      <c r="P872" s="5" t="str">
        <f>IFERROR(__xludf.DUMMYFUNCTION("""COMPUTED_VALUE"""),"PRIORIDADE BAIXA")</f>
        <v>PRIORIDADE BAIXA</v>
      </c>
      <c r="Q872" s="5" t="str">
        <f>IFERROR(__xludf.DUMMYFUNCTION("""COMPUTED_VALUE"""),"READEQUAÇÃO DE CALÇADA COM ACESSIBILIDADE.")</f>
        <v>READEQUAÇÃO DE CALÇADA COM ACESSIBILIDADE.</v>
      </c>
      <c r="R872" s="5" t="str">
        <f>IFERROR(__xludf.DUMMYFUNCTION("""COMPUTED_VALUE"""),"IMPLANTAR ABRIGO")</f>
        <v>IMPLANTAR ABRIGO</v>
      </c>
      <c r="S872" s="5"/>
      <c r="T872" s="5"/>
      <c r="U872" s="7">
        <f>IFERROR(__xludf.DUMMYFUNCTION("""COMPUTED_VALUE"""),44842.0)</f>
        <v>44842</v>
      </c>
      <c r="V872" s="9" t="str">
        <f>IFERROR(__xludf.DUMMYFUNCTION("""COMPUTED_VALUE"""),"https://drive.google.com/uc?id=1oB8jjbKfNS9rVOWoNQaUvx4gm5aYVlNb")</f>
        <v>https://drive.google.com/uc?id=1oB8jjbKfNS9rVOWoNQaUvx4gm5aYVlNb</v>
      </c>
      <c r="W872" s="5" t="str">
        <f>IFERROR(__xludf.DUMMYFUNCTION("""COMPUTED_VALUE"""),"NÃO")</f>
        <v>NÃO</v>
      </c>
      <c r="X872" s="5" t="str">
        <f>IFERROR(__xludf.DUMMYFUNCTION("""COMPUTED_VALUE"""),"NÃO SE APLICA")</f>
        <v>NÃO SE APLICA</v>
      </c>
    </row>
    <row r="873">
      <c r="A873" s="5">
        <f>IFERROR(__xludf.DUMMYFUNCTION("""COMPUTED_VALUE"""),5.0)</f>
        <v>5</v>
      </c>
      <c r="B873" s="5" t="str">
        <f>IFERROR(__xludf.DUMMYFUNCTION("""COMPUTED_VALUE"""),"SR009")</f>
        <v>SR009</v>
      </c>
      <c r="C873" s="5" t="str">
        <f>IFERROR(__xludf.DUMMYFUNCTION("""COMPUTED_VALUE"""),"ABRIGO CONCRETO")</f>
        <v>ABRIGO CONCRETO</v>
      </c>
      <c r="D873" s="5" t="str">
        <f>IFERROR(__xludf.DUMMYFUNCTION("""COMPUTED_VALUE"""),"COM SUPORTE")</f>
        <v>COM SUPORTE</v>
      </c>
      <c r="E873" s="5" t="str">
        <f>IFERROR(__xludf.DUMMYFUNCTION("""COMPUTED_VALUE"""),"SEM BAIA")</f>
        <v>SEM BAIA</v>
      </c>
      <c r="F873" s="5" t="str">
        <f>IFERROR(__xludf.DUMMYFUNCTION("""COMPUTED_VALUE"""),"NÃO")</f>
        <v>NÃO</v>
      </c>
      <c r="G873" s="5" t="str">
        <f>IFERROR(__xludf.DUMMYFUNCTION("""COMPUTED_VALUE"""),"NÃO")</f>
        <v>NÃO</v>
      </c>
      <c r="H873" s="5" t="str">
        <f>IFERROR(__xludf.DUMMYFUNCTION("""COMPUTED_VALUE"""),"NÃO PAVIMENTADA")</f>
        <v>NÃO PAVIMENTADA</v>
      </c>
      <c r="I873" s="6" t="str">
        <f>IFERROR(__xludf.DUMMYFUNCTION("""COMPUTED_VALUE"""),"-9.588267")</f>
        <v>-9.588267</v>
      </c>
      <c r="J873" s="6" t="str">
        <f>IFERROR(__xludf.DUMMYFUNCTION("""COMPUTED_VALUE"""),"-35.730083")</f>
        <v>-35.730083</v>
      </c>
      <c r="K873" s="5" t="str">
        <f>IFERROR(__xludf.DUMMYFUNCTION("""COMPUTED_VALUE"""),"AV. MENINO MARCELO, S/N")</f>
        <v>AV. MENINO MARCELO, S/N</v>
      </c>
      <c r="L873" s="5" t="str">
        <f>IFERROR(__xludf.DUMMYFUNCTION("""COMPUTED_VALUE"""),"ARTERIAL ")</f>
        <v>ARTERIAL </v>
      </c>
      <c r="M873" s="5" t="str">
        <f>IFERROR(__xludf.DUMMYFUNCTION("""COMPUTED_VALUE"""),"SERRARIA")</f>
        <v>SERRARIA</v>
      </c>
      <c r="N873" s="5" t="str">
        <f>IFERROR(__xludf.DUMMYFUNCTION("""COMPUTED_VALUE"""),"BAIRRO - CENTRO")</f>
        <v>BAIRRO - CENTRO</v>
      </c>
      <c r="O873" s="5" t="str">
        <f>IFERROR(__xludf.DUMMYFUNCTION("""COMPUTED_VALUE"""),"AO LADO DA MEDICOR SERRARIA")</f>
        <v>AO LADO DA MEDICOR SERRARIA</v>
      </c>
      <c r="P873" s="5" t="str">
        <f>IFERROR(__xludf.DUMMYFUNCTION("""COMPUTED_VALUE"""),"PRIORIDADE ALTA")</f>
        <v>PRIORIDADE ALTA</v>
      </c>
      <c r="Q873" s="5" t="str">
        <f>IFERROR(__xludf.DUMMYFUNCTION("""COMPUTED_VALUE"""),"REALIZAR PINTURA EM TODA A ESTRUTURA ASSIM COMO ASSENTOS; READEQUAÇÃO DE CALÇADA COM ACESSIBILIDADE")</f>
        <v>REALIZAR PINTURA EM TODA A ESTRUTURA ASSIM COMO ASSENTOS; READEQUAÇÃO DE CALÇADA COM ACESSIBILIDADE</v>
      </c>
      <c r="R873" s="5" t="str">
        <f>IFERROR(__xludf.DUMMYFUNCTION("""COMPUTED_VALUE"""),"SUBSTITUIR ABRIGO")</f>
        <v>SUBSTITUIR ABRIGO</v>
      </c>
      <c r="S873" s="5"/>
      <c r="T873" s="5"/>
      <c r="U873" s="7">
        <f>IFERROR(__xludf.DUMMYFUNCTION("""COMPUTED_VALUE"""),44843.0)</f>
        <v>44843</v>
      </c>
      <c r="V873" s="9" t="str">
        <f>IFERROR(__xludf.DUMMYFUNCTION("""COMPUTED_VALUE"""),"https://drive.google.com/uc?id=1wiXQKsvucx5JP59zRHzvYe7D_j6R7WPO")</f>
        <v>https://drive.google.com/uc?id=1wiXQKsvucx5JP59zRHzvYe7D_j6R7WPO</v>
      </c>
      <c r="W873" s="5" t="str">
        <f>IFERROR(__xludf.DUMMYFUNCTION("""COMPUTED_VALUE"""),"NÃO")</f>
        <v>NÃO</v>
      </c>
      <c r="X873" s="5" t="str">
        <f>IFERROR(__xludf.DUMMYFUNCTION("""COMPUTED_VALUE"""),"NÃO SE APLICA")</f>
        <v>NÃO SE APLICA</v>
      </c>
    </row>
    <row r="874">
      <c r="A874" s="5">
        <f>IFERROR(__xludf.DUMMYFUNCTION("""COMPUTED_VALUE"""),5.0)</f>
        <v>5</v>
      </c>
      <c r="B874" s="5" t="str">
        <f>IFERROR(__xludf.DUMMYFUNCTION("""COMPUTED_VALUE"""),"SR010")</f>
        <v>SR010</v>
      </c>
      <c r="C874" s="5" t="str">
        <f>IFERROR(__xludf.DUMMYFUNCTION("""COMPUTED_VALUE"""),"ABRIGO METÁLICO PEQUENO PORTE")</f>
        <v>ABRIGO METÁLICO PEQUENO PORTE</v>
      </c>
      <c r="D874" s="5" t="str">
        <f>IFERROR(__xludf.DUMMYFUNCTION("""COMPUTED_VALUE"""),"COM SUPORTE")</f>
        <v>COM SUPORTE</v>
      </c>
      <c r="E874" s="5" t="str">
        <f>IFERROR(__xludf.DUMMYFUNCTION("""COMPUTED_VALUE"""),"SEM BAIA")</f>
        <v>SEM BAIA</v>
      </c>
      <c r="F874" s="5" t="str">
        <f>IFERROR(__xludf.DUMMYFUNCTION("""COMPUTED_VALUE"""),"NÃO")</f>
        <v>NÃO</v>
      </c>
      <c r="G874" s="5" t="str">
        <f>IFERROR(__xludf.DUMMYFUNCTION("""COMPUTED_VALUE"""),"NÃO")</f>
        <v>NÃO</v>
      </c>
      <c r="H874" s="5" t="str">
        <f>IFERROR(__xludf.DUMMYFUNCTION("""COMPUTED_VALUE"""),"PAVIMENTADA COM AVARIAS")</f>
        <v>PAVIMENTADA COM AVARIAS</v>
      </c>
      <c r="I874" s="6" t="str">
        <f>IFERROR(__xludf.DUMMYFUNCTION("""COMPUTED_VALUE"""),"-9.591573")</f>
        <v>-9.591573</v>
      </c>
      <c r="J874" s="6" t="str">
        <f>IFERROR(__xludf.DUMMYFUNCTION("""COMPUTED_VALUE"""),"-35.726237
")</f>
        <v>-35.726237
</v>
      </c>
      <c r="K874" s="5" t="str">
        <f>IFERROR(__xludf.DUMMYFUNCTION("""COMPUTED_VALUE"""),"AV. MENINO MARCELO, S/N")</f>
        <v>AV. MENINO MARCELO, S/N</v>
      </c>
      <c r="L874" s="5" t="str">
        <f>IFERROR(__xludf.DUMMYFUNCTION("""COMPUTED_VALUE"""),"ARTERIAL ")</f>
        <v>ARTERIAL </v>
      </c>
      <c r="M874" s="5" t="str">
        <f>IFERROR(__xludf.DUMMYFUNCTION("""COMPUTED_VALUE"""),"SERRARIA")</f>
        <v>SERRARIA</v>
      </c>
      <c r="N874" s="5" t="str">
        <f>IFERROR(__xludf.DUMMYFUNCTION("""COMPUTED_VALUE"""),"BAIRRO - CENTRO")</f>
        <v>BAIRRO - CENTRO</v>
      </c>
      <c r="O874" s="5" t="str">
        <f>IFERROR(__xludf.DUMMYFUNCTION("""COMPUTED_VALUE"""),"AO LADO DA SOS COMPRESSORES")</f>
        <v>AO LADO DA SOS COMPRESSORES</v>
      </c>
      <c r="P874" s="5" t="str">
        <f>IFERROR(__xludf.DUMMYFUNCTION("""COMPUTED_VALUE"""),"PRIORIDADE ALTA")</f>
        <v>PRIORIDADE ALTA</v>
      </c>
      <c r="Q874" s="5" t="str">
        <f>IFERROR(__xludf.DUMMYFUNCTION("""COMPUTED_VALUE"""),"REALIZAR PINTURA EM TODA A ESTRUTURA ASSIM COMO ASSENTOS; READEQUAÇÃO DE CALÇADA COM ACESSIBILIDADE")</f>
        <v>REALIZAR PINTURA EM TODA A ESTRUTURA ASSIM COMO ASSENTOS; READEQUAÇÃO DE CALÇADA COM ACESSIBILIDADE</v>
      </c>
      <c r="R874" s="5" t="str">
        <f>IFERROR(__xludf.DUMMYFUNCTION("""COMPUTED_VALUE"""),"NENHUMA DAS OPÇÕES")</f>
        <v>NENHUMA DAS OPÇÕES</v>
      </c>
      <c r="S874" s="5"/>
      <c r="T874" s="5"/>
      <c r="U874" s="7">
        <f>IFERROR(__xludf.DUMMYFUNCTION("""COMPUTED_VALUE"""),44844.0)</f>
        <v>44844</v>
      </c>
      <c r="V874" s="9" t="str">
        <f>IFERROR(__xludf.DUMMYFUNCTION("""COMPUTED_VALUE"""),"https://drive.google.com/uc?id=176UiWK3w8CDzt6MDkFjvQuW5KhCMxcU3")</f>
        <v>https://drive.google.com/uc?id=176UiWK3w8CDzt6MDkFjvQuW5KhCMxcU3</v>
      </c>
      <c r="W874" s="5" t="str">
        <f>IFERROR(__xludf.DUMMYFUNCTION("""COMPUTED_VALUE"""),"NÃO")</f>
        <v>NÃO</v>
      </c>
      <c r="X874" s="5" t="str">
        <f>IFERROR(__xludf.DUMMYFUNCTION("""COMPUTED_VALUE"""),"NÃO SE APLICA")</f>
        <v>NÃO SE APLICA</v>
      </c>
    </row>
    <row r="875">
      <c r="A875" s="5">
        <f>IFERROR(__xludf.DUMMYFUNCTION("""COMPUTED_VALUE"""),5.0)</f>
        <v>5</v>
      </c>
      <c r="B875" s="5" t="str">
        <f>IFERROR(__xludf.DUMMYFUNCTION("""COMPUTED_VALUE"""),"SR011")</f>
        <v>SR011</v>
      </c>
      <c r="C875" s="5" t="str">
        <f>IFERROR(__xludf.DUMMYFUNCTION("""COMPUTED_VALUE"""),"ABRIGO METÁLICO PEQUENO PORTE")</f>
        <v>ABRIGO METÁLICO PEQUENO PORTE</v>
      </c>
      <c r="D875" s="5" t="str">
        <f>IFERROR(__xludf.DUMMYFUNCTION("""COMPUTED_VALUE"""),"COM SUPORTE")</f>
        <v>COM SUPORTE</v>
      </c>
      <c r="E875" s="5" t="str">
        <f>IFERROR(__xludf.DUMMYFUNCTION("""COMPUTED_VALUE"""),"SEM BAIA")</f>
        <v>SEM BAIA</v>
      </c>
      <c r="F875" s="5" t="str">
        <f>IFERROR(__xludf.DUMMYFUNCTION("""COMPUTED_VALUE"""),"NÃO")</f>
        <v>NÃO</v>
      </c>
      <c r="G875" s="5" t="str">
        <f>IFERROR(__xludf.DUMMYFUNCTION("""COMPUTED_VALUE"""),"NÃO")</f>
        <v>NÃO</v>
      </c>
      <c r="H875" s="5" t="str">
        <f>IFERROR(__xludf.DUMMYFUNCTION("""COMPUTED_VALUE"""),"PAVIMENTADA COM AVARIAS")</f>
        <v>PAVIMENTADA COM AVARIAS</v>
      </c>
      <c r="I875" s="6" t="str">
        <f>IFERROR(__xludf.DUMMYFUNCTION("""COMPUTED_VALUE"""),"-9.591573")</f>
        <v>-9.591573</v>
      </c>
      <c r="J875" s="6" t="str">
        <f>IFERROR(__xludf.DUMMYFUNCTION("""COMPUTED_VALUE"""),"-35.726237
")</f>
        <v>-35.726237
</v>
      </c>
      <c r="K875" s="5" t="str">
        <f>IFERROR(__xludf.DUMMYFUNCTION("""COMPUTED_VALUE"""),"AV. MENINO MARCELO, S/N")</f>
        <v>AV. MENINO MARCELO, S/N</v>
      </c>
      <c r="L875" s="5" t="str">
        <f>IFERROR(__xludf.DUMMYFUNCTION("""COMPUTED_VALUE"""),"ARTERIAL ")</f>
        <v>ARTERIAL </v>
      </c>
      <c r="M875" s="5" t="str">
        <f>IFERROR(__xludf.DUMMYFUNCTION("""COMPUTED_VALUE"""),"SERRARIA")</f>
        <v>SERRARIA</v>
      </c>
      <c r="N875" s="5" t="str">
        <f>IFERROR(__xludf.DUMMYFUNCTION("""COMPUTED_VALUE"""),"BAIRRO - CENTRO")</f>
        <v>BAIRRO - CENTRO</v>
      </c>
      <c r="O875" s="5" t="str">
        <f>IFERROR(__xludf.DUMMYFUNCTION("""COMPUTED_VALUE"""),"EM FRENTE A OFICINA MACEÓLEO")</f>
        <v>EM FRENTE A OFICINA MACEÓLEO</v>
      </c>
      <c r="P875" s="5" t="str">
        <f>IFERROR(__xludf.DUMMYFUNCTION("""COMPUTED_VALUE"""),"PRIORIDADE BAIXA")</f>
        <v>PRIORIDADE BAIXA</v>
      </c>
      <c r="Q875" s="5" t="str">
        <f>IFERROR(__xludf.DUMMYFUNCTION("""COMPUTED_VALUE"""),"READEQUAÇÃO DE CALÇADA COM ACESSIBILIDADE.")</f>
        <v>READEQUAÇÃO DE CALÇADA COM ACESSIBILIDADE.</v>
      </c>
      <c r="R875" s="5" t="str">
        <f>IFERROR(__xludf.DUMMYFUNCTION("""COMPUTED_VALUE"""),"NENHUMA DAS OPÇÕES")</f>
        <v>NENHUMA DAS OPÇÕES</v>
      </c>
      <c r="S875" s="5"/>
      <c r="T875" s="5"/>
      <c r="U875" s="7">
        <f>IFERROR(__xludf.DUMMYFUNCTION("""COMPUTED_VALUE"""),44845.0)</f>
        <v>44845</v>
      </c>
      <c r="V875" s="9" t="str">
        <f>IFERROR(__xludf.DUMMYFUNCTION("""COMPUTED_VALUE"""),"https://drive.google.com/uc?id=1Uriw59Foh6Cx1dfcuXmMiY86RpufrPWk")</f>
        <v>https://drive.google.com/uc?id=1Uriw59Foh6Cx1dfcuXmMiY86RpufrPWk</v>
      </c>
      <c r="W875" s="5" t="str">
        <f>IFERROR(__xludf.DUMMYFUNCTION("""COMPUTED_VALUE"""),"NÃO")</f>
        <v>NÃO</v>
      </c>
      <c r="X875" s="5" t="str">
        <f>IFERROR(__xludf.DUMMYFUNCTION("""COMPUTED_VALUE"""),"NÃO SE APLICA")</f>
        <v>NÃO SE APLICA</v>
      </c>
    </row>
    <row r="876">
      <c r="A876" s="5">
        <f>IFERROR(__xludf.DUMMYFUNCTION("""COMPUTED_VALUE"""),5.0)</f>
        <v>5</v>
      </c>
      <c r="B876" s="5" t="str">
        <f>IFERROR(__xludf.DUMMYFUNCTION("""COMPUTED_VALUE"""),"SR012")</f>
        <v>SR012</v>
      </c>
      <c r="C876" s="5" t="str">
        <f>IFERROR(__xludf.DUMMYFUNCTION("""COMPUTED_VALUE"""),"ABRIGO PERSONALIZADO")</f>
        <v>ABRIGO PERSONALIZADO</v>
      </c>
      <c r="D876" s="5" t="str">
        <f>IFERROR(__xludf.DUMMYFUNCTION("""COMPUTED_VALUE"""),"COM SUPORTE")</f>
        <v>COM SUPORTE</v>
      </c>
      <c r="E876" s="5" t="str">
        <f>IFERROR(__xludf.DUMMYFUNCTION("""COMPUTED_VALUE"""),"BAIA CONSTRUÍDA")</f>
        <v>BAIA CONSTRUÍDA</v>
      </c>
      <c r="F876" s="5" t="str">
        <f>IFERROR(__xludf.DUMMYFUNCTION("""COMPUTED_VALUE"""),"SIM")</f>
        <v>SIM</v>
      </c>
      <c r="G876" s="5" t="str">
        <f>IFERROR(__xludf.DUMMYFUNCTION("""COMPUTED_VALUE"""),"SIM")</f>
        <v>SIM</v>
      </c>
      <c r="H876" s="5" t="str">
        <f>IFERROR(__xludf.DUMMYFUNCTION("""COMPUTED_VALUE"""),"PAVIMENTADA")</f>
        <v>PAVIMENTADA</v>
      </c>
      <c r="I876" s="6" t="str">
        <f>IFERROR(__xludf.DUMMYFUNCTION("""COMPUTED_VALUE"""),"-9.604040")</f>
        <v>-9.604040</v>
      </c>
      <c r="J876" s="6" t="str">
        <f>IFERROR(__xludf.DUMMYFUNCTION("""COMPUTED_VALUE"""),"-35.722751
")</f>
        <v>-35.722751
</v>
      </c>
      <c r="K876" s="5" t="str">
        <f>IFERROR(__xludf.DUMMYFUNCTION("""COMPUTED_VALUE"""),"AV. MENINO MARCELO, S/N")</f>
        <v>AV. MENINO MARCELO, S/N</v>
      </c>
      <c r="L876" s="5" t="str">
        <f>IFERROR(__xludf.DUMMYFUNCTION("""COMPUTED_VALUE"""),"ARTERIAL ")</f>
        <v>ARTERIAL </v>
      </c>
      <c r="M876" s="5" t="str">
        <f>IFERROR(__xludf.DUMMYFUNCTION("""COMPUTED_VALUE"""),"SERRARIA")</f>
        <v>SERRARIA</v>
      </c>
      <c r="N876" s="5" t="str">
        <f>IFERROR(__xludf.DUMMYFUNCTION("""COMPUTED_VALUE"""),"BAIRRO - CENTRO")</f>
        <v>BAIRRO - CENTRO</v>
      </c>
      <c r="O876" s="5" t="str">
        <f>IFERROR(__xludf.DUMMYFUNCTION("""COMPUTED_VALUE"""),"EM FRENTE AO EMPRESARIAL HUMBERTO LOBO")</f>
        <v>EM FRENTE AO EMPRESARIAL HUMBERTO LOBO</v>
      </c>
      <c r="P876" s="5" t="str">
        <f>IFERROR(__xludf.DUMMYFUNCTION("""COMPUTED_VALUE"""),"PRIORIDADE ALTA")</f>
        <v>PRIORIDADE ALTA</v>
      </c>
      <c r="Q876" s="5" t="str">
        <f>IFERROR(__xludf.DUMMYFUNCTION("""COMPUTED_VALUE"""),"REALIZAR PINTURA EM TODA A ESTRUTURA ASSIM COMO ASSENTOS; READEQUAÇÃO DE CALÇADA COM ACESSIBILIDADE")</f>
        <v>REALIZAR PINTURA EM TODA A ESTRUTURA ASSIM COMO ASSENTOS; READEQUAÇÃO DE CALÇADA COM ACESSIBILIDADE</v>
      </c>
      <c r="R876" s="5" t="str">
        <f>IFERROR(__xludf.DUMMYFUNCTION("""COMPUTED_VALUE"""),"NENHUMA DAS OPÇÕES")</f>
        <v>NENHUMA DAS OPÇÕES</v>
      </c>
      <c r="S876" s="5"/>
      <c r="T876" s="5"/>
      <c r="U876" s="7">
        <f>IFERROR(__xludf.DUMMYFUNCTION("""COMPUTED_VALUE"""),44846.0)</f>
        <v>44846</v>
      </c>
      <c r="V876" s="9" t="str">
        <f>IFERROR(__xludf.DUMMYFUNCTION("""COMPUTED_VALUE"""),"https://drive.google.com/uc?id=1gavbxUUZA_hdzKClk8_wzh_PaC-sZ88Q")</f>
        <v>https://drive.google.com/uc?id=1gavbxUUZA_hdzKClk8_wzh_PaC-sZ88Q</v>
      </c>
      <c r="W876" s="5" t="str">
        <f>IFERROR(__xludf.DUMMYFUNCTION("""COMPUTED_VALUE"""),"NÃO")</f>
        <v>NÃO</v>
      </c>
      <c r="X876" s="5" t="str">
        <f>IFERROR(__xludf.DUMMYFUNCTION("""COMPUTED_VALUE"""),"SIM")</f>
        <v>SIM</v>
      </c>
    </row>
    <row r="877">
      <c r="A877" s="5">
        <f>IFERROR(__xludf.DUMMYFUNCTION("""COMPUTED_VALUE"""),5.0)</f>
        <v>5</v>
      </c>
      <c r="B877" s="5" t="str">
        <f>IFERROR(__xludf.DUMMYFUNCTION("""COMPUTED_VALUE"""),"SR013")</f>
        <v>SR013</v>
      </c>
      <c r="C877" s="5" t="str">
        <f>IFERROR(__xludf.DUMMYFUNCTION("""COMPUTED_VALUE"""),"ABRIGO METÁLICO PEQUENO PORTE")</f>
        <v>ABRIGO METÁLICO PEQUENO PORTE</v>
      </c>
      <c r="D877" s="5" t="str">
        <f>IFERROR(__xludf.DUMMYFUNCTION("""COMPUTED_VALUE"""),"COM SUPORTE")</f>
        <v>COM SUPORTE</v>
      </c>
      <c r="E877" s="5" t="str">
        <f>IFERROR(__xludf.DUMMYFUNCTION("""COMPUTED_VALUE"""),"SEM BAIA")</f>
        <v>SEM BAIA</v>
      </c>
      <c r="F877" s="5" t="str">
        <f>IFERROR(__xludf.DUMMYFUNCTION("""COMPUTED_VALUE"""),"NÃO")</f>
        <v>NÃO</v>
      </c>
      <c r="G877" s="5" t="str">
        <f>IFERROR(__xludf.DUMMYFUNCTION("""COMPUTED_VALUE"""),"SIM")</f>
        <v>SIM</v>
      </c>
      <c r="H877" s="5" t="str">
        <f>IFERROR(__xludf.DUMMYFUNCTION("""COMPUTED_VALUE"""),"PAVIMENTADA")</f>
        <v>PAVIMENTADA</v>
      </c>
      <c r="I877" s="6" t="str">
        <f>IFERROR(__xludf.DUMMYFUNCTION("""COMPUTED_VALUE"""),"-9.606438")</f>
        <v>-9.606438</v>
      </c>
      <c r="J877" s="6" t="str">
        <f>IFERROR(__xludf.DUMMYFUNCTION("""COMPUTED_VALUE"""),"-35.722395
")</f>
        <v>-35.722395
</v>
      </c>
      <c r="K877" s="5" t="str">
        <f>IFERROR(__xludf.DUMMYFUNCTION("""COMPUTED_VALUE"""),"AV. MENINO MARCELO, S/N")</f>
        <v>AV. MENINO MARCELO, S/N</v>
      </c>
      <c r="L877" s="5" t="str">
        <f>IFERROR(__xludf.DUMMYFUNCTION("""COMPUTED_VALUE"""),"ARTERIAL ")</f>
        <v>ARTERIAL </v>
      </c>
      <c r="M877" s="5" t="str">
        <f>IFERROR(__xludf.DUMMYFUNCTION("""COMPUTED_VALUE"""),"SERRARIA")</f>
        <v>SERRARIA</v>
      </c>
      <c r="N877" s="5" t="str">
        <f>IFERROR(__xludf.DUMMYFUNCTION("""COMPUTED_VALUE"""),"BAIRRO - CENTRO")</f>
        <v>BAIRRO - CENTRO</v>
      </c>
      <c r="O877" s="5" t="str">
        <f>IFERROR(__xludf.DUMMYFUNCTION("""COMPUTED_VALUE"""),"LADO OPOSTO AO FÓRUM DO JOSÉ TENÓRIO")</f>
        <v>LADO OPOSTO AO FÓRUM DO JOSÉ TENÓRIO</v>
      </c>
      <c r="P877" s="5" t="str">
        <f>IFERROR(__xludf.DUMMYFUNCTION("""COMPUTED_VALUE"""),"PRIORIDADE BAIXA")</f>
        <v>PRIORIDADE BAIXA</v>
      </c>
      <c r="Q877" s="5"/>
      <c r="R877" s="5" t="str">
        <f>IFERROR(__xludf.DUMMYFUNCTION("""COMPUTED_VALUE"""),"NENHUMA DAS OPÇÕES")</f>
        <v>NENHUMA DAS OPÇÕES</v>
      </c>
      <c r="S877" s="5"/>
      <c r="T877" s="5"/>
      <c r="U877" s="7">
        <f>IFERROR(__xludf.DUMMYFUNCTION("""COMPUTED_VALUE"""),44847.0)</f>
        <v>44847</v>
      </c>
      <c r="V877" s="9" t="str">
        <f>IFERROR(__xludf.DUMMYFUNCTION("""COMPUTED_VALUE"""),"https://drive.google.com/uc?id=1BXl_gbgBW99T3bXeRRfArW04SdD5zfpA")</f>
        <v>https://drive.google.com/uc?id=1BXl_gbgBW99T3bXeRRfArW04SdD5zfpA</v>
      </c>
      <c r="W877" s="5" t="str">
        <f>IFERROR(__xludf.DUMMYFUNCTION("""COMPUTED_VALUE"""),"NÃO")</f>
        <v>NÃO</v>
      </c>
      <c r="X877" s="5" t="str">
        <f>IFERROR(__xludf.DUMMYFUNCTION("""COMPUTED_VALUE"""),"SIM")</f>
        <v>SIM</v>
      </c>
    </row>
    <row r="878">
      <c r="A878" s="5">
        <f>IFERROR(__xludf.DUMMYFUNCTION("""COMPUTED_VALUE"""),5.0)</f>
        <v>5</v>
      </c>
      <c r="B878" s="5" t="str">
        <f>IFERROR(__xludf.DUMMYFUNCTION("""COMPUTED_VALUE"""),"SR014")</f>
        <v>SR014</v>
      </c>
      <c r="C878" s="5" t="str">
        <f>IFERROR(__xludf.DUMMYFUNCTION("""COMPUTED_VALUE"""),"ABRIGO METÁLICO PEQUENO PORTE")</f>
        <v>ABRIGO METÁLICO PEQUENO PORTE</v>
      </c>
      <c r="D878" s="5" t="str">
        <f>IFERROR(__xludf.DUMMYFUNCTION("""COMPUTED_VALUE"""),"COM SUPORTE")</f>
        <v>COM SUPORTE</v>
      </c>
      <c r="E878" s="5" t="str">
        <f>IFERROR(__xludf.DUMMYFUNCTION("""COMPUTED_VALUE"""),"BAIA CONSTRUÍDA")</f>
        <v>BAIA CONSTRUÍDA</v>
      </c>
      <c r="F878" s="5" t="str">
        <f>IFERROR(__xludf.DUMMYFUNCTION("""COMPUTED_VALUE"""),"SIM")</f>
        <v>SIM</v>
      </c>
      <c r="G878" s="5" t="str">
        <f>IFERROR(__xludf.DUMMYFUNCTION("""COMPUTED_VALUE"""),"SIM")</f>
        <v>SIM</v>
      </c>
      <c r="H878" s="5" t="str">
        <f>IFERROR(__xludf.DUMMYFUNCTION("""COMPUTED_VALUE"""),"PAVIMENTADA")</f>
        <v>PAVIMENTADA</v>
      </c>
      <c r="I878" s="6" t="str">
        <f>IFERROR(__xludf.DUMMYFUNCTION("""COMPUTED_VALUE"""),"-9.609082")</f>
        <v>-9.609082</v>
      </c>
      <c r="J878" s="6" t="str">
        <f>IFERROR(__xludf.DUMMYFUNCTION("""COMPUTED_VALUE"""),"-35.721052")</f>
        <v>-35.721052</v>
      </c>
      <c r="K878" s="5" t="str">
        <f>IFERROR(__xludf.DUMMYFUNCTION("""COMPUTED_VALUE"""),"AV. MENINO MARCELO, S/N")</f>
        <v>AV. MENINO MARCELO, S/N</v>
      </c>
      <c r="L878" s="5" t="str">
        <f>IFERROR(__xludf.DUMMYFUNCTION("""COMPUTED_VALUE"""),"ARTERIAL ")</f>
        <v>ARTERIAL </v>
      </c>
      <c r="M878" s="5" t="str">
        <f>IFERROR(__xludf.DUMMYFUNCTION("""COMPUTED_VALUE"""),"SERRARIA")</f>
        <v>SERRARIA</v>
      </c>
      <c r="N878" s="5" t="str">
        <f>IFERROR(__xludf.DUMMYFUNCTION("""COMPUTED_VALUE"""),"BAIRRO - CENTRO")</f>
        <v>BAIRRO - CENTRO</v>
      </c>
      <c r="O878" s="5" t="str">
        <f>IFERROR(__xludf.DUMMYFUNCTION("""COMPUTED_VALUE"""),"EM FRENTE AO MIX E MATEUS")</f>
        <v>EM FRENTE AO MIX E MATEUS</v>
      </c>
      <c r="P878" s="5" t="str">
        <f>IFERROR(__xludf.DUMMYFUNCTION("""COMPUTED_VALUE"""),"PRIORIDADE BAIXA")</f>
        <v>PRIORIDADE BAIXA</v>
      </c>
      <c r="Q878" s="5"/>
      <c r="R878" s="5" t="str">
        <f>IFERROR(__xludf.DUMMYFUNCTION("""COMPUTED_VALUE"""),"NENHUMA DAS OPÇÕES")</f>
        <v>NENHUMA DAS OPÇÕES</v>
      </c>
      <c r="S878" s="5"/>
      <c r="T878" s="5"/>
      <c r="U878" s="7">
        <f>IFERROR(__xludf.DUMMYFUNCTION("""COMPUTED_VALUE"""),44848.0)</f>
        <v>44848</v>
      </c>
      <c r="V878" s="9" t="str">
        <f>IFERROR(__xludf.DUMMYFUNCTION("""COMPUTED_VALUE"""),"https://drive.google.com/uc?id=1krNtuZ9l2AnCl_MVKrbgt45aKcV2MFgM")</f>
        <v>https://drive.google.com/uc?id=1krNtuZ9l2AnCl_MVKrbgt45aKcV2MFgM</v>
      </c>
      <c r="W878" s="5" t="str">
        <f>IFERROR(__xludf.DUMMYFUNCTION("""COMPUTED_VALUE"""),"NÃO")</f>
        <v>NÃO</v>
      </c>
      <c r="X878" s="5" t="str">
        <f>IFERROR(__xludf.DUMMYFUNCTION("""COMPUTED_VALUE"""),"SIM")</f>
        <v>SIM</v>
      </c>
    </row>
    <row r="879">
      <c r="A879" s="5">
        <f>IFERROR(__xludf.DUMMYFUNCTION("""COMPUTED_VALUE"""),5.0)</f>
        <v>5</v>
      </c>
      <c r="B879" s="5" t="str">
        <f>IFERROR(__xludf.DUMMYFUNCTION("""COMPUTED_VALUE"""),"SR015")</f>
        <v>SR015</v>
      </c>
      <c r="C879" s="5" t="str">
        <f>IFERROR(__xludf.DUMMYFUNCTION("""COMPUTED_VALUE"""),"ABRIGO METÁLICO PEQUENO PORTE")</f>
        <v>ABRIGO METÁLICO PEQUENO PORTE</v>
      </c>
      <c r="D879" s="5" t="str">
        <f>IFERROR(__xludf.DUMMYFUNCTION("""COMPUTED_VALUE"""),"COM SUPORTE")</f>
        <v>COM SUPORTE</v>
      </c>
      <c r="E879" s="5" t="str">
        <f>IFERROR(__xludf.DUMMYFUNCTION("""COMPUTED_VALUE"""),"SEM BAIA")</f>
        <v>SEM BAIA</v>
      </c>
      <c r="F879" s="5" t="str">
        <f>IFERROR(__xludf.DUMMYFUNCTION("""COMPUTED_VALUE"""),"NÃO")</f>
        <v>NÃO</v>
      </c>
      <c r="G879" s="5" t="str">
        <f>IFERROR(__xludf.DUMMYFUNCTION("""COMPUTED_VALUE"""),"NÃO")</f>
        <v>NÃO</v>
      </c>
      <c r="H879" s="5" t="str">
        <f>IFERROR(__xludf.DUMMYFUNCTION("""COMPUTED_VALUE"""),"PAVIMENTADA COM AVARIAS")</f>
        <v>PAVIMENTADA COM AVARIAS</v>
      </c>
      <c r="I879" s="6" t="str">
        <f>IFERROR(__xludf.DUMMYFUNCTION("""COMPUTED_VALUE"""),"-9.606438")</f>
        <v>-9.606438</v>
      </c>
      <c r="J879" s="6" t="str">
        <f>IFERROR(__xludf.DUMMYFUNCTION("""COMPUTED_VALUE"""),"-35.722395
")</f>
        <v>-35.722395
</v>
      </c>
      <c r="K879" s="5" t="str">
        <f>IFERROR(__xludf.DUMMYFUNCTION("""COMPUTED_VALUE"""),"AV. MENINO MARCELO, S/N")</f>
        <v>AV. MENINO MARCELO, S/N</v>
      </c>
      <c r="L879" s="5" t="str">
        <f>IFERROR(__xludf.DUMMYFUNCTION("""COMPUTED_VALUE"""),"ARTERIAL ")</f>
        <v>ARTERIAL </v>
      </c>
      <c r="M879" s="5" t="str">
        <f>IFERROR(__xludf.DUMMYFUNCTION("""COMPUTED_VALUE"""),"SERRARIA")</f>
        <v>SERRARIA</v>
      </c>
      <c r="N879" s="5" t="str">
        <f>IFERROR(__xludf.DUMMYFUNCTION("""COMPUTED_VALUE"""),"BAIRRO - CENTRO")</f>
        <v>BAIRRO - CENTRO</v>
      </c>
      <c r="O879" s="5" t="str">
        <f>IFERROR(__xludf.DUMMYFUNCTION("""COMPUTED_VALUE"""),"EM FRENTE AO BANCO DO BRASIL")</f>
        <v>EM FRENTE AO BANCO DO BRASIL</v>
      </c>
      <c r="P879" s="5" t="str">
        <f>IFERROR(__xludf.DUMMYFUNCTION("""COMPUTED_VALUE"""),"PRIORIDADE BAIXA")</f>
        <v>PRIORIDADE BAIXA</v>
      </c>
      <c r="Q879" s="5"/>
      <c r="R879" s="5" t="str">
        <f>IFERROR(__xludf.DUMMYFUNCTION("""COMPUTED_VALUE"""),"NENHUMA DAS OPÇÕES")</f>
        <v>NENHUMA DAS OPÇÕES</v>
      </c>
      <c r="S879" s="5"/>
      <c r="T879" s="5"/>
      <c r="U879" s="7">
        <f>IFERROR(__xludf.DUMMYFUNCTION("""COMPUTED_VALUE"""),44849.0)</f>
        <v>44849</v>
      </c>
      <c r="V879" s="9" t="str">
        <f>IFERROR(__xludf.DUMMYFUNCTION("""COMPUTED_VALUE"""),"https://drive.google.com/uc?id=1RABGVUuB2gSjQsIO4ccqxnYfkklQ46tq")</f>
        <v>https://drive.google.com/uc?id=1RABGVUuB2gSjQsIO4ccqxnYfkklQ46tq</v>
      </c>
      <c r="W879" s="5" t="str">
        <f>IFERROR(__xludf.DUMMYFUNCTION("""COMPUTED_VALUE"""),"NÃO")</f>
        <v>NÃO</v>
      </c>
      <c r="X879" s="5" t="str">
        <f>IFERROR(__xludf.DUMMYFUNCTION("""COMPUTED_VALUE"""),"NÃO SE APLICA")</f>
        <v>NÃO SE APLICA</v>
      </c>
    </row>
    <row r="880">
      <c r="A880" s="5">
        <f>IFERROR(__xludf.DUMMYFUNCTION("""COMPUTED_VALUE"""),5.0)</f>
        <v>5</v>
      </c>
      <c r="B880" s="5" t="str">
        <f>IFERROR(__xludf.DUMMYFUNCTION("""COMPUTED_VALUE"""),"SR016")</f>
        <v>SR016</v>
      </c>
      <c r="C880" s="5" t="str">
        <f>IFERROR(__xludf.DUMMYFUNCTION("""COMPUTED_VALUE"""),"ABRIGO CONCRETO")</f>
        <v>ABRIGO CONCRETO</v>
      </c>
      <c r="D880" s="5" t="str">
        <f>IFERROR(__xludf.DUMMYFUNCTION("""COMPUTED_VALUE"""),"COM SUPORTE")</f>
        <v>COM SUPORTE</v>
      </c>
      <c r="E880" s="5" t="str">
        <f>IFERROR(__xludf.DUMMYFUNCTION("""COMPUTED_VALUE"""),"SEM BAIA")</f>
        <v>SEM BAIA</v>
      </c>
      <c r="F880" s="5" t="str">
        <f>IFERROR(__xludf.DUMMYFUNCTION("""COMPUTED_VALUE"""),"NÃO")</f>
        <v>NÃO</v>
      </c>
      <c r="G880" s="5" t="str">
        <f>IFERROR(__xludf.DUMMYFUNCTION("""COMPUTED_VALUE"""),"NÃO")</f>
        <v>NÃO</v>
      </c>
      <c r="H880" s="5" t="str">
        <f>IFERROR(__xludf.DUMMYFUNCTION("""COMPUTED_VALUE"""),"PAVIMENTADA COM AVARIAS")</f>
        <v>PAVIMENTADA COM AVARIAS</v>
      </c>
      <c r="I880" s="6" t="str">
        <f>IFERROR(__xludf.DUMMYFUNCTION("""COMPUTED_VALUE"""),"-9.613944")</f>
        <v>-9.613944</v>
      </c>
      <c r="J880" s="6" t="str">
        <f>IFERROR(__xludf.DUMMYFUNCTION("""COMPUTED_VALUE"""),"-35.717916")</f>
        <v>-35.717916</v>
      </c>
      <c r="K880" s="5" t="str">
        <f>IFERROR(__xludf.DUMMYFUNCTION("""COMPUTED_VALUE"""),"AV. MENINO MARCELO, S/N")</f>
        <v>AV. MENINO MARCELO, S/N</v>
      </c>
      <c r="L880" s="5" t="str">
        <f>IFERROR(__xludf.DUMMYFUNCTION("""COMPUTED_VALUE"""),"ARTERIAL ")</f>
        <v>ARTERIAL </v>
      </c>
      <c r="M880" s="5" t="str">
        <f>IFERROR(__xludf.DUMMYFUNCTION("""COMPUTED_VALUE"""),"SERRARIA")</f>
        <v>SERRARIA</v>
      </c>
      <c r="N880" s="5" t="str">
        <f>IFERROR(__xludf.DUMMYFUNCTION("""COMPUTED_VALUE"""),"BAIRRO - CENTRO")</f>
        <v>BAIRRO - CENTRO</v>
      </c>
      <c r="O880" s="5" t="str">
        <f>IFERROR(__xludf.DUMMYFUNCTION("""COMPUTED_VALUE"""),"EM FRENTE AO ASSAÍ ATACADISTA")</f>
        <v>EM FRENTE AO ASSAÍ ATACADISTA</v>
      </c>
      <c r="P880" s="5" t="str">
        <f>IFERROR(__xludf.DUMMYFUNCTION("""COMPUTED_VALUE"""),"PRIORIDADE ALTA")</f>
        <v>PRIORIDADE ALTA</v>
      </c>
      <c r="Q880" s="5" t="str">
        <f>IFERROR(__xludf.DUMMYFUNCTION("""COMPUTED_VALUE"""),"ABRIGO DANIFICADO - REBOCO, PINTURA E ASSENTO DANIFICADO,  NECESSÁRIO FAZER LIMPEZA DA COBERTA, MANUTENÇÃO E LIMPEZA DA COBERTA,PINTURA DA SINALIZAÇÃO DA BAÍA NO ASFALTO, READEQUAÇÃO DE CALÇADA COM ACESSIBILIDADE")</f>
        <v>ABRIGO DANIFICADO - REBOCO, PINTURA E ASSENTO DANIFICADO,  NECESSÁRIO FAZER LIMPEZA DA COBERTA, MANUTENÇÃO E LIMPEZA DA COBERTA,PINTURA DA SINALIZAÇÃO DA BAÍA NO ASFALTO, READEQUAÇÃO DE CALÇADA COM ACESSIBILIDADE</v>
      </c>
      <c r="R880" s="5" t="str">
        <f>IFERROR(__xludf.DUMMYFUNCTION("""COMPUTED_VALUE"""),"SUBSTITUIR ABRIGO")</f>
        <v>SUBSTITUIR ABRIGO</v>
      </c>
      <c r="S880" s="5"/>
      <c r="T880" s="5"/>
      <c r="U880" s="7">
        <f>IFERROR(__xludf.DUMMYFUNCTION("""COMPUTED_VALUE"""),44850.0)</f>
        <v>44850</v>
      </c>
      <c r="V880" s="9" t="str">
        <f>IFERROR(__xludf.DUMMYFUNCTION("""COMPUTED_VALUE"""),"https://drive.google.com/uc?id=1i6jdcZCddLQjDCNRUqKFQ4vCZ7RvRKhQ")</f>
        <v>https://drive.google.com/uc?id=1i6jdcZCddLQjDCNRUqKFQ4vCZ7RvRKhQ</v>
      </c>
      <c r="W880" s="5" t="str">
        <f>IFERROR(__xludf.DUMMYFUNCTION("""COMPUTED_VALUE"""),"NÃO")</f>
        <v>NÃO</v>
      </c>
      <c r="X880" s="5" t="str">
        <f>IFERROR(__xludf.DUMMYFUNCTION("""COMPUTED_VALUE"""),"NÃO SE APLICA")</f>
        <v>NÃO SE APLICA</v>
      </c>
    </row>
    <row r="881">
      <c r="A881" s="5">
        <f>IFERROR(__xludf.DUMMYFUNCTION("""COMPUTED_VALUE"""),5.0)</f>
        <v>5</v>
      </c>
      <c r="B881" s="5" t="str">
        <f>IFERROR(__xludf.DUMMYFUNCTION("""COMPUTED_VALUE"""),"SR017")</f>
        <v>SR017</v>
      </c>
      <c r="C881" s="5" t="str">
        <f>IFERROR(__xludf.DUMMYFUNCTION("""COMPUTED_VALUE"""),"ABRIGO METÁLICO PEQUENO PORTE")</f>
        <v>ABRIGO METÁLICO PEQUENO PORTE</v>
      </c>
      <c r="D881" s="5" t="str">
        <f>IFERROR(__xludf.DUMMYFUNCTION("""COMPUTED_VALUE"""),"SEM PLACA")</f>
        <v>SEM PLACA</v>
      </c>
      <c r="E881" s="5" t="str">
        <f>IFERROR(__xludf.DUMMYFUNCTION("""COMPUTED_VALUE"""),"BAIA CONSTRUÍDA")</f>
        <v>BAIA CONSTRUÍDA</v>
      </c>
      <c r="F881" s="5" t="str">
        <f>IFERROR(__xludf.DUMMYFUNCTION("""COMPUTED_VALUE"""),"NÃO")</f>
        <v>NÃO</v>
      </c>
      <c r="G881" s="5" t="str">
        <f>IFERROR(__xludf.DUMMYFUNCTION("""COMPUTED_VALUE"""),"NÃO")</f>
        <v>NÃO</v>
      </c>
      <c r="H881" s="5" t="str">
        <f>IFERROR(__xludf.DUMMYFUNCTION("""COMPUTED_VALUE"""),"NÃO PAVIMENTADA")</f>
        <v>NÃO PAVIMENTADA</v>
      </c>
      <c r="I881" s="6" t="str">
        <f>IFERROR(__xludf.DUMMYFUNCTION("""COMPUTED_VALUE"""),"-9.614307")</f>
        <v>-9.614307</v>
      </c>
      <c r="J881" s="6" t="str">
        <f>IFERROR(__xludf.DUMMYFUNCTION("""COMPUTED_VALUE"""),"-35.730680
")</f>
        <v>-35.730680
</v>
      </c>
      <c r="K881" s="5" t="str">
        <f>IFERROR(__xludf.DUMMYFUNCTION("""COMPUTED_VALUE"""),"AV. ERALDO LINS CAVALCANTE, S/N")</f>
        <v>AV. ERALDO LINS CAVALCANTE, S/N</v>
      </c>
      <c r="L881" s="5" t="str">
        <f>IFERROR(__xludf.DUMMYFUNCTION("""COMPUTED_VALUE"""),"COLETORA")</f>
        <v>COLETORA</v>
      </c>
      <c r="M881" s="5" t="str">
        <f>IFERROR(__xludf.DUMMYFUNCTION("""COMPUTED_VALUE"""),"SERRARIA")</f>
        <v>SERRARIA</v>
      </c>
      <c r="N881" s="5" t="str">
        <f>IFERROR(__xludf.DUMMYFUNCTION("""COMPUTED_VALUE"""),"CENTRO - BAIRRO")</f>
        <v>CENTRO - BAIRRO</v>
      </c>
      <c r="O881" s="5" t="str">
        <f>IFERROR(__xludf.DUMMYFUNCTION("""COMPUTED_VALUE"""),"EM FRENTE A BRASILGÁS")</f>
        <v>EM FRENTE A BRASILGÁS</v>
      </c>
      <c r="P881" s="5" t="str">
        <f>IFERROR(__xludf.DUMMYFUNCTION("""COMPUTED_VALUE"""),"PRIORIDADE BAIXA")</f>
        <v>PRIORIDADE BAIXA</v>
      </c>
      <c r="Q881" s="5" t="str">
        <f>IFERROR(__xludf.DUMMYFUNCTION("""COMPUTED_VALUE"""),"PINTURA DE BAÍA NO ASFALTO")</f>
        <v>PINTURA DE BAÍA NO ASFALTO</v>
      </c>
      <c r="R881" s="5" t="str">
        <f>IFERROR(__xludf.DUMMYFUNCTION("""COMPUTED_VALUE"""),"NENHUMA DAS OPÇÕES")</f>
        <v>NENHUMA DAS OPÇÕES</v>
      </c>
      <c r="S881" s="5"/>
      <c r="T881" s="5"/>
      <c r="U881" s="7">
        <f>IFERROR(__xludf.DUMMYFUNCTION("""COMPUTED_VALUE"""),44851.0)</f>
        <v>44851</v>
      </c>
      <c r="V881" s="9" t="str">
        <f>IFERROR(__xludf.DUMMYFUNCTION("""COMPUTED_VALUE"""),"https://drive.google.com/uc?id=1dn6V_vduGK_SKx9WP17SU1JK7dQPOwlU")</f>
        <v>https://drive.google.com/uc?id=1dn6V_vduGK_SKx9WP17SU1JK7dQPOwlU</v>
      </c>
      <c r="W881" s="5" t="str">
        <f>IFERROR(__xludf.DUMMYFUNCTION("""COMPUTED_VALUE"""),"NÃO")</f>
        <v>NÃO</v>
      </c>
      <c r="X881" s="5" t="str">
        <f>IFERROR(__xludf.DUMMYFUNCTION("""COMPUTED_VALUE"""),"NÃO SE APLICA")</f>
        <v>NÃO SE APLICA</v>
      </c>
    </row>
    <row r="882">
      <c r="A882" s="5">
        <f>IFERROR(__xludf.DUMMYFUNCTION("""COMPUTED_VALUE"""),5.0)</f>
        <v>5</v>
      </c>
      <c r="B882" s="5" t="str">
        <f>IFERROR(__xludf.DUMMYFUNCTION("""COMPUTED_VALUE"""),"SR018")</f>
        <v>SR018</v>
      </c>
      <c r="C882" s="5" t="str">
        <f>IFERROR(__xludf.DUMMYFUNCTION("""COMPUTED_VALUE"""),"ABRIGO METÁLICO PEQUENO PORTE")</f>
        <v>ABRIGO METÁLICO PEQUENO PORTE</v>
      </c>
      <c r="D882" s="5" t="str">
        <f>IFERROR(__xludf.DUMMYFUNCTION("""COMPUTED_VALUE"""),"SEM PLACA")</f>
        <v>SEM PLACA</v>
      </c>
      <c r="E882" s="5" t="str">
        <f>IFERROR(__xludf.DUMMYFUNCTION("""COMPUTED_VALUE"""),"BAIA CONSTRUÍDA")</f>
        <v>BAIA CONSTRUÍDA</v>
      </c>
      <c r="F882" s="5" t="str">
        <f>IFERROR(__xludf.DUMMYFUNCTION("""COMPUTED_VALUE"""),"NÃO")</f>
        <v>NÃO</v>
      </c>
      <c r="G882" s="5" t="str">
        <f>IFERROR(__xludf.DUMMYFUNCTION("""COMPUTED_VALUE"""),"NÃO")</f>
        <v>NÃO</v>
      </c>
      <c r="H882" s="5" t="str">
        <f>IFERROR(__xludf.DUMMYFUNCTION("""COMPUTED_VALUE"""),"PAVIMENTADA")</f>
        <v>PAVIMENTADA</v>
      </c>
      <c r="I882" s="6" t="str">
        <f>IFERROR(__xludf.DUMMYFUNCTION("""COMPUTED_VALUE"""),"-9.614125")</f>
        <v>-9.614125</v>
      </c>
      <c r="J882" s="6" t="str">
        <f>IFERROR(__xludf.DUMMYFUNCTION("""COMPUTED_VALUE"""),"-35.730627
")</f>
        <v>-35.730627
</v>
      </c>
      <c r="K882" s="5" t="str">
        <f>IFERROR(__xludf.DUMMYFUNCTION("""COMPUTED_VALUE"""),"AV. ERALDO LINS CAVALCANTE, S/N")</f>
        <v>AV. ERALDO LINS CAVALCANTE, S/N</v>
      </c>
      <c r="L882" s="5" t="str">
        <f>IFERROR(__xludf.DUMMYFUNCTION("""COMPUTED_VALUE"""),"COLETORA")</f>
        <v>COLETORA</v>
      </c>
      <c r="M882" s="5" t="str">
        <f>IFERROR(__xludf.DUMMYFUNCTION("""COMPUTED_VALUE"""),"SERRARIA")</f>
        <v>SERRARIA</v>
      </c>
      <c r="N882" s="5" t="str">
        <f>IFERROR(__xludf.DUMMYFUNCTION("""COMPUTED_VALUE"""),"BAIRRO - CENTRO")</f>
        <v>BAIRRO - CENTRO</v>
      </c>
      <c r="O882" s="5" t="str">
        <f>IFERROR(__xludf.DUMMYFUNCTION("""COMPUTED_VALUE"""),"EM FRENTE A CAEE")</f>
        <v>EM FRENTE A CAEE</v>
      </c>
      <c r="P882" s="5" t="str">
        <f>IFERROR(__xludf.DUMMYFUNCTION("""COMPUTED_VALUE"""),"PRIORIDADE BAIXA")</f>
        <v>PRIORIDADE BAIXA</v>
      </c>
      <c r="Q882" s="5" t="str">
        <f>IFERROR(__xludf.DUMMYFUNCTION("""COMPUTED_VALUE"""),"PINTURA DE BAÍA NO ASFALTO")</f>
        <v>PINTURA DE BAÍA NO ASFALTO</v>
      </c>
      <c r="R882" s="5" t="str">
        <f>IFERROR(__xludf.DUMMYFUNCTION("""COMPUTED_VALUE"""),"NENHUMA DAS OPÇÕES")</f>
        <v>NENHUMA DAS OPÇÕES</v>
      </c>
      <c r="S882" s="5"/>
      <c r="T882" s="5"/>
      <c r="U882" s="7">
        <f>IFERROR(__xludf.DUMMYFUNCTION("""COMPUTED_VALUE"""),44852.0)</f>
        <v>44852</v>
      </c>
      <c r="V882" s="9" t="str">
        <f>IFERROR(__xludf.DUMMYFUNCTION("""COMPUTED_VALUE"""),"https://drive.google.com/uc?id=1qH2YhO0pWSwRoqO2_B4SRKkka7zPFiy3")</f>
        <v>https://drive.google.com/uc?id=1qH2YhO0pWSwRoqO2_B4SRKkka7zPFiy3</v>
      </c>
      <c r="W882" s="5" t="str">
        <f>IFERROR(__xludf.DUMMYFUNCTION("""COMPUTED_VALUE"""),"NÃO")</f>
        <v>NÃO</v>
      </c>
      <c r="X882" s="5" t="str">
        <f>IFERROR(__xludf.DUMMYFUNCTION("""COMPUTED_VALUE"""),"NÃO SE APLICA")</f>
        <v>NÃO SE APLICA</v>
      </c>
    </row>
    <row r="883">
      <c r="A883" s="5">
        <f>IFERROR(__xludf.DUMMYFUNCTION("""COMPUTED_VALUE"""),5.0)</f>
        <v>5</v>
      </c>
      <c r="B883" s="5" t="str">
        <f>IFERROR(__xludf.DUMMYFUNCTION("""COMPUTED_VALUE"""),"SR019")</f>
        <v>SR019</v>
      </c>
      <c r="C883" s="5" t="str">
        <f>IFERROR(__xludf.DUMMYFUNCTION("""COMPUTED_VALUE"""),"ABRIGO CONCRETO")</f>
        <v>ABRIGO CONCRETO</v>
      </c>
      <c r="D883" s="5" t="str">
        <f>IFERROR(__xludf.DUMMYFUNCTION("""COMPUTED_VALUE"""),"SEM PLACA")</f>
        <v>SEM PLACA</v>
      </c>
      <c r="E883" s="5" t="str">
        <f>IFERROR(__xludf.DUMMYFUNCTION("""COMPUTED_VALUE"""),"SEM BAIA")</f>
        <v>SEM BAIA</v>
      </c>
      <c r="F883" s="5" t="str">
        <f>IFERROR(__xludf.DUMMYFUNCTION("""COMPUTED_VALUE"""),"NÃO")</f>
        <v>NÃO</v>
      </c>
      <c r="G883" s="5" t="str">
        <f>IFERROR(__xludf.DUMMYFUNCTION("""COMPUTED_VALUE"""),"NÃO")</f>
        <v>NÃO</v>
      </c>
      <c r="H883" s="5" t="str">
        <f>IFERROR(__xludf.DUMMYFUNCTION("""COMPUTED_VALUE"""),"PAVIMENTADA")</f>
        <v>PAVIMENTADA</v>
      </c>
      <c r="I883" s="6" t="str">
        <f>IFERROR(__xludf.DUMMYFUNCTION("""COMPUTED_VALUE"""),"-9.613170")</f>
        <v>-9.613170</v>
      </c>
      <c r="J883" s="6" t="str">
        <f>IFERROR(__xludf.DUMMYFUNCTION("""COMPUTED_VALUE""")," -35.728822")</f>
        <v> -35.728822</v>
      </c>
      <c r="K883" s="5" t="str">
        <f>IFERROR(__xludf.DUMMYFUNCTION("""COMPUTED_VALUE"""),"AV. PRESIDENTE GETÚLIO VARGAS, S/N")</f>
        <v>AV. PRESIDENTE GETÚLIO VARGAS, S/N</v>
      </c>
      <c r="L883" s="5" t="str">
        <f>IFERROR(__xludf.DUMMYFUNCTION("""COMPUTED_VALUE"""),"COLETORA")</f>
        <v>COLETORA</v>
      </c>
      <c r="M883" s="5" t="str">
        <f>IFERROR(__xludf.DUMMYFUNCTION("""COMPUTED_VALUE"""),"SERRARIA")</f>
        <v>SERRARIA</v>
      </c>
      <c r="N883" s="5" t="str">
        <f>IFERROR(__xludf.DUMMYFUNCTION("""COMPUTED_VALUE"""),"BAIRRO - CENTRO")</f>
        <v>BAIRRO - CENTRO</v>
      </c>
      <c r="O883" s="5" t="str">
        <f>IFERROR(__xludf.DUMMYFUNCTION("""COMPUTED_VALUE"""),"EM FRENTE AO RES. ART VIDA")</f>
        <v>EM FRENTE AO RES. ART VIDA</v>
      </c>
      <c r="P883" s="5" t="str">
        <f>IFERROR(__xludf.DUMMYFUNCTION("""COMPUTED_VALUE"""),"PRIORIDADE ALTA")</f>
        <v>PRIORIDADE ALTA</v>
      </c>
      <c r="Q883" s="5" t="str">
        <f>IFERROR(__xludf.DUMMYFUNCTION("""COMPUTED_VALUE"""),"ABRIGO DANIFICADO - REBOCO, PINTURA E ASSENTO DANIFICADO,  NECESSÁRIO FAZER LIMPEZA DA COBERTA, MANUTENÇÃO E LIMPEZA DA COBERTA,PINTURA DA SINALIZAÇÃO DA BAÍA NO ASFALTO, READEQUAÇÃO DE CALÇADA COM ACESSIBILIDADE")</f>
        <v>ABRIGO DANIFICADO - REBOCO, PINTURA E ASSENTO DANIFICADO,  NECESSÁRIO FAZER LIMPEZA DA COBERTA, MANUTENÇÃO E LIMPEZA DA COBERTA,PINTURA DA SINALIZAÇÃO DA BAÍA NO ASFALTO, READEQUAÇÃO DE CALÇADA COM ACESSIBILIDADE</v>
      </c>
      <c r="R883" s="5" t="str">
        <f>IFERROR(__xludf.DUMMYFUNCTION("""COMPUTED_VALUE"""),"SUBSTITUIR ABRIGO")</f>
        <v>SUBSTITUIR ABRIGO</v>
      </c>
      <c r="S883" s="5"/>
      <c r="T883" s="5"/>
      <c r="U883" s="7">
        <f>IFERROR(__xludf.DUMMYFUNCTION("""COMPUTED_VALUE"""),44853.0)</f>
        <v>44853</v>
      </c>
      <c r="V883" s="9" t="str">
        <f>IFERROR(__xludf.DUMMYFUNCTION("""COMPUTED_VALUE"""),"https://drive.google.com/uc?id=1UBa-AHD1zvyxc6etQOYpvmpsvTXzSBPR")</f>
        <v>https://drive.google.com/uc?id=1UBa-AHD1zvyxc6etQOYpvmpsvTXzSBPR</v>
      </c>
      <c r="W883" s="5" t="str">
        <f>IFERROR(__xludf.DUMMYFUNCTION("""COMPUTED_VALUE"""),"NÃO")</f>
        <v>NÃO</v>
      </c>
      <c r="X883" s="5" t="str">
        <f>IFERROR(__xludf.DUMMYFUNCTION("""COMPUTED_VALUE"""),"NÃO SE APLICA")</f>
        <v>NÃO SE APLICA</v>
      </c>
    </row>
    <row r="884">
      <c r="A884" s="5">
        <f>IFERROR(__xludf.DUMMYFUNCTION("""COMPUTED_VALUE"""),5.0)</f>
        <v>5</v>
      </c>
      <c r="B884" s="5" t="str">
        <f>IFERROR(__xludf.DUMMYFUNCTION("""COMPUTED_VALUE"""),"SR020")</f>
        <v>SR020</v>
      </c>
      <c r="C884" s="5" t="str">
        <f>IFERROR(__xludf.DUMMYFUNCTION("""COMPUTED_VALUE"""),"ABRIGO METÁLICO PEQUENO PORTE")</f>
        <v>ABRIGO METÁLICO PEQUENO PORTE</v>
      </c>
      <c r="D884" s="5" t="str">
        <f>IFERROR(__xludf.DUMMYFUNCTION("""COMPUTED_VALUE"""),"SEM PLACA")</f>
        <v>SEM PLACA</v>
      </c>
      <c r="E884" s="5" t="str">
        <f>IFERROR(__xludf.DUMMYFUNCTION("""COMPUTED_VALUE"""),"SEM BAIA")</f>
        <v>SEM BAIA</v>
      </c>
      <c r="F884" s="5" t="str">
        <f>IFERROR(__xludf.DUMMYFUNCTION("""COMPUTED_VALUE"""),"NÃO")</f>
        <v>NÃO</v>
      </c>
      <c r="G884" s="5" t="str">
        <f>IFERROR(__xludf.DUMMYFUNCTION("""COMPUTED_VALUE"""),"NÃO")</f>
        <v>NÃO</v>
      </c>
      <c r="H884" s="5" t="str">
        <f>IFERROR(__xludf.DUMMYFUNCTION("""COMPUTED_VALUE"""),"NÃO PAVIMENTADA")</f>
        <v>NÃO PAVIMENTADA</v>
      </c>
      <c r="I884" s="6" t="str">
        <f>IFERROR(__xludf.DUMMYFUNCTION("""COMPUTED_VALUE"""),"-9.612979")</f>
        <v>-9.612979</v>
      </c>
      <c r="J884" s="6" t="str">
        <f>IFERROR(__xludf.DUMMYFUNCTION("""COMPUTED_VALUE"""),"-35.728439
")</f>
        <v>-35.728439
</v>
      </c>
      <c r="K884" s="5" t="str">
        <f>IFERROR(__xludf.DUMMYFUNCTION("""COMPUTED_VALUE"""),"AV. PRESIDENTE GETÚLIO VARGAS, S/N")</f>
        <v>AV. PRESIDENTE GETÚLIO VARGAS, S/N</v>
      </c>
      <c r="L884" s="5" t="str">
        <f>IFERROR(__xludf.DUMMYFUNCTION("""COMPUTED_VALUE"""),"COLETORA")</f>
        <v>COLETORA</v>
      </c>
      <c r="M884" s="5" t="str">
        <f>IFERROR(__xludf.DUMMYFUNCTION("""COMPUTED_VALUE"""),"SERRARIA")</f>
        <v>SERRARIA</v>
      </c>
      <c r="N884" s="5" t="str">
        <f>IFERROR(__xludf.DUMMYFUNCTION("""COMPUTED_VALUE"""),"BAIRRO - CENTRO")</f>
        <v>BAIRRO - CENTRO</v>
      </c>
      <c r="O884" s="5" t="str">
        <f>IFERROR(__xludf.DUMMYFUNCTION("""COMPUTED_VALUE"""),"AO LADO DA ESCOLA OFICINA DA VIDA")</f>
        <v>AO LADO DA ESCOLA OFICINA DA VIDA</v>
      </c>
      <c r="P884" s="5" t="str">
        <f>IFERROR(__xludf.DUMMYFUNCTION("""COMPUTED_VALUE"""),"PRIORIDADE ALTA")</f>
        <v>PRIORIDADE ALTA</v>
      </c>
      <c r="Q884" s="5" t="str">
        <f>IFERROR(__xludf.DUMMYFUNCTION("""COMPUTED_VALUE"""),"REALIZAR PINTURA EM TODA A ESTRUTURA ASSIM COMO ASSENTOS; READEQUAÇÃO DE CALÇADA COM ACESSIBILIDADE")</f>
        <v>REALIZAR PINTURA EM TODA A ESTRUTURA ASSIM COMO ASSENTOS; READEQUAÇÃO DE CALÇADA COM ACESSIBILIDADE</v>
      </c>
      <c r="R884" s="5" t="str">
        <f>IFERROR(__xludf.DUMMYFUNCTION("""COMPUTED_VALUE"""),"NENHUMA DAS OPÇÕES")</f>
        <v>NENHUMA DAS OPÇÕES</v>
      </c>
      <c r="S884" s="5"/>
      <c r="T884" s="5"/>
      <c r="U884" s="7">
        <f>IFERROR(__xludf.DUMMYFUNCTION("""COMPUTED_VALUE"""),44854.0)</f>
        <v>44854</v>
      </c>
      <c r="V884" s="9" t="str">
        <f>IFERROR(__xludf.DUMMYFUNCTION("""COMPUTED_VALUE"""),"https://drive.google.com/uc?id=1znbiIRcSmYfYKNIkEIe9AIo0mK7lNxR9")</f>
        <v>https://drive.google.com/uc?id=1znbiIRcSmYfYKNIkEIe9AIo0mK7lNxR9</v>
      </c>
      <c r="W884" s="5" t="str">
        <f>IFERROR(__xludf.DUMMYFUNCTION("""COMPUTED_VALUE"""),"NÃO")</f>
        <v>NÃO</v>
      </c>
      <c r="X884" s="5" t="str">
        <f>IFERROR(__xludf.DUMMYFUNCTION("""COMPUTED_VALUE"""),"SIM")</f>
        <v>SIM</v>
      </c>
    </row>
    <row r="885" hidden="1">
      <c r="A885" s="5">
        <f>IFERROR(__xludf.DUMMYFUNCTION("""COMPUTED_VALUE"""),5.0)</f>
        <v>5</v>
      </c>
      <c r="B885" s="5" t="str">
        <f>IFERROR(__xludf.DUMMYFUNCTION("""COMPUTED_VALUE"""),"SR021")</f>
        <v>SR021</v>
      </c>
      <c r="C885" s="5" t="str">
        <f>IFERROR(__xludf.DUMMYFUNCTION("""COMPUTED_VALUE"""),"NÃO POSSUI")</f>
        <v>NÃO POSSUI</v>
      </c>
      <c r="D885" s="5" t="str">
        <f>IFERROR(__xludf.DUMMYFUNCTION("""COMPUTED_VALUE"""),"FIXADA EM POSTE")</f>
        <v>FIXADA EM POSTE</v>
      </c>
      <c r="E885" s="5" t="str">
        <f>IFERROR(__xludf.DUMMYFUNCTION("""COMPUTED_VALUE"""),"SEM BAIA")</f>
        <v>SEM BAIA</v>
      </c>
      <c r="F885" s="5" t="str">
        <f>IFERROR(__xludf.DUMMYFUNCTION("""COMPUTED_VALUE"""),"NÃO")</f>
        <v>NÃO</v>
      </c>
      <c r="G885" s="5" t="str">
        <f>IFERROR(__xludf.DUMMYFUNCTION("""COMPUTED_VALUE"""),"NÃO")</f>
        <v>NÃO</v>
      </c>
      <c r="H885" s="5" t="str">
        <f>IFERROR(__xludf.DUMMYFUNCTION("""COMPUTED_VALUE"""),"PAVIMENTADA COM AVARIAS")</f>
        <v>PAVIMENTADA COM AVARIAS</v>
      </c>
      <c r="I885" s="6" t="str">
        <f>IFERROR(__xludf.DUMMYFUNCTION("""COMPUTED_VALUE"""),"-9.611035")</f>
        <v>-9.611035</v>
      </c>
      <c r="J885" s="6" t="str">
        <f>IFERROR(__xludf.DUMMYFUNCTION("""COMPUTED_VALUE"""),"-35.726238")</f>
        <v>-35.726238</v>
      </c>
      <c r="K885" s="5" t="str">
        <f>IFERROR(__xludf.DUMMYFUNCTION("""COMPUTED_VALUE"""),"AV. PRESIDENTE GETÚLIO VARGAS, S/N")</f>
        <v>AV. PRESIDENTE GETÚLIO VARGAS, S/N</v>
      </c>
      <c r="L885" s="5" t="str">
        <f>IFERROR(__xludf.DUMMYFUNCTION("""COMPUTED_VALUE"""),"COLETORA")</f>
        <v>COLETORA</v>
      </c>
      <c r="M885" s="5" t="str">
        <f>IFERROR(__xludf.DUMMYFUNCTION("""COMPUTED_VALUE"""),"SERRARIA")</f>
        <v>SERRARIA</v>
      </c>
      <c r="N885" s="5" t="str">
        <f>IFERROR(__xludf.DUMMYFUNCTION("""COMPUTED_VALUE"""),"CENTRO - BAIRRO")</f>
        <v>CENTRO - BAIRRO</v>
      </c>
      <c r="O885" s="5" t="str">
        <f>IFERROR(__xludf.DUMMYFUNCTION("""COMPUTED_VALUE"""),"EM FRENTE A LOJA  DE SUPLEMENTOS ALIMENTARES ")</f>
        <v>EM FRENTE A LOJA  DE SUPLEMENTOS ALIMENTARES </v>
      </c>
      <c r="P885" s="5" t="str">
        <f>IFERROR(__xludf.DUMMYFUNCTION("""COMPUTED_VALUE"""),"PRIORIDADE BAIXA")</f>
        <v>PRIORIDADE BAIXA</v>
      </c>
      <c r="Q885" s="5"/>
      <c r="R885" s="5" t="str">
        <f>IFERROR(__xludf.DUMMYFUNCTION("""COMPUTED_VALUE"""),"NENHUMA DAS OPÇÕES")</f>
        <v>NENHUMA DAS OPÇÕES</v>
      </c>
      <c r="S885" s="5"/>
      <c r="T885" s="5"/>
      <c r="U885" s="7">
        <f>IFERROR(__xludf.DUMMYFUNCTION("""COMPUTED_VALUE"""),44855.0)</f>
        <v>44855</v>
      </c>
      <c r="V885" s="9" t="str">
        <f>IFERROR(__xludf.DUMMYFUNCTION("""COMPUTED_VALUE"""),"https://drive.google.com/uc?id=1MSpmcqXa28B4xexe3QbwdRtW4sCxZJXB")</f>
        <v>https://drive.google.com/uc?id=1MSpmcqXa28B4xexe3QbwdRtW4sCxZJXB</v>
      </c>
      <c r="W885" s="5" t="str">
        <f>IFERROR(__xludf.DUMMYFUNCTION("""COMPUTED_VALUE"""),"NÃO")</f>
        <v>NÃO</v>
      </c>
      <c r="X885" s="5" t="str">
        <f>IFERROR(__xludf.DUMMYFUNCTION("""COMPUTED_VALUE"""),"NÃO SE APLICA")</f>
        <v>NÃO SE APLICA</v>
      </c>
    </row>
    <row r="886" hidden="1">
      <c r="A886" s="5">
        <f>IFERROR(__xludf.DUMMYFUNCTION("""COMPUTED_VALUE"""),5.0)</f>
        <v>5</v>
      </c>
      <c r="B886" s="5" t="str">
        <f>IFERROR(__xludf.DUMMYFUNCTION("""COMPUTED_VALUE"""),"SR022")</f>
        <v>SR022</v>
      </c>
      <c r="C886" s="5" t="str">
        <f>IFERROR(__xludf.DUMMYFUNCTION("""COMPUTED_VALUE"""),"NÃO POSSUI")</f>
        <v>NÃO POSSUI</v>
      </c>
      <c r="D886" s="5" t="str">
        <f>IFERROR(__xludf.DUMMYFUNCTION("""COMPUTED_VALUE"""),"COM SUPORTE")</f>
        <v>COM SUPORTE</v>
      </c>
      <c r="E886" s="5" t="str">
        <f>IFERROR(__xludf.DUMMYFUNCTION("""COMPUTED_VALUE"""),"SEM BAIA")</f>
        <v>SEM BAIA</v>
      </c>
      <c r="F886" s="5" t="str">
        <f>IFERROR(__xludf.DUMMYFUNCTION("""COMPUTED_VALUE"""),"NÃO")</f>
        <v>NÃO</v>
      </c>
      <c r="G886" s="5" t="str">
        <f>IFERROR(__xludf.DUMMYFUNCTION("""COMPUTED_VALUE"""),"NÃO")</f>
        <v>NÃO</v>
      </c>
      <c r="H886" s="5" t="str">
        <f>IFERROR(__xludf.DUMMYFUNCTION("""COMPUTED_VALUE"""),"PAVIMENTADA")</f>
        <v>PAVIMENTADA</v>
      </c>
      <c r="I886" s="6" t="str">
        <f>IFERROR(__xludf.DUMMYFUNCTION("""COMPUTED_VALUE"""),"-9.610995")</f>
        <v>-9.610995</v>
      </c>
      <c r="J886" s="6" t="str">
        <f>IFERROR(__xludf.DUMMYFUNCTION("""COMPUTED_VALUE"""),"-35.726230")</f>
        <v>-35.726230</v>
      </c>
      <c r="K886" s="5" t="str">
        <f>IFERROR(__xludf.DUMMYFUNCTION("""COMPUTED_VALUE"""),"AV. PRESIDENTE GETÚLIO VARGAS, S/N")</f>
        <v>AV. PRESIDENTE GETÚLIO VARGAS, S/N</v>
      </c>
      <c r="L886" s="5" t="str">
        <f>IFERROR(__xludf.DUMMYFUNCTION("""COMPUTED_VALUE"""),"COLETORA")</f>
        <v>COLETORA</v>
      </c>
      <c r="M886" s="5" t="str">
        <f>IFERROR(__xludf.DUMMYFUNCTION("""COMPUTED_VALUE"""),"SERRARIA")</f>
        <v>SERRARIA</v>
      </c>
      <c r="N886" s="5" t="str">
        <f>IFERROR(__xludf.DUMMYFUNCTION("""COMPUTED_VALUE"""),"BAIRRO - CENTRO")</f>
        <v>BAIRRO - CENTRO</v>
      </c>
      <c r="O886" s="5" t="str">
        <f>IFERROR(__xludf.DUMMYFUNCTION("""COMPUTED_VALUE"""),"EM FRENTE A CENTER CELL")</f>
        <v>EM FRENTE A CENTER CELL</v>
      </c>
      <c r="P886" s="5" t="str">
        <f>IFERROR(__xludf.DUMMYFUNCTION("""COMPUTED_VALUE"""),"URGENTE")</f>
        <v>URGENTE</v>
      </c>
      <c r="Q886" s="5" t="str">
        <f>IFERROR(__xludf.DUMMYFUNCTION("""COMPUTED_VALUE"""),"PINTURA DE BAÍA NO ASFALTO")</f>
        <v>PINTURA DE BAÍA NO ASFALTO</v>
      </c>
      <c r="R886" s="5" t="str">
        <f>IFERROR(__xludf.DUMMYFUNCTION("""COMPUTED_VALUE"""),"IMPLANTAR ABRIGO")</f>
        <v>IMPLANTAR ABRIGO</v>
      </c>
      <c r="S886" s="7">
        <f>IFERROR(__xludf.DUMMYFUNCTION("""COMPUTED_VALUE"""),44881.0)</f>
        <v>44881</v>
      </c>
      <c r="T886" s="5" t="str">
        <f>IFERROR(__xludf.DUMMYFUNCTION("""COMPUTED_VALUE"""),"REALIZADO")</f>
        <v>REALIZADO</v>
      </c>
      <c r="U886" s="7">
        <f>IFERROR(__xludf.DUMMYFUNCTION("""COMPUTED_VALUE"""),44856.0)</f>
        <v>44856</v>
      </c>
      <c r="V886" s="9" t="str">
        <f>IFERROR(__xludf.DUMMYFUNCTION("""COMPUTED_VALUE"""),"https://drive.google.com/uc?id=16fX_6J0CZbCwgzuZ-AQMYLvlUf6WgycQ")</f>
        <v>https://drive.google.com/uc?id=16fX_6J0CZbCwgzuZ-AQMYLvlUf6WgycQ</v>
      </c>
      <c r="W886" s="5" t="str">
        <f>IFERROR(__xludf.DUMMYFUNCTION("""COMPUTED_VALUE"""),"NÃO")</f>
        <v>NÃO</v>
      </c>
      <c r="X886" s="5" t="str">
        <f>IFERROR(__xludf.DUMMYFUNCTION("""COMPUTED_VALUE"""),"NÃO SE APLICA")</f>
        <v>NÃO SE APLICA</v>
      </c>
    </row>
    <row r="887">
      <c r="A887" s="5">
        <f>IFERROR(__xludf.DUMMYFUNCTION("""COMPUTED_VALUE"""),5.0)</f>
        <v>5</v>
      </c>
      <c r="B887" s="5" t="str">
        <f>IFERROR(__xludf.DUMMYFUNCTION("""COMPUTED_VALUE"""),"SR023")</f>
        <v>SR023</v>
      </c>
      <c r="C887" s="5" t="str">
        <f>IFERROR(__xludf.DUMMYFUNCTION("""COMPUTED_VALUE"""),"ABRIGO METÁLICO PEQUENO PORTE")</f>
        <v>ABRIGO METÁLICO PEQUENO PORTE</v>
      </c>
      <c r="D887" s="5" t="str">
        <f>IFERROR(__xludf.DUMMYFUNCTION("""COMPUTED_VALUE"""),"SEM PLACA")</f>
        <v>SEM PLACA</v>
      </c>
      <c r="E887" s="5" t="str">
        <f>IFERROR(__xludf.DUMMYFUNCTION("""COMPUTED_VALUE"""),"SEM BAIA")</f>
        <v>SEM BAIA</v>
      </c>
      <c r="F887" s="5" t="str">
        <f>IFERROR(__xludf.DUMMYFUNCTION("""COMPUTED_VALUE"""),"NÃO")</f>
        <v>NÃO</v>
      </c>
      <c r="G887" s="5" t="str">
        <f>IFERROR(__xludf.DUMMYFUNCTION("""COMPUTED_VALUE"""),"NÃO")</f>
        <v>NÃO</v>
      </c>
      <c r="H887" s="5" t="str">
        <f>IFERROR(__xludf.DUMMYFUNCTION("""COMPUTED_VALUE"""),"NÃO PAVIMENTADA")</f>
        <v>NÃO PAVIMENTADA</v>
      </c>
      <c r="I887" s="6" t="str">
        <f>IFERROR(__xludf.DUMMYFUNCTION("""COMPUTED_VALUE"""),"-9.609891")</f>
        <v>-9.609891</v>
      </c>
      <c r="J887" s="6" t="str">
        <f>IFERROR(__xludf.DUMMYFUNCTION("""COMPUTED_VALUE"""),"-35.725009
")</f>
        <v>-35.725009
</v>
      </c>
      <c r="K887" s="5" t="str">
        <f>IFERROR(__xludf.DUMMYFUNCTION("""COMPUTED_VALUE"""),"AV. PRESIDENTE GETÚLIO VARGAS, S/N")</f>
        <v>AV. PRESIDENTE GETÚLIO VARGAS, S/N</v>
      </c>
      <c r="L887" s="5" t="str">
        <f>IFERROR(__xludf.DUMMYFUNCTION("""COMPUTED_VALUE"""),"COLETORA")</f>
        <v>COLETORA</v>
      </c>
      <c r="M887" s="5" t="str">
        <f>IFERROR(__xludf.DUMMYFUNCTION("""COMPUTED_VALUE"""),"SERRARIA")</f>
        <v>SERRARIA</v>
      </c>
      <c r="N887" s="5" t="str">
        <f>IFERROR(__xludf.DUMMYFUNCTION("""COMPUTED_VALUE"""),"CENTRO - BAIRRO")</f>
        <v>CENTRO - BAIRRO</v>
      </c>
      <c r="O887" s="5" t="str">
        <f>IFERROR(__xludf.DUMMYFUNCTION("""COMPUTED_VALUE"""),"AO LADO DA FARMACIA PAGUE MENOS")</f>
        <v>AO LADO DA FARMACIA PAGUE MENOS</v>
      </c>
      <c r="P887" s="5" t="str">
        <f>IFERROR(__xludf.DUMMYFUNCTION("""COMPUTED_VALUE"""),"PRIORIDADE ALTA")</f>
        <v>PRIORIDADE ALTA</v>
      </c>
      <c r="Q887" s="5" t="str">
        <f>IFERROR(__xludf.DUMMYFUNCTION("""COMPUTED_VALUE"""),"REALIZAR PINTURA EM TODA A ESTRUTURA ASSIM COMO ASSENTOS; READEQUAÇÃO DE CALÇADA COM ACESSIBILIDADE")</f>
        <v>REALIZAR PINTURA EM TODA A ESTRUTURA ASSIM COMO ASSENTOS; READEQUAÇÃO DE CALÇADA COM ACESSIBILIDADE</v>
      </c>
      <c r="R887" s="5" t="str">
        <f>IFERROR(__xludf.DUMMYFUNCTION("""COMPUTED_VALUE"""),"NENHUMA DAS OPÇÕES")</f>
        <v>NENHUMA DAS OPÇÕES</v>
      </c>
      <c r="S887" s="5"/>
      <c r="T887" s="5"/>
      <c r="U887" s="7">
        <f>IFERROR(__xludf.DUMMYFUNCTION("""COMPUTED_VALUE"""),44857.0)</f>
        <v>44857</v>
      </c>
      <c r="V887" s="9" t="str">
        <f>IFERROR(__xludf.DUMMYFUNCTION("""COMPUTED_VALUE"""),"https://drive.google.com/uc?id=1RyMcjhHmsnHSWmuFZJoaFT164__GyKj0")</f>
        <v>https://drive.google.com/uc?id=1RyMcjhHmsnHSWmuFZJoaFT164__GyKj0</v>
      </c>
      <c r="W887" s="5" t="str">
        <f>IFERROR(__xludf.DUMMYFUNCTION("""COMPUTED_VALUE"""),"NÃO")</f>
        <v>NÃO</v>
      </c>
      <c r="X887" s="5" t="str">
        <f>IFERROR(__xludf.DUMMYFUNCTION("""COMPUTED_VALUE"""),"NÃO SE APLICA")</f>
        <v>NÃO SE APLICA</v>
      </c>
    </row>
    <row r="888">
      <c r="A888" s="5">
        <f>IFERROR(__xludf.DUMMYFUNCTION("""COMPUTED_VALUE"""),5.0)</f>
        <v>5</v>
      </c>
      <c r="B888" s="5" t="str">
        <f>IFERROR(__xludf.DUMMYFUNCTION("""COMPUTED_VALUE"""),"SR024")</f>
        <v>SR024</v>
      </c>
      <c r="C888" s="5" t="str">
        <f>IFERROR(__xludf.DUMMYFUNCTION("""COMPUTED_VALUE"""),"ABRIGO CONCRETO")</f>
        <v>ABRIGO CONCRETO</v>
      </c>
      <c r="D888" s="5" t="str">
        <f>IFERROR(__xludf.DUMMYFUNCTION("""COMPUTED_VALUE"""),"SEM PLACA")</f>
        <v>SEM PLACA</v>
      </c>
      <c r="E888" s="5" t="str">
        <f>IFERROR(__xludf.DUMMYFUNCTION("""COMPUTED_VALUE"""),"SEM BAIA")</f>
        <v>SEM BAIA</v>
      </c>
      <c r="F888" s="5" t="str">
        <f>IFERROR(__xludf.DUMMYFUNCTION("""COMPUTED_VALUE"""),"NÃO")</f>
        <v>NÃO</v>
      </c>
      <c r="G888" s="5" t="str">
        <f>IFERROR(__xludf.DUMMYFUNCTION("""COMPUTED_VALUE"""),"NÃO")</f>
        <v>NÃO</v>
      </c>
      <c r="H888" s="5" t="str">
        <f>IFERROR(__xludf.DUMMYFUNCTION("""COMPUTED_VALUE"""),"PAVIMENTADA COM AVARIAS")</f>
        <v>PAVIMENTADA COM AVARIAS</v>
      </c>
      <c r="I888" s="6" t="str">
        <f>IFERROR(__xludf.DUMMYFUNCTION("""COMPUTED_VALUE"""),"-9.609122")</f>
        <v>-9.609122</v>
      </c>
      <c r="J888" s="6" t="str">
        <f>IFERROR(__xludf.DUMMYFUNCTION("""COMPUTED_VALUE""")," -35.724342
")</f>
        <v> -35.724342
</v>
      </c>
      <c r="K888" s="5" t="str">
        <f>IFERROR(__xludf.DUMMYFUNCTION("""COMPUTED_VALUE"""),"AV. PRESIDENTE GETÚLIO VARGAS, S/N")</f>
        <v>AV. PRESIDENTE GETÚLIO VARGAS, S/N</v>
      </c>
      <c r="L888" s="5" t="str">
        <f>IFERROR(__xludf.DUMMYFUNCTION("""COMPUTED_VALUE"""),"COLETORA")</f>
        <v>COLETORA</v>
      </c>
      <c r="M888" s="5" t="str">
        <f>IFERROR(__xludf.DUMMYFUNCTION("""COMPUTED_VALUE"""),"SERRARIA")</f>
        <v>SERRARIA</v>
      </c>
      <c r="N888" s="5" t="str">
        <f>IFERROR(__xludf.DUMMYFUNCTION("""COMPUTED_VALUE"""),"BAIRRO - CENTRO")</f>
        <v>BAIRRO - CENTRO</v>
      </c>
      <c r="O888" s="5" t="str">
        <f>IFERROR(__xludf.DUMMYFUNCTION("""COMPUTED_VALUE"""),"LADO  OPOSTO A LANCHONETE OLIVA")</f>
        <v>LADO  OPOSTO A LANCHONETE OLIVA</v>
      </c>
      <c r="P888" s="5" t="str">
        <f>IFERROR(__xludf.DUMMYFUNCTION("""COMPUTED_VALUE"""),"PRIORIDADE ALTA")</f>
        <v>PRIORIDADE ALTA</v>
      </c>
      <c r="Q888" s="5" t="str">
        <f>IFERROR(__xludf.DUMMYFUNCTION("""COMPUTED_VALUE"""),"ABRIGO DANIFICADO - REBOCO, PINTURA E ASSENTO DANIFICADO,  NECESSÁRIO FAZER LIMPEZA DA COBERTA, MANUTENÇÃO E LIMPEZA DA COBERTA, PINTURA DA SINALIZAÇÃO DA BAÍA NO ASFALTO, READEQUAÇÃO DE CALÇADA COM ACESSIBILIDADE")</f>
        <v>ABRIGO DANIFICADO - REBOCO, PINTURA E ASSENTO DANIFICADO,  NECESSÁRIO FAZER LIMPEZA DA COBERTA, MANUTENÇÃO E LIMPEZA DA COBERTA, PINTURA DA SINALIZAÇÃO DA BAÍA NO ASFALTO, READEQUAÇÃO DE CALÇADA COM ACESSIBILIDADE</v>
      </c>
      <c r="R888" s="5" t="str">
        <f>IFERROR(__xludf.DUMMYFUNCTION("""COMPUTED_VALUE"""),"SUBSTITUIR ABRIGO")</f>
        <v>SUBSTITUIR ABRIGO</v>
      </c>
      <c r="S888" s="5"/>
      <c r="T888" s="5"/>
      <c r="U888" s="7">
        <f>IFERROR(__xludf.DUMMYFUNCTION("""COMPUTED_VALUE"""),44858.0)</f>
        <v>44858</v>
      </c>
      <c r="V888" s="9" t="str">
        <f>IFERROR(__xludf.DUMMYFUNCTION("""COMPUTED_VALUE"""),"https://drive.google.com/uc?id=1dFeZQoQEE3mzR_T9N4tiSV30siWKdUP5")</f>
        <v>https://drive.google.com/uc?id=1dFeZQoQEE3mzR_T9N4tiSV30siWKdUP5</v>
      </c>
      <c r="W888" s="5" t="str">
        <f>IFERROR(__xludf.DUMMYFUNCTION("""COMPUTED_VALUE"""),"NÃO")</f>
        <v>NÃO</v>
      </c>
      <c r="X888" s="5" t="str">
        <f>IFERROR(__xludf.DUMMYFUNCTION("""COMPUTED_VALUE"""),"NÃO SE APLICA")</f>
        <v>NÃO SE APLICA</v>
      </c>
    </row>
    <row r="889">
      <c r="A889" s="5">
        <f>IFERROR(__xludf.DUMMYFUNCTION("""COMPUTED_VALUE"""),5.0)</f>
        <v>5</v>
      </c>
      <c r="B889" s="5" t="str">
        <f>IFERROR(__xludf.DUMMYFUNCTION("""COMPUTED_VALUE"""),"SR025")</f>
        <v>SR025</v>
      </c>
      <c r="C889" s="5" t="str">
        <f>IFERROR(__xludf.DUMMYFUNCTION("""COMPUTED_VALUE"""),"ABRIGO CONCRETO")</f>
        <v>ABRIGO CONCRETO</v>
      </c>
      <c r="D889" s="5" t="str">
        <f>IFERROR(__xludf.DUMMYFUNCTION("""COMPUTED_VALUE"""),"SEM PLACA")</f>
        <v>SEM PLACA</v>
      </c>
      <c r="E889" s="5" t="str">
        <f>IFERROR(__xludf.DUMMYFUNCTION("""COMPUTED_VALUE"""),"SEM BAIA")</f>
        <v>SEM BAIA</v>
      </c>
      <c r="F889" s="5" t="str">
        <f>IFERROR(__xludf.DUMMYFUNCTION("""COMPUTED_VALUE"""),"NÃO")</f>
        <v>NÃO</v>
      </c>
      <c r="G889" s="5" t="str">
        <f>IFERROR(__xludf.DUMMYFUNCTION("""COMPUTED_VALUE"""),"NÃO")</f>
        <v>NÃO</v>
      </c>
      <c r="H889" s="5" t="str">
        <f>IFERROR(__xludf.DUMMYFUNCTION("""COMPUTED_VALUE"""),"PAVIMENTADA COM AVARIAS")</f>
        <v>PAVIMENTADA COM AVARIAS</v>
      </c>
      <c r="I889" s="6" t="str">
        <f>IFERROR(__xludf.DUMMYFUNCTION("""COMPUTED_VALUE"""),"-9.6064975")</f>
        <v>-9.6064975</v>
      </c>
      <c r="J889" s="6" t="str">
        <f>IFERROR(__xludf.DUMMYFUNCTION("""COMPUTED_VALUE""")," -35.722961
")</f>
        <v> -35.722961
</v>
      </c>
      <c r="K889" s="5" t="str">
        <f>IFERROR(__xludf.DUMMYFUNCTION("""COMPUTED_VALUE"""),"AV. PRESIDENTE GETÚLIO VARGAS, S/N")</f>
        <v>AV. PRESIDENTE GETÚLIO VARGAS, S/N</v>
      </c>
      <c r="L889" s="5" t="str">
        <f>IFERROR(__xludf.DUMMYFUNCTION("""COMPUTED_VALUE"""),"COLETORA")</f>
        <v>COLETORA</v>
      </c>
      <c r="M889" s="5" t="str">
        <f>IFERROR(__xludf.DUMMYFUNCTION("""COMPUTED_VALUE"""),"SERRARIA")</f>
        <v>SERRARIA</v>
      </c>
      <c r="N889" s="5" t="str">
        <f>IFERROR(__xludf.DUMMYFUNCTION("""COMPUTED_VALUE"""),"BAIRRO - CENTRO")</f>
        <v>BAIRRO - CENTRO</v>
      </c>
      <c r="O889" s="5" t="str">
        <f>IFERROR(__xludf.DUMMYFUNCTION("""COMPUTED_VALUE"""),"EM FRENTE AO AÇOUGUE BOI GORDO")</f>
        <v>EM FRENTE AO AÇOUGUE BOI GORDO</v>
      </c>
      <c r="P889" s="5" t="str">
        <f>IFERROR(__xludf.DUMMYFUNCTION("""COMPUTED_VALUE"""),"PRIORIDADE ALTA")</f>
        <v>PRIORIDADE ALTA</v>
      </c>
      <c r="Q889" s="5" t="str">
        <f>IFERROR(__xludf.DUMMYFUNCTION("""COMPUTED_VALUE"""),"ABRIGO DANIFICADO - REBOCO, PINTURA E ASSENTO DANIFICADO,  NECESSÁRIO FAZER LIMPEZA DA COBERTA, MANUTENÇÃO E LIMPEZA DA COBERTA, PINTURA DA SINALIZAÇÃO DA BAÍA NO ASFALTO, READEQUAÇÃO DE CALÇADA COM ACESSIBILIDADE")</f>
        <v>ABRIGO DANIFICADO - REBOCO, PINTURA E ASSENTO DANIFICADO,  NECESSÁRIO FAZER LIMPEZA DA COBERTA, MANUTENÇÃO E LIMPEZA DA COBERTA, PINTURA DA SINALIZAÇÃO DA BAÍA NO ASFALTO, READEQUAÇÃO DE CALÇADA COM ACESSIBILIDADE</v>
      </c>
      <c r="R889" s="5" t="str">
        <f>IFERROR(__xludf.DUMMYFUNCTION("""COMPUTED_VALUE"""),"SUBSTITUIR ABRIGO")</f>
        <v>SUBSTITUIR ABRIGO</v>
      </c>
      <c r="S889" s="5"/>
      <c r="T889" s="5"/>
      <c r="U889" s="7">
        <f>IFERROR(__xludf.DUMMYFUNCTION("""COMPUTED_VALUE"""),44859.0)</f>
        <v>44859</v>
      </c>
      <c r="V889" s="9" t="str">
        <f>IFERROR(__xludf.DUMMYFUNCTION("""COMPUTED_VALUE"""),"https://drive.google.com/uc?id=1mTCQMfhJf8TU89xwAIIWpYLBTRBH7cyG")</f>
        <v>https://drive.google.com/uc?id=1mTCQMfhJf8TU89xwAIIWpYLBTRBH7cyG</v>
      </c>
      <c r="W889" s="5" t="str">
        <f>IFERROR(__xludf.DUMMYFUNCTION("""COMPUTED_VALUE"""),"NÃO")</f>
        <v>NÃO</v>
      </c>
      <c r="X889" s="5" t="str">
        <f>IFERROR(__xludf.DUMMYFUNCTION("""COMPUTED_VALUE"""),"NÃO SE APLICA")</f>
        <v>NÃO SE APLICA</v>
      </c>
    </row>
    <row r="890" hidden="1">
      <c r="A890" s="5">
        <f>IFERROR(__xludf.DUMMYFUNCTION("""COMPUTED_VALUE"""),5.0)</f>
        <v>5</v>
      </c>
      <c r="B890" s="5" t="str">
        <f>IFERROR(__xludf.DUMMYFUNCTION("""COMPUTED_VALUE"""),"SR026")</f>
        <v>SR026</v>
      </c>
      <c r="C890" s="5" t="str">
        <f>IFERROR(__xludf.DUMMYFUNCTION("""COMPUTED_VALUE"""),"NÃO POSSUI")</f>
        <v>NÃO POSSUI</v>
      </c>
      <c r="D890" s="5" t="str">
        <f>IFERROR(__xludf.DUMMYFUNCTION("""COMPUTED_VALUE"""),"FIXADA EM POSTE")</f>
        <v>FIXADA EM POSTE</v>
      </c>
      <c r="E890" s="5" t="str">
        <f>IFERROR(__xludf.DUMMYFUNCTION("""COMPUTED_VALUE"""),"SEM BAIA")</f>
        <v>SEM BAIA</v>
      </c>
      <c r="F890" s="5" t="str">
        <f>IFERROR(__xludf.DUMMYFUNCTION("""COMPUTED_VALUE"""),"NÃO")</f>
        <v>NÃO</v>
      </c>
      <c r="G890" s="5" t="str">
        <f>IFERROR(__xludf.DUMMYFUNCTION("""COMPUTED_VALUE"""),"NÃO")</f>
        <v>NÃO</v>
      </c>
      <c r="H890" s="5" t="str">
        <f>IFERROR(__xludf.DUMMYFUNCTION("""COMPUTED_VALUE"""),"PAVIMENTADA COM AVARIAS")</f>
        <v>PAVIMENTADA COM AVARIAS</v>
      </c>
      <c r="I890" s="6" t="str">
        <f>IFERROR(__xludf.DUMMYFUNCTION("""COMPUTED_VALUE"""),"-9.606034")</f>
        <v>-9.606034</v>
      </c>
      <c r="J890" s="6" t="str">
        <f>IFERROR(__xludf.DUMMYFUNCTION("""COMPUTED_VALUE"""),"-35.722732")</f>
        <v>-35.722732</v>
      </c>
      <c r="K890" s="5" t="str">
        <f>IFERROR(__xludf.DUMMYFUNCTION("""COMPUTED_VALUE"""),"AV. PRESIDENTE GETÚLIO VARGAS, S/N")</f>
        <v>AV. PRESIDENTE GETÚLIO VARGAS, S/N</v>
      </c>
      <c r="L890" s="5" t="str">
        <f>IFERROR(__xludf.DUMMYFUNCTION("""COMPUTED_VALUE"""),"COLETORA")</f>
        <v>COLETORA</v>
      </c>
      <c r="M890" s="5" t="str">
        <f>IFERROR(__xludf.DUMMYFUNCTION("""COMPUTED_VALUE"""),"SERRARIA")</f>
        <v>SERRARIA</v>
      </c>
      <c r="N890" s="5" t="str">
        <f>IFERROR(__xludf.DUMMYFUNCTION("""COMPUTED_VALUE"""),"CENTRO - BAIRRO")</f>
        <v>CENTRO - BAIRRO</v>
      </c>
      <c r="O890" s="5" t="str">
        <f>IFERROR(__xludf.DUMMYFUNCTION("""COMPUTED_VALUE"""),"LADO OPOSTO A GALERIA CENTER")</f>
        <v>LADO OPOSTO A GALERIA CENTER</v>
      </c>
      <c r="P890" s="5" t="str">
        <f>IFERROR(__xludf.DUMMYFUNCTION("""COMPUTED_VALUE"""),"PRIORIDADE ALTA")</f>
        <v>PRIORIDADE ALTA</v>
      </c>
      <c r="Q890" s="5" t="str">
        <f>IFERROR(__xludf.DUMMYFUNCTION("""COMPUTED_VALUE"""),"FIXAÇÃO DA PLACA QUE SE ENCONTRA DETERIORADA; READEQUAÇÃO DE CALÇADA COM ACESSIBILIDADE")</f>
        <v>FIXAÇÃO DA PLACA QUE SE ENCONTRA DETERIORADA; READEQUAÇÃO DE CALÇADA COM ACESSIBILIDADE</v>
      </c>
      <c r="R890" s="5" t="str">
        <f>IFERROR(__xludf.DUMMYFUNCTION("""COMPUTED_VALUE"""),"IMPLANTAR ABRIGO")</f>
        <v>IMPLANTAR ABRIGO</v>
      </c>
      <c r="S890" s="5"/>
      <c r="T890" s="5"/>
      <c r="U890" s="7">
        <f>IFERROR(__xludf.DUMMYFUNCTION("""COMPUTED_VALUE"""),44860.0)</f>
        <v>44860</v>
      </c>
      <c r="V890" s="9" t="str">
        <f>IFERROR(__xludf.DUMMYFUNCTION("""COMPUTED_VALUE"""),"https://drive.google.com/uc?id=1oKFVoAWFbUUhYHNACyTAo19XfnLVM8-N")</f>
        <v>https://drive.google.com/uc?id=1oKFVoAWFbUUhYHNACyTAo19XfnLVM8-N</v>
      </c>
      <c r="W890" s="5" t="str">
        <f>IFERROR(__xludf.DUMMYFUNCTION("""COMPUTED_VALUE"""),"NÃO")</f>
        <v>NÃO</v>
      </c>
      <c r="X890" s="5" t="str">
        <f>IFERROR(__xludf.DUMMYFUNCTION("""COMPUTED_VALUE"""),"NÃO SE APLICA")</f>
        <v>NÃO SE APLICA</v>
      </c>
    </row>
    <row r="891">
      <c r="A891" s="5">
        <f>IFERROR(__xludf.DUMMYFUNCTION("""COMPUTED_VALUE"""),5.0)</f>
        <v>5</v>
      </c>
      <c r="B891" s="5" t="str">
        <f>IFERROR(__xludf.DUMMYFUNCTION("""COMPUTED_VALUE"""),"SR027")</f>
        <v>SR027</v>
      </c>
      <c r="C891" s="5" t="str">
        <f>IFERROR(__xludf.DUMMYFUNCTION("""COMPUTED_VALUE"""),"ABRIGO METÁLICO PEQUENO PORTE")</f>
        <v>ABRIGO METÁLICO PEQUENO PORTE</v>
      </c>
      <c r="D891" s="5" t="str">
        <f>IFERROR(__xludf.DUMMYFUNCTION("""COMPUTED_VALUE"""),"SEM PLACA")</f>
        <v>SEM PLACA</v>
      </c>
      <c r="E891" s="5" t="str">
        <f>IFERROR(__xludf.DUMMYFUNCTION("""COMPUTED_VALUE"""),"SEM BAIA")</f>
        <v>SEM BAIA</v>
      </c>
      <c r="F891" s="5" t="str">
        <f>IFERROR(__xludf.DUMMYFUNCTION("""COMPUTED_VALUE"""),"NÃO")</f>
        <v>NÃO</v>
      </c>
      <c r="G891" s="5" t="str">
        <f>IFERROR(__xludf.DUMMYFUNCTION("""COMPUTED_VALUE"""),"NÃO")</f>
        <v>NÃO</v>
      </c>
      <c r="H891" s="5" t="str">
        <f>IFERROR(__xludf.DUMMYFUNCTION("""COMPUTED_VALUE"""),"PAVIMENTADA")</f>
        <v>PAVIMENTADA</v>
      </c>
      <c r="I891" s="6" t="str">
        <f>IFERROR(__xludf.DUMMYFUNCTION("""COMPUTED_VALUE"""),"-9.605002")</f>
        <v>-9.605002</v>
      </c>
      <c r="J891" s="6" t="str">
        <f>IFERROR(__xludf.DUMMYFUNCTION("""COMPUTED_VALUE""")," -35.722108
")</f>
        <v> -35.722108
</v>
      </c>
      <c r="K891" s="5" t="str">
        <f>IFERROR(__xludf.DUMMYFUNCTION("""COMPUTED_VALUE"""),"RUA ERNANI JONAS GOMES S/N")</f>
        <v>RUA ERNANI JONAS GOMES S/N</v>
      </c>
      <c r="L891" s="5" t="str">
        <f>IFERROR(__xludf.DUMMYFUNCTION("""COMPUTED_VALUE"""),"COLETORA")</f>
        <v>COLETORA</v>
      </c>
      <c r="M891" s="5" t="str">
        <f>IFERROR(__xludf.DUMMYFUNCTION("""COMPUTED_VALUE"""),"SERRARIA")</f>
        <v>SERRARIA</v>
      </c>
      <c r="N891" s="5" t="str">
        <f>IFERROR(__xludf.DUMMYFUNCTION("""COMPUTED_VALUE"""),"CENTRO - BAIRRO")</f>
        <v>CENTRO - BAIRRO</v>
      </c>
      <c r="O891" s="5" t="str">
        <f>IFERROR(__xludf.DUMMYFUNCTION("""COMPUTED_VALUE"""),"EM FRENTE A ALGO DA CASAL")</f>
        <v>EM FRENTE A ALGO DA CASAL</v>
      </c>
      <c r="P891" s="5" t="str">
        <f>IFERROR(__xludf.DUMMYFUNCTION("""COMPUTED_VALUE"""),"PRIORIDADE BAIXA")</f>
        <v>PRIORIDADE BAIXA</v>
      </c>
      <c r="Q891" s="5" t="str">
        <f>IFERROR(__xludf.DUMMYFUNCTION("""COMPUTED_VALUE"""),"REALIZAR PINTURA EM TODA A ESTRUTURA ASSIM COMO ASSENTOS; READEQUAÇÃO DE CALÇADA COM ACESSIBILIDADE E PINTURA DE BAÍA NO ASFALTO.")</f>
        <v>REALIZAR PINTURA EM TODA A ESTRUTURA ASSIM COMO ASSENTOS; READEQUAÇÃO DE CALÇADA COM ACESSIBILIDADE E PINTURA DE BAÍA NO ASFALTO.</v>
      </c>
      <c r="R891" s="5" t="str">
        <f>IFERROR(__xludf.DUMMYFUNCTION("""COMPUTED_VALUE"""),"NENHUMA DAS OPÇÕES")</f>
        <v>NENHUMA DAS OPÇÕES</v>
      </c>
      <c r="S891" s="5"/>
      <c r="T891" s="5"/>
      <c r="U891" s="7">
        <f>IFERROR(__xludf.DUMMYFUNCTION("""COMPUTED_VALUE"""),44861.0)</f>
        <v>44861</v>
      </c>
      <c r="V891" s="9" t="str">
        <f>IFERROR(__xludf.DUMMYFUNCTION("""COMPUTED_VALUE"""),"https://drive.google.com/uc?id=1t7BUzFGLDPcksRimeXIPg7R36Woc8JGr")</f>
        <v>https://drive.google.com/uc?id=1t7BUzFGLDPcksRimeXIPg7R36Woc8JGr</v>
      </c>
      <c r="W891" s="5" t="str">
        <f>IFERROR(__xludf.DUMMYFUNCTION("""COMPUTED_VALUE"""),"NÃO")</f>
        <v>NÃO</v>
      </c>
      <c r="X891" s="5" t="str">
        <f>IFERROR(__xludf.DUMMYFUNCTION("""COMPUTED_VALUE"""),"NÃO")</f>
        <v>NÃO</v>
      </c>
    </row>
    <row r="892" hidden="1">
      <c r="A892" s="5">
        <f>IFERROR(__xludf.DUMMYFUNCTION("""COMPUTED_VALUE"""),5.0)</f>
        <v>5</v>
      </c>
      <c r="B892" s="5" t="str">
        <f>IFERROR(__xludf.DUMMYFUNCTION("""COMPUTED_VALUE"""),"SR028")</f>
        <v>SR028</v>
      </c>
      <c r="C892" s="5" t="str">
        <f>IFERROR(__xludf.DUMMYFUNCTION("""COMPUTED_VALUE"""),"NÃO POSSUI")</f>
        <v>NÃO POSSUI</v>
      </c>
      <c r="D892" s="5" t="str">
        <f>IFERROR(__xludf.DUMMYFUNCTION("""COMPUTED_VALUE"""),"FIXADA EM POSTE")</f>
        <v>FIXADA EM POSTE</v>
      </c>
      <c r="E892" s="5" t="str">
        <f>IFERROR(__xludf.DUMMYFUNCTION("""COMPUTED_VALUE"""),"SEM BAIA")</f>
        <v>SEM BAIA</v>
      </c>
      <c r="F892" s="5" t="str">
        <f>IFERROR(__xludf.DUMMYFUNCTION("""COMPUTED_VALUE"""),"NÃO")</f>
        <v>NÃO</v>
      </c>
      <c r="G892" s="5" t="str">
        <f>IFERROR(__xludf.DUMMYFUNCTION("""COMPUTED_VALUE"""),"NÃO")</f>
        <v>NÃO</v>
      </c>
      <c r="H892" s="5" t="str">
        <f>IFERROR(__xludf.DUMMYFUNCTION("""COMPUTED_VALUE"""),"PAVIMENTADA COM AVARIAS")</f>
        <v>PAVIMENTADA COM AVARIAS</v>
      </c>
      <c r="I892" s="6" t="str">
        <f>IFERROR(__xludf.DUMMYFUNCTION("""COMPUTED_VALUE"""),"-9.604030")</f>
        <v>-9.604030</v>
      </c>
      <c r="J892" s="6" t="str">
        <f>IFERROR(__xludf.DUMMYFUNCTION("""COMPUTED_VALUE""")," -35.719952
")</f>
        <v> -35.719952
</v>
      </c>
      <c r="K892" s="5" t="str">
        <f>IFERROR(__xludf.DUMMYFUNCTION("""COMPUTED_VALUE"""),"RUA PROJETADA, S/N")</f>
        <v>RUA PROJETADA, S/N</v>
      </c>
      <c r="L892" s="5" t="str">
        <f>IFERROR(__xludf.DUMMYFUNCTION("""COMPUTED_VALUE"""),"COLETORA")</f>
        <v>COLETORA</v>
      </c>
      <c r="M892" s="5" t="str">
        <f>IFERROR(__xludf.DUMMYFUNCTION("""COMPUTED_VALUE"""),"SERRARIA")</f>
        <v>SERRARIA</v>
      </c>
      <c r="N892" s="5" t="str">
        <f>IFERROR(__xludf.DUMMYFUNCTION("""COMPUTED_VALUE"""),"CENTRO - BAIRRO")</f>
        <v>CENTRO - BAIRRO</v>
      </c>
      <c r="O892" s="5" t="str">
        <f>IFERROR(__xludf.DUMMYFUNCTION("""COMPUTED_VALUE"""),"EM FRENTE A ALGO DA CASAL")</f>
        <v>EM FRENTE A ALGO DA CASAL</v>
      </c>
      <c r="P892" s="5" t="str">
        <f>IFERROR(__xludf.DUMMYFUNCTION("""COMPUTED_VALUE"""),"PRIORIDADE BAIXA")</f>
        <v>PRIORIDADE BAIXA</v>
      </c>
      <c r="Q892" s="5" t="str">
        <f>IFERROR(__xludf.DUMMYFUNCTION("""COMPUTED_VALUE"""),"READEQUAÇÃO DE CALÇADA COM ACESSIBILIDADE E PINTURA DE BAÍA NO ASFALTO.")</f>
        <v>READEQUAÇÃO DE CALÇADA COM ACESSIBILIDADE E PINTURA DE BAÍA NO ASFALTO.</v>
      </c>
      <c r="R892" s="5" t="str">
        <f>IFERROR(__xludf.DUMMYFUNCTION("""COMPUTED_VALUE"""),"NENHUMA DAS OPÇÕES")</f>
        <v>NENHUMA DAS OPÇÕES</v>
      </c>
      <c r="S892" s="5"/>
      <c r="T892" s="5"/>
      <c r="U892" s="7">
        <f>IFERROR(__xludf.DUMMYFUNCTION("""COMPUTED_VALUE"""),44862.0)</f>
        <v>44862</v>
      </c>
      <c r="V892" s="9" t="str">
        <f>IFERROR(__xludf.DUMMYFUNCTION("""COMPUTED_VALUE"""),"https://drive.google.com/uc?id=12Bq9obVlzK8ilCpx0wlCgJB8FMjlwe3k")</f>
        <v>https://drive.google.com/uc?id=12Bq9obVlzK8ilCpx0wlCgJB8FMjlwe3k</v>
      </c>
      <c r="W892" s="5" t="str">
        <f>IFERROR(__xludf.DUMMYFUNCTION("""COMPUTED_VALUE"""),"NÃO")</f>
        <v>NÃO</v>
      </c>
      <c r="X892" s="5" t="str">
        <f>IFERROR(__xludf.DUMMYFUNCTION("""COMPUTED_VALUE"""),"NÃO SE APLICA")</f>
        <v>NÃO SE APLICA</v>
      </c>
    </row>
    <row r="893" hidden="1">
      <c r="A893" s="5">
        <f>IFERROR(__xludf.DUMMYFUNCTION("""COMPUTED_VALUE"""),5.0)</f>
        <v>5</v>
      </c>
      <c r="B893" s="5" t="str">
        <f>IFERROR(__xludf.DUMMYFUNCTION("""COMPUTED_VALUE"""),"SR029")</f>
        <v>SR029</v>
      </c>
      <c r="C893" s="5" t="str">
        <f>IFERROR(__xludf.DUMMYFUNCTION("""COMPUTED_VALUE"""),"NÃO POSSUI")</f>
        <v>NÃO POSSUI</v>
      </c>
      <c r="D893" s="5" t="str">
        <f>IFERROR(__xludf.DUMMYFUNCTION("""COMPUTED_VALUE"""),"COM SUPORTE")</f>
        <v>COM SUPORTE</v>
      </c>
      <c r="E893" s="5" t="str">
        <f>IFERROR(__xludf.DUMMYFUNCTION("""COMPUTED_VALUE"""),"SEM BAIA")</f>
        <v>SEM BAIA</v>
      </c>
      <c r="F893" s="5" t="str">
        <f>IFERROR(__xludf.DUMMYFUNCTION("""COMPUTED_VALUE"""),"NÃO")</f>
        <v>NÃO</v>
      </c>
      <c r="G893" s="5" t="str">
        <f>IFERROR(__xludf.DUMMYFUNCTION("""COMPUTED_VALUE"""),"NÃO")</f>
        <v>NÃO</v>
      </c>
      <c r="H893" s="5" t="str">
        <f>IFERROR(__xludf.DUMMYFUNCTION("""COMPUTED_VALUE"""),"PAVIMENTADA COM AVARIAS")</f>
        <v>PAVIMENTADA COM AVARIAS</v>
      </c>
      <c r="I893" s="6" t="str">
        <f>IFERROR(__xludf.DUMMYFUNCTION("""COMPUTED_VALUE"""),"-9.602390")</f>
        <v>-9.602390</v>
      </c>
      <c r="J893" s="6" t="str">
        <f>IFERROR(__xludf.DUMMYFUNCTION("""COMPUTED_VALUE"""),"-35.719150")</f>
        <v>-35.719150</v>
      </c>
      <c r="K893" s="5" t="str">
        <f>IFERROR(__xludf.DUMMYFUNCTION("""COMPUTED_VALUE"""),"AV. PRESIDENTE GETÚLIO VARGAS, S/N")</f>
        <v>AV. PRESIDENTE GETÚLIO VARGAS, S/N</v>
      </c>
      <c r="L893" s="5" t="str">
        <f>IFERROR(__xludf.DUMMYFUNCTION("""COMPUTED_VALUE"""),"COLETORA")</f>
        <v>COLETORA</v>
      </c>
      <c r="M893" s="5" t="str">
        <f>IFERROR(__xludf.DUMMYFUNCTION("""COMPUTED_VALUE"""),"SERRARIA")</f>
        <v>SERRARIA</v>
      </c>
      <c r="N893" s="5" t="str">
        <f>IFERROR(__xludf.DUMMYFUNCTION("""COMPUTED_VALUE"""),"CENTRO - BAIRRO")</f>
        <v>CENTRO - BAIRRO</v>
      </c>
      <c r="O893" s="5" t="str">
        <f>IFERROR(__xludf.DUMMYFUNCTION("""COMPUTED_VALUE"""),"EM FRENTE A PRAÇA DO JOSÉ TENÓRIO")</f>
        <v>EM FRENTE A PRAÇA DO JOSÉ TENÓRIO</v>
      </c>
      <c r="P893" s="5" t="str">
        <f>IFERROR(__xludf.DUMMYFUNCTION("""COMPUTED_VALUE"""),"PRIORIDADE BAIXA")</f>
        <v>PRIORIDADE BAIXA</v>
      </c>
      <c r="Q893" s="5" t="str">
        <f>IFERROR(__xludf.DUMMYFUNCTION("""COMPUTED_VALUE"""),"READEQUAÇÃO DE CALÇADA COM ACESSIBILIDADE E PINTURA DE BAÍA NO ASFALTO.")</f>
        <v>READEQUAÇÃO DE CALÇADA COM ACESSIBILIDADE E PINTURA DE BAÍA NO ASFALTO.</v>
      </c>
      <c r="R893" s="5" t="str">
        <f>IFERROR(__xludf.DUMMYFUNCTION("""COMPUTED_VALUE"""),"NENHUMA DAS OPÇÕES")</f>
        <v>NENHUMA DAS OPÇÕES</v>
      </c>
      <c r="S893" s="5"/>
      <c r="T893" s="5"/>
      <c r="U893" s="7">
        <f>IFERROR(__xludf.DUMMYFUNCTION("""COMPUTED_VALUE"""),44863.0)</f>
        <v>44863</v>
      </c>
      <c r="V893" s="9" t="str">
        <f>IFERROR(__xludf.DUMMYFUNCTION("""COMPUTED_VALUE"""),"https://drive.google.com/uc?id=1c9nlDe_ted9zg6Ih0IXg37C94IwuCAXT")</f>
        <v>https://drive.google.com/uc?id=1c9nlDe_ted9zg6Ih0IXg37C94IwuCAXT</v>
      </c>
      <c r="W893" s="5" t="str">
        <f>IFERROR(__xludf.DUMMYFUNCTION("""COMPUTED_VALUE"""),"NÃO")</f>
        <v>NÃO</v>
      </c>
      <c r="X893" s="5" t="str">
        <f>IFERROR(__xludf.DUMMYFUNCTION("""COMPUTED_VALUE"""),"NÃO SE APLICA")</f>
        <v>NÃO SE APLICA</v>
      </c>
    </row>
    <row r="894" hidden="1">
      <c r="A894" s="5">
        <f>IFERROR(__xludf.DUMMYFUNCTION("""COMPUTED_VALUE"""),5.0)</f>
        <v>5</v>
      </c>
      <c r="B894" s="5" t="str">
        <f>IFERROR(__xludf.DUMMYFUNCTION("""COMPUTED_VALUE"""),"SR030")</f>
        <v>SR030</v>
      </c>
      <c r="C894" s="5" t="str">
        <f>IFERROR(__xludf.DUMMYFUNCTION("""COMPUTED_VALUE"""),"NÃO POSSUI")</f>
        <v>NÃO POSSUI</v>
      </c>
      <c r="D894" s="5" t="str">
        <f>IFERROR(__xludf.DUMMYFUNCTION("""COMPUTED_VALUE"""),"COM SUPORTE")</f>
        <v>COM SUPORTE</v>
      </c>
      <c r="E894" s="5" t="str">
        <f>IFERROR(__xludf.DUMMYFUNCTION("""COMPUTED_VALUE"""),"SEM BAIA")</f>
        <v>SEM BAIA</v>
      </c>
      <c r="F894" s="5" t="str">
        <f>IFERROR(__xludf.DUMMYFUNCTION("""COMPUTED_VALUE"""),"NÃO")</f>
        <v>NÃO</v>
      </c>
      <c r="G894" s="5" t="str">
        <f>IFERROR(__xludf.DUMMYFUNCTION("""COMPUTED_VALUE"""),"NÃO")</f>
        <v>NÃO</v>
      </c>
      <c r="H894" s="5" t="str">
        <f>IFERROR(__xludf.DUMMYFUNCTION("""COMPUTED_VALUE"""),"PAVIMENTADA COM AVARIAS")</f>
        <v>PAVIMENTADA COM AVARIAS</v>
      </c>
      <c r="I894" s="6" t="str">
        <f>IFERROR(__xludf.DUMMYFUNCTION("""COMPUTED_VALUE"""),"-9.6043")</f>
        <v>-9.6043</v>
      </c>
      <c r="J894" s="6" t="str">
        <f>IFERROR(__xludf.DUMMYFUNCTION("""COMPUTED_VALUE"""),"-35.7163")</f>
        <v>-35.7163</v>
      </c>
      <c r="K894" s="5" t="str">
        <f>IFERROR(__xludf.DUMMYFUNCTION("""COMPUTED_VALUE"""),"AV. PRESIDENTE GETÚLIO VARGAS, S/N")</f>
        <v>AV. PRESIDENTE GETÚLIO VARGAS, S/N</v>
      </c>
      <c r="L894" s="5" t="str">
        <f>IFERROR(__xludf.DUMMYFUNCTION("""COMPUTED_VALUE"""),"COLETORA")</f>
        <v>COLETORA</v>
      </c>
      <c r="M894" s="5" t="str">
        <f>IFERROR(__xludf.DUMMYFUNCTION("""COMPUTED_VALUE"""),"SERRARIA")</f>
        <v>SERRARIA</v>
      </c>
      <c r="N894" s="5" t="str">
        <f>IFERROR(__xludf.DUMMYFUNCTION("""COMPUTED_VALUE"""),"CENTRO - BAIRRO")</f>
        <v>CENTRO - BAIRRO</v>
      </c>
      <c r="O894" s="5" t="str">
        <f>IFERROR(__xludf.DUMMYFUNCTION("""COMPUTED_VALUE"""),"LADO OPOSTO AO MERCADINHO DO AMIGÃO")</f>
        <v>LADO OPOSTO AO MERCADINHO DO AMIGÃO</v>
      </c>
      <c r="P894" s="5" t="str">
        <f>IFERROR(__xludf.DUMMYFUNCTION("""COMPUTED_VALUE"""),"URGENTE")</f>
        <v>URGENTE</v>
      </c>
      <c r="Q894" s="5" t="str">
        <f>IFERROR(__xludf.DUMMYFUNCTION("""COMPUTED_VALUE"""),"SUBSTITUIÇÃO DE PLACA FIXADA EM BARROTE, READEQUAÇÃO DE CALÇADA COM ACESSIBILIDADE E PINTURA DE BAÍA NO ASFALTO.")</f>
        <v>SUBSTITUIÇÃO DE PLACA FIXADA EM BARROTE, READEQUAÇÃO DE CALÇADA COM ACESSIBILIDADE E PINTURA DE BAÍA NO ASFALTO.</v>
      </c>
      <c r="R894" s="5" t="str">
        <f>IFERROR(__xludf.DUMMYFUNCTION("""COMPUTED_VALUE"""),"NENHUMA DAS OPÇÕES")</f>
        <v>NENHUMA DAS OPÇÕES</v>
      </c>
      <c r="S894" s="7">
        <f>IFERROR(__xludf.DUMMYFUNCTION("""COMPUTED_VALUE"""),44881.0)</f>
        <v>44881</v>
      </c>
      <c r="T894" s="5" t="str">
        <f>IFERROR(__xludf.DUMMYFUNCTION("""COMPUTED_VALUE"""),"REALIZADO")</f>
        <v>REALIZADO</v>
      </c>
      <c r="U894" s="7">
        <f>IFERROR(__xludf.DUMMYFUNCTION("""COMPUTED_VALUE"""),44864.0)</f>
        <v>44864</v>
      </c>
      <c r="V894" s="9" t="str">
        <f>IFERROR(__xludf.DUMMYFUNCTION("""COMPUTED_VALUE"""),"https://drive.google.com/uc?id=1rvpCWvzGq9nuwvL1aioc8RaxapGyPW0L")</f>
        <v>https://drive.google.com/uc?id=1rvpCWvzGq9nuwvL1aioc8RaxapGyPW0L</v>
      </c>
      <c r="W894" s="5" t="str">
        <f>IFERROR(__xludf.DUMMYFUNCTION("""COMPUTED_VALUE"""),"NÃO")</f>
        <v>NÃO</v>
      </c>
      <c r="X894" s="5" t="str">
        <f>IFERROR(__xludf.DUMMYFUNCTION("""COMPUTED_VALUE"""),"NÃO SE APLICA")</f>
        <v>NÃO SE APLICA</v>
      </c>
    </row>
    <row r="895" hidden="1">
      <c r="A895" s="5">
        <f>IFERROR(__xludf.DUMMYFUNCTION("""COMPUTED_VALUE"""),5.0)</f>
        <v>5</v>
      </c>
      <c r="B895" s="5" t="str">
        <f>IFERROR(__xludf.DUMMYFUNCTION("""COMPUTED_VALUE"""),"SR031")</f>
        <v>SR031</v>
      </c>
      <c r="C895" s="5" t="str">
        <f>IFERROR(__xludf.DUMMYFUNCTION("""COMPUTED_VALUE"""),"NÃO POSSUI")</f>
        <v>NÃO POSSUI</v>
      </c>
      <c r="D895" s="5" t="str">
        <f>IFERROR(__xludf.DUMMYFUNCTION("""COMPUTED_VALUE"""),"FIXADA EM POSTE")</f>
        <v>FIXADA EM POSTE</v>
      </c>
      <c r="E895" s="5" t="str">
        <f>IFERROR(__xludf.DUMMYFUNCTION("""COMPUTED_VALUE"""),"SEM BAIA")</f>
        <v>SEM BAIA</v>
      </c>
      <c r="F895" s="5" t="str">
        <f>IFERROR(__xludf.DUMMYFUNCTION("""COMPUTED_VALUE"""),"NÃO")</f>
        <v>NÃO</v>
      </c>
      <c r="G895" s="5" t="str">
        <f>IFERROR(__xludf.DUMMYFUNCTION("""COMPUTED_VALUE"""),"NÃO")</f>
        <v>NÃO</v>
      </c>
      <c r="H895" s="5" t="str">
        <f>IFERROR(__xludf.DUMMYFUNCTION("""COMPUTED_VALUE"""),"PAVIMENTADA COM AVARIAS")</f>
        <v>PAVIMENTADA COM AVARIAS</v>
      </c>
      <c r="I895" s="6" t="str">
        <f>IFERROR(__xludf.DUMMYFUNCTION("""COMPUTED_VALUE"""),"-9.607188")</f>
        <v>-9.607188</v>
      </c>
      <c r="J895" s="6" t="str">
        <f>IFERROR(__xludf.DUMMYFUNCTION("""COMPUTED_VALUE"""),"-35.714463")</f>
        <v>-35.714463</v>
      </c>
      <c r="K895" s="5" t="str">
        <f>IFERROR(__xludf.DUMMYFUNCTION("""COMPUTED_VALUE"""),"AV. PRESIDENTE GETÚLIO VARGAS, S/N")</f>
        <v>AV. PRESIDENTE GETÚLIO VARGAS, S/N</v>
      </c>
      <c r="L895" s="5" t="str">
        <f>IFERROR(__xludf.DUMMYFUNCTION("""COMPUTED_VALUE"""),"COLETORA")</f>
        <v>COLETORA</v>
      </c>
      <c r="M895" s="5" t="str">
        <f>IFERROR(__xludf.DUMMYFUNCTION("""COMPUTED_VALUE"""),"SERRARIA")</f>
        <v>SERRARIA</v>
      </c>
      <c r="N895" s="5" t="str">
        <f>IFERROR(__xludf.DUMMYFUNCTION("""COMPUTED_VALUE"""),"CENTRO - BAIRRO")</f>
        <v>CENTRO - BAIRRO</v>
      </c>
      <c r="O895" s="5" t="str">
        <f>IFERROR(__xludf.DUMMYFUNCTION("""COMPUTED_VALUE"""),"LADO OPOSTO AO VITTAS SORVETES E AÇAI")</f>
        <v>LADO OPOSTO AO VITTAS SORVETES E AÇAI</v>
      </c>
      <c r="P895" s="5" t="str">
        <f>IFERROR(__xludf.DUMMYFUNCTION("""COMPUTED_VALUE"""),"PRIORIDADE BAIXA")</f>
        <v>PRIORIDADE BAIXA</v>
      </c>
      <c r="Q895" s="5" t="str">
        <f>IFERROR(__xludf.DUMMYFUNCTION("""COMPUTED_VALUE"""),"READEQUAÇÃO DE CALÇADA COM ACESSIBILIDADE E PINTURA DE BAÍA NO ASFALTO.")</f>
        <v>READEQUAÇÃO DE CALÇADA COM ACESSIBILIDADE E PINTURA DE BAÍA NO ASFALTO.</v>
      </c>
      <c r="R895" s="5" t="str">
        <f>IFERROR(__xludf.DUMMYFUNCTION("""COMPUTED_VALUE"""),"IMPLANTAR ABRIGO")</f>
        <v>IMPLANTAR ABRIGO</v>
      </c>
      <c r="S895" s="5"/>
      <c r="T895" s="5"/>
      <c r="U895" s="7">
        <f>IFERROR(__xludf.DUMMYFUNCTION("""COMPUTED_VALUE"""),44865.0)</f>
        <v>44865</v>
      </c>
      <c r="V895" s="9" t="str">
        <f>IFERROR(__xludf.DUMMYFUNCTION("""COMPUTED_VALUE"""),"https://drive.google.com/uc?id=1k4xWRo8-fmP4BgFMgL52QettqcwIyddX")</f>
        <v>https://drive.google.com/uc?id=1k4xWRo8-fmP4BgFMgL52QettqcwIyddX</v>
      </c>
      <c r="W895" s="5" t="str">
        <f>IFERROR(__xludf.DUMMYFUNCTION("""COMPUTED_VALUE"""),"NÃO")</f>
        <v>NÃO</v>
      </c>
      <c r="X895" s="5" t="str">
        <f>IFERROR(__xludf.DUMMYFUNCTION("""COMPUTED_VALUE"""),"NÃO SE APLICA")</f>
        <v>NÃO SE APLICA</v>
      </c>
    </row>
    <row r="896" hidden="1">
      <c r="A896" s="5">
        <f>IFERROR(__xludf.DUMMYFUNCTION("""COMPUTED_VALUE"""),5.0)</f>
        <v>5</v>
      </c>
      <c r="B896" s="5" t="str">
        <f>IFERROR(__xludf.DUMMYFUNCTION("""COMPUTED_VALUE"""),"SR032")</f>
        <v>SR032</v>
      </c>
      <c r="C896" s="5" t="str">
        <f>IFERROR(__xludf.DUMMYFUNCTION("""COMPUTED_VALUE"""),"NÃO POSSUI")</f>
        <v>NÃO POSSUI</v>
      </c>
      <c r="D896" s="5" t="str">
        <f>IFERROR(__xludf.DUMMYFUNCTION("""COMPUTED_VALUE"""),"COM SUPORTE")</f>
        <v>COM SUPORTE</v>
      </c>
      <c r="E896" s="5" t="str">
        <f>IFERROR(__xludf.DUMMYFUNCTION("""COMPUTED_VALUE"""),"SEM BAIA")</f>
        <v>SEM BAIA</v>
      </c>
      <c r="F896" s="5" t="str">
        <f>IFERROR(__xludf.DUMMYFUNCTION("""COMPUTED_VALUE"""),"NÃO")</f>
        <v>NÃO</v>
      </c>
      <c r="G896" s="5" t="str">
        <f>IFERROR(__xludf.DUMMYFUNCTION("""COMPUTED_VALUE"""),"NÃO")</f>
        <v>NÃO</v>
      </c>
      <c r="H896" s="5" t="str">
        <f>IFERROR(__xludf.DUMMYFUNCTION("""COMPUTED_VALUE"""),"NÃO PAVIMENTADA")</f>
        <v>NÃO PAVIMENTADA</v>
      </c>
      <c r="I896" s="6" t="str">
        <f>IFERROR(__xludf.DUMMYFUNCTION("""COMPUTED_VALUE"""),"-9.608466")</f>
        <v>-9.608466</v>
      </c>
      <c r="J896" s="6" t="str">
        <f>IFERROR(__xludf.DUMMYFUNCTION("""COMPUTED_VALUE"""),"-35.713262")</f>
        <v>-35.713262</v>
      </c>
      <c r="K896" s="5" t="str">
        <f>IFERROR(__xludf.DUMMYFUNCTION("""COMPUTED_VALUE"""),"AV. PRESIDENTE GETÚLIO VARGAS, S/N")</f>
        <v>AV. PRESIDENTE GETÚLIO VARGAS, S/N</v>
      </c>
      <c r="L896" s="5" t="str">
        <f>IFERROR(__xludf.DUMMYFUNCTION("""COMPUTED_VALUE"""),"COLETORA")</f>
        <v>COLETORA</v>
      </c>
      <c r="M896" s="5" t="str">
        <f>IFERROR(__xludf.DUMMYFUNCTION("""COMPUTED_VALUE"""),"SERRARIA")</f>
        <v>SERRARIA</v>
      </c>
      <c r="N896" s="5" t="str">
        <f>IFERROR(__xludf.DUMMYFUNCTION("""COMPUTED_VALUE"""),"CENTRO - BAIRRO")</f>
        <v>CENTRO - BAIRRO</v>
      </c>
      <c r="O896" s="5" t="str">
        <f>IFERROR(__xludf.DUMMYFUNCTION("""COMPUTED_VALUE"""),"ANTES DO COND. BRISA DA SERRARI")</f>
        <v>ANTES DO COND. BRISA DA SERRARI</v>
      </c>
      <c r="P896" s="5" t="str">
        <f>IFERROR(__xludf.DUMMYFUNCTION("""COMPUTED_VALUE"""),"PRIORIDADE BAIXA")</f>
        <v>PRIORIDADE BAIXA</v>
      </c>
      <c r="Q896" s="5" t="str">
        <f>IFERROR(__xludf.DUMMYFUNCTION("""COMPUTED_VALUE"""),"READEQUAÇÃO DE CALÇADA COM ACESSIBILIDADE E PINTURA DE BAÍA NO ASFALTO.")</f>
        <v>READEQUAÇÃO DE CALÇADA COM ACESSIBILIDADE E PINTURA DE BAÍA NO ASFALTO.</v>
      </c>
      <c r="R896" s="5" t="str">
        <f>IFERROR(__xludf.DUMMYFUNCTION("""COMPUTED_VALUE"""),"IMPLANTAR ABRIGO")</f>
        <v>IMPLANTAR ABRIGO</v>
      </c>
      <c r="S896" s="5"/>
      <c r="T896" s="5"/>
      <c r="U896" s="7">
        <f>IFERROR(__xludf.DUMMYFUNCTION("""COMPUTED_VALUE"""),44866.0)</f>
        <v>44866</v>
      </c>
      <c r="V896" s="9" t="str">
        <f>IFERROR(__xludf.DUMMYFUNCTION("""COMPUTED_VALUE"""),"https://drive.google.com/uc?id=1jVoxImEixs5eN-Ra6rSs4VxPlvwQyg0k")</f>
        <v>https://drive.google.com/uc?id=1jVoxImEixs5eN-Ra6rSs4VxPlvwQyg0k</v>
      </c>
      <c r="W896" s="5" t="str">
        <f>IFERROR(__xludf.DUMMYFUNCTION("""COMPUTED_VALUE"""),"NÃO")</f>
        <v>NÃO</v>
      </c>
      <c r="X896" s="5" t="str">
        <f>IFERROR(__xludf.DUMMYFUNCTION("""COMPUTED_VALUE"""),"NÃO SE APLICA")</f>
        <v>NÃO SE APLICA</v>
      </c>
    </row>
    <row r="897">
      <c r="A897" s="5">
        <f>IFERROR(__xludf.DUMMYFUNCTION("""COMPUTED_VALUE"""),5.0)</f>
        <v>5</v>
      </c>
      <c r="B897" s="5" t="str">
        <f>IFERROR(__xludf.DUMMYFUNCTION("""COMPUTED_VALUE"""),"SR033")</f>
        <v>SR033</v>
      </c>
      <c r="C897" s="5" t="str">
        <f>IFERROR(__xludf.DUMMYFUNCTION("""COMPUTED_VALUE"""),"ABRIGO CONCRETO")</f>
        <v>ABRIGO CONCRETO</v>
      </c>
      <c r="D897" s="5" t="str">
        <f>IFERROR(__xludf.DUMMYFUNCTION("""COMPUTED_VALUE"""),"SEM PLACA")</f>
        <v>SEM PLACA</v>
      </c>
      <c r="E897" s="5" t="str">
        <f>IFERROR(__xludf.DUMMYFUNCTION("""COMPUTED_VALUE"""),"SEM BAIA")</f>
        <v>SEM BAIA</v>
      </c>
      <c r="F897" s="5" t="str">
        <f>IFERROR(__xludf.DUMMYFUNCTION("""COMPUTED_VALUE"""),"NÃO")</f>
        <v>NÃO</v>
      </c>
      <c r="G897" s="5" t="str">
        <f>IFERROR(__xludf.DUMMYFUNCTION("""COMPUTED_VALUE"""),"NÃO")</f>
        <v>NÃO</v>
      </c>
      <c r="H897" s="5" t="str">
        <f>IFERROR(__xludf.DUMMYFUNCTION("""COMPUTED_VALUE"""),"NÃO PAVIMENTADA")</f>
        <v>NÃO PAVIMENTADA</v>
      </c>
      <c r="I897" s="6" t="str">
        <f>IFERROR(__xludf.DUMMYFUNCTION("""COMPUTED_VALUE"""),"-9.609508")</f>
        <v>-9.609508</v>
      </c>
      <c r="J897" s="6" t="str">
        <f>IFERROR(__xludf.DUMMYFUNCTION("""COMPUTED_VALUE"""),"-35.708965")</f>
        <v>-35.708965</v>
      </c>
      <c r="K897" s="5" t="str">
        <f>IFERROR(__xludf.DUMMYFUNCTION("""COMPUTED_VALUE"""),"AV. PRESIDENTE GETÚLIO VARGAS, S/N")</f>
        <v>AV. PRESIDENTE GETÚLIO VARGAS, S/N</v>
      </c>
      <c r="L897" s="5" t="str">
        <f>IFERROR(__xludf.DUMMYFUNCTION("""COMPUTED_VALUE"""),"COLETORA")</f>
        <v>COLETORA</v>
      </c>
      <c r="M897" s="5" t="str">
        <f>IFERROR(__xludf.DUMMYFUNCTION("""COMPUTED_VALUE"""),"SERRARIA")</f>
        <v>SERRARIA</v>
      </c>
      <c r="N897" s="5" t="str">
        <f>IFERROR(__xludf.DUMMYFUNCTION("""COMPUTED_VALUE"""),"BAIRRO - CENTRO")</f>
        <v>BAIRRO - CENTRO</v>
      </c>
      <c r="O897" s="5" t="str">
        <f>IFERROR(__xludf.DUMMYFUNCTION("""COMPUTED_VALUE"""),"APÓS O TERMINAL DO JOSÉ TENÓRIO")</f>
        <v>APÓS O TERMINAL DO JOSÉ TENÓRIO</v>
      </c>
      <c r="P897" s="5" t="str">
        <f>IFERROR(__xludf.DUMMYFUNCTION("""COMPUTED_VALUE"""),"URGENTE")</f>
        <v>URGENTE</v>
      </c>
      <c r="Q897" s="5" t="str">
        <f>IFERROR(__xludf.DUMMYFUNCTION("""COMPUTED_VALUE"""),"ABRIGO LOCALIZADO. APÓS O TERMINAL DO JOSÉ TENÓRIO, SENDO ASSIM, NÃO PASSA ÔNIBUS NO LOCAL")</f>
        <v>ABRIGO LOCALIZADO. APÓS O TERMINAL DO JOSÉ TENÓRIO, SENDO ASSIM, NÃO PASSA ÔNIBUS NO LOCAL</v>
      </c>
      <c r="R897" s="5" t="str">
        <f>IFERROR(__xludf.DUMMYFUNCTION("""COMPUTED_VALUE"""),"SUBSTITUIR ABRIGO")</f>
        <v>SUBSTITUIR ABRIGO</v>
      </c>
      <c r="S897" s="5"/>
      <c r="T897" s="5"/>
      <c r="U897" s="7">
        <f>IFERROR(__xludf.DUMMYFUNCTION("""COMPUTED_VALUE"""),44867.0)</f>
        <v>44867</v>
      </c>
      <c r="V897" s="9" t="str">
        <f>IFERROR(__xludf.DUMMYFUNCTION("""COMPUTED_VALUE"""),"https://drive.google.com/uc?id=1aIoAb1m2JEG0x4mY2Tztf6dKrJIG-s0R")</f>
        <v>https://drive.google.com/uc?id=1aIoAb1m2JEG0x4mY2Tztf6dKrJIG-s0R</v>
      </c>
      <c r="W897" s="5" t="str">
        <f>IFERROR(__xludf.DUMMYFUNCTION("""COMPUTED_VALUE"""),"NÃO")</f>
        <v>NÃO</v>
      </c>
      <c r="X897" s="5" t="str">
        <f>IFERROR(__xludf.DUMMYFUNCTION("""COMPUTED_VALUE"""),"NÃO SE APLICA")</f>
        <v>NÃO SE APLICA</v>
      </c>
    </row>
    <row r="898" hidden="1">
      <c r="A898" s="5">
        <f>IFERROR(__xludf.DUMMYFUNCTION("""COMPUTED_VALUE"""),5.0)</f>
        <v>5</v>
      </c>
      <c r="B898" s="5" t="str">
        <f>IFERROR(__xludf.DUMMYFUNCTION("""COMPUTED_VALUE"""),"SR034")</f>
        <v>SR034</v>
      </c>
      <c r="C898" s="5" t="str">
        <f>IFERROR(__xludf.DUMMYFUNCTION("""COMPUTED_VALUE"""),"NÃO POSSUI")</f>
        <v>NÃO POSSUI</v>
      </c>
      <c r="D898" s="5" t="str">
        <f>IFERROR(__xludf.DUMMYFUNCTION("""COMPUTED_VALUE"""),"SEM PLACA")</f>
        <v>SEM PLACA</v>
      </c>
      <c r="E898" s="5" t="str">
        <f>IFERROR(__xludf.DUMMYFUNCTION("""COMPUTED_VALUE"""),"SEM BAIA")</f>
        <v>SEM BAIA</v>
      </c>
      <c r="F898" s="5" t="str">
        <f>IFERROR(__xludf.DUMMYFUNCTION("""COMPUTED_VALUE"""),"NÃO")</f>
        <v>NÃO</v>
      </c>
      <c r="G898" s="5" t="str">
        <f>IFERROR(__xludf.DUMMYFUNCTION("""COMPUTED_VALUE"""),"NÃO")</f>
        <v>NÃO</v>
      </c>
      <c r="H898" s="5" t="str">
        <f>IFERROR(__xludf.DUMMYFUNCTION("""COMPUTED_VALUE"""),"NÃO PAVIMENTADA")</f>
        <v>NÃO PAVIMENTADA</v>
      </c>
      <c r="I898" s="6" t="str">
        <f>IFERROR(__xludf.DUMMYFUNCTION("""COMPUTED_VALUE"""),"-9.609885")</f>
        <v>-9.609885</v>
      </c>
      <c r="J898" s="6" t="str">
        <f>IFERROR(__xludf.DUMMYFUNCTION("""COMPUTED_VALUE"""),"-35.709729
")</f>
        <v>-35.709729
</v>
      </c>
      <c r="K898" s="5" t="str">
        <f>IFERROR(__xludf.DUMMYFUNCTION("""COMPUTED_VALUE"""),"AV. PRESIDENTE GETÚLIO VARGAS, S/N")</f>
        <v>AV. PRESIDENTE GETÚLIO VARGAS, S/N</v>
      </c>
      <c r="L898" s="5" t="str">
        <f>IFERROR(__xludf.DUMMYFUNCTION("""COMPUTED_VALUE"""),"COLETORA")</f>
        <v>COLETORA</v>
      </c>
      <c r="M898" s="5" t="str">
        <f>IFERROR(__xludf.DUMMYFUNCTION("""COMPUTED_VALUE"""),"SERRARIA")</f>
        <v>SERRARIA</v>
      </c>
      <c r="N898" s="5" t="str">
        <f>IFERROR(__xludf.DUMMYFUNCTION("""COMPUTED_VALUE"""),"BAIRRO - CENTRO")</f>
        <v>BAIRRO - CENTRO</v>
      </c>
      <c r="O898" s="5" t="str">
        <f>IFERROR(__xludf.DUMMYFUNCTION("""COMPUTED_VALUE"""),"TERMINAL DO JOSÉ TENÓRIO")</f>
        <v>TERMINAL DO JOSÉ TENÓRIO</v>
      </c>
      <c r="P898" s="5" t="str">
        <f>IFERROR(__xludf.DUMMYFUNCTION("""COMPUTED_VALUE"""),"URGENTE")</f>
        <v>URGENTE</v>
      </c>
      <c r="Q898" s="5" t="str">
        <f>IFERROR(__xludf.DUMMYFUNCTION("""COMPUTED_VALUE"""),"CONSTRUÇÃO DE TERMINAL DO CONJ JOSÉ TENÓRIO")</f>
        <v>CONSTRUÇÃO DE TERMINAL DO CONJ JOSÉ TENÓRIO</v>
      </c>
      <c r="R898" s="5" t="str">
        <f>IFERROR(__xludf.DUMMYFUNCTION("""COMPUTED_VALUE"""),"NENHUMA DAS OPÇÕES")</f>
        <v>NENHUMA DAS OPÇÕES</v>
      </c>
      <c r="S898" s="5"/>
      <c r="T898" s="5"/>
      <c r="U898" s="7">
        <f>IFERROR(__xludf.DUMMYFUNCTION("""COMPUTED_VALUE"""),44868.0)</f>
        <v>44868</v>
      </c>
      <c r="V898" s="9" t="str">
        <f>IFERROR(__xludf.DUMMYFUNCTION("""COMPUTED_VALUE"""),"https://drive.google.com/uc?id=172HPZSEXlgvlu2p9d_JQA0SEY418vJo0")</f>
        <v>https://drive.google.com/uc?id=172HPZSEXlgvlu2p9d_JQA0SEY418vJo0</v>
      </c>
      <c r="W898" s="5" t="str">
        <f>IFERROR(__xludf.DUMMYFUNCTION("""COMPUTED_VALUE"""),"NÃO")</f>
        <v>NÃO</v>
      </c>
      <c r="X898" s="5" t="str">
        <f>IFERROR(__xludf.DUMMYFUNCTION("""COMPUTED_VALUE"""),"NÃO SE APLICA")</f>
        <v>NÃO SE APLICA</v>
      </c>
    </row>
    <row r="899" hidden="1">
      <c r="A899" s="5">
        <f>IFERROR(__xludf.DUMMYFUNCTION("""COMPUTED_VALUE"""),5.0)</f>
        <v>5</v>
      </c>
      <c r="B899" s="5" t="str">
        <f>IFERROR(__xludf.DUMMYFUNCTION("""COMPUTED_VALUE"""),"SR035")</f>
        <v>SR035</v>
      </c>
      <c r="C899" s="5" t="str">
        <f>IFERROR(__xludf.DUMMYFUNCTION("""COMPUTED_VALUE"""),"NÃO POSSUI")</f>
        <v>NÃO POSSUI</v>
      </c>
      <c r="D899" s="5" t="str">
        <f>IFERROR(__xludf.DUMMYFUNCTION("""COMPUTED_VALUE"""),"COM SUPORTE")</f>
        <v>COM SUPORTE</v>
      </c>
      <c r="E899" s="5" t="str">
        <f>IFERROR(__xludf.DUMMYFUNCTION("""COMPUTED_VALUE"""),"SEM BAIA")</f>
        <v>SEM BAIA</v>
      </c>
      <c r="F899" s="5" t="str">
        <f>IFERROR(__xludf.DUMMYFUNCTION("""COMPUTED_VALUE"""),"NÃO")</f>
        <v>NÃO</v>
      </c>
      <c r="G899" s="5" t="str">
        <f>IFERROR(__xludf.DUMMYFUNCTION("""COMPUTED_VALUE"""),"NÃO")</f>
        <v>NÃO</v>
      </c>
      <c r="H899" s="5" t="str">
        <f>IFERROR(__xludf.DUMMYFUNCTION("""COMPUTED_VALUE"""),"PAVIMENTADA COM AVARIAS")</f>
        <v>PAVIMENTADA COM AVARIAS</v>
      </c>
      <c r="I899" s="6" t="str">
        <f>IFERROR(__xludf.DUMMYFUNCTION("""COMPUTED_VALUE"""),"-9.608350")</f>
        <v>-9.608350</v>
      </c>
      <c r="J899" s="6" t="str">
        <f>IFERROR(__xludf.DUMMYFUNCTION("""COMPUTED_VALUE"""),"-35.713120")</f>
        <v>-35.713120</v>
      </c>
      <c r="K899" s="5" t="str">
        <f>IFERROR(__xludf.DUMMYFUNCTION("""COMPUTED_VALUE"""),"AV. PRESIDENTE GETÚLIO VARGAS, S/N")</f>
        <v>AV. PRESIDENTE GETÚLIO VARGAS, S/N</v>
      </c>
      <c r="L899" s="5" t="str">
        <f>IFERROR(__xludf.DUMMYFUNCTION("""COMPUTED_VALUE"""),"COLETORA")</f>
        <v>COLETORA</v>
      </c>
      <c r="M899" s="5" t="str">
        <f>IFERROR(__xludf.DUMMYFUNCTION("""COMPUTED_VALUE"""),"SERRARIA")</f>
        <v>SERRARIA</v>
      </c>
      <c r="N899" s="5" t="str">
        <f>IFERROR(__xludf.DUMMYFUNCTION("""COMPUTED_VALUE"""),"BAIRRO - CENTRO")</f>
        <v>BAIRRO - CENTRO</v>
      </c>
      <c r="O899" s="5" t="str">
        <f>IFERROR(__xludf.DUMMYFUNCTION("""COMPUTED_VALUE"""),"EM FRENTE A IGREJA MARATA")</f>
        <v>EM FRENTE A IGREJA MARATA</v>
      </c>
      <c r="P899" s="5" t="str">
        <f>IFERROR(__xludf.DUMMYFUNCTION("""COMPUTED_VALUE"""),"PRIORIDADE BAIXA")</f>
        <v>PRIORIDADE BAIXA</v>
      </c>
      <c r="Q899" s="5" t="str">
        <f>IFERROR(__xludf.DUMMYFUNCTION("""COMPUTED_VALUE"""),"READEQUAÇÃO DE CALÇADA COM ACESSIBILIDADE E PINTURA DE BAÍA NO ASFALTO.")</f>
        <v>READEQUAÇÃO DE CALÇADA COM ACESSIBILIDADE E PINTURA DE BAÍA NO ASFALTO.</v>
      </c>
      <c r="R899" s="5" t="str">
        <f>IFERROR(__xludf.DUMMYFUNCTION("""COMPUTED_VALUE"""),"NENHUMA DAS OPÇÕES")</f>
        <v>NENHUMA DAS OPÇÕES</v>
      </c>
      <c r="S899" s="5"/>
      <c r="T899" s="5"/>
      <c r="U899" s="7">
        <f>IFERROR(__xludf.DUMMYFUNCTION("""COMPUTED_VALUE"""),44869.0)</f>
        <v>44869</v>
      </c>
      <c r="V899" s="9" t="str">
        <f>IFERROR(__xludf.DUMMYFUNCTION("""COMPUTED_VALUE"""),"https://drive.google.com/uc?id=1IrHIYNCU14xKfkjBzYZrwTBsjx-FmQOa")</f>
        <v>https://drive.google.com/uc?id=1IrHIYNCU14xKfkjBzYZrwTBsjx-FmQOa</v>
      </c>
      <c r="W899" s="5" t="str">
        <f>IFERROR(__xludf.DUMMYFUNCTION("""COMPUTED_VALUE"""),"NÃO")</f>
        <v>NÃO</v>
      </c>
      <c r="X899" s="5" t="str">
        <f>IFERROR(__xludf.DUMMYFUNCTION("""COMPUTED_VALUE"""),"NÃO SE APLICA")</f>
        <v>NÃO SE APLICA</v>
      </c>
    </row>
    <row r="900" ht="18.75" customHeight="1">
      <c r="A900" s="5">
        <f>IFERROR(__xludf.DUMMYFUNCTION("""COMPUTED_VALUE"""),5.0)</f>
        <v>5</v>
      </c>
      <c r="B900" s="5" t="str">
        <f>IFERROR(__xludf.DUMMYFUNCTION("""COMPUTED_VALUE"""),"SR036")</f>
        <v>SR036</v>
      </c>
      <c r="C900" s="5" t="str">
        <f>IFERROR(__xludf.DUMMYFUNCTION("""COMPUTED_VALUE"""),"ABRIGO CONCRETO")</f>
        <v>ABRIGO CONCRETO</v>
      </c>
      <c r="D900" s="5" t="str">
        <f>IFERROR(__xludf.DUMMYFUNCTION("""COMPUTED_VALUE"""),"SEM PLACA")</f>
        <v>SEM PLACA</v>
      </c>
      <c r="E900" s="5" t="str">
        <f>IFERROR(__xludf.DUMMYFUNCTION("""COMPUTED_VALUE"""),"SEM BAIA")</f>
        <v>SEM BAIA</v>
      </c>
      <c r="F900" s="5" t="str">
        <f>IFERROR(__xludf.DUMMYFUNCTION("""COMPUTED_VALUE"""),"NÃO")</f>
        <v>NÃO</v>
      </c>
      <c r="G900" s="5" t="str">
        <f>IFERROR(__xludf.DUMMYFUNCTION("""COMPUTED_VALUE"""),"NÃO")</f>
        <v>NÃO</v>
      </c>
      <c r="H900" s="5" t="str">
        <f>IFERROR(__xludf.DUMMYFUNCTION("""COMPUTED_VALUE"""),"NÃO PAVIMENTADA")</f>
        <v>NÃO PAVIMENTADA</v>
      </c>
      <c r="I900" s="6" t="str">
        <f>IFERROR(__xludf.DUMMYFUNCTION("""COMPUTED_VALUE"""),"-9.607084")</f>
        <v>-9.607084</v>
      </c>
      <c r="J900" s="6" t="str">
        <f>IFERROR(__xludf.DUMMYFUNCTION("""COMPUTED_VALUE""")," -35.714313
")</f>
        <v> -35.714313
</v>
      </c>
      <c r="K900" s="5" t="str">
        <f>IFERROR(__xludf.DUMMYFUNCTION("""COMPUTED_VALUE"""),"AV. PRESIDENTE GETÚLIO VARGAS, S/N")</f>
        <v>AV. PRESIDENTE GETÚLIO VARGAS, S/N</v>
      </c>
      <c r="L900" s="5" t="str">
        <f>IFERROR(__xludf.DUMMYFUNCTION("""COMPUTED_VALUE"""),"COLETORA")</f>
        <v>COLETORA</v>
      </c>
      <c r="M900" s="5" t="str">
        <f>IFERROR(__xludf.DUMMYFUNCTION("""COMPUTED_VALUE"""),"SERRARIA")</f>
        <v>SERRARIA</v>
      </c>
      <c r="N900" s="5" t="str">
        <f>IFERROR(__xludf.DUMMYFUNCTION("""COMPUTED_VALUE"""),"BAIRRO - CENTRO")</f>
        <v>BAIRRO - CENTRO</v>
      </c>
      <c r="O900" s="5" t="str">
        <f>IFERROR(__xludf.DUMMYFUNCTION("""COMPUTED_VALUE"""),"AO LADO DO VITTAS SORVETES E AÇAÍ
")</f>
        <v>AO LADO DO VITTAS SORVETES E AÇAÍ
</v>
      </c>
      <c r="P900" s="5" t="str">
        <f>IFERROR(__xludf.DUMMYFUNCTION("""COMPUTED_VALUE"""),"PRIORIDADE ALTA")</f>
        <v>PRIORIDADE ALTA</v>
      </c>
      <c r="Q900" s="5" t="str">
        <f>IFERROR(__xludf.DUMMYFUNCTION("""COMPUTED_VALUE"""),"ABRIGO DANIFICADO - PINTURA DE TODO O ABRIGO, MANUTENÇÃO E LIMPEZA DA COBERTA, PINTURA DA SINALIZAÇÃO DA BAÍA NO ASFALTO, READEQUAÇÃO DE CALÇADA COM ACESSIBILIDADE, IMPLANTAR PLACA EM BARROTE.")</f>
        <v>ABRIGO DANIFICADO - PINTURA DE TODO O ABRIGO, MANUTENÇÃO E LIMPEZA DA COBERTA, PINTURA DA SINALIZAÇÃO DA BAÍA NO ASFALTO, READEQUAÇÃO DE CALÇADA COM ACESSIBILIDADE, IMPLANTAR PLACA EM BARROTE.</v>
      </c>
      <c r="R900" s="5" t="str">
        <f>IFERROR(__xludf.DUMMYFUNCTION("""COMPUTED_VALUE"""),"SUBSTITUIR ABRIGO")</f>
        <v>SUBSTITUIR ABRIGO</v>
      </c>
      <c r="S900" s="5"/>
      <c r="T900" s="5"/>
      <c r="U900" s="7">
        <f>IFERROR(__xludf.DUMMYFUNCTION("""COMPUTED_VALUE"""),44870.0)</f>
        <v>44870</v>
      </c>
      <c r="V900" s="9" t="str">
        <f>IFERROR(__xludf.DUMMYFUNCTION("""COMPUTED_VALUE"""),"https://drive.google.com/uc?id=13IVWyWSw_sxc_NW67t0vu0caZH1mKzuC")</f>
        <v>https://drive.google.com/uc?id=13IVWyWSw_sxc_NW67t0vu0caZH1mKzuC</v>
      </c>
      <c r="W900" s="5" t="str">
        <f>IFERROR(__xludf.DUMMYFUNCTION("""COMPUTED_VALUE"""),"NÃO")</f>
        <v>NÃO</v>
      </c>
      <c r="X900" s="5" t="str">
        <f>IFERROR(__xludf.DUMMYFUNCTION("""COMPUTED_VALUE"""),"NÃO SE APLICA")</f>
        <v>NÃO SE APLICA</v>
      </c>
    </row>
    <row r="901" ht="19.5" customHeight="1">
      <c r="A901" s="5">
        <f>IFERROR(__xludf.DUMMYFUNCTION("""COMPUTED_VALUE"""),5.0)</f>
        <v>5</v>
      </c>
      <c r="B901" s="5" t="str">
        <f>IFERROR(__xludf.DUMMYFUNCTION("""COMPUTED_VALUE"""),"SR037")</f>
        <v>SR037</v>
      </c>
      <c r="C901" s="5" t="str">
        <f>IFERROR(__xludf.DUMMYFUNCTION("""COMPUTED_VALUE"""),"ABRIGO CONCRETO")</f>
        <v>ABRIGO CONCRETO</v>
      </c>
      <c r="D901" s="5" t="str">
        <f>IFERROR(__xludf.DUMMYFUNCTION("""COMPUTED_VALUE"""),"SEM PLACA")</f>
        <v>SEM PLACA</v>
      </c>
      <c r="E901" s="5" t="str">
        <f>IFERROR(__xludf.DUMMYFUNCTION("""COMPUTED_VALUE"""),"SEM BAIA")</f>
        <v>SEM BAIA</v>
      </c>
      <c r="F901" s="5" t="str">
        <f>IFERROR(__xludf.DUMMYFUNCTION("""COMPUTED_VALUE"""),"NÃO")</f>
        <v>NÃO</v>
      </c>
      <c r="G901" s="5" t="str">
        <f>IFERROR(__xludf.DUMMYFUNCTION("""COMPUTED_VALUE"""),"NÃO")</f>
        <v>NÃO</v>
      </c>
      <c r="H901" s="5" t="str">
        <f>IFERROR(__xludf.DUMMYFUNCTION("""COMPUTED_VALUE"""),"NÃO PAVIMENTADA")</f>
        <v>NÃO PAVIMENTADA</v>
      </c>
      <c r="I901" s="6" t="str">
        <f>IFERROR(__xludf.DUMMYFUNCTION("""COMPUTED_VALUE"""),"-9.605283")</f>
        <v>-9.605283</v>
      </c>
      <c r="J901" s="6" t="str">
        <f>IFERROR(__xludf.DUMMYFUNCTION("""COMPUTED_VALUE"""),"-35.715515")</f>
        <v>-35.715515</v>
      </c>
      <c r="K901" s="5" t="str">
        <f>IFERROR(__xludf.DUMMYFUNCTION("""COMPUTED_VALUE"""),"AV. PRESIDENTE GETÚLIO VARGAS, S/N")</f>
        <v>AV. PRESIDENTE GETÚLIO VARGAS, S/N</v>
      </c>
      <c r="L901" s="5" t="str">
        <f>IFERROR(__xludf.DUMMYFUNCTION("""COMPUTED_VALUE"""),"COLETORA")</f>
        <v>COLETORA</v>
      </c>
      <c r="M901" s="5" t="str">
        <f>IFERROR(__xludf.DUMMYFUNCTION("""COMPUTED_VALUE"""),"SERRARIA")</f>
        <v>SERRARIA</v>
      </c>
      <c r="N901" s="5" t="str">
        <f>IFERROR(__xludf.DUMMYFUNCTION("""COMPUTED_VALUE"""),"BAIRRO - CENTRO")</f>
        <v>BAIRRO - CENTRO</v>
      </c>
      <c r="O901" s="5" t="str">
        <f>IFERROR(__xludf.DUMMYFUNCTION("""COMPUTED_VALUE"""),"LADO OPOSTO AO MERCADO O BOM DA CARNE")</f>
        <v>LADO OPOSTO AO MERCADO O BOM DA CARNE</v>
      </c>
      <c r="P901" s="5" t="str">
        <f>IFERROR(__xludf.DUMMYFUNCTION("""COMPUTED_VALUE"""),"PRIORIDADE ALTA")</f>
        <v>PRIORIDADE ALTA</v>
      </c>
      <c r="Q901" s="5" t="str">
        <f>IFERROR(__xludf.DUMMYFUNCTION("""COMPUTED_VALUE"""),"ABRIGO DANIFICADO - PINTURA DE TODO O ABRIGO, MANUTENÇÃO E LIMPEZA DA COBERTA, PINTURA DA SINALIZAÇÃO DA BAÍA NO ASFALTO, READEQUAÇÃO DE CALÇADA COM ACESSIBILIDADE, IMPLANTAR PLACA EM BARROTE.")</f>
        <v>ABRIGO DANIFICADO - PINTURA DE TODO O ABRIGO, MANUTENÇÃO E LIMPEZA DA COBERTA, PINTURA DA SINALIZAÇÃO DA BAÍA NO ASFALTO, READEQUAÇÃO DE CALÇADA COM ACESSIBILIDADE, IMPLANTAR PLACA EM BARROTE.</v>
      </c>
      <c r="R901" s="5" t="str">
        <f>IFERROR(__xludf.DUMMYFUNCTION("""COMPUTED_VALUE"""),"SUBSTITUIR ABRIGO")</f>
        <v>SUBSTITUIR ABRIGO</v>
      </c>
      <c r="S901" s="5"/>
      <c r="T901" s="5"/>
      <c r="U901" s="7">
        <f>IFERROR(__xludf.DUMMYFUNCTION("""COMPUTED_VALUE"""),44871.0)</f>
        <v>44871</v>
      </c>
      <c r="V901" s="9" t="str">
        <f>IFERROR(__xludf.DUMMYFUNCTION("""COMPUTED_VALUE"""),"https://drive.google.com/uc?id=1oXsAnCNgfWQFOK03QPeyLow-jGWza1yh")</f>
        <v>https://drive.google.com/uc?id=1oXsAnCNgfWQFOK03QPeyLow-jGWza1yh</v>
      </c>
      <c r="W901" s="5" t="str">
        <f>IFERROR(__xludf.DUMMYFUNCTION("""COMPUTED_VALUE"""),"NÃO")</f>
        <v>NÃO</v>
      </c>
      <c r="X901" s="5" t="str">
        <f>IFERROR(__xludf.DUMMYFUNCTION("""COMPUTED_VALUE"""),"NÃO SE APLICA")</f>
        <v>NÃO SE APLICA</v>
      </c>
    </row>
    <row r="902" ht="12.75" customHeight="1">
      <c r="A902" s="5">
        <f>IFERROR(__xludf.DUMMYFUNCTION("""COMPUTED_VALUE"""),5.0)</f>
        <v>5</v>
      </c>
      <c r="B902" s="5" t="str">
        <f>IFERROR(__xludf.DUMMYFUNCTION("""COMPUTED_VALUE"""),"SR038")</f>
        <v>SR038</v>
      </c>
      <c r="C902" s="5" t="str">
        <f>IFERROR(__xludf.DUMMYFUNCTION("""COMPUTED_VALUE"""),"ABRIGO CONCRETO")</f>
        <v>ABRIGO CONCRETO</v>
      </c>
      <c r="D902" s="5" t="str">
        <f>IFERROR(__xludf.DUMMYFUNCTION("""COMPUTED_VALUE"""),"SEM PLACA")</f>
        <v>SEM PLACA</v>
      </c>
      <c r="E902" s="5" t="str">
        <f>IFERROR(__xludf.DUMMYFUNCTION("""COMPUTED_VALUE"""),"SEM BAIA")</f>
        <v>SEM BAIA</v>
      </c>
      <c r="F902" s="5" t="str">
        <f>IFERROR(__xludf.DUMMYFUNCTION("""COMPUTED_VALUE"""),"NÃO")</f>
        <v>NÃO</v>
      </c>
      <c r="G902" s="5" t="str">
        <f>IFERROR(__xludf.DUMMYFUNCTION("""COMPUTED_VALUE"""),"NÃO")</f>
        <v>NÃO</v>
      </c>
      <c r="H902" s="5" t="str">
        <f>IFERROR(__xludf.DUMMYFUNCTION("""COMPUTED_VALUE"""),"NÃO PAVIMENTADA")</f>
        <v>NÃO PAVIMENTADA</v>
      </c>
      <c r="I902" s="6" t="str">
        <f>IFERROR(__xludf.DUMMYFUNCTION("""COMPUTED_VALUE"""),"-9.603844")</f>
        <v>-9.603844</v>
      </c>
      <c r="J902" s="6" t="str">
        <f>IFERROR(__xludf.DUMMYFUNCTION("""COMPUTED_VALUE"""),"-35.716383
")</f>
        <v>-35.716383
</v>
      </c>
      <c r="K902" s="5" t="str">
        <f>IFERROR(__xludf.DUMMYFUNCTION("""COMPUTED_VALUE"""),"AV. PRESIDENTE GETÚLIO VARGAS, S/N")</f>
        <v>AV. PRESIDENTE GETÚLIO VARGAS, S/N</v>
      </c>
      <c r="L902" s="5" t="str">
        <f>IFERROR(__xludf.DUMMYFUNCTION("""COMPUTED_VALUE"""),"COLETORA")</f>
        <v>COLETORA</v>
      </c>
      <c r="M902" s="5" t="str">
        <f>IFERROR(__xludf.DUMMYFUNCTION("""COMPUTED_VALUE"""),"SERRARIA")</f>
        <v>SERRARIA</v>
      </c>
      <c r="N902" s="5" t="str">
        <f>IFERROR(__xludf.DUMMYFUNCTION("""COMPUTED_VALUE"""),"BAIRRO - CENTRO")</f>
        <v>BAIRRO - CENTRO</v>
      </c>
      <c r="O902" s="5" t="str">
        <f>IFERROR(__xludf.DUMMYFUNCTION("""COMPUTED_VALUE"""),"ANTES DA CASA 5")</f>
        <v>ANTES DA CASA 5</v>
      </c>
      <c r="P902" s="5" t="str">
        <f>IFERROR(__xludf.DUMMYFUNCTION("""COMPUTED_VALUE"""),"PRIORIDADE ALTA")</f>
        <v>PRIORIDADE ALTA</v>
      </c>
      <c r="Q902" s="5" t="str">
        <f>IFERROR(__xludf.DUMMYFUNCTION("""COMPUTED_VALUE"""),"ABRIGO DANIFICADO - PINTURA DE TODO O ABRIGO, MANUTENÇÃO E LIMPEZA DA COBERTA, PINTURA DA SINALIZAÇÃO DA BAÍA NO ASFALTO, READEQUAÇÃO DE CALÇADA COM ACESSIBILIDADE, IMPLANTAR PLACA EM BARROTE.")</f>
        <v>ABRIGO DANIFICADO - PINTURA DE TODO O ABRIGO, MANUTENÇÃO E LIMPEZA DA COBERTA, PINTURA DA SINALIZAÇÃO DA BAÍA NO ASFALTO, READEQUAÇÃO DE CALÇADA COM ACESSIBILIDADE, IMPLANTAR PLACA EM BARROTE.</v>
      </c>
      <c r="R902" s="5" t="str">
        <f>IFERROR(__xludf.DUMMYFUNCTION("""COMPUTED_VALUE"""),"SUBSTITUIR ABRIGO")</f>
        <v>SUBSTITUIR ABRIGO</v>
      </c>
      <c r="S902" s="5"/>
      <c r="T902" s="5"/>
      <c r="U902" s="7">
        <f>IFERROR(__xludf.DUMMYFUNCTION("""COMPUTED_VALUE"""),44872.0)</f>
        <v>44872</v>
      </c>
      <c r="V902" s="9" t="str">
        <f>IFERROR(__xludf.DUMMYFUNCTION("""COMPUTED_VALUE"""),"https://drive.google.com/uc?id=1e31rbq5wb_HzzqWhqP8cDj8iQWS3xpJa")</f>
        <v>https://drive.google.com/uc?id=1e31rbq5wb_HzzqWhqP8cDj8iQWS3xpJa</v>
      </c>
      <c r="W902" s="5" t="str">
        <f>IFERROR(__xludf.DUMMYFUNCTION("""COMPUTED_VALUE"""),"NÃO")</f>
        <v>NÃO</v>
      </c>
      <c r="X902" s="5" t="str">
        <f>IFERROR(__xludf.DUMMYFUNCTION("""COMPUTED_VALUE"""),"NÃO SE APLICA")</f>
        <v>NÃO SE APLICA</v>
      </c>
    </row>
    <row r="903">
      <c r="A903" s="5">
        <f>IFERROR(__xludf.DUMMYFUNCTION("""COMPUTED_VALUE"""),5.0)</f>
        <v>5</v>
      </c>
      <c r="B903" s="5" t="str">
        <f>IFERROR(__xludf.DUMMYFUNCTION("""COMPUTED_VALUE"""),"SR039")</f>
        <v>SR039</v>
      </c>
      <c r="C903" s="5" t="str">
        <f>IFERROR(__xludf.DUMMYFUNCTION("""COMPUTED_VALUE"""),"ABRIGO CONCRETO")</f>
        <v>ABRIGO CONCRETO</v>
      </c>
      <c r="D903" s="5" t="str">
        <f>IFERROR(__xludf.DUMMYFUNCTION("""COMPUTED_VALUE"""),"SEM PLACA")</f>
        <v>SEM PLACA</v>
      </c>
      <c r="E903" s="5" t="str">
        <f>IFERROR(__xludf.DUMMYFUNCTION("""COMPUTED_VALUE"""),"SEM BAIA")</f>
        <v>SEM BAIA</v>
      </c>
      <c r="F903" s="5" t="str">
        <f>IFERROR(__xludf.DUMMYFUNCTION("""COMPUTED_VALUE"""),"NÃO")</f>
        <v>NÃO</v>
      </c>
      <c r="G903" s="5" t="str">
        <f>IFERROR(__xludf.DUMMYFUNCTION("""COMPUTED_VALUE"""),"NÃO")</f>
        <v>NÃO</v>
      </c>
      <c r="H903" s="5" t="str">
        <f>IFERROR(__xludf.DUMMYFUNCTION("""COMPUTED_VALUE"""),"PAVIMENTADA")</f>
        <v>PAVIMENTADA</v>
      </c>
      <c r="I903" s="6" t="str">
        <f>IFERROR(__xludf.DUMMYFUNCTION("""COMPUTED_VALUE"""),"-9.601770")</f>
        <v>-9.601770</v>
      </c>
      <c r="J903" s="6" t="str">
        <f>IFERROR(__xludf.DUMMYFUNCTION("""COMPUTED_VALUE"""),"-35.718789
")</f>
        <v>-35.718789
</v>
      </c>
      <c r="K903" s="5" t="str">
        <f>IFERROR(__xludf.DUMMYFUNCTION("""COMPUTED_VALUE"""),"AV. PRESIDENTE GETÚLIO VARGAS, S/N")</f>
        <v>AV. PRESIDENTE GETÚLIO VARGAS, S/N</v>
      </c>
      <c r="L903" s="5" t="str">
        <f>IFERROR(__xludf.DUMMYFUNCTION("""COMPUTED_VALUE"""),"COLETORA")</f>
        <v>COLETORA</v>
      </c>
      <c r="M903" s="5" t="str">
        <f>IFERROR(__xludf.DUMMYFUNCTION("""COMPUTED_VALUE"""),"SERRARIA")</f>
        <v>SERRARIA</v>
      </c>
      <c r="N903" s="5" t="str">
        <f>IFERROR(__xludf.DUMMYFUNCTION("""COMPUTED_VALUE"""),"BAIRRO - CENTRO")</f>
        <v>BAIRRO - CENTRO</v>
      </c>
      <c r="O903" s="5" t="str">
        <f>IFERROR(__xludf.DUMMYFUNCTION("""COMPUTED_VALUE"""),"EM FRENTE AO CÉU DA BOCA")</f>
        <v>EM FRENTE AO CÉU DA BOCA</v>
      </c>
      <c r="P903" s="5" t="str">
        <f>IFERROR(__xludf.DUMMYFUNCTION("""COMPUTED_VALUE"""),"PRIORIDADE ALTA")</f>
        <v>PRIORIDADE ALTA</v>
      </c>
      <c r="Q903" s="5" t="str">
        <f>IFERROR(__xludf.DUMMYFUNCTION("""COMPUTED_VALUE"""),"ABRIGO DANIFICADO - PINTURA DE TODO O ABRIGO, MANUTENÇÃO E LIMPEZA DA COBERTA, PINTURA DA SINALIZAÇÃO DA BAÍA NO ASFALTO, READEQUAÇÃO DE CALÇADA COM ACESSIBILIDADE, IMPLANTAR PLACA EM BARROTE.")</f>
        <v>ABRIGO DANIFICADO - PINTURA DE TODO O ABRIGO, MANUTENÇÃO E LIMPEZA DA COBERTA, PINTURA DA SINALIZAÇÃO DA BAÍA NO ASFALTO, READEQUAÇÃO DE CALÇADA COM ACESSIBILIDADE, IMPLANTAR PLACA EM BARROTE.</v>
      </c>
      <c r="R903" s="5" t="str">
        <f>IFERROR(__xludf.DUMMYFUNCTION("""COMPUTED_VALUE"""),"SUBSTITUIR ABRIGO")</f>
        <v>SUBSTITUIR ABRIGO</v>
      </c>
      <c r="S903" s="5"/>
      <c r="T903" s="5"/>
      <c r="U903" s="7">
        <f>IFERROR(__xludf.DUMMYFUNCTION("""COMPUTED_VALUE"""),44873.0)</f>
        <v>44873</v>
      </c>
      <c r="V903" s="9" t="str">
        <f>IFERROR(__xludf.DUMMYFUNCTION("""COMPUTED_VALUE"""),"https://drive.google.com/uc?id=15-cfwXUGIU21VKHP1E1rHaeIDPSVUhuz")</f>
        <v>https://drive.google.com/uc?id=15-cfwXUGIU21VKHP1E1rHaeIDPSVUhuz</v>
      </c>
      <c r="W903" s="5" t="str">
        <f>IFERROR(__xludf.DUMMYFUNCTION("""COMPUTED_VALUE"""),"NÃO")</f>
        <v>NÃO</v>
      </c>
      <c r="X903" s="5" t="str">
        <f>IFERROR(__xludf.DUMMYFUNCTION("""COMPUTED_VALUE"""),"NÃO SE APLICA")</f>
        <v>NÃO SE APLICA</v>
      </c>
    </row>
    <row r="904" ht="16.5" customHeight="1">
      <c r="A904" s="5">
        <f>IFERROR(__xludf.DUMMYFUNCTION("""COMPUTED_VALUE"""),5.0)</f>
        <v>5</v>
      </c>
      <c r="B904" s="5" t="str">
        <f>IFERROR(__xludf.DUMMYFUNCTION("""COMPUTED_VALUE"""),"SR040")</f>
        <v>SR040</v>
      </c>
      <c r="C904" s="5" t="str">
        <f>IFERROR(__xludf.DUMMYFUNCTION("""COMPUTED_VALUE"""),"ABRIGO CONCRETO")</f>
        <v>ABRIGO CONCRETO</v>
      </c>
      <c r="D904" s="5" t="str">
        <f>IFERROR(__xludf.DUMMYFUNCTION("""COMPUTED_VALUE"""),"SEM PLACA")</f>
        <v>SEM PLACA</v>
      </c>
      <c r="E904" s="5" t="str">
        <f>IFERROR(__xludf.DUMMYFUNCTION("""COMPUTED_VALUE"""),"SEM BAIA")</f>
        <v>SEM BAIA</v>
      </c>
      <c r="F904" s="5" t="str">
        <f>IFERROR(__xludf.DUMMYFUNCTION("""COMPUTED_VALUE"""),"NÃO")</f>
        <v>NÃO</v>
      </c>
      <c r="G904" s="5" t="str">
        <f>IFERROR(__xludf.DUMMYFUNCTION("""COMPUTED_VALUE"""),"NÃO")</f>
        <v>NÃO</v>
      </c>
      <c r="H904" s="5" t="str">
        <f>IFERROR(__xludf.DUMMYFUNCTION("""COMPUTED_VALUE"""),"NÃO PAVIMENTADA")</f>
        <v>NÃO PAVIMENTADA</v>
      </c>
      <c r="I904" s="6" t="str">
        <f>IFERROR(__xludf.DUMMYFUNCTION("""COMPUTED_VALUE"""),"-9.601773")</f>
        <v>-9.601773</v>
      </c>
      <c r="J904" s="6" t="str">
        <f>IFERROR(__xludf.DUMMYFUNCTION("""COMPUTED_VALUE"""),"-35.721199
")</f>
        <v>-35.721199
</v>
      </c>
      <c r="K904" s="5" t="str">
        <f>IFERROR(__xludf.DUMMYFUNCTION("""COMPUTED_VALUE"""),"AV. PRESIDENTE GETÚLIO VARGAS, S/N")</f>
        <v>AV. PRESIDENTE GETÚLIO VARGAS, S/N</v>
      </c>
      <c r="L904" s="5" t="str">
        <f>IFERROR(__xludf.DUMMYFUNCTION("""COMPUTED_VALUE"""),"COLETORA")</f>
        <v>COLETORA</v>
      </c>
      <c r="M904" s="5" t="str">
        <f>IFERROR(__xludf.DUMMYFUNCTION("""COMPUTED_VALUE"""),"SERRARIA")</f>
        <v>SERRARIA</v>
      </c>
      <c r="N904" s="5" t="str">
        <f>IFERROR(__xludf.DUMMYFUNCTION("""COMPUTED_VALUE"""),"BAIRRO - CENTRO")</f>
        <v>BAIRRO - CENTRO</v>
      </c>
      <c r="O904" s="5" t="str">
        <f>IFERROR(__xludf.DUMMYFUNCTION("""COMPUTED_VALUE"""),"EM FRENTE AO SALÃO DE RECEPÇÕES VERSAILLES")</f>
        <v>EM FRENTE AO SALÃO DE RECEPÇÕES VERSAILLES</v>
      </c>
      <c r="P904" s="5" t="str">
        <f>IFERROR(__xludf.DUMMYFUNCTION("""COMPUTED_VALUE"""),"PRIORIDADE ALTA")</f>
        <v>PRIORIDADE ALTA</v>
      </c>
      <c r="Q904" s="5" t="str">
        <f>IFERROR(__xludf.DUMMYFUNCTION("""COMPUTED_VALUE"""),"ABRIGO DANIFICADO - REBOCO, PINTURA E ASSENTO DANIFICADO,  NECESSÁRIO FAZER LIMPEZA DA COBERTA, MANUTENÇÃO E LIMPEZA DA COBERTA, PINTURA DA SINALIZAÇÃO DA BAÍA NO ASFALTO, READEQUAÇÃO DE CALÇADA COM ACESSIBILIDADE, IMPLANTAR PLACA EM BARROTE.")</f>
        <v>ABRIGO DANIFICADO - REBOCO, PINTURA E ASSENTO DANIFICADO,  NECESSÁRIO FAZER LIMPEZA DA COBERTA, MANUTENÇÃO E LIMPEZA DA COBERTA, PINTURA DA SINALIZAÇÃO DA BAÍA NO ASFALTO, READEQUAÇÃO DE CALÇADA COM ACESSIBILIDADE, IMPLANTAR PLACA EM BARROTE.</v>
      </c>
      <c r="R904" s="5" t="str">
        <f>IFERROR(__xludf.DUMMYFUNCTION("""COMPUTED_VALUE"""),"SUBSTITUIR ABRIGO")</f>
        <v>SUBSTITUIR ABRIGO</v>
      </c>
      <c r="S904" s="5"/>
      <c r="T904" s="5"/>
      <c r="U904" s="7">
        <f>IFERROR(__xludf.DUMMYFUNCTION("""COMPUTED_VALUE"""),44874.0)</f>
        <v>44874</v>
      </c>
      <c r="V904" s="9" t="str">
        <f>IFERROR(__xludf.DUMMYFUNCTION("""COMPUTED_VALUE"""),"https://drive.google.com/uc?id=1tSTvbUB9uftQfFjEL0zowBiXUjsa4MUc")</f>
        <v>https://drive.google.com/uc?id=1tSTvbUB9uftQfFjEL0zowBiXUjsa4MUc</v>
      </c>
      <c r="W904" s="5" t="str">
        <f>IFERROR(__xludf.DUMMYFUNCTION("""COMPUTED_VALUE"""),"NÃO")</f>
        <v>NÃO</v>
      </c>
      <c r="X904" s="5" t="str">
        <f>IFERROR(__xludf.DUMMYFUNCTION("""COMPUTED_VALUE"""),"NÃO SE APLICA")</f>
        <v>NÃO SE APLICA</v>
      </c>
    </row>
    <row r="905" ht="16.5" customHeight="1">
      <c r="A905" s="5">
        <f>IFERROR(__xludf.DUMMYFUNCTION("""COMPUTED_VALUE"""),5.0)</f>
        <v>5</v>
      </c>
      <c r="B905" s="5" t="str">
        <f>IFERROR(__xludf.DUMMYFUNCTION("""COMPUTED_VALUE"""),"SR041")</f>
        <v>SR041</v>
      </c>
      <c r="C905" s="5" t="str">
        <f>IFERROR(__xludf.DUMMYFUNCTION("""COMPUTED_VALUE"""),"ABRIGO CONCRETO")</f>
        <v>ABRIGO CONCRETO</v>
      </c>
      <c r="D905" s="5" t="str">
        <f>IFERROR(__xludf.DUMMYFUNCTION("""COMPUTED_VALUE"""),"SEM PLACA")</f>
        <v>SEM PLACA</v>
      </c>
      <c r="E905" s="5" t="str">
        <f>IFERROR(__xludf.DUMMYFUNCTION("""COMPUTED_VALUE"""),"SEM BAIA")</f>
        <v>SEM BAIA</v>
      </c>
      <c r="F905" s="5" t="str">
        <f>IFERROR(__xludf.DUMMYFUNCTION("""COMPUTED_VALUE"""),"NÃO")</f>
        <v>NÃO</v>
      </c>
      <c r="G905" s="5" t="str">
        <f>IFERROR(__xludf.DUMMYFUNCTION("""COMPUTED_VALUE"""),"NÃO")</f>
        <v>NÃO</v>
      </c>
      <c r="H905" s="5" t="str">
        <f>IFERROR(__xludf.DUMMYFUNCTION("""COMPUTED_VALUE"""),"PAVIMENTADA")</f>
        <v>PAVIMENTADA</v>
      </c>
      <c r="I905" s="6" t="str">
        <f>IFERROR(__xludf.DUMMYFUNCTION("""COMPUTED_VALUE"""),"-9.603433")</f>
        <v>-9.603433</v>
      </c>
      <c r="J905" s="6" t="str">
        <f>IFERROR(__xludf.DUMMYFUNCTION("""COMPUTED_VALUE"""),"-35.722025")</f>
        <v>-35.722025</v>
      </c>
      <c r="K905" s="5" t="str">
        <f>IFERROR(__xludf.DUMMYFUNCTION("""COMPUTED_VALUE"""),"AV. PRESIDENTE GETÚLIO VARGAS, S/N")</f>
        <v>AV. PRESIDENTE GETÚLIO VARGAS, S/N</v>
      </c>
      <c r="L905" s="5" t="str">
        <f>IFERROR(__xludf.DUMMYFUNCTION("""COMPUTED_VALUE"""),"COLETORA")</f>
        <v>COLETORA</v>
      </c>
      <c r="M905" s="5" t="str">
        <f>IFERROR(__xludf.DUMMYFUNCTION("""COMPUTED_VALUE"""),"SERRARIA")</f>
        <v>SERRARIA</v>
      </c>
      <c r="N905" s="5" t="str">
        <f>IFERROR(__xludf.DUMMYFUNCTION("""COMPUTED_VALUE"""),"BAIRRO - CENTRO")</f>
        <v>BAIRRO - CENTRO</v>
      </c>
      <c r="O905" s="5" t="str">
        <f>IFERROR(__xludf.DUMMYFUNCTION("""COMPUTED_VALUE"""),"EM FRENTE AO MERCADO BOM DIA")</f>
        <v>EM FRENTE AO MERCADO BOM DIA</v>
      </c>
      <c r="P905" s="5" t="str">
        <f>IFERROR(__xludf.DUMMYFUNCTION("""COMPUTED_VALUE"""),"PRIORIDADE BAIXA")</f>
        <v>PRIORIDADE BAIXA</v>
      </c>
      <c r="Q905" s="5" t="str">
        <f>IFERROR(__xludf.DUMMYFUNCTION("""COMPUTED_VALUE"""),"READEQUAÇÃO DE CALÇADA COM ACESSIBILIDADE.")</f>
        <v>READEQUAÇÃO DE CALÇADA COM ACESSIBILIDADE.</v>
      </c>
      <c r="R905" s="5" t="str">
        <f>IFERROR(__xludf.DUMMYFUNCTION("""COMPUTED_VALUE"""),"SUBSTITUIR ABRIGO")</f>
        <v>SUBSTITUIR ABRIGO</v>
      </c>
      <c r="S905" s="5"/>
      <c r="T905" s="5"/>
      <c r="U905" s="7">
        <f>IFERROR(__xludf.DUMMYFUNCTION("""COMPUTED_VALUE"""),44875.0)</f>
        <v>44875</v>
      </c>
      <c r="V905" s="9" t="str">
        <f>IFERROR(__xludf.DUMMYFUNCTION("""COMPUTED_VALUE"""),"https://drive.google.com/uc?id=1xT0KySoPcaFKGAyW8XyUNjhbO0HBpCGj")</f>
        <v>https://drive.google.com/uc?id=1xT0KySoPcaFKGAyW8XyUNjhbO0HBpCGj</v>
      </c>
      <c r="W905" s="5" t="str">
        <f>IFERROR(__xludf.DUMMYFUNCTION("""COMPUTED_VALUE"""),"NÃO")</f>
        <v>NÃO</v>
      </c>
      <c r="X905" s="5" t="str">
        <f>IFERROR(__xludf.DUMMYFUNCTION("""COMPUTED_VALUE"""),"NÃO SE APLICA")</f>
        <v>NÃO SE APLICA</v>
      </c>
    </row>
    <row r="906" ht="17.25" hidden="1" customHeight="1">
      <c r="A906" s="5">
        <f>IFERROR(__xludf.DUMMYFUNCTION("""COMPUTED_VALUE"""),5.0)</f>
        <v>5</v>
      </c>
      <c r="B906" s="5" t="str">
        <f>IFERROR(__xludf.DUMMYFUNCTION("""COMPUTED_VALUE"""),"SR042")</f>
        <v>SR042</v>
      </c>
      <c r="C906" s="5" t="str">
        <f>IFERROR(__xludf.DUMMYFUNCTION("""COMPUTED_VALUE"""),"NÃO POSSUI")</f>
        <v>NÃO POSSUI</v>
      </c>
      <c r="D906" s="5" t="str">
        <f>IFERROR(__xludf.DUMMYFUNCTION("""COMPUTED_VALUE"""),"COM SUPORTE")</f>
        <v>COM SUPORTE</v>
      </c>
      <c r="E906" s="5" t="str">
        <f>IFERROR(__xludf.DUMMYFUNCTION("""COMPUTED_VALUE"""),"SEM BAIA")</f>
        <v>SEM BAIA</v>
      </c>
      <c r="F906" s="5" t="str">
        <f>IFERROR(__xludf.DUMMYFUNCTION("""COMPUTED_VALUE"""),"NÃO")</f>
        <v>NÃO</v>
      </c>
      <c r="G906" s="5" t="str">
        <f>IFERROR(__xludf.DUMMYFUNCTION("""COMPUTED_VALUE"""),"NÃO")</f>
        <v>NÃO</v>
      </c>
      <c r="H906" s="5" t="str">
        <f>IFERROR(__xludf.DUMMYFUNCTION("""COMPUTED_VALUE"""),"PAVIMENTADA")</f>
        <v>PAVIMENTADA</v>
      </c>
      <c r="I906" s="6" t="str">
        <f>IFERROR(__xludf.DUMMYFUNCTION("""COMPUTED_VALUE"""),"-9.601180")</f>
        <v>-9.601180</v>
      </c>
      <c r="J906" s="6" t="str">
        <f>IFERROR(__xludf.DUMMYFUNCTION("""COMPUTED_VALUE"""),"-35.726455")</f>
        <v>-35.726455</v>
      </c>
      <c r="K906" s="5" t="str">
        <f>IFERROR(__xludf.DUMMYFUNCTION("""COMPUTED_VALUE"""),"RUA LOURIVAL AGUIAR PESSOA")</f>
        <v>RUA LOURIVAL AGUIAR PESSOA</v>
      </c>
      <c r="L906" s="5" t="str">
        <f>IFERROR(__xludf.DUMMYFUNCTION("""COMPUTED_VALUE"""),"COLETORA")</f>
        <v>COLETORA</v>
      </c>
      <c r="M906" s="5" t="str">
        <f>IFERROR(__xludf.DUMMYFUNCTION("""COMPUTED_VALUE"""),"SERRARIA")</f>
        <v>SERRARIA</v>
      </c>
      <c r="N906" s="5" t="str">
        <f>IFERROR(__xludf.DUMMYFUNCTION("""COMPUTED_VALUE"""),"BAIRRO - CENTRO")</f>
        <v>BAIRRO - CENTRO</v>
      </c>
      <c r="O906" s="5"/>
      <c r="P906" s="5" t="str">
        <f>IFERROR(__xludf.DUMMYFUNCTION("""COMPUTED_VALUE"""),"PRIORIDADE BAIXA")</f>
        <v>PRIORIDADE BAIXA</v>
      </c>
      <c r="Q906" s="5" t="str">
        <f>IFERROR(__xludf.DUMMYFUNCTION("""COMPUTED_VALUE"""),"READEQUAÇÃO DE CALÇADA COM ACESSIBILIDADE.")</f>
        <v>READEQUAÇÃO DE CALÇADA COM ACESSIBILIDADE.</v>
      </c>
      <c r="R906" s="5" t="str">
        <f>IFERROR(__xludf.DUMMYFUNCTION("""COMPUTED_VALUE"""),"NENHUMA DAS OPÇÕES")</f>
        <v>NENHUMA DAS OPÇÕES</v>
      </c>
      <c r="S906" s="5"/>
      <c r="T906" s="5"/>
      <c r="U906" s="5"/>
      <c r="V906" s="9" t="str">
        <f>IFERROR(__xludf.DUMMYFUNCTION("""COMPUTED_VALUE"""),"https://drive.google.com/uc?id=1nxJ1ww2qKRLmRjRqh80LSdM2yJzm4Y6R")</f>
        <v>https://drive.google.com/uc?id=1nxJ1ww2qKRLmRjRqh80LSdM2yJzm4Y6R</v>
      </c>
      <c r="W906" s="5" t="str">
        <f>IFERROR(__xludf.DUMMYFUNCTION("""COMPUTED_VALUE"""),"NÃO")</f>
        <v>NÃO</v>
      </c>
      <c r="X906" s="5" t="str">
        <f>IFERROR(__xludf.DUMMYFUNCTION("""COMPUTED_VALUE"""),"NÃO SE APLICA")</f>
        <v>NÃO SE APLICA</v>
      </c>
    </row>
    <row r="907" hidden="1">
      <c r="A907" s="5">
        <f>IFERROR(__xludf.DUMMYFUNCTION("""COMPUTED_VALUE"""),5.0)</f>
        <v>5</v>
      </c>
      <c r="B907" s="5" t="str">
        <f>IFERROR(__xludf.DUMMYFUNCTION("""COMPUTED_VALUE"""),"SR043")</f>
        <v>SR043</v>
      </c>
      <c r="C907" s="5" t="str">
        <f>IFERROR(__xludf.DUMMYFUNCTION("""COMPUTED_VALUE"""),"NÃO POSSUI")</f>
        <v>NÃO POSSUI</v>
      </c>
      <c r="D907" s="5" t="str">
        <f>IFERROR(__xludf.DUMMYFUNCTION("""COMPUTED_VALUE"""),"COM SUPORTE")</f>
        <v>COM SUPORTE</v>
      </c>
      <c r="E907" s="5" t="str">
        <f>IFERROR(__xludf.DUMMYFUNCTION("""COMPUTED_VALUE"""),"SEM BAIA")</f>
        <v>SEM BAIA</v>
      </c>
      <c r="F907" s="5" t="str">
        <f>IFERROR(__xludf.DUMMYFUNCTION("""COMPUTED_VALUE"""),"NÃO")</f>
        <v>NÃO</v>
      </c>
      <c r="G907" s="5" t="str">
        <f>IFERROR(__xludf.DUMMYFUNCTION("""COMPUTED_VALUE"""),"NÃO")</f>
        <v>NÃO</v>
      </c>
      <c r="H907" s="5" t="str">
        <f>IFERROR(__xludf.DUMMYFUNCTION("""COMPUTED_VALUE"""),"PAVIMENTADA COM AVARIAS")</f>
        <v>PAVIMENTADA COM AVARIAS</v>
      </c>
      <c r="I907" s="6" t="str">
        <f>IFERROR(__xludf.DUMMYFUNCTION("""COMPUTED_VALUE"""),"-9.613957")</f>
        <v>-9.613957</v>
      </c>
      <c r="J907" s="6" t="str">
        <f>IFERROR(__xludf.DUMMYFUNCTION("""COMPUTED_VALUE"""),"-35.731312")</f>
        <v>-35.731312</v>
      </c>
      <c r="K907" s="5" t="str">
        <f>IFERROR(__xludf.DUMMYFUNCTION("""COMPUTED_VALUE"""),"RUA SÃO FRANCISCO")</f>
        <v>RUA SÃO FRANCISCO</v>
      </c>
      <c r="L907" s="5" t="str">
        <f>IFERROR(__xludf.DUMMYFUNCTION("""COMPUTED_VALUE"""),"COLETORA")</f>
        <v>COLETORA</v>
      </c>
      <c r="M907" s="5" t="str">
        <f>IFERROR(__xludf.DUMMYFUNCTION("""COMPUTED_VALUE"""),"SERRARIA")</f>
        <v>SERRARIA</v>
      </c>
      <c r="N907" s="5" t="str">
        <f>IFERROR(__xludf.DUMMYFUNCTION("""COMPUTED_VALUE"""),"BAIRRO - CENTRO")</f>
        <v>BAIRRO - CENTRO</v>
      </c>
      <c r="O907" s="5"/>
      <c r="P907" s="5" t="str">
        <f>IFERROR(__xludf.DUMMYFUNCTION("""COMPUTED_VALUE"""),"PRIORIDADE BAIXA")</f>
        <v>PRIORIDADE BAIXA</v>
      </c>
      <c r="Q907" s="5" t="str">
        <f>IFERROR(__xludf.DUMMYFUNCTION("""COMPUTED_VALUE"""),"READEQUAÇÃO DE CALÇADA COM ACESSIBILIDADE.")</f>
        <v>READEQUAÇÃO DE CALÇADA COM ACESSIBILIDADE.</v>
      </c>
      <c r="R907" s="5" t="str">
        <f>IFERROR(__xludf.DUMMYFUNCTION("""COMPUTED_VALUE"""),"NENHUMA DAS OPÇÕES")</f>
        <v>NENHUMA DAS OPÇÕES</v>
      </c>
      <c r="S907" s="5"/>
      <c r="T907" s="5"/>
      <c r="U907" s="5"/>
      <c r="V907" s="9" t="str">
        <f>IFERROR(__xludf.DUMMYFUNCTION("""COMPUTED_VALUE"""),"https://drive.google.com/uc?id=1VeA_euGnrBoPDyq3gRT8NfkmOeJR7izF")</f>
        <v>https://drive.google.com/uc?id=1VeA_euGnrBoPDyq3gRT8NfkmOeJR7izF</v>
      </c>
      <c r="W907" s="5" t="str">
        <f>IFERROR(__xludf.DUMMYFUNCTION("""COMPUTED_VALUE"""),"NÃO")</f>
        <v>NÃO</v>
      </c>
      <c r="X907" s="5" t="str">
        <f>IFERROR(__xludf.DUMMYFUNCTION("""COMPUTED_VALUE"""),"NÃO SE APLICA")</f>
        <v>NÃO SE APLICA</v>
      </c>
    </row>
    <row r="908" ht="17.25" hidden="1" customHeight="1">
      <c r="A908" s="5">
        <f>IFERROR(__xludf.DUMMYFUNCTION("""COMPUTED_VALUE"""),5.0)</f>
        <v>5</v>
      </c>
      <c r="B908" s="5" t="str">
        <f>IFERROR(__xludf.DUMMYFUNCTION("""COMPUTED_VALUE"""),"SR044")</f>
        <v>SR044</v>
      </c>
      <c r="C908" s="5" t="str">
        <f>IFERROR(__xludf.DUMMYFUNCTION("""COMPUTED_VALUE"""),"NÃO POSSUI")</f>
        <v>NÃO POSSUI</v>
      </c>
      <c r="D908" s="5" t="str">
        <f>IFERROR(__xludf.DUMMYFUNCTION("""COMPUTED_VALUE"""),"FIXADA EM POSTE")</f>
        <v>FIXADA EM POSTE</v>
      </c>
      <c r="E908" s="5" t="str">
        <f>IFERROR(__xludf.DUMMYFUNCTION("""COMPUTED_VALUE"""),"SEM BAIA")</f>
        <v>SEM BAIA</v>
      </c>
      <c r="F908" s="5" t="str">
        <f>IFERROR(__xludf.DUMMYFUNCTION("""COMPUTED_VALUE"""),"NÃO")</f>
        <v>NÃO</v>
      </c>
      <c r="G908" s="5" t="str">
        <f>IFERROR(__xludf.DUMMYFUNCTION("""COMPUTED_VALUE"""),"NÃO")</f>
        <v>NÃO</v>
      </c>
      <c r="H908" s="5" t="str">
        <f>IFERROR(__xludf.DUMMYFUNCTION("""COMPUTED_VALUE"""),"PAVIMENTADA")</f>
        <v>PAVIMENTADA</v>
      </c>
      <c r="I908" s="6" t="str">
        <f>IFERROR(__xludf.DUMMYFUNCTION("""COMPUTED_VALUE"""),"-9.599663")</f>
        <v>-9.599663</v>
      </c>
      <c r="J908" s="6" t="str">
        <f>IFERROR(__xludf.DUMMYFUNCTION("""COMPUTED_VALUE"""),"-35.723863")</f>
        <v>-35.723863</v>
      </c>
      <c r="K908" s="5" t="str">
        <f>IFERROR(__xludf.DUMMYFUNCTION("""COMPUTED_VALUE"""),"RUA LOURIVAL AGUIAR PESSOA")</f>
        <v>RUA LOURIVAL AGUIAR PESSOA</v>
      </c>
      <c r="L908" s="5" t="str">
        <f>IFERROR(__xludf.DUMMYFUNCTION("""COMPUTED_VALUE"""),"COLETORA")</f>
        <v>COLETORA</v>
      </c>
      <c r="M908" s="5" t="str">
        <f>IFERROR(__xludf.DUMMYFUNCTION("""COMPUTED_VALUE"""),"SERRARIA")</f>
        <v>SERRARIA</v>
      </c>
      <c r="N908" s="5" t="str">
        <f>IFERROR(__xludf.DUMMYFUNCTION("""COMPUTED_VALUE"""),"BAIRRO - CENTRO")</f>
        <v>BAIRRO - CENTRO</v>
      </c>
      <c r="O908" s="5"/>
      <c r="P908" s="5" t="str">
        <f>IFERROR(__xludf.DUMMYFUNCTION("""COMPUTED_VALUE"""),"PRIORIDADE BAIXA")</f>
        <v>PRIORIDADE BAIXA</v>
      </c>
      <c r="Q908" s="5" t="str">
        <f>IFERROR(__xludf.DUMMYFUNCTION("""COMPUTED_VALUE"""),"READEQUAÇÃO DE CALÇADA COM ACESSIBILIDADE.")</f>
        <v>READEQUAÇÃO DE CALÇADA COM ACESSIBILIDADE.</v>
      </c>
      <c r="R908" s="5" t="str">
        <f>IFERROR(__xludf.DUMMYFUNCTION("""COMPUTED_VALUE"""),"NENHUMA DAS OPÇÕES")</f>
        <v>NENHUMA DAS OPÇÕES</v>
      </c>
      <c r="S908" s="5"/>
      <c r="T908" s="5"/>
      <c r="U908" s="5"/>
      <c r="V908" s="9" t="str">
        <f>IFERROR(__xludf.DUMMYFUNCTION("""COMPUTED_VALUE"""),"https://drive.google.com/uc?id=1J8ayN34jLXA0vd_OwWC1kbsYWMQa0EzL")</f>
        <v>https://drive.google.com/uc?id=1J8ayN34jLXA0vd_OwWC1kbsYWMQa0EzL</v>
      </c>
      <c r="W908" s="5" t="str">
        <f>IFERROR(__xludf.DUMMYFUNCTION("""COMPUTED_VALUE"""),"NÃO")</f>
        <v>NÃO</v>
      </c>
      <c r="X908" s="5" t="str">
        <f>IFERROR(__xludf.DUMMYFUNCTION("""COMPUTED_VALUE"""),"NÃO SE APLICA")</f>
        <v>NÃO SE APLICA</v>
      </c>
    </row>
    <row r="909" ht="15.75" hidden="1" customHeight="1">
      <c r="A909" s="5">
        <f>IFERROR(__xludf.DUMMYFUNCTION("""COMPUTED_VALUE"""),5.0)</f>
        <v>5</v>
      </c>
      <c r="B909" s="5" t="str">
        <f>IFERROR(__xludf.DUMMYFUNCTION("""COMPUTED_VALUE"""),"SR045")</f>
        <v>SR045</v>
      </c>
      <c r="C909" s="5" t="str">
        <f>IFERROR(__xludf.DUMMYFUNCTION("""COMPUTED_VALUE"""),"NÃO POSSUI")</f>
        <v>NÃO POSSUI</v>
      </c>
      <c r="D909" s="5" t="str">
        <f>IFERROR(__xludf.DUMMYFUNCTION("""COMPUTED_VALUE"""),"COM SUPORTE")</f>
        <v>COM SUPORTE</v>
      </c>
      <c r="E909" s="5" t="str">
        <f>IFERROR(__xludf.DUMMYFUNCTION("""COMPUTED_VALUE"""),"SEM BAIA")</f>
        <v>SEM BAIA</v>
      </c>
      <c r="F909" s="5" t="str">
        <f>IFERROR(__xludf.DUMMYFUNCTION("""COMPUTED_VALUE"""),"NÃO")</f>
        <v>NÃO</v>
      </c>
      <c r="G909" s="5" t="str">
        <f>IFERROR(__xludf.DUMMYFUNCTION("""COMPUTED_VALUE"""),"NÃO")</f>
        <v>NÃO</v>
      </c>
      <c r="H909" s="5" t="str">
        <f>IFERROR(__xludf.DUMMYFUNCTION("""COMPUTED_VALUE"""),"PAVIMENTADA")</f>
        <v>PAVIMENTADA</v>
      </c>
      <c r="I909" s="6" t="str">
        <f>IFERROR(__xludf.DUMMYFUNCTION("""COMPUTED_VALUE"""),"-9.601773")</f>
        <v>-9.601773</v>
      </c>
      <c r="J909" s="6" t="str">
        <f>IFERROR(__xludf.DUMMYFUNCTION("""COMPUTED_VALUE"""),"-35.721199
")</f>
        <v>-35.721199
</v>
      </c>
      <c r="K909" s="5" t="str">
        <f>IFERROR(__xludf.DUMMYFUNCTION("""COMPUTED_VALUE"""),"RUA LOURIVAL AGUIAR PESSOA")</f>
        <v>RUA LOURIVAL AGUIAR PESSOA</v>
      </c>
      <c r="L909" s="5" t="str">
        <f>IFERROR(__xludf.DUMMYFUNCTION("""COMPUTED_VALUE"""),"COLETORA")</f>
        <v>COLETORA</v>
      </c>
      <c r="M909" s="5" t="str">
        <f>IFERROR(__xludf.DUMMYFUNCTION("""COMPUTED_VALUE"""),"SERRARIA")</f>
        <v>SERRARIA</v>
      </c>
      <c r="N909" s="5" t="str">
        <f>IFERROR(__xludf.DUMMYFUNCTION("""COMPUTED_VALUE"""),"BAIRRO - CENTRO")</f>
        <v>BAIRRO - CENTRO</v>
      </c>
      <c r="O909" s="5"/>
      <c r="P909" s="5" t="str">
        <f>IFERROR(__xludf.DUMMYFUNCTION("""COMPUTED_VALUE"""),"PRIORIDADE BAIXA")</f>
        <v>PRIORIDADE BAIXA</v>
      </c>
      <c r="Q909" s="5" t="str">
        <f>IFERROR(__xludf.DUMMYFUNCTION("""COMPUTED_VALUE"""),"READEQUAÇÃO DE CALÇADA COM ACESSIBILIDADE.")</f>
        <v>READEQUAÇÃO DE CALÇADA COM ACESSIBILIDADE.</v>
      </c>
      <c r="R909" s="5" t="str">
        <f>IFERROR(__xludf.DUMMYFUNCTION("""COMPUTED_VALUE"""),"NENHUMA DAS OPÇÕES")</f>
        <v>NENHUMA DAS OPÇÕES</v>
      </c>
      <c r="S909" s="5"/>
      <c r="T909" s="5"/>
      <c r="U909" s="5"/>
      <c r="V909" s="9" t="str">
        <f>IFERROR(__xludf.DUMMYFUNCTION("""COMPUTED_VALUE"""),"https://drive.google.com/uc?id=1K8hpnXKGCaSLZ2liumRwN1J1M4hOeBrE")</f>
        <v>https://drive.google.com/uc?id=1K8hpnXKGCaSLZ2liumRwN1J1M4hOeBrE</v>
      </c>
      <c r="W909" s="5" t="str">
        <f>IFERROR(__xludf.DUMMYFUNCTION("""COMPUTED_VALUE"""),"NÃO")</f>
        <v>NÃO</v>
      </c>
      <c r="X909" s="5" t="str">
        <f>IFERROR(__xludf.DUMMYFUNCTION("""COMPUTED_VALUE"""),"NÃO SE APLICA")</f>
        <v>NÃO SE APLICA</v>
      </c>
    </row>
    <row r="910">
      <c r="A910" s="5">
        <f>IFERROR(__xludf.DUMMYFUNCTION("IMPORTRANGE(""https://docs.google.com/spreadsheets/d/10fxs2z9vz1jmULy_hPFiuZnkh4JvywStH8umOAOqNVY/edit#gid=1585992375"", ""SÃO JORGE!A3:X19"")"),5.0)</f>
        <v>5</v>
      </c>
      <c r="B910" s="5" t="str">
        <f>IFERROR(__xludf.DUMMYFUNCTION("""COMPUTED_VALUE"""),"SJ001")</f>
        <v>SJ001</v>
      </c>
      <c r="C910" s="5" t="str">
        <f>IFERROR(__xludf.DUMMYFUNCTION("""COMPUTED_VALUE"""),"ABRIGO METÁLICO PEQUENO PORTE")</f>
        <v>ABRIGO METÁLICO PEQUENO PORTE</v>
      </c>
      <c r="D910" s="5" t="str">
        <f>IFERROR(__xludf.DUMMYFUNCTION("""COMPUTED_VALUE"""),"SEM PLACA")</f>
        <v>SEM PLACA</v>
      </c>
      <c r="E910" s="5" t="str">
        <f>IFERROR(__xludf.DUMMYFUNCTION("""COMPUTED_VALUE"""),"BAIA CONSTRUÍDA")</f>
        <v>BAIA CONSTRUÍDA</v>
      </c>
      <c r="F910" s="5" t="str">
        <f>IFERROR(__xludf.DUMMYFUNCTION("""COMPUTED_VALUE"""),"SIM")</f>
        <v>SIM</v>
      </c>
      <c r="G910" s="5" t="str">
        <f>IFERROR(__xludf.DUMMYFUNCTION("""COMPUTED_VALUE"""),"NÃO")</f>
        <v>NÃO</v>
      </c>
      <c r="H910" s="5" t="str">
        <f>IFERROR(__xludf.DUMMYFUNCTION("""COMPUTED_VALUE"""),"PAVIMENTADA")</f>
        <v>PAVIMENTADA</v>
      </c>
      <c r="I910" s="6" t="str">
        <f>IFERROR(__xludf.DUMMYFUNCTION("""COMPUTED_VALUE"""),"-9.623540")</f>
        <v>-9.623540</v>
      </c>
      <c r="J910" s="6" t="str">
        <f>IFERROR(__xludf.DUMMYFUNCTION("""COMPUTED_VALUE"""),"-35.712172")</f>
        <v>-35.712172</v>
      </c>
      <c r="K910" s="5" t="str">
        <f>IFERROR(__xludf.DUMMYFUNCTION("""COMPUTED_VALUE"""),"AV. JOSEPHA DE MELO")</f>
        <v>AV. JOSEPHA DE MELO</v>
      </c>
      <c r="L910" s="5" t="str">
        <f>IFERROR(__xludf.DUMMYFUNCTION("""COMPUTED_VALUE"""),"ARTERIAL ")</f>
        <v>ARTERIAL </v>
      </c>
      <c r="M910" s="5" t="str">
        <f>IFERROR(__xludf.DUMMYFUNCTION("""COMPUTED_VALUE"""),"SÃO JORGE")</f>
        <v>SÃO JORGE</v>
      </c>
      <c r="N910" s="5" t="str">
        <f>IFERROR(__xludf.DUMMYFUNCTION("""COMPUTED_VALUE"""),"CENTRO - BAIRRO")</f>
        <v>CENTRO - BAIRRO</v>
      </c>
      <c r="O910" s="5" t="str">
        <f>IFERROR(__xludf.DUMMYFUNCTION("""COMPUTED_VALUE"""),"NA PRINCIPAL DO SÃO JORGE EM FRENTE AO SALÃO CHEZ MARIE")</f>
        <v>NA PRINCIPAL DO SÃO JORGE EM FRENTE AO SALÃO CHEZ MARIE</v>
      </c>
      <c r="P910" s="5" t="str">
        <f>IFERROR(__xludf.DUMMYFUNCTION("""COMPUTED_VALUE"""),"PRIORIDADE BAIXA")</f>
        <v>PRIORIDADE BAIXA</v>
      </c>
      <c r="Q910" s="5"/>
      <c r="R910" s="5" t="str">
        <f>IFERROR(__xludf.DUMMYFUNCTION("""COMPUTED_VALUE"""),"NENHUMA DAS OPÇÕES")</f>
        <v>NENHUMA DAS OPÇÕES</v>
      </c>
      <c r="S910" s="5"/>
      <c r="T910" s="5"/>
      <c r="U910" s="5"/>
      <c r="V910" s="9" t="str">
        <f>IFERROR(__xludf.DUMMYFUNCTION("""COMPUTED_VALUE"""),"https://drive.google.com/uc?id=1xxrilPsQpQb20Fa-KdhoLWydGSlHlXYU")</f>
        <v>https://drive.google.com/uc?id=1xxrilPsQpQb20Fa-KdhoLWydGSlHlXYU</v>
      </c>
      <c r="W910" s="5" t="str">
        <f>IFERROR(__xludf.DUMMYFUNCTION("""COMPUTED_VALUE"""),"NÃO")</f>
        <v>NÃO</v>
      </c>
      <c r="X910" s="5" t="str">
        <f>IFERROR(__xludf.DUMMYFUNCTION("""COMPUTED_VALUE"""),"SIM")</f>
        <v>SIM</v>
      </c>
    </row>
    <row r="911" ht="16.5" customHeight="1">
      <c r="A911" s="5">
        <f>IFERROR(__xludf.DUMMYFUNCTION("""COMPUTED_VALUE"""),5.0)</f>
        <v>5</v>
      </c>
      <c r="B911" s="5" t="str">
        <f>IFERROR(__xludf.DUMMYFUNCTION("""COMPUTED_VALUE"""),"SJ002")</f>
        <v>SJ002</v>
      </c>
      <c r="C911" s="5" t="str">
        <f>IFERROR(__xludf.DUMMYFUNCTION("""COMPUTED_VALUE"""),"ABRIGO METÁLICO PEQUENO PORTE")</f>
        <v>ABRIGO METÁLICO PEQUENO PORTE</v>
      </c>
      <c r="D911" s="5" t="str">
        <f>IFERROR(__xludf.DUMMYFUNCTION("""COMPUTED_VALUE"""),"SEM PLACA")</f>
        <v>SEM PLACA</v>
      </c>
      <c r="E911" s="5" t="str">
        <f>IFERROR(__xludf.DUMMYFUNCTION("""COMPUTED_VALUE"""),"BAIA CONSTRUÍDA")</f>
        <v>BAIA CONSTRUÍDA</v>
      </c>
      <c r="F911" s="5" t="str">
        <f>IFERROR(__xludf.DUMMYFUNCTION("""COMPUTED_VALUE"""),"SIM")</f>
        <v>SIM</v>
      </c>
      <c r="G911" s="5" t="str">
        <f>IFERROR(__xludf.DUMMYFUNCTION("""COMPUTED_VALUE"""),"NÃO")</f>
        <v>NÃO</v>
      </c>
      <c r="H911" s="5" t="str">
        <f>IFERROR(__xludf.DUMMYFUNCTION("""COMPUTED_VALUE"""),"PAVIMENTADA")</f>
        <v>PAVIMENTADA</v>
      </c>
      <c r="I911" s="6" t="str">
        <f>IFERROR(__xludf.DUMMYFUNCTION("""COMPUTED_VALUE"""),"-9.623330")</f>
        <v>-9.623330</v>
      </c>
      <c r="J911" s="6" t="str">
        <f>IFERROR(__xludf.DUMMYFUNCTION("""COMPUTED_VALUE"""),"-35.712171")</f>
        <v>-35.712171</v>
      </c>
      <c r="K911" s="5" t="str">
        <f>IFERROR(__xludf.DUMMYFUNCTION("""COMPUTED_VALUE"""),"AV. JOSEPHA DE MELO ")</f>
        <v>AV. JOSEPHA DE MELO </v>
      </c>
      <c r="L911" s="5" t="str">
        <f>IFERROR(__xludf.DUMMYFUNCTION("""COMPUTED_VALUE"""),"ARTERIAL ")</f>
        <v>ARTERIAL </v>
      </c>
      <c r="M911" s="5" t="str">
        <f>IFERROR(__xludf.DUMMYFUNCTION("""COMPUTED_VALUE"""),"SÃO JORGE")</f>
        <v>SÃO JORGE</v>
      </c>
      <c r="N911" s="5" t="str">
        <f>IFERROR(__xludf.DUMMYFUNCTION("""COMPUTED_VALUE"""),"BAIRRO - CENTRO")</f>
        <v>BAIRRO - CENTRO</v>
      </c>
      <c r="O911" s="5" t="str">
        <f>IFERROR(__xludf.DUMMYFUNCTION("""COMPUTED_VALUE"""),"PRÓXIMO A ENTRADA DO SÃO JORGE ")</f>
        <v>PRÓXIMO A ENTRADA DO SÃO JORGE </v>
      </c>
      <c r="P911" s="5" t="str">
        <f>IFERROR(__xludf.DUMMYFUNCTION("""COMPUTED_VALUE"""),"PRIORIDADE BAIXA")</f>
        <v>PRIORIDADE BAIXA</v>
      </c>
      <c r="Q911" s="5"/>
      <c r="R911" s="5" t="str">
        <f>IFERROR(__xludf.DUMMYFUNCTION("""COMPUTED_VALUE"""),"NENHUMA DAS OPÇÕES")</f>
        <v>NENHUMA DAS OPÇÕES</v>
      </c>
      <c r="S911" s="5"/>
      <c r="T911" s="5"/>
      <c r="U911" s="5"/>
      <c r="V911" s="9" t="str">
        <f>IFERROR(__xludf.DUMMYFUNCTION("""COMPUTED_VALUE"""),"https://drive.google.com/uc?id=1tlOtkdLq5Vm1TCGAoWmsJzmbZW2XJaBd")</f>
        <v>https://drive.google.com/uc?id=1tlOtkdLq5Vm1TCGAoWmsJzmbZW2XJaBd</v>
      </c>
      <c r="W911" s="5" t="str">
        <f>IFERROR(__xludf.DUMMYFUNCTION("""COMPUTED_VALUE"""),"NÃO")</f>
        <v>NÃO</v>
      </c>
      <c r="X911" s="5" t="str">
        <f>IFERROR(__xludf.DUMMYFUNCTION("""COMPUTED_VALUE"""),"NÃO")</f>
        <v>NÃO</v>
      </c>
    </row>
    <row r="912" hidden="1">
      <c r="A912" s="5">
        <f>IFERROR(__xludf.DUMMYFUNCTION("""COMPUTED_VALUE"""),5.0)</f>
        <v>5</v>
      </c>
      <c r="B912" s="5" t="str">
        <f>IFERROR(__xludf.DUMMYFUNCTION("""COMPUTED_VALUE"""),"SJ003")</f>
        <v>SJ003</v>
      </c>
      <c r="C912" s="5" t="str">
        <f>IFERROR(__xludf.DUMMYFUNCTION("""COMPUTED_VALUE"""),"NÃO POSSUI")</f>
        <v>NÃO POSSUI</v>
      </c>
      <c r="D912" s="5" t="str">
        <f>IFERROR(__xludf.DUMMYFUNCTION("""COMPUTED_VALUE"""),"COM SUPORTE")</f>
        <v>COM SUPORTE</v>
      </c>
      <c r="E912" s="5" t="str">
        <f>IFERROR(__xludf.DUMMYFUNCTION("""COMPUTED_VALUE"""),"SEM BAIA")</f>
        <v>SEM BAIA</v>
      </c>
      <c r="F912" s="5" t="str">
        <f>IFERROR(__xludf.DUMMYFUNCTION("""COMPUTED_VALUE"""),"NÃO")</f>
        <v>NÃO</v>
      </c>
      <c r="G912" s="5" t="str">
        <f>IFERROR(__xludf.DUMMYFUNCTION("""COMPUTED_VALUE"""),"NÃO")</f>
        <v>NÃO</v>
      </c>
      <c r="H912" s="5" t="str">
        <f>IFERROR(__xludf.DUMMYFUNCTION("""COMPUTED_VALUE"""),"PAVIMENTADA")</f>
        <v>PAVIMENTADA</v>
      </c>
      <c r="I912" s="6" t="str">
        <f>IFERROR(__xludf.DUMMYFUNCTION("""COMPUTED_VALUE"""),"-9.626393")</f>
        <v>-9.626393</v>
      </c>
      <c r="J912" s="6" t="str">
        <f>IFERROR(__xludf.DUMMYFUNCTION("""COMPUTED_VALUE"""),"-35.711521")</f>
        <v>-35.711521</v>
      </c>
      <c r="K912" s="5" t="str">
        <f>IFERROR(__xludf.DUMMYFUNCTION("""COMPUTED_VALUE"""),"R. SANTA AMÁLIA ")</f>
        <v>R. SANTA AMÁLIA </v>
      </c>
      <c r="L912" s="5" t="str">
        <f>IFERROR(__xludf.DUMMYFUNCTION("""COMPUTED_VALUE"""),"LOCAL")</f>
        <v>LOCAL</v>
      </c>
      <c r="M912" s="5" t="str">
        <f>IFERROR(__xludf.DUMMYFUNCTION("""COMPUTED_VALUE"""),"SÃO JORGE")</f>
        <v>SÃO JORGE</v>
      </c>
      <c r="N912" s="5" t="str">
        <f>IFERROR(__xludf.DUMMYFUNCTION("""COMPUTED_VALUE"""),"BAIRRO - CENTRO / CENTRO - BAIRRO")</f>
        <v>BAIRRO - CENTRO / CENTRO - BAIRRO</v>
      </c>
      <c r="O912" s="5" t="str">
        <f>IFERROR(__xludf.DUMMYFUNCTION("""COMPUTED_VALUE"""),"AO LADO DO MERCADINHO OLIVEIRA ")</f>
        <v>AO LADO DO MERCADINHO OLIVEIRA </v>
      </c>
      <c r="P912" s="5" t="str">
        <f>IFERROR(__xludf.DUMMYFUNCTION("""COMPUTED_VALUE"""),"PRIORIDADE BAIXA")</f>
        <v>PRIORIDADE BAIXA</v>
      </c>
      <c r="Q912" s="5"/>
      <c r="R912" s="5" t="str">
        <f>IFERROR(__xludf.DUMMYFUNCTION("""COMPUTED_VALUE"""),"NENHUMA DAS OPÇÕES")</f>
        <v>NENHUMA DAS OPÇÕES</v>
      </c>
      <c r="S912" s="5"/>
      <c r="T912" s="5"/>
      <c r="U912" s="5"/>
      <c r="V912" s="9" t="str">
        <f>IFERROR(__xludf.DUMMYFUNCTION("""COMPUTED_VALUE"""),"https://drive.google.com/uc?id=1RGLZxRdqmU6Ufv-B7KHwUBIAE8cCfkci")</f>
        <v>https://drive.google.com/uc?id=1RGLZxRdqmU6Ufv-B7KHwUBIAE8cCfkci</v>
      </c>
      <c r="W912" s="5" t="str">
        <f>IFERROR(__xludf.DUMMYFUNCTION("""COMPUTED_VALUE"""),"NÃO")</f>
        <v>NÃO</v>
      </c>
      <c r="X912" s="5" t="str">
        <f>IFERROR(__xludf.DUMMYFUNCTION("""COMPUTED_VALUE"""),"NÃO SE APLICA")</f>
        <v>NÃO SE APLICA</v>
      </c>
    </row>
    <row r="913" hidden="1">
      <c r="A913" s="5">
        <f>IFERROR(__xludf.DUMMYFUNCTION("""COMPUTED_VALUE"""),5.0)</f>
        <v>5</v>
      </c>
      <c r="B913" s="5" t="str">
        <f>IFERROR(__xludf.DUMMYFUNCTION("""COMPUTED_VALUE"""),"SJ004")</f>
        <v>SJ004</v>
      </c>
      <c r="C913" s="5" t="str">
        <f>IFERROR(__xludf.DUMMYFUNCTION("""COMPUTED_VALUE"""),"NÃO POSSUI")</f>
        <v>NÃO POSSUI</v>
      </c>
      <c r="D913" s="5" t="str">
        <f>IFERROR(__xludf.DUMMYFUNCTION("""COMPUTED_VALUE"""),"COM SUPORTE")</f>
        <v>COM SUPORTE</v>
      </c>
      <c r="E913" s="5" t="str">
        <f>IFERROR(__xludf.DUMMYFUNCTION("""COMPUTED_VALUE"""),"SEM BAIA")</f>
        <v>SEM BAIA</v>
      </c>
      <c r="F913" s="5" t="str">
        <f>IFERROR(__xludf.DUMMYFUNCTION("""COMPUTED_VALUE"""),"NÃO")</f>
        <v>NÃO</v>
      </c>
      <c r="G913" s="5" t="str">
        <f>IFERROR(__xludf.DUMMYFUNCTION("""COMPUTED_VALUE"""),"NÃO")</f>
        <v>NÃO</v>
      </c>
      <c r="H913" s="5" t="str">
        <f>IFERROR(__xludf.DUMMYFUNCTION("""COMPUTED_VALUE"""),"PAVIMENTADA")</f>
        <v>PAVIMENTADA</v>
      </c>
      <c r="I913" s="6" t="str">
        <f>IFERROR(__xludf.DUMMYFUNCTION("""COMPUTED_VALUE"""),"-9.627558")</f>
        <v>-9.627558</v>
      </c>
      <c r="J913" s="6" t="str">
        <f>IFERROR(__xludf.DUMMYFUNCTION("""COMPUTED_VALUE"""),"-35.711536")</f>
        <v>-35.711536</v>
      </c>
      <c r="K913" s="5" t="str">
        <f>IFERROR(__xludf.DUMMYFUNCTION("""COMPUTED_VALUE"""),"R. SANTA AMÁLIA ")</f>
        <v>R. SANTA AMÁLIA </v>
      </c>
      <c r="L913" s="5" t="str">
        <f>IFERROR(__xludf.DUMMYFUNCTION("""COMPUTED_VALUE"""),"LOCAL")</f>
        <v>LOCAL</v>
      </c>
      <c r="M913" s="5" t="str">
        <f>IFERROR(__xludf.DUMMYFUNCTION("""COMPUTED_VALUE"""),"SÃO JORGE")</f>
        <v>SÃO JORGE</v>
      </c>
      <c r="N913" s="5" t="str">
        <f>IFERROR(__xludf.DUMMYFUNCTION("""COMPUTED_VALUE"""),"BAIRRO - CENTRO / CENTRO - BAIRRO")</f>
        <v>BAIRRO - CENTRO / CENTRO - BAIRRO</v>
      </c>
      <c r="O913" s="5" t="str">
        <f>IFERROR(__xludf.DUMMYFUNCTION("""COMPUTED_VALUE"""),"EM FRENTE AO SALÃO DULCE MARIA ")</f>
        <v>EM FRENTE AO SALÃO DULCE MARIA </v>
      </c>
      <c r="P913" s="5" t="str">
        <f>IFERROR(__xludf.DUMMYFUNCTION("""COMPUTED_VALUE"""),"PRIORIDADE BAIXA")</f>
        <v>PRIORIDADE BAIXA</v>
      </c>
      <c r="Q913" s="5"/>
      <c r="R913" s="5" t="str">
        <f>IFERROR(__xludf.DUMMYFUNCTION("""COMPUTED_VALUE"""),"NENHUMA DAS OPÇÕES")</f>
        <v>NENHUMA DAS OPÇÕES</v>
      </c>
      <c r="S913" s="5"/>
      <c r="T913" s="5"/>
      <c r="U913" s="5"/>
      <c r="V913" s="9" t="str">
        <f>IFERROR(__xludf.DUMMYFUNCTION("""COMPUTED_VALUE"""),"https://drive.google.com/uc?id=1_VTf84beFFrR1uYrlXn3use6kddWwrHy")</f>
        <v>https://drive.google.com/uc?id=1_VTf84beFFrR1uYrlXn3use6kddWwrHy</v>
      </c>
      <c r="W913" s="5" t="str">
        <f>IFERROR(__xludf.DUMMYFUNCTION("""COMPUTED_VALUE"""),"NÃO")</f>
        <v>NÃO</v>
      </c>
      <c r="X913" s="5" t="str">
        <f>IFERROR(__xludf.DUMMYFUNCTION("""COMPUTED_VALUE"""),"NÃO SE APLICA")</f>
        <v>NÃO SE APLICA</v>
      </c>
    </row>
    <row r="914" hidden="1">
      <c r="A914" s="5">
        <f>IFERROR(__xludf.DUMMYFUNCTION("""COMPUTED_VALUE"""),5.0)</f>
        <v>5</v>
      </c>
      <c r="B914" s="5" t="str">
        <f>IFERROR(__xludf.DUMMYFUNCTION("""COMPUTED_VALUE"""),"SJ005")</f>
        <v>SJ005</v>
      </c>
      <c r="C914" s="5" t="str">
        <f>IFERROR(__xludf.DUMMYFUNCTION("""COMPUTED_VALUE"""),"NÃO POSSUI")</f>
        <v>NÃO POSSUI</v>
      </c>
      <c r="D914" s="5" t="str">
        <f>IFERROR(__xludf.DUMMYFUNCTION("""COMPUTED_VALUE"""),"FIXADA EM POSTE")</f>
        <v>FIXADA EM POSTE</v>
      </c>
      <c r="E914" s="5" t="str">
        <f>IFERROR(__xludf.DUMMYFUNCTION("""COMPUTED_VALUE"""),"SEM BAIA")</f>
        <v>SEM BAIA</v>
      </c>
      <c r="F914" s="5" t="str">
        <f>IFERROR(__xludf.DUMMYFUNCTION("""COMPUTED_VALUE"""),"NÃO")</f>
        <v>NÃO</v>
      </c>
      <c r="G914" s="5" t="str">
        <f>IFERROR(__xludf.DUMMYFUNCTION("""COMPUTED_VALUE"""),"NÃO")</f>
        <v>NÃO</v>
      </c>
      <c r="H914" s="5" t="str">
        <f>IFERROR(__xludf.DUMMYFUNCTION("""COMPUTED_VALUE"""),"PAVIMENTADA")</f>
        <v>PAVIMENTADA</v>
      </c>
      <c r="I914" s="6" t="str">
        <f>IFERROR(__xludf.DUMMYFUNCTION("""COMPUTED_VALUE"""),"-9.621566")</f>
        <v>-9.621566</v>
      </c>
      <c r="J914" s="6" t="str">
        <f>IFERROR(__xludf.DUMMYFUNCTION("""COMPUTED_VALUE"""),"-35.710143")</f>
        <v>-35.710143</v>
      </c>
      <c r="K914" s="5" t="str">
        <f>IFERROR(__xludf.DUMMYFUNCTION("""COMPUTED_VALUE"""),"R. SANTA AMÁLIA ")</f>
        <v>R. SANTA AMÁLIA </v>
      </c>
      <c r="L914" s="5" t="str">
        <f>IFERROR(__xludf.DUMMYFUNCTION("""COMPUTED_VALUE"""),"LOCAL")</f>
        <v>LOCAL</v>
      </c>
      <c r="M914" s="5" t="str">
        <f>IFERROR(__xludf.DUMMYFUNCTION("""COMPUTED_VALUE"""),"SÃO JORGE")</f>
        <v>SÃO JORGE</v>
      </c>
      <c r="N914" s="5" t="str">
        <f>IFERROR(__xludf.DUMMYFUNCTION("""COMPUTED_VALUE"""),"CENTRO - BAIRRO")</f>
        <v>CENTRO - BAIRRO</v>
      </c>
      <c r="O914" s="5" t="str">
        <f>IFERROR(__xludf.DUMMYFUNCTION("""COMPUTED_VALUE"""),"EM FRENTE JC CARNES ")</f>
        <v>EM FRENTE JC CARNES </v>
      </c>
      <c r="P914" s="5" t="str">
        <f>IFERROR(__xludf.DUMMYFUNCTION("""COMPUTED_VALUE"""),"PRIORIDADE BAIXA")</f>
        <v>PRIORIDADE BAIXA</v>
      </c>
      <c r="Q914" s="5"/>
      <c r="R914" s="5" t="str">
        <f>IFERROR(__xludf.DUMMYFUNCTION("""COMPUTED_VALUE"""),"NENHUMA DAS OPÇÕES")</f>
        <v>NENHUMA DAS OPÇÕES</v>
      </c>
      <c r="S914" s="5"/>
      <c r="T914" s="5"/>
      <c r="U914" s="5"/>
      <c r="V914" s="9" t="str">
        <f>IFERROR(__xludf.DUMMYFUNCTION("""COMPUTED_VALUE"""),"https://drive.google.com/uc?id=1-jedggpJbXeeZP0Ayv1eeyiKJ9H2XYHX")</f>
        <v>https://drive.google.com/uc?id=1-jedggpJbXeeZP0Ayv1eeyiKJ9H2XYHX</v>
      </c>
      <c r="W914" s="5" t="str">
        <f>IFERROR(__xludf.DUMMYFUNCTION("""COMPUTED_VALUE"""),"NÃO")</f>
        <v>NÃO</v>
      </c>
      <c r="X914" s="5" t="str">
        <f>IFERROR(__xludf.DUMMYFUNCTION("""COMPUTED_VALUE"""),"NÃO SE APLICA")</f>
        <v>NÃO SE APLICA</v>
      </c>
    </row>
    <row r="915" hidden="1">
      <c r="A915" s="5">
        <f>IFERROR(__xludf.DUMMYFUNCTION("""COMPUTED_VALUE"""),5.0)</f>
        <v>5</v>
      </c>
      <c r="B915" s="5" t="str">
        <f>IFERROR(__xludf.DUMMYFUNCTION("""COMPUTED_VALUE"""),"SJ006")</f>
        <v>SJ006</v>
      </c>
      <c r="C915" s="5" t="str">
        <f>IFERROR(__xludf.DUMMYFUNCTION("""COMPUTED_VALUE"""),"NÃO POSSUI")</f>
        <v>NÃO POSSUI</v>
      </c>
      <c r="D915" s="5" t="str">
        <f>IFERROR(__xludf.DUMMYFUNCTION("""COMPUTED_VALUE"""),"FIXADA EM POSTE")</f>
        <v>FIXADA EM POSTE</v>
      </c>
      <c r="E915" s="5" t="str">
        <f>IFERROR(__xludf.DUMMYFUNCTION("""COMPUTED_VALUE"""),"SEM BAIA")</f>
        <v>SEM BAIA</v>
      </c>
      <c r="F915" s="5" t="str">
        <f>IFERROR(__xludf.DUMMYFUNCTION("""COMPUTED_VALUE"""),"NÃO")</f>
        <v>NÃO</v>
      </c>
      <c r="G915" s="5" t="str">
        <f>IFERROR(__xludf.DUMMYFUNCTION("""COMPUTED_VALUE"""),"NÃO")</f>
        <v>NÃO</v>
      </c>
      <c r="H915" s="5" t="str">
        <f>IFERROR(__xludf.DUMMYFUNCTION("""COMPUTED_VALUE"""),"PAVIMENTADA")</f>
        <v>PAVIMENTADA</v>
      </c>
      <c r="I915" s="6" t="str">
        <f>IFERROR(__xludf.DUMMYFUNCTION("""COMPUTED_VALUE"""),"-9.620489")</f>
        <v>-9.620489</v>
      </c>
      <c r="J915" s="6" t="str">
        <f>IFERROR(__xludf.DUMMYFUNCTION("""COMPUTED_VALUE"""),"-35.709768")</f>
        <v>-35.709768</v>
      </c>
      <c r="K915" s="5" t="str">
        <f>IFERROR(__xludf.DUMMYFUNCTION("""COMPUTED_VALUE"""),"AV. CEL. SALUSTIANO SARMENTO")</f>
        <v>AV. CEL. SALUSTIANO SARMENTO</v>
      </c>
      <c r="L915" s="5" t="str">
        <f>IFERROR(__xludf.DUMMYFUNCTION("""COMPUTED_VALUE"""),"COLETORA")</f>
        <v>COLETORA</v>
      </c>
      <c r="M915" s="5" t="str">
        <f>IFERROR(__xludf.DUMMYFUNCTION("""COMPUTED_VALUE"""),"SÃO JORGE")</f>
        <v>SÃO JORGE</v>
      </c>
      <c r="N915" s="5" t="str">
        <f>IFERROR(__xludf.DUMMYFUNCTION("""COMPUTED_VALUE"""),"CENTRO - BAIRRO")</f>
        <v>CENTRO - BAIRRO</v>
      </c>
      <c r="O915" s="5" t="str">
        <f>IFERROR(__xludf.DUMMYFUNCTION("""COMPUTED_VALUE"""),"PRÓXIMO AO POSTO SÃO JORGE")</f>
        <v>PRÓXIMO AO POSTO SÃO JORGE</v>
      </c>
      <c r="P915" s="5" t="str">
        <f>IFERROR(__xludf.DUMMYFUNCTION("""COMPUTED_VALUE"""),"PRIORIDADE BAIXA")</f>
        <v>PRIORIDADE BAIXA</v>
      </c>
      <c r="Q915" s="5"/>
      <c r="R915" s="5" t="str">
        <f>IFERROR(__xludf.DUMMYFUNCTION("""COMPUTED_VALUE"""),"IMPLANTAR ABRIGO")</f>
        <v>IMPLANTAR ABRIGO</v>
      </c>
      <c r="S915" s="5"/>
      <c r="T915" s="5"/>
      <c r="U915" s="5"/>
      <c r="V915" s="9" t="str">
        <f>IFERROR(__xludf.DUMMYFUNCTION("""COMPUTED_VALUE"""),"https://drive.google.com/uc?id=1f37kSoo4YI5wKo7XgJlAeWAcbllIXPOp")</f>
        <v>https://drive.google.com/uc?id=1f37kSoo4YI5wKo7XgJlAeWAcbllIXPOp</v>
      </c>
      <c r="W915" s="5" t="str">
        <f>IFERROR(__xludf.DUMMYFUNCTION("""COMPUTED_VALUE"""),"NÃO")</f>
        <v>NÃO</v>
      </c>
      <c r="X915" s="5" t="str">
        <f>IFERROR(__xludf.DUMMYFUNCTION("""COMPUTED_VALUE"""),"NÃO SE APLICA")</f>
        <v>NÃO SE APLICA</v>
      </c>
    </row>
    <row r="916" hidden="1">
      <c r="A916" s="5">
        <f>IFERROR(__xludf.DUMMYFUNCTION("""COMPUTED_VALUE"""),5.0)</f>
        <v>5</v>
      </c>
      <c r="B916" s="5" t="str">
        <f>IFERROR(__xludf.DUMMYFUNCTION("""COMPUTED_VALUE"""),"SJ007")</f>
        <v>SJ007</v>
      </c>
      <c r="C916" s="5" t="str">
        <f>IFERROR(__xludf.DUMMYFUNCTION("""COMPUTED_VALUE"""),"NÃO POSSUI")</f>
        <v>NÃO POSSUI</v>
      </c>
      <c r="D916" s="5" t="str">
        <f>IFERROR(__xludf.DUMMYFUNCTION("""COMPUTED_VALUE"""),"COM SUPORTE")</f>
        <v>COM SUPORTE</v>
      </c>
      <c r="E916" s="5" t="str">
        <f>IFERROR(__xludf.DUMMYFUNCTION("""COMPUTED_VALUE"""),"SEM BAIA")</f>
        <v>SEM BAIA</v>
      </c>
      <c r="F916" s="5" t="str">
        <f>IFERROR(__xludf.DUMMYFUNCTION("""COMPUTED_VALUE"""),"NÃO")</f>
        <v>NÃO</v>
      </c>
      <c r="G916" s="5" t="str">
        <f>IFERROR(__xludf.DUMMYFUNCTION("""COMPUTED_VALUE"""),"NÃO")</f>
        <v>NÃO</v>
      </c>
      <c r="H916" s="5" t="str">
        <f>IFERROR(__xludf.DUMMYFUNCTION("""COMPUTED_VALUE"""),"PAVIMENTADA")</f>
        <v>PAVIMENTADA</v>
      </c>
      <c r="I916" s="6" t="str">
        <f>IFERROR(__xludf.DUMMYFUNCTION("""COMPUTED_VALUE"""),"-9.620646")</f>
        <v>-9.620646</v>
      </c>
      <c r="J916" s="6" t="str">
        <f>IFERROR(__xludf.DUMMYFUNCTION("""COMPUTED_VALUE"""),"-35.709648")</f>
        <v>-35.709648</v>
      </c>
      <c r="K916" s="5" t="str">
        <f>IFERROR(__xludf.DUMMYFUNCTION("""COMPUTED_VALUE"""),"AV. CEL. SALUSTIANO SARMENTO")</f>
        <v>AV. CEL. SALUSTIANO SARMENTO</v>
      </c>
      <c r="L916" s="5" t="str">
        <f>IFERROR(__xludf.DUMMYFUNCTION("""COMPUTED_VALUE"""),"COLETORA")</f>
        <v>COLETORA</v>
      </c>
      <c r="M916" s="5" t="str">
        <f>IFERROR(__xludf.DUMMYFUNCTION("""COMPUTED_VALUE"""),"SÃO JORGE")</f>
        <v>SÃO JORGE</v>
      </c>
      <c r="N916" s="5" t="str">
        <f>IFERROR(__xludf.DUMMYFUNCTION("""COMPUTED_VALUE"""),"BAIRRO - CENTRO")</f>
        <v>BAIRRO - CENTRO</v>
      </c>
      <c r="O916" s="5" t="str">
        <f>IFERROR(__xludf.DUMMYFUNCTION("""COMPUTED_VALUE"""),"PRÓXIMO AO RESIDENCIAL ANDALUZ")</f>
        <v>PRÓXIMO AO RESIDENCIAL ANDALUZ</v>
      </c>
      <c r="P916" s="5" t="str">
        <f>IFERROR(__xludf.DUMMYFUNCTION("""COMPUTED_VALUE"""),"PRIORIDADE BAIXA")</f>
        <v>PRIORIDADE BAIXA</v>
      </c>
      <c r="Q916" s="5"/>
      <c r="R916" s="5" t="str">
        <f>IFERROR(__xludf.DUMMYFUNCTION("""COMPUTED_VALUE"""),"IMPLANTAR ABRIGO")</f>
        <v>IMPLANTAR ABRIGO</v>
      </c>
      <c r="S916" s="5"/>
      <c r="T916" s="5"/>
      <c r="U916" s="5"/>
      <c r="V916" s="9" t="str">
        <f>IFERROR(__xludf.DUMMYFUNCTION("""COMPUTED_VALUE"""),"https://drive.google.com/uc?id=1KHRxzgOR9TWGXNWHUW4WawPteUoHdrJr")</f>
        <v>https://drive.google.com/uc?id=1KHRxzgOR9TWGXNWHUW4WawPteUoHdrJr</v>
      </c>
      <c r="W916" s="5" t="str">
        <f>IFERROR(__xludf.DUMMYFUNCTION("""COMPUTED_VALUE"""),"NÃO")</f>
        <v>NÃO</v>
      </c>
      <c r="X916" s="5" t="str">
        <f>IFERROR(__xludf.DUMMYFUNCTION("""COMPUTED_VALUE"""),"NÃO SE APLICA")</f>
        <v>NÃO SE APLICA</v>
      </c>
    </row>
    <row r="917" hidden="1">
      <c r="A917" s="5">
        <f>IFERROR(__xludf.DUMMYFUNCTION("""COMPUTED_VALUE"""),5.0)</f>
        <v>5</v>
      </c>
      <c r="B917" s="5" t="str">
        <f>IFERROR(__xludf.DUMMYFUNCTION("""COMPUTED_VALUE"""),"SJ008")</f>
        <v>SJ008</v>
      </c>
      <c r="C917" s="5" t="str">
        <f>IFERROR(__xludf.DUMMYFUNCTION("""COMPUTED_VALUE"""),"NÃO POSSUI")</f>
        <v>NÃO POSSUI</v>
      </c>
      <c r="D917" s="5" t="str">
        <f>IFERROR(__xludf.DUMMYFUNCTION("""COMPUTED_VALUE"""),"COM SUPORTE")</f>
        <v>COM SUPORTE</v>
      </c>
      <c r="E917" s="5" t="str">
        <f>IFERROR(__xludf.DUMMYFUNCTION("""COMPUTED_VALUE"""),"SEM BAIA")</f>
        <v>SEM BAIA</v>
      </c>
      <c r="F917" s="5" t="str">
        <f>IFERROR(__xludf.DUMMYFUNCTION("""COMPUTED_VALUE"""),"NÃO")</f>
        <v>NÃO</v>
      </c>
      <c r="G917" s="5" t="str">
        <f>IFERROR(__xludf.DUMMYFUNCTION("""COMPUTED_VALUE"""),"NÃO")</f>
        <v>NÃO</v>
      </c>
      <c r="H917" s="5" t="str">
        <f>IFERROR(__xludf.DUMMYFUNCTION("""COMPUTED_VALUE"""),"PAVIMENTADA")</f>
        <v>PAVIMENTADA</v>
      </c>
      <c r="I917" s="6" t="str">
        <f>IFERROR(__xludf.DUMMYFUNCTION("""COMPUTED_VALUE"""),"-9.618492")</f>
        <v>-9.618492</v>
      </c>
      <c r="J917" s="6" t="str">
        <f>IFERROR(__xludf.DUMMYFUNCTION("""COMPUTED_VALUE"""),"-35.712722")</f>
        <v>-35.712722</v>
      </c>
      <c r="K917" s="5" t="str">
        <f>IFERROR(__xludf.DUMMYFUNCTION("""COMPUTED_VALUE"""),"AV. CEL. SALUSTIANO SARMENTO, 19.")</f>
        <v>AV. CEL. SALUSTIANO SARMENTO, 19.</v>
      </c>
      <c r="L917" s="5" t="str">
        <f>IFERROR(__xludf.DUMMYFUNCTION("""COMPUTED_VALUE"""),"COLETORA")</f>
        <v>COLETORA</v>
      </c>
      <c r="M917" s="5" t="str">
        <f>IFERROR(__xludf.DUMMYFUNCTION("""COMPUTED_VALUE"""),"SÃO JORGE")</f>
        <v>SÃO JORGE</v>
      </c>
      <c r="N917" s="5" t="str">
        <f>IFERROR(__xludf.DUMMYFUNCTION("""COMPUTED_VALUE"""),"BAIRRO - CENTRO")</f>
        <v>BAIRRO - CENTRO</v>
      </c>
      <c r="O917" s="5" t="str">
        <f>IFERROR(__xludf.DUMMYFUNCTION("""COMPUTED_VALUE"""),"PRÓXIMO A IGREJA ROCHA ETERNA")</f>
        <v>PRÓXIMO A IGREJA ROCHA ETERNA</v>
      </c>
      <c r="P917" s="5" t="str">
        <f>IFERROR(__xludf.DUMMYFUNCTION("""COMPUTED_VALUE"""),"PRIORIDADE BAIXA")</f>
        <v>PRIORIDADE BAIXA</v>
      </c>
      <c r="Q917" s="5"/>
      <c r="R917" s="5" t="str">
        <f>IFERROR(__xludf.DUMMYFUNCTION("""COMPUTED_VALUE"""),"NENHUMA DAS OPÇÕES")</f>
        <v>NENHUMA DAS OPÇÕES</v>
      </c>
      <c r="S917" s="7">
        <f>IFERROR(__xludf.DUMMYFUNCTION("""COMPUTED_VALUE"""),44881.0)</f>
        <v>44881</v>
      </c>
      <c r="T917" s="5" t="str">
        <f>IFERROR(__xludf.DUMMYFUNCTION("""COMPUTED_VALUE"""),"REALIZADO")</f>
        <v>REALIZADO</v>
      </c>
      <c r="U917" s="7">
        <f>IFERROR(__xludf.DUMMYFUNCTION("""COMPUTED_VALUE"""),44886.0)</f>
        <v>44886</v>
      </c>
      <c r="V917" s="9" t="str">
        <f>IFERROR(__xludf.DUMMYFUNCTION("""COMPUTED_VALUE"""),"https://drive.google.com/uc?id=1sMXHI_LUfbC7Pr_dVZLqNr4FQkMVzH6x")</f>
        <v>https://drive.google.com/uc?id=1sMXHI_LUfbC7Pr_dVZLqNr4FQkMVzH6x</v>
      </c>
      <c r="W917" s="5" t="str">
        <f>IFERROR(__xludf.DUMMYFUNCTION("""COMPUTED_VALUE"""),"NÃO")</f>
        <v>NÃO</v>
      </c>
      <c r="X917" s="5" t="str">
        <f>IFERROR(__xludf.DUMMYFUNCTION("""COMPUTED_VALUE"""),"NÃO SE APLICA")</f>
        <v>NÃO SE APLICA</v>
      </c>
    </row>
    <row r="918">
      <c r="A918" s="5">
        <f>IFERROR(__xludf.DUMMYFUNCTION("""COMPUTED_VALUE"""),5.0)</f>
        <v>5</v>
      </c>
      <c r="B918" s="5" t="str">
        <f>IFERROR(__xludf.DUMMYFUNCTION("""COMPUTED_VALUE"""),"SJ009")</f>
        <v>SJ009</v>
      </c>
      <c r="C918" s="5" t="str">
        <f>IFERROR(__xludf.DUMMYFUNCTION("""COMPUTED_VALUE"""),"ABRIGO CONCRETO")</f>
        <v>ABRIGO CONCRETO</v>
      </c>
      <c r="D918" s="5" t="str">
        <f>IFERROR(__xludf.DUMMYFUNCTION("""COMPUTED_VALUE"""),"SEM PLACA")</f>
        <v>SEM PLACA</v>
      </c>
      <c r="E918" s="5" t="str">
        <f>IFERROR(__xludf.DUMMYFUNCTION("""COMPUTED_VALUE"""),"SEM BAIA")</f>
        <v>SEM BAIA</v>
      </c>
      <c r="F918" s="5" t="str">
        <f>IFERROR(__xludf.DUMMYFUNCTION("""COMPUTED_VALUE"""),"NÃO")</f>
        <v>NÃO</v>
      </c>
      <c r="G918" s="5" t="str">
        <f>IFERROR(__xludf.DUMMYFUNCTION("""COMPUTED_VALUE"""),"NÃO")</f>
        <v>NÃO</v>
      </c>
      <c r="H918" s="5" t="str">
        <f>IFERROR(__xludf.DUMMYFUNCTION("""COMPUTED_VALUE"""),"NÃO PAVIMENTADA")</f>
        <v>NÃO PAVIMENTADA</v>
      </c>
      <c r="I918" s="6" t="str">
        <f>IFERROR(__xludf.DUMMYFUNCTION("""COMPUTED_VALUE"""),"-9.619730")</f>
        <v>-9.619730</v>
      </c>
      <c r="J918" s="6" t="str">
        <f>IFERROR(__xludf.DUMMYFUNCTION("""COMPUTED_VALUE"""),"-35.708308")</f>
        <v>-35.708308</v>
      </c>
      <c r="K918" s="5" t="str">
        <f>IFERROR(__xludf.DUMMYFUNCTION("""COMPUTED_VALUE"""),"RUA EBENEZER DE OLIVEIRA FRIAS, 207.")</f>
        <v>RUA EBENEZER DE OLIVEIRA FRIAS, 207.</v>
      </c>
      <c r="L918" s="5" t="str">
        <f>IFERROR(__xludf.DUMMYFUNCTION("""COMPUTED_VALUE"""),"COLETORA")</f>
        <v>COLETORA</v>
      </c>
      <c r="M918" s="5" t="str">
        <f>IFERROR(__xludf.DUMMYFUNCTION("""COMPUTED_VALUE"""),"SÃO JORGE")</f>
        <v>SÃO JORGE</v>
      </c>
      <c r="N918" s="5" t="str">
        <f>IFERROR(__xludf.DUMMYFUNCTION("""COMPUTED_VALUE"""),"BAIRRO - CENTRO")</f>
        <v>BAIRRO - CENTRO</v>
      </c>
      <c r="O918" s="5" t="str">
        <f>IFERROR(__xludf.DUMMYFUNCTION("""COMPUTED_VALUE"""),"EM FRENTE A CROSS STORM")</f>
        <v>EM FRENTE A CROSS STORM</v>
      </c>
      <c r="P918" s="5" t="str">
        <f>IFERROR(__xludf.DUMMYFUNCTION("""COMPUTED_VALUE"""),"PRIORIDADE BAIXA")</f>
        <v>PRIORIDADE BAIXA</v>
      </c>
      <c r="Q918" s="5"/>
      <c r="R918" s="5" t="str">
        <f>IFERROR(__xludf.DUMMYFUNCTION("""COMPUTED_VALUE"""),"SUBSTITUIR ABRIGO")</f>
        <v>SUBSTITUIR ABRIGO</v>
      </c>
      <c r="S918" s="5"/>
      <c r="T918" s="5"/>
      <c r="U918" s="5"/>
      <c r="V918" s="9" t="str">
        <f>IFERROR(__xludf.DUMMYFUNCTION("""COMPUTED_VALUE"""),"https://drive.google.com/uc?id=1KKD6vTE97nGsbqVlvfPffyX3Y40Vc5pI")</f>
        <v>https://drive.google.com/uc?id=1KKD6vTE97nGsbqVlvfPffyX3Y40Vc5pI</v>
      </c>
      <c r="W918" s="5" t="str">
        <f>IFERROR(__xludf.DUMMYFUNCTION("""COMPUTED_VALUE"""),"NÃO")</f>
        <v>NÃO</v>
      </c>
      <c r="X918" s="5" t="str">
        <f>IFERROR(__xludf.DUMMYFUNCTION("""COMPUTED_VALUE"""),"NÃO SE APLICA")</f>
        <v>NÃO SE APLICA</v>
      </c>
    </row>
    <row r="919" hidden="1">
      <c r="A919" s="5">
        <f>IFERROR(__xludf.DUMMYFUNCTION("""COMPUTED_VALUE"""),5.0)</f>
        <v>5</v>
      </c>
      <c r="B919" s="5" t="str">
        <f>IFERROR(__xludf.DUMMYFUNCTION("""COMPUTED_VALUE"""),"SJ010")</f>
        <v>SJ010</v>
      </c>
      <c r="C919" s="5" t="str">
        <f>IFERROR(__xludf.DUMMYFUNCTION("""COMPUTED_VALUE"""),"NÃO POSSUI")</f>
        <v>NÃO POSSUI</v>
      </c>
      <c r="D919" s="5" t="str">
        <f>IFERROR(__xludf.DUMMYFUNCTION("""COMPUTED_VALUE"""),"COM SUPORTE")</f>
        <v>COM SUPORTE</v>
      </c>
      <c r="E919" s="5" t="str">
        <f>IFERROR(__xludf.DUMMYFUNCTION("""COMPUTED_VALUE"""),"SEM BAIA")</f>
        <v>SEM BAIA</v>
      </c>
      <c r="F919" s="5" t="str">
        <f>IFERROR(__xludf.DUMMYFUNCTION("""COMPUTED_VALUE"""),"SIM")</f>
        <v>SIM</v>
      </c>
      <c r="G919" s="5" t="str">
        <f>IFERROR(__xludf.DUMMYFUNCTION("""COMPUTED_VALUE"""),"SIM")</f>
        <v>SIM</v>
      </c>
      <c r="H919" s="5" t="str">
        <f>IFERROR(__xludf.DUMMYFUNCTION("""COMPUTED_VALUE"""),"PAVIMENTADA")</f>
        <v>PAVIMENTADA</v>
      </c>
      <c r="I919" s="6" t="str">
        <f>IFERROR(__xludf.DUMMYFUNCTION("""COMPUTED_VALUE"""),"-9.618912")</f>
        <v>-9.618912</v>
      </c>
      <c r="J919" s="6" t="str">
        <f>IFERROR(__xludf.DUMMYFUNCTION("""COMPUTED_VALUE"""),"-35.706733")</f>
        <v>-35.706733</v>
      </c>
      <c r="K919" s="5" t="str">
        <f>IFERROR(__xludf.DUMMYFUNCTION("""COMPUTED_VALUE"""),"RUA EBENEZER DE OLIVEIRA FRIAS, 685.")</f>
        <v>RUA EBENEZER DE OLIVEIRA FRIAS, 685.</v>
      </c>
      <c r="L919" s="5" t="str">
        <f>IFERROR(__xludf.DUMMYFUNCTION("""COMPUTED_VALUE"""),"COLETORA")</f>
        <v>COLETORA</v>
      </c>
      <c r="M919" s="5" t="str">
        <f>IFERROR(__xludf.DUMMYFUNCTION("""COMPUTED_VALUE"""),"SÃO JORGE")</f>
        <v>SÃO JORGE</v>
      </c>
      <c r="N919" s="5" t="str">
        <f>IFERROR(__xludf.DUMMYFUNCTION("""COMPUTED_VALUE"""),"CENTRO - BAIRRO")</f>
        <v>CENTRO - BAIRRO</v>
      </c>
      <c r="O919" s="5" t="str">
        <f>IFERROR(__xludf.DUMMYFUNCTION("""COMPUTED_VALUE"""),"PARK BOA VISTA")</f>
        <v>PARK BOA VISTA</v>
      </c>
      <c r="P919" s="5" t="str">
        <f>IFERROR(__xludf.DUMMYFUNCTION("""COMPUTED_VALUE"""),"PRIORIDADE BAIXA")</f>
        <v>PRIORIDADE BAIXA</v>
      </c>
      <c r="Q919" s="5"/>
      <c r="R919" s="5" t="str">
        <f>IFERROR(__xludf.DUMMYFUNCTION("""COMPUTED_VALUE"""),"NENHUMA DAS OPÇÕES")</f>
        <v>NENHUMA DAS OPÇÕES</v>
      </c>
      <c r="S919" s="5"/>
      <c r="T919" s="5"/>
      <c r="U919" s="5"/>
      <c r="V919" s="9" t="str">
        <f>IFERROR(__xludf.DUMMYFUNCTION("""COMPUTED_VALUE"""),"https://drive.google.com/uc?id=1HusrC78SJBAipXz45IEANZQVsU3GTpVa")</f>
        <v>https://drive.google.com/uc?id=1HusrC78SJBAipXz45IEANZQVsU3GTpVa</v>
      </c>
      <c r="W919" s="5" t="str">
        <f>IFERROR(__xludf.DUMMYFUNCTION("""COMPUTED_VALUE"""),"NÃO")</f>
        <v>NÃO</v>
      </c>
      <c r="X919" s="5" t="str">
        <f>IFERROR(__xludf.DUMMYFUNCTION("""COMPUTED_VALUE"""),"NÃO SE APLICA")</f>
        <v>NÃO SE APLICA</v>
      </c>
    </row>
    <row r="920" ht="19.5" customHeight="1">
      <c r="A920" s="5">
        <f>IFERROR(__xludf.DUMMYFUNCTION("""COMPUTED_VALUE"""),5.0)</f>
        <v>5</v>
      </c>
      <c r="B920" s="5" t="str">
        <f>IFERROR(__xludf.DUMMYFUNCTION("""COMPUTED_VALUE"""),"SJ011")</f>
        <v>SJ011</v>
      </c>
      <c r="C920" s="5" t="str">
        <f>IFERROR(__xludf.DUMMYFUNCTION("""COMPUTED_VALUE"""),"ABRIGO CONCRETO")</f>
        <v>ABRIGO CONCRETO</v>
      </c>
      <c r="D920" s="5" t="str">
        <f>IFERROR(__xludf.DUMMYFUNCTION("""COMPUTED_VALUE"""),"SEM PLACA")</f>
        <v>SEM PLACA</v>
      </c>
      <c r="E920" s="5" t="str">
        <f>IFERROR(__xludf.DUMMYFUNCTION("""COMPUTED_VALUE"""),"SEM BAIA")</f>
        <v>SEM BAIA</v>
      </c>
      <c r="F920" s="5" t="str">
        <f>IFERROR(__xludf.DUMMYFUNCTION("""COMPUTED_VALUE"""),"NÃO")</f>
        <v>NÃO</v>
      </c>
      <c r="G920" s="5" t="str">
        <f>IFERROR(__xludf.DUMMYFUNCTION("""COMPUTED_VALUE"""),"NÃO")</f>
        <v>NÃO</v>
      </c>
      <c r="H920" s="5" t="str">
        <f>IFERROR(__xludf.DUMMYFUNCTION("""COMPUTED_VALUE"""),"PAVIMENTADA")</f>
        <v>PAVIMENTADA</v>
      </c>
      <c r="I920" s="6" t="str">
        <f>IFERROR(__xludf.DUMMYFUNCTION("""COMPUTED_VALUE"""),"-9.618058")</f>
        <v>-9.618058</v>
      </c>
      <c r="J920" s="6" t="str">
        <f>IFERROR(__xludf.DUMMYFUNCTION("""COMPUTED_VALUE"""),"-35.705585")</f>
        <v>-35.705585</v>
      </c>
      <c r="K920" s="5" t="str">
        <f>IFERROR(__xludf.DUMMYFUNCTION("""COMPUTED_VALUE"""),"RUA EBENEZER DE OLIVEIRA FRIAS, 22")</f>
        <v>RUA EBENEZER DE OLIVEIRA FRIAS, 22</v>
      </c>
      <c r="L920" s="5" t="str">
        <f>IFERROR(__xludf.DUMMYFUNCTION("""COMPUTED_VALUE"""),"COLETORA")</f>
        <v>COLETORA</v>
      </c>
      <c r="M920" s="5" t="str">
        <f>IFERROR(__xludf.DUMMYFUNCTION("""COMPUTED_VALUE"""),"SÃO JORGE")</f>
        <v>SÃO JORGE</v>
      </c>
      <c r="N920" s="5" t="str">
        <f>IFERROR(__xludf.DUMMYFUNCTION("""COMPUTED_VALUE"""),"CENTRO - BAIRRO")</f>
        <v>CENTRO - BAIRRO</v>
      </c>
      <c r="O920" s="5" t="str">
        <f>IFERROR(__xludf.DUMMYFUNCTION("""COMPUTED_VALUE"""),"PRÓX. ESQUADRIAS TROPICAL")</f>
        <v>PRÓX. ESQUADRIAS TROPICAL</v>
      </c>
      <c r="P920" s="5" t="str">
        <f>IFERROR(__xludf.DUMMYFUNCTION("""COMPUTED_VALUE"""),"PRIORIDADE BAIXA")</f>
        <v>PRIORIDADE BAIXA</v>
      </c>
      <c r="Q920" s="5"/>
      <c r="R920" s="5" t="str">
        <f>IFERROR(__xludf.DUMMYFUNCTION("""COMPUTED_VALUE"""),"SUBSTITUIR ABRIGO")</f>
        <v>SUBSTITUIR ABRIGO</v>
      </c>
      <c r="S920" s="5"/>
      <c r="T920" s="5"/>
      <c r="U920" s="5"/>
      <c r="V920" s="9" t="str">
        <f>IFERROR(__xludf.DUMMYFUNCTION("""COMPUTED_VALUE"""),"https://drive.google.com/uc?id=1GVU_D7qhoE4VLxynmYO0wCnA8PuOYzWx")</f>
        <v>https://drive.google.com/uc?id=1GVU_D7qhoE4VLxynmYO0wCnA8PuOYzWx</v>
      </c>
      <c r="W920" s="5" t="str">
        <f>IFERROR(__xludf.DUMMYFUNCTION("""COMPUTED_VALUE"""),"NÃO")</f>
        <v>NÃO</v>
      </c>
      <c r="X920" s="5" t="str">
        <f>IFERROR(__xludf.DUMMYFUNCTION("""COMPUTED_VALUE"""),"NÃO SE APLICA")</f>
        <v>NÃO SE APLICA</v>
      </c>
    </row>
    <row r="921" hidden="1">
      <c r="A921" s="5">
        <f>IFERROR(__xludf.DUMMYFUNCTION("""COMPUTED_VALUE"""),5.0)</f>
        <v>5</v>
      </c>
      <c r="B921" s="5" t="str">
        <f>IFERROR(__xludf.DUMMYFUNCTION("""COMPUTED_VALUE"""),"SJ012")</f>
        <v>SJ012</v>
      </c>
      <c r="C921" s="5" t="str">
        <f>IFERROR(__xludf.DUMMYFUNCTION("""COMPUTED_VALUE"""),"NÃO POSSUI")</f>
        <v>NÃO POSSUI</v>
      </c>
      <c r="D921" s="5" t="str">
        <f>IFERROR(__xludf.DUMMYFUNCTION("""COMPUTED_VALUE"""),"COM SUPORTE")</f>
        <v>COM SUPORTE</v>
      </c>
      <c r="E921" s="5" t="str">
        <f>IFERROR(__xludf.DUMMYFUNCTION("""COMPUTED_VALUE"""),"SEM BAIA")</f>
        <v>SEM BAIA</v>
      </c>
      <c r="F921" s="5" t="str">
        <f>IFERROR(__xludf.DUMMYFUNCTION("""COMPUTED_VALUE"""),"NÃO")</f>
        <v>NÃO</v>
      </c>
      <c r="G921" s="5" t="str">
        <f>IFERROR(__xludf.DUMMYFUNCTION("""COMPUTED_VALUE"""),"NÃO")</f>
        <v>NÃO</v>
      </c>
      <c r="H921" s="5" t="str">
        <f>IFERROR(__xludf.DUMMYFUNCTION("""COMPUTED_VALUE"""),"PAVIMENTADA COM AVARIAS")</f>
        <v>PAVIMENTADA COM AVARIAS</v>
      </c>
      <c r="I921" s="6" t="str">
        <f>IFERROR(__xludf.DUMMYFUNCTION("""COMPUTED_VALUE"""),"-9.617390")</f>
        <v>-9.617390</v>
      </c>
      <c r="J921" s="6" t="str">
        <f>IFERROR(__xludf.DUMMYFUNCTION("""COMPUTED_VALUE"""),"-35.704508")</f>
        <v>-35.704508</v>
      </c>
      <c r="K921" s="5" t="str">
        <f>IFERROR(__xludf.DUMMYFUNCTION("""COMPUTED_VALUE"""),"RUA EBENEZER DE OLIVEIRA FRIAS, 51.")</f>
        <v>RUA EBENEZER DE OLIVEIRA FRIAS, 51.</v>
      </c>
      <c r="L921" s="5" t="str">
        <f>IFERROR(__xludf.DUMMYFUNCTION("""COMPUTED_VALUE"""),"COLETORA")</f>
        <v>COLETORA</v>
      </c>
      <c r="M921" s="5" t="str">
        <f>IFERROR(__xludf.DUMMYFUNCTION("""COMPUTED_VALUE"""),"SÃO JORGE")</f>
        <v>SÃO JORGE</v>
      </c>
      <c r="N921" s="5" t="str">
        <f>IFERROR(__xludf.DUMMYFUNCTION("""COMPUTED_VALUE"""),"CENTRO - BAIRRO")</f>
        <v>CENTRO - BAIRRO</v>
      </c>
      <c r="O921" s="5" t="str">
        <f>IFERROR(__xludf.DUMMYFUNCTION("""COMPUTED_VALUE"""),"PRÓX. A BORRACHARIA ")</f>
        <v>PRÓX. A BORRACHARIA </v>
      </c>
      <c r="P921" s="5" t="str">
        <f>IFERROR(__xludf.DUMMYFUNCTION("""COMPUTED_VALUE"""),"PRIORIDADE BAIXA")</f>
        <v>PRIORIDADE BAIXA</v>
      </c>
      <c r="Q921" s="5"/>
      <c r="R921" s="5" t="str">
        <f>IFERROR(__xludf.DUMMYFUNCTION("""COMPUTED_VALUE"""),"NENHUMA DAS OPÇÕES")</f>
        <v>NENHUMA DAS OPÇÕES</v>
      </c>
      <c r="S921" s="5"/>
      <c r="T921" s="5"/>
      <c r="U921" s="5"/>
      <c r="V921" s="9" t="str">
        <f>IFERROR(__xludf.DUMMYFUNCTION("""COMPUTED_VALUE"""),"https://drive.google.com/uc?id=186UZCQKO00BdLHsviOwjeujxRCOFEVnJ")</f>
        <v>https://drive.google.com/uc?id=186UZCQKO00BdLHsviOwjeujxRCOFEVnJ</v>
      </c>
      <c r="W921" s="5" t="str">
        <f>IFERROR(__xludf.DUMMYFUNCTION("""COMPUTED_VALUE"""),"NÃO")</f>
        <v>NÃO</v>
      </c>
      <c r="X921" s="5" t="str">
        <f>IFERROR(__xludf.DUMMYFUNCTION("""COMPUTED_VALUE"""),"NÃO SE APLICA")</f>
        <v>NÃO SE APLICA</v>
      </c>
    </row>
    <row r="922" hidden="1">
      <c r="A922" s="5">
        <f>IFERROR(__xludf.DUMMYFUNCTION("""COMPUTED_VALUE"""),5.0)</f>
        <v>5</v>
      </c>
      <c r="B922" s="5" t="str">
        <f>IFERROR(__xludf.DUMMYFUNCTION("""COMPUTED_VALUE"""),"SJ013")</f>
        <v>SJ013</v>
      </c>
      <c r="C922" s="5" t="str">
        <f>IFERROR(__xludf.DUMMYFUNCTION("""COMPUTED_VALUE"""),"NÃO POSSUI")</f>
        <v>NÃO POSSUI</v>
      </c>
      <c r="D922" s="5" t="str">
        <f>IFERROR(__xludf.DUMMYFUNCTION("""COMPUTED_VALUE"""),"FIXADA EM POSTE")</f>
        <v>FIXADA EM POSTE</v>
      </c>
      <c r="E922" s="5" t="str">
        <f>IFERROR(__xludf.DUMMYFUNCTION("""COMPUTED_VALUE"""),"SEM BAIA")</f>
        <v>SEM BAIA</v>
      </c>
      <c r="F922" s="5" t="str">
        <f>IFERROR(__xludf.DUMMYFUNCTION("""COMPUTED_VALUE"""),"NÃO")</f>
        <v>NÃO</v>
      </c>
      <c r="G922" s="5" t="str">
        <f>IFERROR(__xludf.DUMMYFUNCTION("""COMPUTED_VALUE"""),"NÃO")</f>
        <v>NÃO</v>
      </c>
      <c r="H922" s="5" t="str">
        <f>IFERROR(__xludf.DUMMYFUNCTION("""COMPUTED_VALUE"""),"PAVIMENTADA COM AVARIAS")</f>
        <v>PAVIMENTADA COM AVARIAS</v>
      </c>
      <c r="I922" s="6" t="str">
        <f>IFERROR(__xludf.DUMMYFUNCTION("""COMPUTED_VALUE"""),"-9.615872")</f>
        <v>-9.615872</v>
      </c>
      <c r="J922" s="6" t="str">
        <f>IFERROR(__xludf.DUMMYFUNCTION("""COMPUTED_VALUE"""),"-35.702510")</f>
        <v>-35.702510</v>
      </c>
      <c r="K922" s="5" t="str">
        <f>IFERROR(__xludf.DUMMYFUNCTION("""COMPUTED_VALUE"""),"RUA H 27")</f>
        <v>RUA H 27</v>
      </c>
      <c r="L922" s="5" t="str">
        <f>IFERROR(__xludf.DUMMYFUNCTION("""COMPUTED_VALUE"""),"LOCAL")</f>
        <v>LOCAL</v>
      </c>
      <c r="M922" s="5" t="str">
        <f>IFERROR(__xludf.DUMMYFUNCTION("""COMPUTED_VALUE"""),"SÃO JORGE")</f>
        <v>SÃO JORGE</v>
      </c>
      <c r="N922" s="5" t="str">
        <f>IFERROR(__xludf.DUMMYFUNCTION("""COMPUTED_VALUE"""),"BAIRRO - CENTRO")</f>
        <v>BAIRRO - CENTRO</v>
      </c>
      <c r="O922" s="5" t="str">
        <f>IFERROR(__xludf.DUMMYFUNCTION("""COMPUTED_VALUE"""),"EM FRENTE AO SENA ENGENHARIA ")</f>
        <v>EM FRENTE AO SENA ENGENHARIA </v>
      </c>
      <c r="P922" s="5" t="str">
        <f>IFERROR(__xludf.DUMMYFUNCTION("""COMPUTED_VALUE"""),"PRIORIDADE BAIXA")</f>
        <v>PRIORIDADE BAIXA</v>
      </c>
      <c r="Q922" s="5"/>
      <c r="R922" s="5" t="str">
        <f>IFERROR(__xludf.DUMMYFUNCTION("""COMPUTED_VALUE"""),"NENHUMA DAS OPÇÕES")</f>
        <v>NENHUMA DAS OPÇÕES</v>
      </c>
      <c r="S922" s="5"/>
      <c r="T922" s="5"/>
      <c r="U922" s="5"/>
      <c r="V922" s="9" t="str">
        <f>IFERROR(__xludf.DUMMYFUNCTION("""COMPUTED_VALUE"""),"https://drive.google.com/uc?id=1vDFgTtcHxMDRQTxlLeQ4iA0CKbXmjuan")</f>
        <v>https://drive.google.com/uc?id=1vDFgTtcHxMDRQTxlLeQ4iA0CKbXmjuan</v>
      </c>
      <c r="W922" s="5" t="str">
        <f>IFERROR(__xludf.DUMMYFUNCTION("""COMPUTED_VALUE"""),"NÃO")</f>
        <v>NÃO</v>
      </c>
      <c r="X922" s="5" t="str">
        <f>IFERROR(__xludf.DUMMYFUNCTION("""COMPUTED_VALUE"""),"NÃO SE APLICA")</f>
        <v>NÃO SE APLICA</v>
      </c>
    </row>
    <row r="923" hidden="1">
      <c r="A923" s="5">
        <f>IFERROR(__xludf.DUMMYFUNCTION("""COMPUTED_VALUE"""),5.0)</f>
        <v>5</v>
      </c>
      <c r="B923" s="5" t="str">
        <f>IFERROR(__xludf.DUMMYFUNCTION("""COMPUTED_VALUE"""),"SJ014")</f>
        <v>SJ014</v>
      </c>
      <c r="C923" s="5" t="str">
        <f>IFERROR(__xludf.DUMMYFUNCTION("""COMPUTED_VALUE"""),"NÃO POSSUI")</f>
        <v>NÃO POSSUI</v>
      </c>
      <c r="D923" s="5" t="str">
        <f>IFERROR(__xludf.DUMMYFUNCTION("""COMPUTED_VALUE"""),"FIXADA EM POSTE")</f>
        <v>FIXADA EM POSTE</v>
      </c>
      <c r="E923" s="5" t="str">
        <f>IFERROR(__xludf.DUMMYFUNCTION("""COMPUTED_VALUE"""),"SEM BAIA")</f>
        <v>SEM BAIA</v>
      </c>
      <c r="F923" s="5" t="str">
        <f>IFERROR(__xludf.DUMMYFUNCTION("""COMPUTED_VALUE"""),"NÃO")</f>
        <v>NÃO</v>
      </c>
      <c r="G923" s="5" t="str">
        <f>IFERROR(__xludf.DUMMYFUNCTION("""COMPUTED_VALUE"""),"NÃO")</f>
        <v>NÃO</v>
      </c>
      <c r="H923" s="5" t="str">
        <f>IFERROR(__xludf.DUMMYFUNCTION("""COMPUTED_VALUE"""),"PAVIMENTADA")</f>
        <v>PAVIMENTADA</v>
      </c>
      <c r="I923" s="6" t="str">
        <f>IFERROR(__xludf.DUMMYFUNCTION("""COMPUTED_VALUE"""),"-9.613132")</f>
        <v>-9.613132</v>
      </c>
      <c r="J923" s="6" t="str">
        <f>IFERROR(__xludf.DUMMYFUNCTION("""COMPUTED_VALUE"""),"-35.701815")</f>
        <v>-35.701815</v>
      </c>
      <c r="K923" s="5" t="str">
        <f>IFERROR(__xludf.DUMMYFUNCTION("""COMPUTED_VALUE"""),"AV. JOSÉ AILTON GONDIM LAMENHA 540.")</f>
        <v>AV. JOSÉ AILTON GONDIM LAMENHA 540.</v>
      </c>
      <c r="L923" s="5" t="str">
        <f>IFERROR(__xludf.DUMMYFUNCTION("""COMPUTED_VALUE"""),"COLETORA")</f>
        <v>COLETORA</v>
      </c>
      <c r="M923" s="5" t="str">
        <f>IFERROR(__xludf.DUMMYFUNCTION("""COMPUTED_VALUE"""),"SÃO JORGE")</f>
        <v>SÃO JORGE</v>
      </c>
      <c r="N923" s="5" t="str">
        <f>IFERROR(__xludf.DUMMYFUNCTION("""COMPUTED_VALUE"""),"BAIRRO - CENTRO")</f>
        <v>BAIRRO - CENTRO</v>
      </c>
      <c r="O923" s="5" t="str">
        <f>IFERROR(__xludf.DUMMYFUNCTION("""COMPUTED_VALUE"""),"EM FRENTE AO POSTO REYAUTO")</f>
        <v>EM FRENTE AO POSTO REYAUTO</v>
      </c>
      <c r="P923" s="5" t="str">
        <f>IFERROR(__xludf.DUMMYFUNCTION("""COMPUTED_VALUE"""),"PRIORIDADE MÉDIA")</f>
        <v>PRIORIDADE MÉDIA</v>
      </c>
      <c r="Q923" s="5"/>
      <c r="R923" s="5" t="str">
        <f>IFERROR(__xludf.DUMMYFUNCTION("""COMPUTED_VALUE"""),"IMPLANTAR ABRIGO")</f>
        <v>IMPLANTAR ABRIGO</v>
      </c>
      <c r="S923" s="7">
        <f>IFERROR(__xludf.DUMMYFUNCTION("""COMPUTED_VALUE"""),44881.0)</f>
        <v>44881</v>
      </c>
      <c r="T923" s="5" t="str">
        <f>IFERROR(__xludf.DUMMYFUNCTION("""COMPUTED_VALUE"""),"REALIZADO")</f>
        <v>REALIZADO</v>
      </c>
      <c r="U923" s="7">
        <f>IFERROR(__xludf.DUMMYFUNCTION("""COMPUTED_VALUE"""),44886.0)</f>
        <v>44886</v>
      </c>
      <c r="V923" s="9" t="str">
        <f>IFERROR(__xludf.DUMMYFUNCTION("""COMPUTED_VALUE"""),"https://drive.google.com/uc?id=1iTzluADzHQQUKAxAKpt0nzJsjMqT2Ssk")</f>
        <v>https://drive.google.com/uc?id=1iTzluADzHQQUKAxAKpt0nzJsjMqT2Ssk</v>
      </c>
      <c r="W923" s="5" t="str">
        <f>IFERROR(__xludf.DUMMYFUNCTION("""COMPUTED_VALUE"""),"NÃO")</f>
        <v>NÃO</v>
      </c>
      <c r="X923" s="5" t="str">
        <f>IFERROR(__xludf.DUMMYFUNCTION("""COMPUTED_VALUE"""),"NÃO SE APLICA")</f>
        <v>NÃO SE APLICA</v>
      </c>
    </row>
    <row r="924">
      <c r="A924" s="5">
        <f>IFERROR(__xludf.DUMMYFUNCTION("""COMPUTED_VALUE"""),5.0)</f>
        <v>5</v>
      </c>
      <c r="B924" s="5" t="str">
        <f>IFERROR(__xludf.DUMMYFUNCTION("""COMPUTED_VALUE"""),"SJ015")</f>
        <v>SJ015</v>
      </c>
      <c r="C924" s="5" t="str">
        <f>IFERROR(__xludf.DUMMYFUNCTION("""COMPUTED_VALUE"""),"ABRIGO CONCRETO")</f>
        <v>ABRIGO CONCRETO</v>
      </c>
      <c r="D924" s="5" t="str">
        <f>IFERROR(__xludf.DUMMYFUNCTION("""COMPUTED_VALUE"""),"SEM PLACA")</f>
        <v>SEM PLACA</v>
      </c>
      <c r="E924" s="5" t="str">
        <f>IFERROR(__xludf.DUMMYFUNCTION("""COMPUTED_VALUE"""),"SEM BAIA")</f>
        <v>SEM BAIA</v>
      </c>
      <c r="F924" s="5" t="str">
        <f>IFERROR(__xludf.DUMMYFUNCTION("""COMPUTED_VALUE"""),"NÃO")</f>
        <v>NÃO</v>
      </c>
      <c r="G924" s="5" t="str">
        <f>IFERROR(__xludf.DUMMYFUNCTION("""COMPUTED_VALUE"""),"NÃO")</f>
        <v>NÃO</v>
      </c>
      <c r="H924" s="5" t="str">
        <f>IFERROR(__xludf.DUMMYFUNCTION("""COMPUTED_VALUE"""),"PAVIMENTADA COM AVARIAS")</f>
        <v>PAVIMENTADA COM AVARIAS</v>
      </c>
      <c r="I924" s="6" t="str">
        <f>IFERROR(__xludf.DUMMYFUNCTION("""COMPUTED_VALUE"""),"-9.612832")</f>
        <v>-9.612832</v>
      </c>
      <c r="J924" s="6" t="str">
        <f>IFERROR(__xludf.DUMMYFUNCTION("""COMPUTED_VALUE"""),"-35.701487")</f>
        <v>-35.701487</v>
      </c>
      <c r="K924" s="5" t="str">
        <f>IFERROR(__xludf.DUMMYFUNCTION("""COMPUTED_VALUE"""),"AV. JOSÉ AILTON GONDIM LAMENHA")</f>
        <v>AV. JOSÉ AILTON GONDIM LAMENHA</v>
      </c>
      <c r="L924" s="5" t="str">
        <f>IFERROR(__xludf.DUMMYFUNCTION("""COMPUTED_VALUE"""),"COLETORA")</f>
        <v>COLETORA</v>
      </c>
      <c r="M924" s="5" t="str">
        <f>IFERROR(__xludf.DUMMYFUNCTION("""COMPUTED_VALUE"""),"SÃO JORGE")</f>
        <v>SÃO JORGE</v>
      </c>
      <c r="N924" s="5" t="str">
        <f>IFERROR(__xludf.DUMMYFUNCTION("""COMPUTED_VALUE"""),"BAIRRO - CENTRO")</f>
        <v>BAIRRO - CENTRO</v>
      </c>
      <c r="O924" s="5" t="str">
        <f>IFERROR(__xludf.DUMMYFUNCTION("""COMPUTED_VALUE"""),"EM FRENTE AO RESIDENCIAL COSTA NORTE ")</f>
        <v>EM FRENTE AO RESIDENCIAL COSTA NORTE </v>
      </c>
      <c r="P924" s="5" t="str">
        <f>IFERROR(__xludf.DUMMYFUNCTION("""COMPUTED_VALUE"""),"PRIORIDADE MÉDIA")</f>
        <v>PRIORIDADE MÉDIA</v>
      </c>
      <c r="Q924" s="5"/>
      <c r="R924" s="5" t="str">
        <f>IFERROR(__xludf.DUMMYFUNCTION("""COMPUTED_VALUE"""),"SUBSTITUIR ABRIGO")</f>
        <v>SUBSTITUIR ABRIGO</v>
      </c>
      <c r="S924" s="5"/>
      <c r="T924" s="5"/>
      <c r="U924" s="5"/>
      <c r="V924" s="9" t="str">
        <f>IFERROR(__xludf.DUMMYFUNCTION("""COMPUTED_VALUE"""),"https://drive.google.com/uc?id=1JK-IfQ6M84iXylY0EhvE2K0b52T8W2NY")</f>
        <v>https://drive.google.com/uc?id=1JK-IfQ6M84iXylY0EhvE2K0b52T8W2NY</v>
      </c>
      <c r="W924" s="5" t="str">
        <f>IFERROR(__xludf.DUMMYFUNCTION("""COMPUTED_VALUE"""),"NÃO")</f>
        <v>NÃO</v>
      </c>
      <c r="X924" s="5" t="str">
        <f>IFERROR(__xludf.DUMMYFUNCTION("""COMPUTED_VALUE"""),"NÃO SE APLICA")</f>
        <v>NÃO SE APLICA</v>
      </c>
    </row>
    <row r="925" hidden="1">
      <c r="A925" s="5">
        <f>IFERROR(__xludf.DUMMYFUNCTION("""COMPUTED_VALUE"""),5.0)</f>
        <v>5</v>
      </c>
      <c r="B925" s="5" t="str">
        <f>IFERROR(__xludf.DUMMYFUNCTION("""COMPUTED_VALUE"""),"SJ016")</f>
        <v>SJ016</v>
      </c>
      <c r="C925" s="5" t="str">
        <f>IFERROR(__xludf.DUMMYFUNCTION("""COMPUTED_VALUE"""),"NÃO POSSUI")</f>
        <v>NÃO POSSUI</v>
      </c>
      <c r="D925" s="5" t="str">
        <f>IFERROR(__xludf.DUMMYFUNCTION("""COMPUTED_VALUE"""),"FIXADA EM POSTE")</f>
        <v>FIXADA EM POSTE</v>
      </c>
      <c r="E925" s="5" t="str">
        <f>IFERROR(__xludf.DUMMYFUNCTION("""COMPUTED_VALUE"""),"SEM BAIA")</f>
        <v>SEM BAIA</v>
      </c>
      <c r="F925" s="5" t="str">
        <f>IFERROR(__xludf.DUMMYFUNCTION("""COMPUTED_VALUE"""),"NÃO")</f>
        <v>NÃO</v>
      </c>
      <c r="G925" s="5" t="str">
        <f>IFERROR(__xludf.DUMMYFUNCTION("""COMPUTED_VALUE"""),"NÃO")</f>
        <v>NÃO</v>
      </c>
      <c r="H925" s="5" t="str">
        <f>IFERROR(__xludf.DUMMYFUNCTION("""COMPUTED_VALUE"""),"NÃO PAVIMENTADA")</f>
        <v>NÃO PAVIMENTADA</v>
      </c>
      <c r="I925" s="6" t="str">
        <f>IFERROR(__xludf.DUMMYFUNCTION("""COMPUTED_VALUE"""),"-9.61928")</f>
        <v>-9.61928</v>
      </c>
      <c r="J925" s="6" t="str">
        <f>IFERROR(__xludf.DUMMYFUNCTION("""COMPUTED_VALUE"""),"-35.71172")</f>
        <v>-35.71172</v>
      </c>
      <c r="K925" s="5" t="str">
        <f>IFERROR(__xludf.DUMMYFUNCTION("""COMPUTED_VALUE"""),"AV. CEL. SALUSTIANO SARMENTO, S/N")</f>
        <v>AV. CEL. SALUSTIANO SARMENTO, S/N</v>
      </c>
      <c r="L925" s="5" t="str">
        <f>IFERROR(__xludf.DUMMYFUNCTION("""COMPUTED_VALUE"""),"COLETORA")</f>
        <v>COLETORA</v>
      </c>
      <c r="M925" s="5" t="str">
        <f>IFERROR(__xludf.DUMMYFUNCTION("""COMPUTED_VALUE"""),"SÃO JORGE")</f>
        <v>SÃO JORGE</v>
      </c>
      <c r="N925" s="5" t="str">
        <f>IFERROR(__xludf.DUMMYFUNCTION("""COMPUTED_VALUE"""),"CENTRO - BAIRRO")</f>
        <v>CENTRO - BAIRRO</v>
      </c>
      <c r="O925" s="5" t="str">
        <f>IFERROR(__xludf.DUMMYFUNCTION("""COMPUTED_VALUE"""),"NA PRINCIPAL DO SÃO JORGE EM FRENTE AO SALÃO CHEZ MARIE")</f>
        <v>NA PRINCIPAL DO SÃO JORGE EM FRENTE AO SALÃO CHEZ MARIE</v>
      </c>
      <c r="P925" s="5" t="str">
        <f>IFERROR(__xludf.DUMMYFUNCTION("""COMPUTED_VALUE"""),"PRIORIDADE BAIXA")</f>
        <v>PRIORIDADE BAIXA</v>
      </c>
      <c r="Q925" s="5"/>
      <c r="R925" s="5" t="str">
        <f>IFERROR(__xludf.DUMMYFUNCTION("""COMPUTED_VALUE"""),"NENHUMA DAS OPÇÕES")</f>
        <v>NENHUMA DAS OPÇÕES</v>
      </c>
      <c r="S925" s="5"/>
      <c r="T925" s="5"/>
      <c r="U925" s="5"/>
      <c r="V925" s="9" t="str">
        <f>IFERROR(__xludf.DUMMYFUNCTION("""COMPUTED_VALUE"""),"https://drive.google.com/uc?id=1k51w_iOqFNVIEIFJRLJbOGfZhDjcIBsV")</f>
        <v>https://drive.google.com/uc?id=1k51w_iOqFNVIEIFJRLJbOGfZhDjcIBsV</v>
      </c>
      <c r="W925" s="5" t="str">
        <f>IFERROR(__xludf.DUMMYFUNCTION("""COMPUTED_VALUE"""),"NÃO")</f>
        <v>NÃO</v>
      </c>
      <c r="X925" s="5" t="str">
        <f>IFERROR(__xludf.DUMMYFUNCTION("""COMPUTED_VALUE"""),"NÃO SE APLICA")</f>
        <v>NÃO SE APLICA</v>
      </c>
    </row>
    <row r="926" hidden="1">
      <c r="A926" s="5">
        <f>IFERROR(__xludf.DUMMYFUNCTION("""COMPUTED_VALUE"""),5.0)</f>
        <v>5</v>
      </c>
      <c r="B926" s="5" t="str">
        <f>IFERROR(__xludf.DUMMYFUNCTION("""COMPUTED_VALUE"""),"SJ017")</f>
        <v>SJ017</v>
      </c>
      <c r="C926" s="5" t="str">
        <f>IFERROR(__xludf.DUMMYFUNCTION("""COMPUTED_VALUE"""),"NÃO POSSUI")</f>
        <v>NÃO POSSUI</v>
      </c>
      <c r="D926" s="5" t="str">
        <f>IFERROR(__xludf.DUMMYFUNCTION("""COMPUTED_VALUE"""),"FIXADA EM POSTE")</f>
        <v>FIXADA EM POSTE</v>
      </c>
      <c r="E926" s="5" t="str">
        <f>IFERROR(__xludf.DUMMYFUNCTION("""COMPUTED_VALUE"""),"SEM BAIA")</f>
        <v>SEM BAIA</v>
      </c>
      <c r="F926" s="5" t="str">
        <f>IFERROR(__xludf.DUMMYFUNCTION("""COMPUTED_VALUE"""),"NÃO")</f>
        <v>NÃO</v>
      </c>
      <c r="G926" s="5" t="str">
        <f>IFERROR(__xludf.DUMMYFUNCTION("""COMPUTED_VALUE"""),"NÃO")</f>
        <v>NÃO</v>
      </c>
      <c r="H926" s="5" t="str">
        <f>IFERROR(__xludf.DUMMYFUNCTION("""COMPUTED_VALUE"""),"NÃO PAVIMENTADA")</f>
        <v>NÃO PAVIMENTADA</v>
      </c>
      <c r="I926" s="6" t="str">
        <f>IFERROR(__xludf.DUMMYFUNCTION("""COMPUTED_VALUE"""),"-9.619480")</f>
        <v>-9.619480</v>
      </c>
      <c r="J926" s="6" t="str">
        <f>IFERROR(__xludf.DUMMYFUNCTION("""COMPUTED_VALUE"""),"-35.711226")</f>
        <v>-35.711226</v>
      </c>
      <c r="K926" s="5" t="str">
        <f>IFERROR(__xludf.DUMMYFUNCTION("""COMPUTED_VALUE"""),"AV. CEL. SALUSTIANO SARMENTO, S/N")</f>
        <v>AV. CEL. SALUSTIANO SARMENTO, S/N</v>
      </c>
      <c r="L926" s="5" t="str">
        <f>IFERROR(__xludf.DUMMYFUNCTION("""COMPUTED_VALUE"""),"COLETORA")</f>
        <v>COLETORA</v>
      </c>
      <c r="M926" s="5" t="str">
        <f>IFERROR(__xludf.DUMMYFUNCTION("""COMPUTED_VALUE"""),"SÃO JORGE")</f>
        <v>SÃO JORGE</v>
      </c>
      <c r="N926" s="5" t="str">
        <f>IFERROR(__xludf.DUMMYFUNCTION("""COMPUTED_VALUE"""),"BAIRRO - CENTRO")</f>
        <v>BAIRRO - CENTRO</v>
      </c>
      <c r="O926" s="5" t="str">
        <f>IFERROR(__xludf.DUMMYFUNCTION("""COMPUTED_VALUE""")," EM FRENTE AO SALÃO CHEZ MARIE")</f>
        <v> EM FRENTE AO SALÃO CHEZ MARIE</v>
      </c>
      <c r="P926" s="5" t="str">
        <f>IFERROR(__xludf.DUMMYFUNCTION("""COMPUTED_VALUE"""),"PRIORIDADE BAIXA")</f>
        <v>PRIORIDADE BAIXA</v>
      </c>
      <c r="Q926" s="5"/>
      <c r="R926" s="5" t="str">
        <f>IFERROR(__xludf.DUMMYFUNCTION("""COMPUTED_VALUE"""),"NENHUMA DAS OPÇÕES")</f>
        <v>NENHUMA DAS OPÇÕES</v>
      </c>
      <c r="S926" s="5"/>
      <c r="T926" s="5"/>
      <c r="U926" s="5"/>
      <c r="V926" s="9" t="str">
        <f>IFERROR(__xludf.DUMMYFUNCTION("""COMPUTED_VALUE"""),"https://drive.google.com/uc?id=1UjShED7HFOj6SYJzknd0fcCULRHAVGEP")</f>
        <v>https://drive.google.com/uc?id=1UjShED7HFOj6SYJzknd0fcCULRHAVGEP</v>
      </c>
      <c r="W926" s="5" t="str">
        <f>IFERROR(__xludf.DUMMYFUNCTION("""COMPUTED_VALUE"""),"NÃO")</f>
        <v>NÃO</v>
      </c>
      <c r="X926" s="5" t="str">
        <f>IFERROR(__xludf.DUMMYFUNCTION("""COMPUTED_VALUE"""),"NÃO SE APLICA")</f>
        <v>NÃO SE APLICA</v>
      </c>
    </row>
    <row r="927" ht="22.5" hidden="1" customHeight="1">
      <c r="A927" s="5">
        <f>IFERROR(__xludf.DUMMYFUNCTION("IMPORTRANGE(""https://docs.google.com/spreadsheets/d/1zsUaGcapKI8nFhFHzkKqQm76kpV8QjqjUiktsuAdmUw/edit#gid=1945605910"", ""BEBEDOURO!A3:X16"")"),4.0)</f>
        <v>4</v>
      </c>
      <c r="B927" s="5" t="str">
        <f>IFERROR(__xludf.DUMMYFUNCTION("""COMPUTED_VALUE"""),"BE001")</f>
        <v>BE001</v>
      </c>
      <c r="C927" s="5" t="str">
        <f>IFERROR(__xludf.DUMMYFUNCTION("""COMPUTED_VALUE"""),"NÃO POSSUI")</f>
        <v>NÃO POSSUI</v>
      </c>
      <c r="D927" s="5" t="str">
        <f>IFERROR(__xludf.DUMMYFUNCTION("""COMPUTED_VALUE"""),"COM SUPORTE")</f>
        <v>COM SUPORTE</v>
      </c>
      <c r="E927" s="5" t="str">
        <f>IFERROR(__xludf.DUMMYFUNCTION("""COMPUTED_VALUE"""),"SEM BAIA")</f>
        <v>SEM BAIA</v>
      </c>
      <c r="F927" s="5" t="str">
        <f>IFERROR(__xludf.DUMMYFUNCTION("""COMPUTED_VALUE"""),"NÃO")</f>
        <v>NÃO</v>
      </c>
      <c r="G927" s="5" t="str">
        <f>IFERROR(__xludf.DUMMYFUNCTION("""COMPUTED_VALUE"""),"NÃO")</f>
        <v>NÃO</v>
      </c>
      <c r="H927" s="5" t="str">
        <f>IFERROR(__xludf.DUMMYFUNCTION("""COMPUTED_VALUE"""),"PAVIMENTADA")</f>
        <v>PAVIMENTADA</v>
      </c>
      <c r="I927" s="6" t="str">
        <f>IFERROR(__xludf.DUMMYFUNCTION("""COMPUTED_VALUE"""),"-9.621563")</f>
        <v>-9.621563</v>
      </c>
      <c r="J927" s="6" t="str">
        <f>IFERROR(__xludf.DUMMYFUNCTION("""COMPUTED_VALUE"""),"-35.761044
")</f>
        <v>-35.761044
</v>
      </c>
      <c r="K927" s="5" t="str">
        <f>IFERROR(__xludf.DUMMYFUNCTION("""COMPUTED_VALUE"""),"RUA TOBIAS BARRETO, 1052")</f>
        <v>RUA TOBIAS BARRETO, 1052</v>
      </c>
      <c r="L927" s="5" t="str">
        <f>IFERROR(__xludf.DUMMYFUNCTION("""COMPUTED_VALUE"""),"LOCAL")</f>
        <v>LOCAL</v>
      </c>
      <c r="M927" s="5" t="str">
        <f>IFERROR(__xludf.DUMMYFUNCTION("""COMPUTED_VALUE"""),"BEBEDOURO")</f>
        <v>BEBEDOURO</v>
      </c>
      <c r="N927" s="5" t="str">
        <f>IFERROR(__xludf.DUMMYFUNCTION("""COMPUTED_VALUE"""),"CENTRO - BAIRRO")</f>
        <v>CENTRO - BAIRRO</v>
      </c>
      <c r="O927" s="5" t="str">
        <f>IFERROR(__xludf.DUMMYFUNCTION("""COMPUTED_VALUE"""),"ATRÁS DA UNIDADE DA FAMÍLIA DO NOVO MUNDO")</f>
        <v>ATRÁS DA UNIDADE DA FAMÍLIA DO NOVO MUNDO</v>
      </c>
      <c r="P927" s="5" t="str">
        <f>IFERROR(__xludf.DUMMYFUNCTION("""COMPUTED_VALUE"""),"PRIORIDADE BAIXA")</f>
        <v>PRIORIDADE BAIXA</v>
      </c>
      <c r="Q927" s="5" t="str">
        <f>IFERROR(__xludf.DUMMYFUNCTION("""COMPUTED_VALUE"""),"NECESSÁRIO LIMPEZA E SUBSTITUIÇÃO DA COBERTA, E REPINTURA DA ESTRUTURA.")</f>
        <v>NECESSÁRIO LIMPEZA E SUBSTITUIÇÃO DA COBERTA, E REPINTURA DA ESTRUTURA.</v>
      </c>
      <c r="R927" s="5" t="str">
        <f>IFERROR(__xludf.DUMMYFUNCTION("""COMPUTED_VALUE"""),"NENHUMA DAS OPÇÕES")</f>
        <v>NENHUMA DAS OPÇÕES</v>
      </c>
      <c r="S927" s="7">
        <f>IFERROR(__xludf.DUMMYFUNCTION("""COMPUTED_VALUE"""),44753.0)</f>
        <v>44753</v>
      </c>
      <c r="T927" s="5" t="str">
        <f>IFERROR(__xludf.DUMMYFUNCTION("""COMPUTED_VALUE"""),"SOLICITADO")</f>
        <v>SOLICITADO</v>
      </c>
      <c r="U927" s="5"/>
      <c r="V927" s="9" t="str">
        <f>IFERROR(__xludf.DUMMYFUNCTION("""COMPUTED_VALUE"""),"https://drive.google.com/uc?id=1eKdfSS_xpQk_4GszW-AxSl4QP3FT3e--")</f>
        <v>https://drive.google.com/uc?id=1eKdfSS_xpQk_4GszW-AxSl4QP3FT3e--</v>
      </c>
      <c r="W927" s="5" t="str">
        <f>IFERROR(__xludf.DUMMYFUNCTION("""COMPUTED_VALUE"""),"NÃO")</f>
        <v>NÃO</v>
      </c>
      <c r="X927" s="5" t="str">
        <f>IFERROR(__xludf.DUMMYFUNCTION("""COMPUTED_VALUE"""),"NÃO SE APLICA")</f>
        <v>NÃO SE APLICA</v>
      </c>
    </row>
    <row r="928" hidden="1">
      <c r="A928" s="5">
        <f>IFERROR(__xludf.DUMMYFUNCTION("""COMPUTED_VALUE"""),4.0)</f>
        <v>4</v>
      </c>
      <c r="B928" s="5" t="str">
        <f>IFERROR(__xludf.DUMMYFUNCTION("""COMPUTED_VALUE"""),"BE002")</f>
        <v>BE002</v>
      </c>
      <c r="C928" s="5" t="str">
        <f>IFERROR(__xludf.DUMMYFUNCTION("""COMPUTED_VALUE"""),"NÃO POSSUI")</f>
        <v>NÃO POSSUI</v>
      </c>
      <c r="D928" s="5" t="str">
        <f>IFERROR(__xludf.DUMMYFUNCTION("""COMPUTED_VALUE"""),"COM SUPORTE")</f>
        <v>COM SUPORTE</v>
      </c>
      <c r="E928" s="5" t="str">
        <f>IFERROR(__xludf.DUMMYFUNCTION("""COMPUTED_VALUE"""),"SEM BAIA")</f>
        <v>SEM BAIA</v>
      </c>
      <c r="F928" s="5" t="str">
        <f>IFERROR(__xludf.DUMMYFUNCTION("""COMPUTED_VALUE"""),"NÃO")</f>
        <v>NÃO</v>
      </c>
      <c r="G928" s="5" t="str">
        <f>IFERROR(__xludf.DUMMYFUNCTION("""COMPUTED_VALUE"""),"NÃO")</f>
        <v>NÃO</v>
      </c>
      <c r="H928" s="5" t="str">
        <f>IFERROR(__xludf.DUMMYFUNCTION("""COMPUTED_VALUE"""),"PAVIMENTADA")</f>
        <v>PAVIMENTADA</v>
      </c>
      <c r="I928" s="6" t="str">
        <f>IFERROR(__xludf.DUMMYFUNCTION("""COMPUTED_VALUE"""),"-9.622003")</f>
        <v>-9.622003</v>
      </c>
      <c r="J928" s="6" t="str">
        <f>IFERROR(__xludf.DUMMYFUNCTION("""COMPUTED_VALUE"""),"-35.758978")</f>
        <v>-35.758978</v>
      </c>
      <c r="K928" s="5" t="str">
        <f>IFERROR(__xludf.DUMMYFUNCTION("""COMPUTED_VALUE"""),"RUA TOBIAS BARRETO, 839")</f>
        <v>RUA TOBIAS BARRETO, 839</v>
      </c>
      <c r="L928" s="5" t="str">
        <f>IFERROR(__xludf.DUMMYFUNCTION("""COMPUTED_VALUE"""),"LOCAL")</f>
        <v>LOCAL</v>
      </c>
      <c r="M928" s="5" t="str">
        <f>IFERROR(__xludf.DUMMYFUNCTION("""COMPUTED_VALUE"""),"BEBEDOURO")</f>
        <v>BEBEDOURO</v>
      </c>
      <c r="N928" s="5" t="str">
        <f>IFERROR(__xludf.DUMMYFUNCTION("""COMPUTED_VALUE"""),"CENTRO - BAIRRO")</f>
        <v>CENTRO - BAIRRO</v>
      </c>
      <c r="O928" s="5" t="str">
        <f>IFERROR(__xludf.DUMMYFUNCTION("""COMPUTED_VALUE"""),"EM FRENTE AO MERCADINHO MONTE SINAI")</f>
        <v>EM FRENTE AO MERCADINHO MONTE SINAI</v>
      </c>
      <c r="P928" s="5" t="str">
        <f>IFERROR(__xludf.DUMMYFUNCTION("""COMPUTED_VALUE"""),"PRIORIDADE BAIXA")</f>
        <v>PRIORIDADE BAIXA</v>
      </c>
      <c r="Q928" s="5" t="str">
        <f>IFERROR(__xludf.DUMMYFUNCTION("""COMPUTED_VALUE"""),"READEQUAÇÃO DE CALÇADA COM ACESSIBILIDADE E BAIA.")</f>
        <v>READEQUAÇÃO DE CALÇADA COM ACESSIBILIDADE E BAIA.</v>
      </c>
      <c r="R928" s="5" t="str">
        <f>IFERROR(__xludf.DUMMYFUNCTION("""COMPUTED_VALUE"""),"NENHUMA DAS OPÇÕES")</f>
        <v>NENHUMA DAS OPÇÕES</v>
      </c>
      <c r="S928" s="7">
        <f>IFERROR(__xludf.DUMMYFUNCTION("""COMPUTED_VALUE"""),44753.0)</f>
        <v>44753</v>
      </c>
      <c r="T928" s="5" t="str">
        <f>IFERROR(__xludf.DUMMYFUNCTION("""COMPUTED_VALUE"""),"SOLICITADO")</f>
        <v>SOLICITADO</v>
      </c>
      <c r="U928" s="5"/>
      <c r="V928" s="9" t="str">
        <f>IFERROR(__xludf.DUMMYFUNCTION("""COMPUTED_VALUE"""),"https://drive.google.com/uc?id=1IY7ttfpudf1Chj_wSocdm8mTZ5fdwD3S")</f>
        <v>https://drive.google.com/uc?id=1IY7ttfpudf1Chj_wSocdm8mTZ5fdwD3S</v>
      </c>
      <c r="W928" s="5" t="str">
        <f>IFERROR(__xludf.DUMMYFUNCTION("""COMPUTED_VALUE"""),"NÃO")</f>
        <v>NÃO</v>
      </c>
      <c r="X928" s="5" t="str">
        <f>IFERROR(__xludf.DUMMYFUNCTION("""COMPUTED_VALUE"""),"NÃO SE APLICA")</f>
        <v>NÃO SE APLICA</v>
      </c>
    </row>
    <row r="929" hidden="1">
      <c r="A929" s="5">
        <f>IFERROR(__xludf.DUMMYFUNCTION("""COMPUTED_VALUE"""),4.0)</f>
        <v>4</v>
      </c>
      <c r="B929" s="5" t="str">
        <f>IFERROR(__xludf.DUMMYFUNCTION("""COMPUTED_VALUE"""),"BE003")</f>
        <v>BE003</v>
      </c>
      <c r="C929" s="5" t="str">
        <f>IFERROR(__xludf.DUMMYFUNCTION("""COMPUTED_VALUE"""),"NÃO POSSUI")</f>
        <v>NÃO POSSUI</v>
      </c>
      <c r="D929" s="5" t="str">
        <f>IFERROR(__xludf.DUMMYFUNCTION("""COMPUTED_VALUE"""),"FIXADA EM POSTE")</f>
        <v>FIXADA EM POSTE</v>
      </c>
      <c r="E929" s="5" t="str">
        <f>IFERROR(__xludf.DUMMYFUNCTION("""COMPUTED_VALUE"""),"SEM BAIA")</f>
        <v>SEM BAIA</v>
      </c>
      <c r="F929" s="5" t="str">
        <f>IFERROR(__xludf.DUMMYFUNCTION("""COMPUTED_VALUE"""),"NÃO")</f>
        <v>NÃO</v>
      </c>
      <c r="G929" s="5" t="str">
        <f>IFERROR(__xludf.DUMMYFUNCTION("""COMPUTED_VALUE"""),"NÃO")</f>
        <v>NÃO</v>
      </c>
      <c r="H929" s="5" t="str">
        <f>IFERROR(__xludf.DUMMYFUNCTION("""COMPUTED_VALUE"""),"PAVIMENTADA")</f>
        <v>PAVIMENTADA</v>
      </c>
      <c r="I929" s="6" t="str">
        <f>IFERROR(__xludf.DUMMYFUNCTION("""COMPUTED_VALUE"""),"-9.622679")</f>
        <v>-9.622679</v>
      </c>
      <c r="J929" s="6" t="str">
        <f>IFERROR(__xludf.DUMMYFUNCTION("""COMPUTED_VALUE"""),"-35.757597")</f>
        <v>-35.757597</v>
      </c>
      <c r="K929" s="5" t="str">
        <f>IFERROR(__xludf.DUMMYFUNCTION("""COMPUTED_VALUE"""),"RUA TOBIAS BARRETO, 673")</f>
        <v>RUA TOBIAS BARRETO, 673</v>
      </c>
      <c r="L929" s="5" t="str">
        <f>IFERROR(__xludf.DUMMYFUNCTION("""COMPUTED_VALUE"""),"LOCAL")</f>
        <v>LOCAL</v>
      </c>
      <c r="M929" s="5" t="str">
        <f>IFERROR(__xludf.DUMMYFUNCTION("""COMPUTED_VALUE"""),"BEBEDOURO")</f>
        <v>BEBEDOURO</v>
      </c>
      <c r="N929" s="5" t="str">
        <f>IFERROR(__xludf.DUMMYFUNCTION("""COMPUTED_VALUE"""),"CENTRO - BAIRRO")</f>
        <v>CENTRO - BAIRRO</v>
      </c>
      <c r="O929" s="5" t="str">
        <f>IFERROR(__xludf.DUMMYFUNCTION("""COMPUTED_VALUE"""),"AO LADO DO MERCADINHO SANTO ANTÔNIO")</f>
        <v>AO LADO DO MERCADINHO SANTO ANTÔNIO</v>
      </c>
      <c r="P929" s="5" t="str">
        <f>IFERROR(__xludf.DUMMYFUNCTION("""COMPUTED_VALUE"""),"PRIORIDADE BAIXA")</f>
        <v>PRIORIDADE BAIXA</v>
      </c>
      <c r="Q929" s="5" t="str">
        <f>IFERROR(__xludf.DUMMYFUNCTION("""COMPUTED_VALUE"""),"READEQUAÇÃO DE CALÇADA COM ACESSIBILIDADE E BAIA.")</f>
        <v>READEQUAÇÃO DE CALÇADA COM ACESSIBILIDADE E BAIA.</v>
      </c>
      <c r="R929" s="5" t="str">
        <f>IFERROR(__xludf.DUMMYFUNCTION("""COMPUTED_VALUE"""),"NENHUMA DAS OPÇÕES")</f>
        <v>NENHUMA DAS OPÇÕES</v>
      </c>
      <c r="S929" s="7">
        <f>IFERROR(__xludf.DUMMYFUNCTION("""COMPUTED_VALUE"""),44753.0)</f>
        <v>44753</v>
      </c>
      <c r="T929" s="5" t="str">
        <f>IFERROR(__xludf.DUMMYFUNCTION("""COMPUTED_VALUE"""),"SOLICITADO")</f>
        <v>SOLICITADO</v>
      </c>
      <c r="U929" s="5"/>
      <c r="V929" s="9" t="str">
        <f>IFERROR(__xludf.DUMMYFUNCTION("""COMPUTED_VALUE"""),"https://drive.google.com/uc?id=1koYIteJ-P_E1QYHIrqddXQ0gs6XMtF1j")</f>
        <v>https://drive.google.com/uc?id=1koYIteJ-P_E1QYHIrqddXQ0gs6XMtF1j</v>
      </c>
      <c r="W929" s="5" t="str">
        <f>IFERROR(__xludf.DUMMYFUNCTION("""COMPUTED_VALUE"""),"NÃO")</f>
        <v>NÃO</v>
      </c>
      <c r="X929" s="5" t="str">
        <f>IFERROR(__xludf.DUMMYFUNCTION("""COMPUTED_VALUE"""),"NÃO SE APLICA")</f>
        <v>NÃO SE APLICA</v>
      </c>
    </row>
    <row r="930" hidden="1">
      <c r="A930" s="5">
        <f>IFERROR(__xludf.DUMMYFUNCTION("""COMPUTED_VALUE"""),4.0)</f>
        <v>4</v>
      </c>
      <c r="B930" s="5" t="str">
        <f>IFERROR(__xludf.DUMMYFUNCTION("""COMPUTED_VALUE"""),"BE004")</f>
        <v>BE004</v>
      </c>
      <c r="C930" s="5" t="str">
        <f>IFERROR(__xludf.DUMMYFUNCTION("""COMPUTED_VALUE"""),"NÃO POSSUI")</f>
        <v>NÃO POSSUI</v>
      </c>
      <c r="D930" s="5" t="str">
        <f>IFERROR(__xludf.DUMMYFUNCTION("""COMPUTED_VALUE"""),"COM SUPORTE")</f>
        <v>COM SUPORTE</v>
      </c>
      <c r="E930" s="5" t="str">
        <f>IFERROR(__xludf.DUMMYFUNCTION("""COMPUTED_VALUE"""),"SEM BAIA")</f>
        <v>SEM BAIA</v>
      </c>
      <c r="F930" s="5" t="str">
        <f>IFERROR(__xludf.DUMMYFUNCTION("""COMPUTED_VALUE"""),"NÃO")</f>
        <v>NÃO</v>
      </c>
      <c r="G930" s="5" t="str">
        <f>IFERROR(__xludf.DUMMYFUNCTION("""COMPUTED_VALUE"""),"NÃO")</f>
        <v>NÃO</v>
      </c>
      <c r="H930" s="5" t="str">
        <f>IFERROR(__xludf.DUMMYFUNCTION("""COMPUTED_VALUE"""),"PAVIMENTADA")</f>
        <v>PAVIMENTADA</v>
      </c>
      <c r="I930" s="6" t="str">
        <f>IFERROR(__xludf.DUMMYFUNCTION("""COMPUTED_VALUE"""),"-9.624364")</f>
        <v>-9.624364</v>
      </c>
      <c r="J930" s="6" t="str">
        <f>IFERROR(__xludf.DUMMYFUNCTION("""COMPUTED_VALUE"""),"-35.754553")</f>
        <v>-35.754553</v>
      </c>
      <c r="K930" s="5" t="str">
        <f>IFERROR(__xludf.DUMMYFUNCTION("""COMPUTED_VALUE"""),"RUA TOBIAS BARRETO, 367")</f>
        <v>RUA TOBIAS BARRETO, 367</v>
      </c>
      <c r="L930" s="5" t="str">
        <f>IFERROR(__xludf.DUMMYFUNCTION("""COMPUTED_VALUE"""),"LOCAL")</f>
        <v>LOCAL</v>
      </c>
      <c r="M930" s="5" t="str">
        <f>IFERROR(__xludf.DUMMYFUNCTION("""COMPUTED_VALUE"""),"BEBEDOURO")</f>
        <v>BEBEDOURO</v>
      </c>
      <c r="N930" s="5" t="str">
        <f>IFERROR(__xludf.DUMMYFUNCTION("""COMPUTED_VALUE"""),"CENTRO - BAIRRO")</f>
        <v>CENTRO - BAIRRO</v>
      </c>
      <c r="O930" s="5" t="str">
        <f>IFERROR(__xludf.DUMMYFUNCTION("""COMPUTED_VALUE"""),"PRÓXIMO A DONA VERA SALGADOS")</f>
        <v>PRÓXIMO A DONA VERA SALGADOS</v>
      </c>
      <c r="P930" s="5" t="str">
        <f>IFERROR(__xludf.DUMMYFUNCTION("""COMPUTED_VALUE"""),"PRIORIDADE BAIXA")</f>
        <v>PRIORIDADE BAIXA</v>
      </c>
      <c r="Q930" s="5" t="str">
        <f>IFERROR(__xludf.DUMMYFUNCTION("""COMPUTED_VALUE"""),"READEQUAÇÃO DE CALÇADA COM ACESSIBILIDADE E BAIA.")</f>
        <v>READEQUAÇÃO DE CALÇADA COM ACESSIBILIDADE E BAIA.</v>
      </c>
      <c r="R930" s="5" t="str">
        <f>IFERROR(__xludf.DUMMYFUNCTION("""COMPUTED_VALUE"""),"IMPLANTAR ABRIGO")</f>
        <v>IMPLANTAR ABRIGO</v>
      </c>
      <c r="S930" s="7">
        <f>IFERROR(__xludf.DUMMYFUNCTION("""COMPUTED_VALUE"""),44753.0)</f>
        <v>44753</v>
      </c>
      <c r="T930" s="5" t="str">
        <f>IFERROR(__xludf.DUMMYFUNCTION("""COMPUTED_VALUE"""),"SOLICITADO")</f>
        <v>SOLICITADO</v>
      </c>
      <c r="U930" s="5"/>
      <c r="V930" s="9" t="str">
        <f>IFERROR(__xludf.DUMMYFUNCTION("""COMPUTED_VALUE"""),"https://drive.google.com/uc?id=1ukFZVgfGwNEg6f-c1jvyEjUwsgWoQGQR")</f>
        <v>https://drive.google.com/uc?id=1ukFZVgfGwNEg6f-c1jvyEjUwsgWoQGQR</v>
      </c>
      <c r="W930" s="5" t="str">
        <f>IFERROR(__xludf.DUMMYFUNCTION("""COMPUTED_VALUE"""),"NÃO")</f>
        <v>NÃO</v>
      </c>
      <c r="X930" s="5" t="str">
        <f>IFERROR(__xludf.DUMMYFUNCTION("""COMPUTED_VALUE"""),"NÃO SE APLICA")</f>
        <v>NÃO SE APLICA</v>
      </c>
    </row>
    <row r="931" hidden="1">
      <c r="A931" s="5">
        <f>IFERROR(__xludf.DUMMYFUNCTION("""COMPUTED_VALUE"""),4.0)</f>
        <v>4</v>
      </c>
      <c r="B931" s="5" t="str">
        <f>IFERROR(__xludf.DUMMYFUNCTION("""COMPUTED_VALUE"""),"BE005")</f>
        <v>BE005</v>
      </c>
      <c r="C931" s="5" t="str">
        <f>IFERROR(__xludf.DUMMYFUNCTION("""COMPUTED_VALUE"""),"NÃO POSSUI")</f>
        <v>NÃO POSSUI</v>
      </c>
      <c r="D931" s="5" t="str">
        <f>IFERROR(__xludf.DUMMYFUNCTION("""COMPUTED_VALUE"""),"COM SUPORTE")</f>
        <v>COM SUPORTE</v>
      </c>
      <c r="E931" s="5" t="str">
        <f>IFERROR(__xludf.DUMMYFUNCTION("""COMPUTED_VALUE"""),"SEM BAIA")</f>
        <v>SEM BAIA</v>
      </c>
      <c r="F931" s="5" t="str">
        <f>IFERROR(__xludf.DUMMYFUNCTION("""COMPUTED_VALUE"""),"NÃO")</f>
        <v>NÃO</v>
      </c>
      <c r="G931" s="5" t="str">
        <f>IFERROR(__xludf.DUMMYFUNCTION("""COMPUTED_VALUE"""),"NÃO")</f>
        <v>NÃO</v>
      </c>
      <c r="H931" s="5" t="str">
        <f>IFERROR(__xludf.DUMMYFUNCTION("""COMPUTED_VALUE"""),"PAVIMENTADA")</f>
        <v>PAVIMENTADA</v>
      </c>
      <c r="I931" s="6" t="str">
        <f>IFERROR(__xludf.DUMMYFUNCTION("""COMPUTED_VALUE"""),"-9.625461")</f>
        <v>-9.625461</v>
      </c>
      <c r="J931" s="6" t="str">
        <f>IFERROR(__xludf.DUMMYFUNCTION("""COMPUTED_VALUE"""),"-35.752184")</f>
        <v>-35.752184</v>
      </c>
      <c r="K931" s="5" t="str">
        <f>IFERROR(__xludf.DUMMYFUNCTION("""COMPUTED_VALUE"""),"RUA TOBIAS BARRETO, 441")</f>
        <v>RUA TOBIAS BARRETO, 441</v>
      </c>
      <c r="L931" s="5" t="str">
        <f>IFERROR(__xludf.DUMMYFUNCTION("""COMPUTED_VALUE"""),"LOCAL")</f>
        <v>LOCAL</v>
      </c>
      <c r="M931" s="5" t="str">
        <f>IFERROR(__xludf.DUMMYFUNCTION("""COMPUTED_VALUE"""),"BEBEDOURO")</f>
        <v>BEBEDOURO</v>
      </c>
      <c r="N931" s="5" t="str">
        <f>IFERROR(__xludf.DUMMYFUNCTION("""COMPUTED_VALUE"""),"CENTRO - BAIRRO")</f>
        <v>CENTRO - BAIRRO</v>
      </c>
      <c r="O931" s="5" t="str">
        <f>IFERROR(__xludf.DUMMYFUNCTION("""COMPUTED_VALUE"""),"EM FRENTE A FARMÁCIA DO NOVO MUNDO")</f>
        <v>EM FRENTE A FARMÁCIA DO NOVO MUNDO</v>
      </c>
      <c r="P931" s="5" t="str">
        <f>IFERROR(__xludf.DUMMYFUNCTION("""COMPUTED_VALUE"""),"PRIORIDADE BAIXA")</f>
        <v>PRIORIDADE BAIXA</v>
      </c>
      <c r="Q931" s="5" t="str">
        <f>IFERROR(__xludf.DUMMYFUNCTION("""COMPUTED_VALUE"""),"SEM SINALIZAÇÃO VERTICAL – NECESSÁRIO IMPLANTAÇÃO DE PLACA EM SUPORTE DE MADEIRA.")</f>
        <v>SEM SINALIZAÇÃO VERTICAL – NECESSÁRIO IMPLANTAÇÃO DE PLACA EM SUPORTE DE MADEIRA.</v>
      </c>
      <c r="R931" s="5" t="str">
        <f>IFERROR(__xludf.DUMMYFUNCTION("""COMPUTED_VALUE"""),"NENHUMA DAS OPÇÕES")</f>
        <v>NENHUMA DAS OPÇÕES</v>
      </c>
      <c r="S931" s="7">
        <f>IFERROR(__xludf.DUMMYFUNCTION("""COMPUTED_VALUE"""),44753.0)</f>
        <v>44753</v>
      </c>
      <c r="T931" s="5" t="str">
        <f>IFERROR(__xludf.DUMMYFUNCTION("""COMPUTED_VALUE"""),"SOLICITADO")</f>
        <v>SOLICITADO</v>
      </c>
      <c r="U931" s="5"/>
      <c r="V931" s="9" t="str">
        <f>IFERROR(__xludf.DUMMYFUNCTION("""COMPUTED_VALUE"""),"https://drive.google.com/uc?id=1x1LtUtAElnxpUzhowY29bVzfUY-xJ2hn")</f>
        <v>https://drive.google.com/uc?id=1x1LtUtAElnxpUzhowY29bVzfUY-xJ2hn</v>
      </c>
      <c r="W931" s="5" t="str">
        <f>IFERROR(__xludf.DUMMYFUNCTION("""COMPUTED_VALUE"""),"NÃO")</f>
        <v>NÃO</v>
      </c>
      <c r="X931" s="5" t="str">
        <f>IFERROR(__xludf.DUMMYFUNCTION("""COMPUTED_VALUE"""),"NÃO SE APLICA")</f>
        <v>NÃO SE APLICA</v>
      </c>
    </row>
    <row r="932" hidden="1">
      <c r="A932" s="5">
        <f>IFERROR(__xludf.DUMMYFUNCTION("""COMPUTED_VALUE"""),4.0)</f>
        <v>4</v>
      </c>
      <c r="B932" s="5" t="str">
        <f>IFERROR(__xludf.DUMMYFUNCTION("""COMPUTED_VALUE"""),"BE006")</f>
        <v>BE006</v>
      </c>
      <c r="C932" s="5" t="str">
        <f>IFERROR(__xludf.DUMMYFUNCTION("""COMPUTED_VALUE"""),"NÃO POSSUI")</f>
        <v>NÃO POSSUI</v>
      </c>
      <c r="D932" s="5" t="str">
        <f>IFERROR(__xludf.DUMMYFUNCTION("""COMPUTED_VALUE"""),"FIXADA EM POSTE")</f>
        <v>FIXADA EM POSTE</v>
      </c>
      <c r="E932" s="5" t="str">
        <f>IFERROR(__xludf.DUMMYFUNCTION("""COMPUTED_VALUE"""),"SEM BAIA")</f>
        <v>SEM BAIA</v>
      </c>
      <c r="F932" s="5" t="str">
        <f>IFERROR(__xludf.DUMMYFUNCTION("""COMPUTED_VALUE"""),"NÃO")</f>
        <v>NÃO</v>
      </c>
      <c r="G932" s="5" t="str">
        <f>IFERROR(__xludf.DUMMYFUNCTION("""COMPUTED_VALUE"""),"NÃO")</f>
        <v>NÃO</v>
      </c>
      <c r="H932" s="5" t="str">
        <f>IFERROR(__xludf.DUMMYFUNCTION("""COMPUTED_VALUE"""),"PAVIMENTADA")</f>
        <v>PAVIMENTADA</v>
      </c>
      <c r="I932" s="6" t="str">
        <f>IFERROR(__xludf.DUMMYFUNCTION("""COMPUTED_VALUE"""),"-9.626708")</f>
        <v>-9.626708</v>
      </c>
      <c r="J932" s="6" t="str">
        <f>IFERROR(__xludf.DUMMYFUNCTION("""COMPUTED_VALUE"""),"-35.751450")</f>
        <v>-35.751450</v>
      </c>
      <c r="K932" s="5" t="str">
        <f>IFERROR(__xludf.DUMMYFUNCTION("""COMPUTED_VALUE"""),"AV. MAJOR CÍCERO DE GÓES MONTEIRO, 3877")</f>
        <v>AV. MAJOR CÍCERO DE GÓES MONTEIRO, 3877</v>
      </c>
      <c r="L932" s="5" t="str">
        <f>IFERROR(__xludf.DUMMYFUNCTION("""COMPUTED_VALUE"""),"ARTERIAL ")</f>
        <v>ARTERIAL </v>
      </c>
      <c r="M932" s="5" t="str">
        <f>IFERROR(__xludf.DUMMYFUNCTION("""COMPUTED_VALUE"""),"BEBEDOURO")</f>
        <v>BEBEDOURO</v>
      </c>
      <c r="N932" s="5" t="str">
        <f>IFERROR(__xludf.DUMMYFUNCTION("""COMPUTED_VALUE"""),"BAIRRO - CENTRO")</f>
        <v>BAIRRO - CENTRO</v>
      </c>
      <c r="O932" s="5" t="str">
        <f>IFERROR(__xludf.DUMMYFUNCTION("""COMPUTED_VALUE"""),"EM FRENTE AO NOVO MUNDO BEBIDAS")</f>
        <v>EM FRENTE AO NOVO MUNDO BEBIDAS</v>
      </c>
      <c r="P932" s="5" t="str">
        <f>IFERROR(__xludf.DUMMYFUNCTION("""COMPUTED_VALUE"""),"PRIORIDADE BAIXA")</f>
        <v>PRIORIDADE BAIXA</v>
      </c>
      <c r="Q932" s="5" t="str">
        <f>IFERROR(__xludf.DUMMYFUNCTION("""COMPUTED_VALUE"""),"READEQUAÇÃO DE CALÇADA COM ACESSIBILIDADE E BAIA.")</f>
        <v>READEQUAÇÃO DE CALÇADA COM ACESSIBILIDADE E BAIA.</v>
      </c>
      <c r="R932" s="5" t="str">
        <f>IFERROR(__xludf.DUMMYFUNCTION("""COMPUTED_VALUE"""),"NENHUMA DAS OPÇÕES")</f>
        <v>NENHUMA DAS OPÇÕES</v>
      </c>
      <c r="S932" s="7">
        <f>IFERROR(__xludf.DUMMYFUNCTION("""COMPUTED_VALUE"""),44753.0)</f>
        <v>44753</v>
      </c>
      <c r="T932" s="5" t="str">
        <f>IFERROR(__xludf.DUMMYFUNCTION("""COMPUTED_VALUE"""),"SOLICITADO")</f>
        <v>SOLICITADO</v>
      </c>
      <c r="U932" s="5"/>
      <c r="V932" s="9" t="str">
        <f>IFERROR(__xludf.DUMMYFUNCTION("""COMPUTED_VALUE"""),"https://drive.google.com/uc?id=1BeN3oZlUWcngXgq_JUne-qt8lyIps5Lt")</f>
        <v>https://drive.google.com/uc?id=1BeN3oZlUWcngXgq_JUne-qt8lyIps5Lt</v>
      </c>
      <c r="W932" s="5" t="str">
        <f>IFERROR(__xludf.DUMMYFUNCTION("""COMPUTED_VALUE"""),"NÃO")</f>
        <v>NÃO</v>
      </c>
      <c r="X932" s="5" t="str">
        <f>IFERROR(__xludf.DUMMYFUNCTION("""COMPUTED_VALUE"""),"NÃO SE APLICA")</f>
        <v>NÃO SE APLICA</v>
      </c>
    </row>
    <row r="933">
      <c r="A933" s="5">
        <f>IFERROR(__xludf.DUMMYFUNCTION("""COMPUTED_VALUE"""),4.0)</f>
        <v>4</v>
      </c>
      <c r="B933" s="5" t="str">
        <f>IFERROR(__xludf.DUMMYFUNCTION("""COMPUTED_VALUE"""),"BE007")</f>
        <v>BE007</v>
      </c>
      <c r="C933" s="5" t="str">
        <f>IFERROR(__xludf.DUMMYFUNCTION("""COMPUTED_VALUE"""),"DESATIVADO - ABRIGO")</f>
        <v>DESATIVADO - ABRIGO</v>
      </c>
      <c r="D933" s="5" t="str">
        <f>IFERROR(__xludf.DUMMYFUNCTION("""COMPUTED_VALUE"""),"SEM PLACA")</f>
        <v>SEM PLACA</v>
      </c>
      <c r="E933" s="5" t="str">
        <f>IFERROR(__xludf.DUMMYFUNCTION("""COMPUTED_VALUE"""),"SEM BAIA")</f>
        <v>SEM BAIA</v>
      </c>
      <c r="F933" s="5" t="str">
        <f>IFERROR(__xludf.DUMMYFUNCTION("""COMPUTED_VALUE"""),"NÃO")</f>
        <v>NÃO</v>
      </c>
      <c r="G933" s="5" t="str">
        <f>IFERROR(__xludf.DUMMYFUNCTION("""COMPUTED_VALUE"""),"NÃO")</f>
        <v>NÃO</v>
      </c>
      <c r="H933" s="5" t="str">
        <f>IFERROR(__xludf.DUMMYFUNCTION("""COMPUTED_VALUE"""),"PAVIMENTADA")</f>
        <v>PAVIMENTADA</v>
      </c>
      <c r="I933" s="6" t="str">
        <f>IFERROR(__xludf.DUMMYFUNCTION("""COMPUTED_VALUE"""),"-9.629837")</f>
        <v>-9.629837</v>
      </c>
      <c r="J933" s="6" t="str">
        <f>IFERROR(__xludf.DUMMYFUNCTION("""COMPUTED_VALUE"""),"-35.750282")</f>
        <v>-35.750282</v>
      </c>
      <c r="K933" s="5" t="str">
        <f>IFERROR(__xludf.DUMMYFUNCTION("""COMPUTED_VALUE"""),"AV. MAJOR CÍCERO DE GÓES MONTEIRO, 3539")</f>
        <v>AV. MAJOR CÍCERO DE GÓES MONTEIRO, 3539</v>
      </c>
      <c r="L933" s="5" t="str">
        <f>IFERROR(__xludf.DUMMYFUNCTION("""COMPUTED_VALUE"""),"ARTERIAL ")</f>
        <v>ARTERIAL </v>
      </c>
      <c r="M933" s="5" t="str">
        <f>IFERROR(__xludf.DUMMYFUNCTION("""COMPUTED_VALUE"""),"BEBEDOURO")</f>
        <v>BEBEDOURO</v>
      </c>
      <c r="N933" s="5" t="str">
        <f>IFERROR(__xludf.DUMMYFUNCTION("""COMPUTED_VALUE"""),"CENTRO - BAIRRO")</f>
        <v>CENTRO - BAIRRO</v>
      </c>
      <c r="O933" s="5" t="str">
        <f>IFERROR(__xludf.DUMMYFUNCTION("""COMPUTED_VALUE"""),"PRÓXIMO AO EDIFÍCIO BAHAMAS")</f>
        <v>PRÓXIMO AO EDIFÍCIO BAHAMAS</v>
      </c>
      <c r="P933" s="5" t="str">
        <f>IFERROR(__xludf.DUMMYFUNCTION("""COMPUTED_VALUE"""),"PRIORIDADE BAIXA")</f>
        <v>PRIORIDADE BAIXA</v>
      </c>
      <c r="Q933" s="5" t="str">
        <f>IFERROR(__xludf.DUMMYFUNCTION("""COMPUTED_VALUE"""),"READEQUAÇÃO DE CALÇADA COM ACESSIBILIDADE E BAIA.")</f>
        <v>READEQUAÇÃO DE CALÇADA COM ACESSIBILIDADE E BAIA.</v>
      </c>
      <c r="R933" s="5" t="str">
        <f>IFERROR(__xludf.DUMMYFUNCTION("""COMPUTED_VALUE"""),"NENHUMA DAS OPÇÕES")</f>
        <v>NENHUMA DAS OPÇÕES</v>
      </c>
      <c r="S933" s="7">
        <f>IFERROR(__xludf.DUMMYFUNCTION("""COMPUTED_VALUE"""),44753.0)</f>
        <v>44753</v>
      </c>
      <c r="T933" s="5" t="str">
        <f>IFERROR(__xludf.DUMMYFUNCTION("""COMPUTED_VALUE"""),"SOLICITADO")</f>
        <v>SOLICITADO</v>
      </c>
      <c r="U933" s="5"/>
      <c r="V933" s="9" t="str">
        <f>IFERROR(__xludf.DUMMYFUNCTION("""COMPUTED_VALUE"""),"https://drive.google.com/uc?id=1dEVkfHU5MEJsCzMYebITeWtWUFFEZzMH")</f>
        <v>https://drive.google.com/uc?id=1dEVkfHU5MEJsCzMYebITeWtWUFFEZzMH</v>
      </c>
      <c r="W933" s="5" t="str">
        <f>IFERROR(__xludf.DUMMYFUNCTION("""COMPUTED_VALUE"""),"NÃO")</f>
        <v>NÃO</v>
      </c>
      <c r="X933" s="5" t="str">
        <f>IFERROR(__xludf.DUMMYFUNCTION("""COMPUTED_VALUE"""),"NÃO SE APLICA")</f>
        <v>NÃO SE APLICA</v>
      </c>
    </row>
    <row r="934" hidden="1">
      <c r="A934" s="5">
        <f>IFERROR(__xludf.DUMMYFUNCTION("""COMPUTED_VALUE"""),4.0)</f>
        <v>4</v>
      </c>
      <c r="B934" s="5" t="str">
        <f>IFERROR(__xludf.DUMMYFUNCTION("""COMPUTED_VALUE"""),"BE008")</f>
        <v>BE008</v>
      </c>
      <c r="C934" s="5" t="str">
        <f>IFERROR(__xludf.DUMMYFUNCTION("""COMPUTED_VALUE"""),"NÃO POSSUI")</f>
        <v>NÃO POSSUI</v>
      </c>
      <c r="D934" s="5" t="str">
        <f>IFERROR(__xludf.DUMMYFUNCTION("""COMPUTED_VALUE"""),"COM SUPORTE")</f>
        <v>COM SUPORTE</v>
      </c>
      <c r="E934" s="5" t="str">
        <f>IFERROR(__xludf.DUMMYFUNCTION("""COMPUTED_VALUE"""),"SEM BAIA")</f>
        <v>SEM BAIA</v>
      </c>
      <c r="F934" s="5" t="str">
        <f>IFERROR(__xludf.DUMMYFUNCTION("""COMPUTED_VALUE"""),"NÃO")</f>
        <v>NÃO</v>
      </c>
      <c r="G934" s="5" t="str">
        <f>IFERROR(__xludf.DUMMYFUNCTION("""COMPUTED_VALUE"""),"NÃO")</f>
        <v>NÃO</v>
      </c>
      <c r="H934" s="5" t="str">
        <f>IFERROR(__xludf.DUMMYFUNCTION("""COMPUTED_VALUE"""),"PAVIMENTADA")</f>
        <v>PAVIMENTADA</v>
      </c>
      <c r="I934" s="6" t="str">
        <f>IFERROR(__xludf.DUMMYFUNCTION("""COMPUTED_VALUE"""),"-9.627794")</f>
        <v>-9.627794</v>
      </c>
      <c r="J934" s="6" t="str">
        <f>IFERROR(__xludf.DUMMYFUNCTION("""COMPUTED_VALUE"""),"-35.749335")</f>
        <v>-35.749335</v>
      </c>
      <c r="K934" s="5" t="str">
        <f>IFERROR(__xludf.DUMMYFUNCTION("""COMPUTED_VALUE"""),"RUA DR. PASSOS DE MIRANDA,1634")</f>
        <v>RUA DR. PASSOS DE MIRANDA,1634</v>
      </c>
      <c r="L934" s="5" t="str">
        <f>IFERROR(__xludf.DUMMYFUNCTION("""COMPUTED_VALUE"""),"COLETORA")</f>
        <v>COLETORA</v>
      </c>
      <c r="M934" s="5" t="str">
        <f>IFERROR(__xludf.DUMMYFUNCTION("""COMPUTED_VALUE"""),"BEBEDOURO")</f>
        <v>BEBEDOURO</v>
      </c>
      <c r="N934" s="5" t="str">
        <f>IFERROR(__xludf.DUMMYFUNCTION("""COMPUTED_VALUE"""),"CENTRO - BAIRRO")</f>
        <v>CENTRO - BAIRRO</v>
      </c>
      <c r="O934" s="5" t="str">
        <f>IFERROR(__xludf.DUMMYFUNCTION("""COMPUTED_VALUE"""),"LOT. MURILÓPOLIS - EM FRENTE AO POÇO DA CASAL")</f>
        <v>LOT. MURILÓPOLIS - EM FRENTE AO POÇO DA CASAL</v>
      </c>
      <c r="P934" s="5" t="str">
        <f>IFERROR(__xludf.DUMMYFUNCTION("""COMPUTED_VALUE"""),"PRIORIDADE BAIXA")</f>
        <v>PRIORIDADE BAIXA</v>
      </c>
      <c r="Q934" s="5" t="str">
        <f>IFERROR(__xludf.DUMMYFUNCTION("""COMPUTED_VALUE"""),"READEQUAÇÃO DE CALÇADA COM ACESSIBILIDADE E BAIA.")</f>
        <v>READEQUAÇÃO DE CALÇADA COM ACESSIBILIDADE E BAIA.</v>
      </c>
      <c r="R934" s="5" t="str">
        <f>IFERROR(__xludf.DUMMYFUNCTION("""COMPUTED_VALUE"""),"NENHUMA DAS OPÇÕES")</f>
        <v>NENHUMA DAS OPÇÕES</v>
      </c>
      <c r="S934" s="7">
        <f>IFERROR(__xludf.DUMMYFUNCTION("""COMPUTED_VALUE"""),44753.0)</f>
        <v>44753</v>
      </c>
      <c r="T934" s="5" t="str">
        <f>IFERROR(__xludf.DUMMYFUNCTION("""COMPUTED_VALUE"""),"SOLICITADO")</f>
        <v>SOLICITADO</v>
      </c>
      <c r="U934" s="5"/>
      <c r="V934" s="9" t="str">
        <f>IFERROR(__xludf.DUMMYFUNCTION("""COMPUTED_VALUE"""),"https://drive.google.com/uc?id=1hKh1HKc42GhL44oc6laoeouiTO24gLnl")</f>
        <v>https://drive.google.com/uc?id=1hKh1HKc42GhL44oc6laoeouiTO24gLnl</v>
      </c>
      <c r="W934" s="5" t="str">
        <f>IFERROR(__xludf.DUMMYFUNCTION("""COMPUTED_VALUE"""),"NÃO")</f>
        <v>NÃO</v>
      </c>
      <c r="X934" s="5" t="str">
        <f>IFERROR(__xludf.DUMMYFUNCTION("""COMPUTED_VALUE"""),"NÃO SE APLICA")</f>
        <v>NÃO SE APLICA</v>
      </c>
    </row>
    <row r="935">
      <c r="A935" s="5">
        <f>IFERROR(__xludf.DUMMYFUNCTION("""COMPUTED_VALUE"""),4.0)</f>
        <v>4</v>
      </c>
      <c r="B935" s="5" t="str">
        <f>IFERROR(__xludf.DUMMYFUNCTION("""COMPUTED_VALUE"""),"BE009")</f>
        <v>BE009</v>
      </c>
      <c r="C935" s="5" t="str">
        <f>IFERROR(__xludf.DUMMYFUNCTION("""COMPUTED_VALUE"""),"DESATIVADO - ABRIGO")</f>
        <v>DESATIVADO - ABRIGO</v>
      </c>
      <c r="D935" s="5" t="str">
        <f>IFERROR(__xludf.DUMMYFUNCTION("""COMPUTED_VALUE"""),"SEM PLACA")</f>
        <v>SEM PLACA</v>
      </c>
      <c r="E935" s="5" t="str">
        <f>IFERROR(__xludf.DUMMYFUNCTION("""COMPUTED_VALUE"""),"SEM BAIA")</f>
        <v>SEM BAIA</v>
      </c>
      <c r="F935" s="5" t="str">
        <f>IFERROR(__xludf.DUMMYFUNCTION("""COMPUTED_VALUE"""),"SIM")</f>
        <v>SIM</v>
      </c>
      <c r="G935" s="5" t="str">
        <f>IFERROR(__xludf.DUMMYFUNCTION("""COMPUTED_VALUE"""),"SIM")</f>
        <v>SIM</v>
      </c>
      <c r="H935" s="5" t="str">
        <f>IFERROR(__xludf.DUMMYFUNCTION("""COMPUTED_VALUE"""),"PAVIMENTADA")</f>
        <v>PAVIMENTADA</v>
      </c>
      <c r="I935" s="6" t="str">
        <f>IFERROR(__xludf.DUMMYFUNCTION("""COMPUTED_VALUE"""),"-9.627595")</f>
        <v>-9.627595</v>
      </c>
      <c r="J935" s="6" t="str">
        <f>IFERROR(__xludf.DUMMYFUNCTION("""COMPUTED_VALUE"""),"-35.750574")</f>
        <v>-35.750574</v>
      </c>
      <c r="K935" s="5" t="str">
        <f>IFERROR(__xludf.DUMMYFUNCTION("""COMPUTED_VALUE"""),"RUA DR. ANTÔNIO NUNES LEITE, S/N")</f>
        <v>RUA DR. ANTÔNIO NUNES LEITE, S/N</v>
      </c>
      <c r="L935" s="5" t="str">
        <f>IFERROR(__xludf.DUMMYFUNCTION("""COMPUTED_VALUE"""),"LOCAL")</f>
        <v>LOCAL</v>
      </c>
      <c r="M935" s="5" t="str">
        <f>IFERROR(__xludf.DUMMYFUNCTION("""COMPUTED_VALUE"""),"BEBEDOURO")</f>
        <v>BEBEDOURO</v>
      </c>
      <c r="N935" s="5" t="str">
        <f>IFERROR(__xludf.DUMMYFUNCTION("""COMPUTED_VALUE"""),"CENTRO - BAIRRO")</f>
        <v>CENTRO - BAIRRO</v>
      </c>
      <c r="O935" s="5" t="str">
        <f>IFERROR(__xludf.DUMMYFUNCTION("""COMPUTED_VALUE"""),"LOT. MURILÓPOLIS - EM FRENTE A CROSS FITT EXPERIENSE")</f>
        <v>LOT. MURILÓPOLIS - EM FRENTE A CROSS FITT EXPERIENSE</v>
      </c>
      <c r="P935" s="5" t="str">
        <f>IFERROR(__xludf.DUMMYFUNCTION("""COMPUTED_VALUE"""),"PRIORIDADE BAIXA")</f>
        <v>PRIORIDADE BAIXA</v>
      </c>
      <c r="Q935" s="5" t="str">
        <f>IFERROR(__xludf.DUMMYFUNCTION("""COMPUTED_VALUE"""),"READEQUAÇÃO DE CALÇADA COM ACESSIBILIDADE E BAIA.")</f>
        <v>READEQUAÇÃO DE CALÇADA COM ACESSIBILIDADE E BAIA.</v>
      </c>
      <c r="R935" s="5" t="str">
        <f>IFERROR(__xludf.DUMMYFUNCTION("""COMPUTED_VALUE"""),"NENHUMA DAS OPÇÕES")</f>
        <v>NENHUMA DAS OPÇÕES</v>
      </c>
      <c r="S935" s="7">
        <f>IFERROR(__xludf.DUMMYFUNCTION("""COMPUTED_VALUE"""),44753.0)</f>
        <v>44753</v>
      </c>
      <c r="T935" s="5" t="str">
        <f>IFERROR(__xludf.DUMMYFUNCTION("""COMPUTED_VALUE"""),"SOLICITADO")</f>
        <v>SOLICITADO</v>
      </c>
      <c r="U935" s="5"/>
      <c r="V935" s="9" t="str">
        <f>IFERROR(__xludf.DUMMYFUNCTION("""COMPUTED_VALUE"""),"https://drive.google.com/uc?id=16-3QnvBZWFS4YJv3cprRZzgl5LixDKWE")</f>
        <v>https://drive.google.com/uc?id=16-3QnvBZWFS4YJv3cprRZzgl5LixDKWE</v>
      </c>
      <c r="W935" s="5" t="str">
        <f>IFERROR(__xludf.DUMMYFUNCTION("""COMPUTED_VALUE"""),"NÃO")</f>
        <v>NÃO</v>
      </c>
      <c r="X935" s="5" t="str">
        <f>IFERROR(__xludf.DUMMYFUNCTION("""COMPUTED_VALUE"""),"NÃO SE APLICA")</f>
        <v>NÃO SE APLICA</v>
      </c>
    </row>
    <row r="936" hidden="1">
      <c r="A936" s="5">
        <f>IFERROR(__xludf.DUMMYFUNCTION("""COMPUTED_VALUE"""),4.0)</f>
        <v>4</v>
      </c>
      <c r="B936" s="5" t="str">
        <f>IFERROR(__xludf.DUMMYFUNCTION("""COMPUTED_VALUE"""),"BE010")</f>
        <v>BE010</v>
      </c>
      <c r="C936" s="5" t="str">
        <f>IFERROR(__xludf.DUMMYFUNCTION("""COMPUTED_VALUE"""),"DESATIVADO - PLACA")</f>
        <v>DESATIVADO - PLACA</v>
      </c>
      <c r="D936" s="5" t="str">
        <f>IFERROR(__xludf.DUMMYFUNCTION("""COMPUTED_VALUE"""),"FIXADA EM POSTE")</f>
        <v>FIXADA EM POSTE</v>
      </c>
      <c r="E936" s="5" t="str">
        <f>IFERROR(__xludf.DUMMYFUNCTION("""COMPUTED_VALUE"""),"SEM BAIA")</f>
        <v>SEM BAIA</v>
      </c>
      <c r="F936" s="5" t="str">
        <f>IFERROR(__xludf.DUMMYFUNCTION("""COMPUTED_VALUE"""),"NÃO")</f>
        <v>NÃO</v>
      </c>
      <c r="G936" s="5" t="str">
        <f>IFERROR(__xludf.DUMMYFUNCTION("""COMPUTED_VALUE"""),"NÃO")</f>
        <v>NÃO</v>
      </c>
      <c r="H936" s="5" t="str">
        <f>IFERROR(__xludf.DUMMYFUNCTION("""COMPUTED_VALUE"""),"PAVIMENTADA")</f>
        <v>PAVIMENTADA</v>
      </c>
      <c r="I936" s="5"/>
      <c r="J936" s="5"/>
      <c r="K936" s="5" t="str">
        <f>IFERROR(__xludf.DUMMYFUNCTION("""COMPUTED_VALUE"""),"AV. MAJOR CÍCERO DE GÓES MONTEIRO, 3598/3610")</f>
        <v>AV. MAJOR CÍCERO DE GÓES MONTEIRO, 3598/3610</v>
      </c>
      <c r="L936" s="5" t="str">
        <f>IFERROR(__xludf.DUMMYFUNCTION("""COMPUTED_VALUE"""),"LOCAL")</f>
        <v>LOCAL</v>
      </c>
      <c r="M936" s="5" t="str">
        <f>IFERROR(__xludf.DUMMYFUNCTION("""COMPUTED_VALUE"""),"BEBEDOURO")</f>
        <v>BEBEDOURO</v>
      </c>
      <c r="N936" s="5" t="str">
        <f>IFERROR(__xludf.DUMMYFUNCTION("""COMPUTED_VALUE"""),"CENTRO - BAIRRO")</f>
        <v>CENTRO - BAIRRO</v>
      </c>
      <c r="O936" s="5" t="str">
        <f>IFERROR(__xludf.DUMMYFUNCTION("""COMPUTED_VALUE"""),"PRÓXIMO A IGREJA DOS SANTOS DOS ÚLTIMOS DIAS")</f>
        <v>PRÓXIMO A IGREJA DOS SANTOS DOS ÚLTIMOS DIAS</v>
      </c>
      <c r="P936" s="5" t="str">
        <f>IFERROR(__xludf.DUMMYFUNCTION("""COMPUTED_VALUE"""),"PRIORIDADE BAIXA")</f>
        <v>PRIORIDADE BAIXA</v>
      </c>
      <c r="Q936" s="5" t="str">
        <f>IFERROR(__xludf.DUMMYFUNCTION("""COMPUTED_VALUE"""),"PRÓXIMO A IGREJA DOS SANTOS DOS ÚLTIMOS DIAS")</f>
        <v>PRÓXIMO A IGREJA DOS SANTOS DOS ÚLTIMOS DIAS</v>
      </c>
      <c r="R936" s="5" t="str">
        <f>IFERROR(__xludf.DUMMYFUNCTION("""COMPUTED_VALUE"""),"NENHUMA DAS OPÇÕES")</f>
        <v>NENHUMA DAS OPÇÕES</v>
      </c>
      <c r="S936" s="7">
        <f>IFERROR(__xludf.DUMMYFUNCTION("""COMPUTED_VALUE"""),44753.0)</f>
        <v>44753</v>
      </c>
      <c r="T936" s="5" t="str">
        <f>IFERROR(__xludf.DUMMYFUNCTION("""COMPUTED_VALUE"""),"SOLICITADO")</f>
        <v>SOLICITADO</v>
      </c>
      <c r="U936" s="5"/>
      <c r="V936" s="9" t="str">
        <f>IFERROR(__xludf.DUMMYFUNCTION("""COMPUTED_VALUE"""),"https://drive.google.com/uc?id=1co1LRMFGMEGCtkvy4GdASzhVA3_mNLbR")</f>
        <v>https://drive.google.com/uc?id=1co1LRMFGMEGCtkvy4GdASzhVA3_mNLbR</v>
      </c>
      <c r="W936" s="5" t="str">
        <f>IFERROR(__xludf.DUMMYFUNCTION("""COMPUTED_VALUE"""),"NÃO")</f>
        <v>NÃO</v>
      </c>
      <c r="X936" s="5" t="str">
        <f>IFERROR(__xludf.DUMMYFUNCTION("""COMPUTED_VALUE"""),"NÃO SE APLICA")</f>
        <v>NÃO SE APLICA</v>
      </c>
    </row>
    <row r="937" hidden="1">
      <c r="A937" s="5">
        <f>IFERROR(__xludf.DUMMYFUNCTION("""COMPUTED_VALUE"""),4.0)</f>
        <v>4</v>
      </c>
      <c r="B937" s="5" t="str">
        <f>IFERROR(__xludf.DUMMYFUNCTION("""COMPUTED_VALUE"""),"BE011")</f>
        <v>BE011</v>
      </c>
      <c r="C937" s="5" t="str">
        <f>IFERROR(__xludf.DUMMYFUNCTION("""COMPUTED_VALUE"""),"NÃO POSSUI")</f>
        <v>NÃO POSSUI</v>
      </c>
      <c r="D937" s="5" t="str">
        <f>IFERROR(__xludf.DUMMYFUNCTION("""COMPUTED_VALUE"""),"COM SUPORTE")</f>
        <v>COM SUPORTE</v>
      </c>
      <c r="E937" s="5" t="str">
        <f>IFERROR(__xludf.DUMMYFUNCTION("""COMPUTED_VALUE"""),"SEM BAIA")</f>
        <v>SEM BAIA</v>
      </c>
      <c r="F937" s="5" t="str">
        <f>IFERROR(__xludf.DUMMYFUNCTION("""COMPUTED_VALUE"""),"NÃO")</f>
        <v>NÃO</v>
      </c>
      <c r="G937" s="5" t="str">
        <f>IFERROR(__xludf.DUMMYFUNCTION("""COMPUTED_VALUE"""),"NÃO")</f>
        <v>NÃO</v>
      </c>
      <c r="H937" s="5" t="str">
        <f>IFERROR(__xludf.DUMMYFUNCTION("""COMPUTED_VALUE"""),"PAVIMENTADA")</f>
        <v>PAVIMENTADA</v>
      </c>
      <c r="I937" s="6" t="str">
        <f>IFERROR(__xludf.DUMMYFUNCTION("""COMPUTED_VALUE"""),"-9.625098")</f>
        <v>-9.625098</v>
      </c>
      <c r="J937" s="6" t="str">
        <f>IFERROR(__xludf.DUMMYFUNCTION("""COMPUTED_VALUE"""),"-35.752116")</f>
        <v>-35.752116</v>
      </c>
      <c r="K937" s="5" t="str">
        <f>IFERROR(__xludf.DUMMYFUNCTION("""COMPUTED_VALUE"""),"RUA CÔNEGO COSTA, 45")</f>
        <v>RUA CÔNEGO COSTA, 45</v>
      </c>
      <c r="L937" s="5" t="str">
        <f>IFERROR(__xludf.DUMMYFUNCTION("""COMPUTED_VALUE"""),"ARTERIAL ")</f>
        <v>ARTERIAL </v>
      </c>
      <c r="M937" s="5" t="str">
        <f>IFERROR(__xludf.DUMMYFUNCTION("""COMPUTED_VALUE"""),"BEBEDOURO")</f>
        <v>BEBEDOURO</v>
      </c>
      <c r="N937" s="5" t="str">
        <f>IFERROR(__xludf.DUMMYFUNCTION("""COMPUTED_VALUE"""),"BAIRRO - CENTRO / CENTRO - BAIRRO")</f>
        <v>BAIRRO - CENTRO / CENTRO - BAIRRO</v>
      </c>
      <c r="O937" s="5" t="str">
        <f>IFERROR(__xludf.DUMMYFUNCTION("""COMPUTED_VALUE"""),"PRÓXIMO A ESTAÇÃO FERROVIÁRIA")</f>
        <v>PRÓXIMO A ESTAÇÃO FERROVIÁRIA</v>
      </c>
      <c r="P937" s="5" t="str">
        <f>IFERROR(__xludf.DUMMYFUNCTION("""COMPUTED_VALUE"""),"PRIORIDADE BAIXA")</f>
        <v>PRIORIDADE BAIXA</v>
      </c>
      <c r="Q937" s="5" t="str">
        <f>IFERROR(__xludf.DUMMYFUNCTION("""COMPUTED_VALUE"""),"PINTURA DE BAIA NO ASFALTO")</f>
        <v>PINTURA DE BAIA NO ASFALTO</v>
      </c>
      <c r="R937" s="5" t="str">
        <f>IFERROR(__xludf.DUMMYFUNCTION("""COMPUTED_VALUE"""),"NENHUMA DAS OPÇÕES")</f>
        <v>NENHUMA DAS OPÇÕES</v>
      </c>
      <c r="S937" s="7">
        <f>IFERROR(__xludf.DUMMYFUNCTION("""COMPUTED_VALUE"""),44753.0)</f>
        <v>44753</v>
      </c>
      <c r="T937" s="5" t="str">
        <f>IFERROR(__xludf.DUMMYFUNCTION("""COMPUTED_VALUE"""),"SOLICITADO")</f>
        <v>SOLICITADO</v>
      </c>
      <c r="U937" s="5"/>
      <c r="V937" s="9" t="str">
        <f>IFERROR(__xludf.DUMMYFUNCTION("""COMPUTED_VALUE"""),"https://drive.google.com/uc?id=1hq2CiXY2F6q2-WrXTauz6pAgqgpe7CrJ")</f>
        <v>https://drive.google.com/uc?id=1hq2CiXY2F6q2-WrXTauz6pAgqgpe7CrJ</v>
      </c>
      <c r="W937" s="5" t="str">
        <f>IFERROR(__xludf.DUMMYFUNCTION("""COMPUTED_VALUE"""),"SIM")</f>
        <v>SIM</v>
      </c>
      <c r="X937" s="5" t="str">
        <f>IFERROR(__xludf.DUMMYFUNCTION("""COMPUTED_VALUE"""),"NÃO SE APLICA")</f>
        <v>NÃO SE APLICA</v>
      </c>
    </row>
    <row r="938" hidden="1">
      <c r="A938" s="5">
        <f>IFERROR(__xludf.DUMMYFUNCTION("""COMPUTED_VALUE"""),4.0)</f>
        <v>4</v>
      </c>
      <c r="B938" s="5" t="str">
        <f>IFERROR(__xludf.DUMMYFUNCTION("""COMPUTED_VALUE"""),"BE012")</f>
        <v>BE012</v>
      </c>
      <c r="C938" s="5" t="str">
        <f>IFERROR(__xludf.DUMMYFUNCTION("""COMPUTED_VALUE"""),"NÃO POSSUI")</f>
        <v>NÃO POSSUI</v>
      </c>
      <c r="D938" s="5" t="str">
        <f>IFERROR(__xludf.DUMMYFUNCTION("""COMPUTED_VALUE"""),"FIXADA EM POSTE")</f>
        <v>FIXADA EM POSTE</v>
      </c>
      <c r="E938" s="5" t="str">
        <f>IFERROR(__xludf.DUMMYFUNCTION("""COMPUTED_VALUE"""),"SEM BAIA")</f>
        <v>SEM BAIA</v>
      </c>
      <c r="F938" s="5" t="str">
        <f>IFERROR(__xludf.DUMMYFUNCTION("""COMPUTED_VALUE"""),"NÃO")</f>
        <v>NÃO</v>
      </c>
      <c r="G938" s="5" t="str">
        <f>IFERROR(__xludf.DUMMYFUNCTION("""COMPUTED_VALUE"""),"NÃO")</f>
        <v>NÃO</v>
      </c>
      <c r="H938" s="5" t="str">
        <f>IFERROR(__xludf.DUMMYFUNCTION("""COMPUTED_VALUE"""),"PAVIMENTADA")</f>
        <v>PAVIMENTADA</v>
      </c>
      <c r="I938" s="6" t="str">
        <f>IFERROR(__xludf.DUMMYFUNCTION("""COMPUTED_VALUE"""),"-9.623796")</f>
        <v>-9.623796</v>
      </c>
      <c r="J938" s="6" t="str">
        <f>IFERROR(__xludf.DUMMYFUNCTION("""COMPUTED_VALUE"""),"-35.753736")</f>
        <v>-35.753736</v>
      </c>
      <c r="K938" s="5" t="str">
        <f>IFERROR(__xludf.DUMMYFUNCTION("""COMPUTED_VALUE"""),"RUA FAUSTINO SILVEIRA, 125")</f>
        <v>RUA FAUSTINO SILVEIRA, 125</v>
      </c>
      <c r="L938" s="5" t="str">
        <f>IFERROR(__xludf.DUMMYFUNCTION("""COMPUTED_VALUE"""),"LOCAL")</f>
        <v>LOCAL</v>
      </c>
      <c r="M938" s="5" t="str">
        <f>IFERROR(__xludf.DUMMYFUNCTION("""COMPUTED_VALUE"""),"BEBEDOURO")</f>
        <v>BEBEDOURO</v>
      </c>
      <c r="N938" s="5" t="str">
        <f>IFERROR(__xludf.DUMMYFUNCTION("""COMPUTED_VALUE"""),"BAIRRO - CENTRO")</f>
        <v>BAIRRO - CENTRO</v>
      </c>
      <c r="O938" s="5" t="str">
        <f>IFERROR(__xludf.DUMMYFUNCTION("""COMPUTED_VALUE"""),"SEM REFERÊNCIA")</f>
        <v>SEM REFERÊNCIA</v>
      </c>
      <c r="P938" s="5" t="str">
        <f>IFERROR(__xludf.DUMMYFUNCTION("""COMPUTED_VALUE"""),"PRIORIDADE BAIXA")</f>
        <v>PRIORIDADE BAIXA</v>
      </c>
      <c r="Q938" s="5" t="str">
        <f>IFERROR(__xludf.DUMMYFUNCTION("""COMPUTED_VALUE"""),"MANUTENÇÃO DE BAIXA PRIORIDADE.")</f>
        <v>MANUTENÇÃO DE BAIXA PRIORIDADE.</v>
      </c>
      <c r="R938" s="5" t="str">
        <f>IFERROR(__xludf.DUMMYFUNCTION("""COMPUTED_VALUE"""),"NENHUMA DAS OPÇÕES")</f>
        <v>NENHUMA DAS OPÇÕES</v>
      </c>
      <c r="S938" s="7">
        <f>IFERROR(__xludf.DUMMYFUNCTION("""COMPUTED_VALUE"""),44753.0)</f>
        <v>44753</v>
      </c>
      <c r="T938" s="5" t="str">
        <f>IFERROR(__xludf.DUMMYFUNCTION("""COMPUTED_VALUE"""),"SOLICITADO")</f>
        <v>SOLICITADO</v>
      </c>
      <c r="U938" s="5"/>
      <c r="V938" s="9" t="str">
        <f>IFERROR(__xludf.DUMMYFUNCTION("""COMPUTED_VALUE"""),"https://drive.google.com/uc?id=11iFDVNb9wQoUbEY5MZfXQRA2ZlwGqisB")</f>
        <v>https://drive.google.com/uc?id=11iFDVNb9wQoUbEY5MZfXQRA2ZlwGqisB</v>
      </c>
      <c r="W938" s="5" t="str">
        <f>IFERROR(__xludf.DUMMYFUNCTION("""COMPUTED_VALUE"""),"NÃO")</f>
        <v>NÃO</v>
      </c>
      <c r="X938" s="5" t="str">
        <f>IFERROR(__xludf.DUMMYFUNCTION("""COMPUTED_VALUE"""),"NÃO SE APLICA")</f>
        <v>NÃO SE APLICA</v>
      </c>
    </row>
    <row r="939" hidden="1">
      <c r="A939" s="5">
        <f>IFERROR(__xludf.DUMMYFUNCTION("""COMPUTED_VALUE"""),4.0)</f>
        <v>4</v>
      </c>
      <c r="B939" s="5" t="str">
        <f>IFERROR(__xludf.DUMMYFUNCTION("""COMPUTED_VALUE"""),"BE013")</f>
        <v>BE013</v>
      </c>
      <c r="C939" s="5" t="str">
        <f>IFERROR(__xludf.DUMMYFUNCTION("""COMPUTED_VALUE"""),"NÃO POSSUI")</f>
        <v>NÃO POSSUI</v>
      </c>
      <c r="D939" s="5" t="str">
        <f>IFERROR(__xludf.DUMMYFUNCTION("""COMPUTED_VALUE"""),"COM SUPORTE")</f>
        <v>COM SUPORTE</v>
      </c>
      <c r="E939" s="5" t="str">
        <f>IFERROR(__xludf.DUMMYFUNCTION("""COMPUTED_VALUE"""),"SEM BAIA")</f>
        <v>SEM BAIA</v>
      </c>
      <c r="F939" s="5" t="str">
        <f>IFERROR(__xludf.DUMMYFUNCTION("""COMPUTED_VALUE"""),"NÃO")</f>
        <v>NÃO</v>
      </c>
      <c r="G939" s="5" t="str">
        <f>IFERROR(__xludf.DUMMYFUNCTION("""COMPUTED_VALUE"""),"NÃO")</f>
        <v>NÃO</v>
      </c>
      <c r="H939" s="5" t="str">
        <f>IFERROR(__xludf.DUMMYFUNCTION("""COMPUTED_VALUE"""),"PAVIMENTADA")</f>
        <v>PAVIMENTADA</v>
      </c>
      <c r="I939" s="6" t="str">
        <f>IFERROR(__xludf.DUMMYFUNCTION("""COMPUTED_VALUE"""),"-9.623715")</f>
        <v>-9.623715</v>
      </c>
      <c r="J939" s="6" t="str">
        <f>IFERROR(__xludf.DUMMYFUNCTION("""COMPUTED_VALUE"""),"-35.751918")</f>
        <v>-35.751918</v>
      </c>
      <c r="K939" s="5" t="str">
        <f>IFERROR(__xludf.DUMMYFUNCTION("""COMPUTED_VALUE"""),"RUA MARQUÊS DE ABRANTES")</f>
        <v>RUA MARQUÊS DE ABRANTES</v>
      </c>
      <c r="L939" s="5" t="str">
        <f>IFERROR(__xludf.DUMMYFUNCTION("""COMPUTED_VALUE"""),"LOCAL")</f>
        <v>LOCAL</v>
      </c>
      <c r="M939" s="5" t="str">
        <f>IFERROR(__xludf.DUMMYFUNCTION("""COMPUTED_VALUE"""),"BEBEDOURO")</f>
        <v>BEBEDOURO</v>
      </c>
      <c r="N939" s="5" t="str">
        <f>IFERROR(__xludf.DUMMYFUNCTION("""COMPUTED_VALUE"""),"CENTRO - BAIRRO")</f>
        <v>CENTRO - BAIRRO</v>
      </c>
      <c r="O939" s="5" t="str">
        <f>IFERROR(__xludf.DUMMYFUNCTION("""COMPUTED_VALUE"""),"EM FRENTE A CASA 95")</f>
        <v>EM FRENTE A CASA 95</v>
      </c>
      <c r="P939" s="5" t="str">
        <f>IFERROR(__xludf.DUMMYFUNCTION("""COMPUTED_VALUE"""),"PRIORIDADE BAIXA")</f>
        <v>PRIORIDADE BAIXA</v>
      </c>
      <c r="Q939" s="5" t="str">
        <f>IFERROR(__xludf.DUMMYFUNCTION("""COMPUTED_VALUE"""),"READEQUAÇÃO DA CALÇADA E PINTURA DE BAÍA NO ASFALTO.")</f>
        <v>READEQUAÇÃO DA CALÇADA E PINTURA DE BAÍA NO ASFALTO.</v>
      </c>
      <c r="R939" s="5" t="str">
        <f>IFERROR(__xludf.DUMMYFUNCTION("""COMPUTED_VALUE"""),"NENHUMA DAS OPÇÕES")</f>
        <v>NENHUMA DAS OPÇÕES</v>
      </c>
      <c r="S939" s="7">
        <f>IFERROR(__xludf.DUMMYFUNCTION("""COMPUTED_VALUE"""),44753.0)</f>
        <v>44753</v>
      </c>
      <c r="T939" s="5" t="str">
        <f>IFERROR(__xludf.DUMMYFUNCTION("""COMPUTED_VALUE"""),"SOLICITADO")</f>
        <v>SOLICITADO</v>
      </c>
      <c r="U939" s="5"/>
      <c r="V939" s="9" t="str">
        <f>IFERROR(__xludf.DUMMYFUNCTION("""COMPUTED_VALUE"""),"https://drive.google.com/uc?id=1nrN80JO1IdjabABYSl1XJ69DGBWQMldi")</f>
        <v>https://drive.google.com/uc?id=1nrN80JO1IdjabABYSl1XJ69DGBWQMldi</v>
      </c>
      <c r="W939" s="5" t="str">
        <f>IFERROR(__xludf.DUMMYFUNCTION("""COMPUTED_VALUE"""),"NÃO")</f>
        <v>NÃO</v>
      </c>
      <c r="X939" s="5" t="str">
        <f>IFERROR(__xludf.DUMMYFUNCTION("""COMPUTED_VALUE"""),"NÃO SE APLICA")</f>
        <v>NÃO SE APLICA</v>
      </c>
    </row>
    <row r="940" ht="14.25" customHeight="1">
      <c r="A940" s="5">
        <f>IFERROR(__xludf.DUMMYFUNCTION("""COMPUTED_VALUE"""),4.0)</f>
        <v>4</v>
      </c>
      <c r="B940" s="5" t="str">
        <f>IFERROR(__xludf.DUMMYFUNCTION("""COMPUTED_VALUE"""),"BE014")</f>
        <v>BE014</v>
      </c>
      <c r="C940" s="5" t="str">
        <f>IFERROR(__xludf.DUMMYFUNCTION("""COMPUTED_VALUE"""),"ABRIGO CONCRETO")</f>
        <v>ABRIGO CONCRETO</v>
      </c>
      <c r="D940" s="5" t="str">
        <f>IFERROR(__xludf.DUMMYFUNCTION("""COMPUTED_VALUE"""),"SEM PLACA")</f>
        <v>SEM PLACA</v>
      </c>
      <c r="E940" s="5" t="str">
        <f>IFERROR(__xludf.DUMMYFUNCTION("""COMPUTED_VALUE"""),"SEM BAIA")</f>
        <v>SEM BAIA</v>
      </c>
      <c r="F940" s="5" t="str">
        <f>IFERROR(__xludf.DUMMYFUNCTION("""COMPUTED_VALUE"""),"NÃO")</f>
        <v>NÃO</v>
      </c>
      <c r="G940" s="5" t="str">
        <f>IFERROR(__xludf.DUMMYFUNCTION("""COMPUTED_VALUE"""),"NÃO")</f>
        <v>NÃO</v>
      </c>
      <c r="H940" s="5" t="str">
        <f>IFERROR(__xludf.DUMMYFUNCTION("""COMPUTED_VALUE"""),"PAVIMENTADA")</f>
        <v>PAVIMENTADA</v>
      </c>
      <c r="I940" s="6" t="str">
        <f>IFERROR(__xludf.DUMMYFUNCTION("""COMPUTED_VALUE"""),"-9.623733")</f>
        <v>-9.623733</v>
      </c>
      <c r="J940" s="6" t="str">
        <f>IFERROR(__xludf.DUMMYFUNCTION("""COMPUTED_VALUE"""),"-35.751840")</f>
        <v>-35.751840</v>
      </c>
      <c r="K940" s="5" t="str">
        <f>IFERROR(__xludf.DUMMYFUNCTION("""COMPUTED_VALUE"""),"RUA MARQUÊS DE ABRANTES")</f>
        <v>RUA MARQUÊS DE ABRANTES</v>
      </c>
      <c r="L940" s="5" t="str">
        <f>IFERROR(__xludf.DUMMYFUNCTION("""COMPUTED_VALUE"""),"LOCAL")</f>
        <v>LOCAL</v>
      </c>
      <c r="M940" s="5" t="str">
        <f>IFERROR(__xludf.DUMMYFUNCTION("""COMPUTED_VALUE"""),"BEBEDOURO")</f>
        <v>BEBEDOURO</v>
      </c>
      <c r="N940" s="5" t="str">
        <f>IFERROR(__xludf.DUMMYFUNCTION("""COMPUTED_VALUE"""),"BAIRRO - CENTRO / CENTRO - BAIRRO")</f>
        <v>BAIRRO - CENTRO / CENTRO - BAIRRO</v>
      </c>
      <c r="O940" s="5" t="str">
        <f>IFERROR(__xludf.DUMMYFUNCTION("""COMPUTED_VALUE"""),"EM FRENTE A CASA 95")</f>
        <v>EM FRENTE A CASA 95</v>
      </c>
      <c r="P940" s="5" t="str">
        <f>IFERROR(__xludf.DUMMYFUNCTION("""COMPUTED_VALUE"""),"PRIORIDADE BAIXA")</f>
        <v>PRIORIDADE BAIXA</v>
      </c>
      <c r="Q940" s="5" t="str">
        <f>IFERROR(__xludf.DUMMYFUNCTION("""COMPUTED_VALUE"""),"READEQUAÇÃO DA CALÇADA E PINTURA DE BAÍA NO ASFALTO.")</f>
        <v>READEQUAÇÃO DA CALÇADA E PINTURA DE BAÍA NO ASFALTO.</v>
      </c>
      <c r="R940" s="5" t="str">
        <f>IFERROR(__xludf.DUMMYFUNCTION("""COMPUTED_VALUE"""),"SUBSTITUIR ABRIGO")</f>
        <v>SUBSTITUIR ABRIGO</v>
      </c>
      <c r="S940" s="7">
        <f>IFERROR(__xludf.DUMMYFUNCTION("""COMPUTED_VALUE"""),44753.0)</f>
        <v>44753</v>
      </c>
      <c r="T940" s="5" t="str">
        <f>IFERROR(__xludf.DUMMYFUNCTION("""COMPUTED_VALUE"""),"SOLICITADO")</f>
        <v>SOLICITADO</v>
      </c>
      <c r="U940" s="5"/>
      <c r="V940" s="9" t="str">
        <f>IFERROR(__xludf.DUMMYFUNCTION("""COMPUTED_VALUE"""),"https://drive.google.com/uc?id=19qKVL-hr3l0kV37m0Wl57OOQ7od_Mxtr")</f>
        <v>https://drive.google.com/uc?id=19qKVL-hr3l0kV37m0Wl57OOQ7od_Mxtr</v>
      </c>
      <c r="W940" s="5" t="str">
        <f>IFERROR(__xludf.DUMMYFUNCTION("""COMPUTED_VALUE"""),"NÃO")</f>
        <v>NÃO</v>
      </c>
      <c r="X940" s="5" t="str">
        <f>IFERROR(__xludf.DUMMYFUNCTION("""COMPUTED_VALUE"""),"NÃO SE APLICA")</f>
        <v>NÃO SE APLICA</v>
      </c>
    </row>
    <row r="941" ht="16.5" hidden="1" customHeight="1">
      <c r="A941" s="5">
        <f>IFERROR(__xludf.DUMMYFUNCTION("IMPORTRANGE(""https://docs.google.com/spreadsheets/d/1zsUaGcapKI8nFhFHzkKqQm76kpV8QjqjUiktsuAdmUw/edit#gid=1612198575"", ""BOM PARTO!A3:X7"")"),4.0)</f>
        <v>4</v>
      </c>
      <c r="B941" s="5" t="str">
        <f>IFERROR(__xludf.DUMMYFUNCTION("""COMPUTED_VALUE"""),"BP001")</f>
        <v>BP001</v>
      </c>
      <c r="C941" s="5" t="str">
        <f>IFERROR(__xludf.DUMMYFUNCTION("""COMPUTED_VALUE"""),"NÃO POSSUI")</f>
        <v>NÃO POSSUI</v>
      </c>
      <c r="D941" s="5" t="str">
        <f>IFERROR(__xludf.DUMMYFUNCTION("""COMPUTED_VALUE"""),"FIXADA EM POSTE")</f>
        <v>FIXADA EM POSTE</v>
      </c>
      <c r="E941" s="5" t="str">
        <f>IFERROR(__xludf.DUMMYFUNCTION("""COMPUTED_VALUE"""),"SEM BAIA")</f>
        <v>SEM BAIA</v>
      </c>
      <c r="F941" s="5" t="str">
        <f>IFERROR(__xludf.DUMMYFUNCTION("""COMPUTED_VALUE"""),"NÃO")</f>
        <v>NÃO</v>
      </c>
      <c r="G941" s="5" t="str">
        <f>IFERROR(__xludf.DUMMYFUNCTION("""COMPUTED_VALUE"""),"NÃO")</f>
        <v>NÃO</v>
      </c>
      <c r="H941" s="5" t="str">
        <f>IFERROR(__xludf.DUMMYFUNCTION("""COMPUTED_VALUE"""),"PAVIMENTADA")</f>
        <v>PAVIMENTADA</v>
      </c>
      <c r="I941" s="6" t="str">
        <f>IFERROR(__xludf.DUMMYFUNCTION("""COMPUTED_VALUE"""),"-9.644378")</f>
        <v>-9.644378</v>
      </c>
      <c r="J941" s="6" t="str">
        <f>IFERROR(__xludf.DUMMYFUNCTION("""COMPUTED_VALUE"""),"-35.743730")</f>
        <v>-35.743730</v>
      </c>
      <c r="K941" s="5" t="str">
        <f>IFERROR(__xludf.DUMMYFUNCTION("""COMPUTED_VALUE"""),"AV. MAJOR CÍCERO DE GÓES MONTEIRO, 1806")</f>
        <v>AV. MAJOR CÍCERO DE GÓES MONTEIRO, 1806</v>
      </c>
      <c r="L941" s="5" t="str">
        <f>IFERROR(__xludf.DUMMYFUNCTION("""COMPUTED_VALUE"""),"ARTERIAL ")</f>
        <v>ARTERIAL </v>
      </c>
      <c r="M941" s="5" t="str">
        <f>IFERROR(__xludf.DUMMYFUNCTION("""COMPUTED_VALUE"""),"BOM PARTO")</f>
        <v>BOM PARTO</v>
      </c>
      <c r="N941" s="5" t="str">
        <f>IFERROR(__xludf.DUMMYFUNCTION("""COMPUTED_VALUE"""),"CENTRO - BAIRRO")</f>
        <v>CENTRO - BAIRRO</v>
      </c>
      <c r="O941" s="5" t="str">
        <f>IFERROR(__xludf.DUMMYFUNCTION("""COMPUTED_VALUE"""),"PRÓXIMO CRUZAMENTO DA FERROVIA")</f>
        <v>PRÓXIMO CRUZAMENTO DA FERROVIA</v>
      </c>
      <c r="P941" s="5" t="str">
        <f>IFERROR(__xludf.DUMMYFUNCTION("""COMPUTED_VALUE"""),"PRIORIDADE BAIXA")</f>
        <v>PRIORIDADE BAIXA</v>
      </c>
      <c r="Q941" s="5" t="str">
        <f>IFERROR(__xludf.DUMMYFUNCTION("""COMPUTED_VALUE"""),"IMPLANTAR PLACA FIXADA NO POSTE ANTERIOR AO MOSTRADO NA FOTO, PINTURA DA BAIA NO ASFALTO, PAVIMENTAÇÃO E ADEQUAÇÃO DA CALÇADA (RAMPA DE ACESSIBILIDADE E PISO TÁTIL)")</f>
        <v>IMPLANTAR PLACA FIXADA NO POSTE ANTERIOR AO MOSTRADO NA FOTO, PINTURA DA BAIA NO ASFALTO, PAVIMENTAÇÃO E ADEQUAÇÃO DA CALÇADA (RAMPA DE ACESSIBILIDADE E PISO TÁTIL)</v>
      </c>
      <c r="R941" s="5" t="str">
        <f>IFERROR(__xludf.DUMMYFUNCTION("""COMPUTED_VALUE"""),"NENHUMA DAS OPÇÕES")</f>
        <v>NENHUMA DAS OPÇÕES</v>
      </c>
      <c r="S941" s="5"/>
      <c r="T941" s="5"/>
      <c r="U941" s="5"/>
      <c r="V941" s="9" t="str">
        <f>IFERROR(__xludf.DUMMYFUNCTION("""COMPUTED_VALUE"""),"https://drive.google.com/uc?id=1x8vB6efU5G9Xce8X8KIMvti1Bzvqt009")</f>
        <v>https://drive.google.com/uc?id=1x8vB6efU5G9Xce8X8KIMvti1Bzvqt009</v>
      </c>
      <c r="W941" s="5" t="str">
        <f>IFERROR(__xludf.DUMMYFUNCTION("""COMPUTED_VALUE"""),"NÃO")</f>
        <v>NÃO</v>
      </c>
      <c r="X941" s="5" t="str">
        <f>IFERROR(__xludf.DUMMYFUNCTION("""COMPUTED_VALUE"""),"NÃO SE APLICA")</f>
        <v>NÃO SE APLICA</v>
      </c>
    </row>
    <row r="942">
      <c r="A942" s="5">
        <f>IFERROR(__xludf.DUMMYFUNCTION("""COMPUTED_VALUE"""),4.0)</f>
        <v>4</v>
      </c>
      <c r="B942" s="5" t="str">
        <f>IFERROR(__xludf.DUMMYFUNCTION("""COMPUTED_VALUE"""),"BP002")</f>
        <v>BP002</v>
      </c>
      <c r="C942" s="5" t="str">
        <f>IFERROR(__xludf.DUMMYFUNCTION("""COMPUTED_VALUE"""),"DESATIVADO - ABRIGO")</f>
        <v>DESATIVADO - ABRIGO</v>
      </c>
      <c r="D942" s="5" t="str">
        <f>IFERROR(__xludf.DUMMYFUNCTION("""COMPUTED_VALUE"""),"SEM PLACA")</f>
        <v>SEM PLACA</v>
      </c>
      <c r="E942" s="5" t="str">
        <f>IFERROR(__xludf.DUMMYFUNCTION("""COMPUTED_VALUE"""),"SEM BAIA")</f>
        <v>SEM BAIA</v>
      </c>
      <c r="F942" s="5" t="str">
        <f>IFERROR(__xludf.DUMMYFUNCTION("""COMPUTED_VALUE"""),"NÃO")</f>
        <v>NÃO</v>
      </c>
      <c r="G942" s="5" t="str">
        <f>IFERROR(__xludf.DUMMYFUNCTION("""COMPUTED_VALUE"""),"NÃO")</f>
        <v>NÃO</v>
      </c>
      <c r="H942" s="5" t="str">
        <f>IFERROR(__xludf.DUMMYFUNCTION("""COMPUTED_VALUE"""),"PAVIMENTADA")</f>
        <v>PAVIMENTADA</v>
      </c>
      <c r="I942" s="6" t="str">
        <f>IFERROR(__xludf.DUMMYFUNCTION("""COMPUTED_VALUE"""),"-9.647910")</f>
        <v>-9.647910</v>
      </c>
      <c r="J942" s="6" t="str">
        <f>IFERROR(__xludf.DUMMYFUNCTION("""COMPUTED_VALUE"""),"-35.743039")</f>
        <v>-35.743039</v>
      </c>
      <c r="K942" s="5" t="str">
        <f>IFERROR(__xludf.DUMMYFUNCTION("""COMPUTED_VALUE"""),"RUA GENERAL HERMES, S/N")</f>
        <v>RUA GENERAL HERMES, S/N</v>
      </c>
      <c r="L942" s="5" t="str">
        <f>IFERROR(__xludf.DUMMYFUNCTION("""COMPUTED_VALUE"""),"ARTERIAL ")</f>
        <v>ARTERIAL </v>
      </c>
      <c r="M942" s="5" t="str">
        <f>IFERROR(__xludf.DUMMYFUNCTION("""COMPUTED_VALUE"""),"BOM PARTO")</f>
        <v>BOM PARTO</v>
      </c>
      <c r="N942" s="5" t="str">
        <f>IFERROR(__xludf.DUMMYFUNCTION("""COMPUTED_VALUE"""),"BAIRRO - CENTRO")</f>
        <v>BAIRRO - CENTRO</v>
      </c>
      <c r="O942" s="5" t="str">
        <f>IFERROR(__xludf.DUMMYFUNCTION("""COMPUTED_VALUE"""),"PRÓXIMO A PARÓQUIA NOSSA SENHORA DO BOM PARTO")</f>
        <v>PRÓXIMO A PARÓQUIA NOSSA SENHORA DO BOM PARTO</v>
      </c>
      <c r="P942" s="5" t="str">
        <f>IFERROR(__xludf.DUMMYFUNCTION("""COMPUTED_VALUE"""),"PRIORIDADE BAIXA")</f>
        <v>PRIORIDADE BAIXA</v>
      </c>
      <c r="Q942" s="5" t="str">
        <f>IFERROR(__xludf.DUMMYFUNCTION("""COMPUTED_VALUE"""),"IMPLANTAR ABRIGO E PLACA FIXADA NO POSTE, PINTURA DA BAIA NO ASFALTO")</f>
        <v>IMPLANTAR ABRIGO E PLACA FIXADA NO POSTE, PINTURA DA BAIA NO ASFALTO</v>
      </c>
      <c r="R942" s="5" t="str">
        <f>IFERROR(__xludf.DUMMYFUNCTION("""COMPUTED_VALUE"""),"SUBSTITUIR ABRIGO")</f>
        <v>SUBSTITUIR ABRIGO</v>
      </c>
      <c r="S942" s="5"/>
      <c r="T942" s="5"/>
      <c r="U942" s="5"/>
      <c r="V942" s="9" t="str">
        <f>IFERROR(__xludf.DUMMYFUNCTION("""COMPUTED_VALUE"""),"https://drive.google.com/uc?id=1bf8s32mdvRTCKcFjYyJk-2LdTS9whcZt")</f>
        <v>https://drive.google.com/uc?id=1bf8s32mdvRTCKcFjYyJk-2LdTS9whcZt</v>
      </c>
      <c r="W942" s="5" t="str">
        <f>IFERROR(__xludf.DUMMYFUNCTION("""COMPUTED_VALUE"""),"NÃO")</f>
        <v>NÃO</v>
      </c>
      <c r="X942" s="5" t="str">
        <f>IFERROR(__xludf.DUMMYFUNCTION("""COMPUTED_VALUE"""),"NÃO SE APLICA")</f>
        <v>NÃO SE APLICA</v>
      </c>
    </row>
    <row r="943" ht="18.0" customHeight="1">
      <c r="A943" s="5">
        <f>IFERROR(__xludf.DUMMYFUNCTION("""COMPUTED_VALUE"""),4.0)</f>
        <v>4</v>
      </c>
      <c r="B943" s="5" t="str">
        <f>IFERROR(__xludf.DUMMYFUNCTION("""COMPUTED_VALUE"""),"BP003")</f>
        <v>BP003</v>
      </c>
      <c r="C943" s="5" t="str">
        <f>IFERROR(__xludf.DUMMYFUNCTION("""COMPUTED_VALUE"""),"ABRIGO CONCRETO")</f>
        <v>ABRIGO CONCRETO</v>
      </c>
      <c r="D943" s="5" t="str">
        <f>IFERROR(__xludf.DUMMYFUNCTION("""COMPUTED_VALUE"""),"SEM PLACA")</f>
        <v>SEM PLACA</v>
      </c>
      <c r="E943" s="5" t="str">
        <f>IFERROR(__xludf.DUMMYFUNCTION("""COMPUTED_VALUE"""),"SEM BAIA")</f>
        <v>SEM BAIA</v>
      </c>
      <c r="F943" s="5" t="str">
        <f>IFERROR(__xludf.DUMMYFUNCTION("""COMPUTED_VALUE"""),"NÃO")</f>
        <v>NÃO</v>
      </c>
      <c r="G943" s="5" t="str">
        <f>IFERROR(__xludf.DUMMYFUNCTION("""COMPUTED_VALUE"""),"NÃO")</f>
        <v>NÃO</v>
      </c>
      <c r="H943" s="5" t="str">
        <f>IFERROR(__xludf.DUMMYFUNCTION("""COMPUTED_VALUE"""),"PAVIMENTADA")</f>
        <v>PAVIMENTADA</v>
      </c>
      <c r="I943" s="6" t="str">
        <f>IFERROR(__xludf.DUMMYFUNCTION("""COMPUTED_VALUE"""),"-9.649949")</f>
        <v>-9.649949</v>
      </c>
      <c r="J943" s="6" t="str">
        <f>IFERROR(__xludf.DUMMYFUNCTION("""COMPUTED_VALUE"""),"-35.742215")</f>
        <v>-35.742215</v>
      </c>
      <c r="K943" s="5" t="str">
        <f>IFERROR(__xludf.DUMMYFUNCTION("""COMPUTED_VALUE"""),"RUA GENERAL HERMES, S/N")</f>
        <v>RUA GENERAL HERMES, S/N</v>
      </c>
      <c r="L943" s="5" t="str">
        <f>IFERROR(__xludf.DUMMYFUNCTION("""COMPUTED_VALUE"""),"ARTERIAL ")</f>
        <v>ARTERIAL </v>
      </c>
      <c r="M943" s="5" t="str">
        <f>IFERROR(__xludf.DUMMYFUNCTION("""COMPUTED_VALUE"""),"BOM PARTO")</f>
        <v>BOM PARTO</v>
      </c>
      <c r="N943" s="5" t="str">
        <f>IFERROR(__xludf.DUMMYFUNCTION("""COMPUTED_VALUE"""),"CENTRO - BAIRRO")</f>
        <v>CENTRO - BAIRRO</v>
      </c>
      <c r="O943" s="5" t="str">
        <f>IFERROR(__xludf.DUMMYFUNCTION("""COMPUTED_VALUE"""),"EM FRENTE A SEMED")</f>
        <v>EM FRENTE A SEMED</v>
      </c>
      <c r="P943" s="5" t="str">
        <f>IFERROR(__xludf.DUMMYFUNCTION("""COMPUTED_VALUE"""),"PRIORIDADE BAIXA")</f>
        <v>PRIORIDADE BAIXA</v>
      </c>
      <c r="Q943" s="5" t="str">
        <f>IFERROR(__xludf.DUMMYFUNCTION("""COMPUTED_VALUE"""),"IMPLANTAR ABRIGO E PLACA FIXADA NO POSTE, PINTURA DA BAIA NO ASFALTO")</f>
        <v>IMPLANTAR ABRIGO E PLACA FIXADA NO POSTE, PINTURA DA BAIA NO ASFALTO</v>
      </c>
      <c r="R943" s="5" t="str">
        <f>IFERROR(__xludf.DUMMYFUNCTION("""COMPUTED_VALUE"""),"SUBSTITUIR ABRIGO")</f>
        <v>SUBSTITUIR ABRIGO</v>
      </c>
      <c r="S943" s="5"/>
      <c r="T943" s="5"/>
      <c r="U943" s="5"/>
      <c r="V943" s="9" t="str">
        <f>IFERROR(__xludf.DUMMYFUNCTION("""COMPUTED_VALUE"""),"https://drive.google.com/uc?id=12KtLN-Zu6syvn96VjQL8KDXGwAU2ZbTX")</f>
        <v>https://drive.google.com/uc?id=12KtLN-Zu6syvn96VjQL8KDXGwAU2ZbTX</v>
      </c>
      <c r="W943" s="5" t="str">
        <f>IFERROR(__xludf.DUMMYFUNCTION("""COMPUTED_VALUE"""),"NÃO")</f>
        <v>NÃO</v>
      </c>
      <c r="X943" s="5" t="str">
        <f>IFERROR(__xludf.DUMMYFUNCTION("""COMPUTED_VALUE"""),"NÃO SE APLICA")</f>
        <v>NÃO SE APLICA</v>
      </c>
    </row>
    <row r="944" hidden="1">
      <c r="A944" s="5">
        <f>IFERROR(__xludf.DUMMYFUNCTION("""COMPUTED_VALUE"""),4.0)</f>
        <v>4</v>
      </c>
      <c r="B944" s="5" t="str">
        <f>IFERROR(__xludf.DUMMYFUNCTION("""COMPUTED_VALUE"""),"BP004")</f>
        <v>BP004</v>
      </c>
      <c r="C944" s="5" t="str">
        <f>IFERROR(__xludf.DUMMYFUNCTION("""COMPUTED_VALUE"""),"NÃO POSSUI")</f>
        <v>NÃO POSSUI</v>
      </c>
      <c r="D944" s="5" t="str">
        <f>IFERROR(__xludf.DUMMYFUNCTION("""COMPUTED_VALUE"""),"FIXADA EM POSTE")</f>
        <v>FIXADA EM POSTE</v>
      </c>
      <c r="E944" s="5" t="str">
        <f>IFERROR(__xludf.DUMMYFUNCTION("""COMPUTED_VALUE"""),"SEM BAIA")</f>
        <v>SEM BAIA</v>
      </c>
      <c r="F944" s="5" t="str">
        <f>IFERROR(__xludf.DUMMYFUNCTION("""COMPUTED_VALUE"""),"NÃO")</f>
        <v>NÃO</v>
      </c>
      <c r="G944" s="5" t="str">
        <f>IFERROR(__xludf.DUMMYFUNCTION("""COMPUTED_VALUE"""),"NÃO")</f>
        <v>NÃO</v>
      </c>
      <c r="H944" s="5" t="str">
        <f>IFERROR(__xludf.DUMMYFUNCTION("""COMPUTED_VALUE"""),"PAVIMENTADA")</f>
        <v>PAVIMENTADA</v>
      </c>
      <c r="I944" s="6" t="str">
        <f>IFERROR(__xludf.DUMMYFUNCTION("""COMPUTED_VALUE"""),"-9.652974")</f>
        <v>-9.652974</v>
      </c>
      <c r="J944" s="6" t="str">
        <f>IFERROR(__xludf.DUMMYFUNCTION("""COMPUTED_VALUE"""),"-35.741025")</f>
        <v>-35.741025</v>
      </c>
      <c r="K944" s="5" t="str">
        <f>IFERROR(__xludf.DUMMYFUNCTION("""COMPUTED_VALUE"""),"RUA GENERAL HERMES, S/N")</f>
        <v>RUA GENERAL HERMES, S/N</v>
      </c>
      <c r="L944" s="5" t="str">
        <f>IFERROR(__xludf.DUMMYFUNCTION("""COMPUTED_VALUE"""),"ARTERIAL ")</f>
        <v>ARTERIAL </v>
      </c>
      <c r="M944" s="5" t="str">
        <f>IFERROR(__xludf.DUMMYFUNCTION("""COMPUTED_VALUE"""),"BOM PARTO")</f>
        <v>BOM PARTO</v>
      </c>
      <c r="N944" s="5" t="str">
        <f>IFERROR(__xludf.DUMMYFUNCTION("""COMPUTED_VALUE"""),"BAIRRO - CENTRO")</f>
        <v>BAIRRO - CENTRO</v>
      </c>
      <c r="O944" s="5" t="str">
        <f>IFERROR(__xludf.DUMMYFUNCTION("""COMPUTED_VALUE"""),"PRÓXIMO AO POSTO PICHILAU")</f>
        <v>PRÓXIMO AO POSTO PICHILAU</v>
      </c>
      <c r="P944" s="5" t="str">
        <f>IFERROR(__xludf.DUMMYFUNCTION("""COMPUTED_VALUE"""),"PRIORIDADE BAIXA")</f>
        <v>PRIORIDADE BAIXA</v>
      </c>
      <c r="Q944" s="5" t="str">
        <f>IFERROR(__xludf.DUMMYFUNCTION("""COMPUTED_VALUE"""),"SUBSTITUIÇÃO DE ABRIGO E IMPLANTAR PLACA COM SUPORTE, PINTURA DA BAIA NO ASFALTO")</f>
        <v>SUBSTITUIÇÃO DE ABRIGO E IMPLANTAR PLACA COM SUPORTE, PINTURA DA BAIA NO ASFALTO</v>
      </c>
      <c r="R944" s="5" t="str">
        <f>IFERROR(__xludf.DUMMYFUNCTION("""COMPUTED_VALUE"""),"NENHUMA DAS OPÇÕES")</f>
        <v>NENHUMA DAS OPÇÕES</v>
      </c>
      <c r="S944" s="5"/>
      <c r="T944" s="5"/>
      <c r="U944" s="5"/>
      <c r="V944" s="9" t="str">
        <f>IFERROR(__xludf.DUMMYFUNCTION("""COMPUTED_VALUE"""),"https://drive.google.com/uc?id=1VSbmt-UCenKrI3ZFMMBi784h6KH6UF4N")</f>
        <v>https://drive.google.com/uc?id=1VSbmt-UCenKrI3ZFMMBi784h6KH6UF4N</v>
      </c>
      <c r="W944" s="5" t="str">
        <f>IFERROR(__xludf.DUMMYFUNCTION("""COMPUTED_VALUE"""),"NÃO")</f>
        <v>NÃO</v>
      </c>
      <c r="X944" s="5" t="str">
        <f>IFERROR(__xludf.DUMMYFUNCTION("""COMPUTED_VALUE"""),"NÃO SE APLICA")</f>
        <v>NÃO SE APLICA</v>
      </c>
    </row>
    <row r="945">
      <c r="A945" s="5">
        <f>IFERROR(__xludf.DUMMYFUNCTION("""COMPUTED_VALUE"""),4.0)</f>
        <v>4</v>
      </c>
      <c r="B945" s="5" t="str">
        <f>IFERROR(__xludf.DUMMYFUNCTION("""COMPUTED_VALUE"""),"BP005")</f>
        <v>BP005</v>
      </c>
      <c r="C945" s="5" t="str">
        <f>IFERROR(__xludf.DUMMYFUNCTION("""COMPUTED_VALUE"""),"ABRIGO CONCRETO")</f>
        <v>ABRIGO CONCRETO</v>
      </c>
      <c r="D945" s="5" t="str">
        <f>IFERROR(__xludf.DUMMYFUNCTION("""COMPUTED_VALUE"""),"SEM PLACA")</f>
        <v>SEM PLACA</v>
      </c>
      <c r="E945" s="5" t="str">
        <f>IFERROR(__xludf.DUMMYFUNCTION("""COMPUTED_VALUE"""),"SEM BAIA")</f>
        <v>SEM BAIA</v>
      </c>
      <c r="F945" s="5" t="str">
        <f>IFERROR(__xludf.DUMMYFUNCTION("""COMPUTED_VALUE"""),"NÃO")</f>
        <v>NÃO</v>
      </c>
      <c r="G945" s="5" t="str">
        <f>IFERROR(__xludf.DUMMYFUNCTION("""COMPUTED_VALUE"""),"NÃO")</f>
        <v>NÃO</v>
      </c>
      <c r="H945" s="5" t="str">
        <f>IFERROR(__xludf.DUMMYFUNCTION("""COMPUTED_VALUE"""),"PAVIMENTADA")</f>
        <v>PAVIMENTADA</v>
      </c>
      <c r="I945" s="6" t="str">
        <f>IFERROR(__xludf.DUMMYFUNCTION("""COMPUTED_VALUE"""),"-9.652480")</f>
        <v>-9.652480</v>
      </c>
      <c r="J945" s="6" t="str">
        <f>IFERROR(__xludf.DUMMYFUNCTION("""COMPUTED_VALUE"""),"-35.741130")</f>
        <v>-35.741130</v>
      </c>
      <c r="K945" s="5" t="str">
        <f>IFERROR(__xludf.DUMMYFUNCTION("""COMPUTED_VALUE"""),"RUA GENERAL HERMES, 831")</f>
        <v>RUA GENERAL HERMES, 831</v>
      </c>
      <c r="L945" s="5" t="str">
        <f>IFERROR(__xludf.DUMMYFUNCTION("""COMPUTED_VALUE"""),"ARTERIAL ")</f>
        <v>ARTERIAL </v>
      </c>
      <c r="M945" s="5" t="str">
        <f>IFERROR(__xludf.DUMMYFUNCTION("""COMPUTED_VALUE"""),"BOM PARTO")</f>
        <v>BOM PARTO</v>
      </c>
      <c r="N945" s="5" t="str">
        <f>IFERROR(__xludf.DUMMYFUNCTION("""COMPUTED_VALUE"""),"CENTRO - BAIRRO")</f>
        <v>CENTRO - BAIRRO</v>
      </c>
      <c r="O945" s="5" t="str">
        <f>IFERROR(__xludf.DUMMYFUNCTION("""COMPUTED_VALUE"""),"PRÓXIMO AO ANTIGO PRÉDIO DA JACAÚNA")</f>
        <v>PRÓXIMO AO ANTIGO PRÉDIO DA JACAÚNA</v>
      </c>
      <c r="P945" s="5" t="str">
        <f>IFERROR(__xludf.DUMMYFUNCTION("""COMPUTED_VALUE"""),"PRIORIDADE BAIXA")</f>
        <v>PRIORIDADE BAIXA</v>
      </c>
      <c r="Q945" s="5" t="str">
        <f>IFERROR(__xludf.DUMMYFUNCTION("""COMPUTED_VALUE"""),"PINTURA DA BAIA NO ASFALTO, ADEQUAÇÃO DA CALÇADA (NIVELAMENTO, RAMPA DE ACESSIBILIDADE E PISO TÁTIL).")</f>
        <v>PINTURA DA BAIA NO ASFALTO, ADEQUAÇÃO DA CALÇADA (NIVELAMENTO, RAMPA DE ACESSIBILIDADE E PISO TÁTIL).</v>
      </c>
      <c r="R945" s="5" t="str">
        <f>IFERROR(__xludf.DUMMYFUNCTION("""COMPUTED_VALUE"""),"SUBSTITUIR ABRIGO")</f>
        <v>SUBSTITUIR ABRIGO</v>
      </c>
      <c r="S945" s="5"/>
      <c r="T945" s="5"/>
      <c r="U945" s="5"/>
      <c r="V945" s="9" t="str">
        <f>IFERROR(__xludf.DUMMYFUNCTION("""COMPUTED_VALUE"""),"https://drive.google.com/uc?id=1SI88Ee5s_UpfWLiEw5j08rO4Ms2ZPynd")</f>
        <v>https://drive.google.com/uc?id=1SI88Ee5s_UpfWLiEw5j08rO4Ms2ZPynd</v>
      </c>
      <c r="W945" s="5" t="str">
        <f>IFERROR(__xludf.DUMMYFUNCTION("""COMPUTED_VALUE"""),"NÃO")</f>
        <v>NÃO</v>
      </c>
      <c r="X945" s="5" t="str">
        <f>IFERROR(__xludf.DUMMYFUNCTION("""COMPUTED_VALUE"""),"NÃO SE APLICA")</f>
        <v>NÃO SE APLICA</v>
      </c>
    </row>
    <row r="946" hidden="1">
      <c r="A946" s="5">
        <f>IFERROR(__xludf.DUMMYFUNCTION("IMPORTRANGE(""https://docs.google.com/spreadsheets/d/1zsUaGcapKI8nFhFHzkKqQm76kpV8QjqjUiktsuAdmUw/edit#gid=0"", ""CHÃ DA JAQUEIRA!A3:X19"")"),4.0)</f>
        <v>4</v>
      </c>
      <c r="B946" s="5" t="str">
        <f>IFERROR(__xludf.DUMMYFUNCTION("""COMPUTED_VALUE"""),"CJ001")</f>
        <v>CJ001</v>
      </c>
      <c r="C946" s="5" t="str">
        <f>IFERROR(__xludf.DUMMYFUNCTION("""COMPUTED_VALUE"""),"NÃO POSSUI")</f>
        <v>NÃO POSSUI</v>
      </c>
      <c r="D946" s="5" t="str">
        <f>IFERROR(__xludf.DUMMYFUNCTION("""COMPUTED_VALUE"""),"FIXADA EM POSTE")</f>
        <v>FIXADA EM POSTE</v>
      </c>
      <c r="E946" s="5" t="str">
        <f>IFERROR(__xludf.DUMMYFUNCTION("""COMPUTED_VALUE"""),"SEM BAIA")</f>
        <v>SEM BAIA</v>
      </c>
      <c r="F946" s="5" t="str">
        <f>IFERROR(__xludf.DUMMYFUNCTION("""COMPUTED_VALUE"""),"NÃO")</f>
        <v>NÃO</v>
      </c>
      <c r="G946" s="5" t="str">
        <f>IFERROR(__xludf.DUMMYFUNCTION("""COMPUTED_VALUE"""),"NÃO")</f>
        <v>NÃO</v>
      </c>
      <c r="H946" s="5" t="str">
        <f>IFERROR(__xludf.DUMMYFUNCTION("""COMPUTED_VALUE"""),"PAVIMENTADA")</f>
        <v>PAVIMENTADA</v>
      </c>
      <c r="I946" s="6" t="str">
        <f>IFERROR(__xludf.DUMMYFUNCTION("""COMPUTED_VALUE"""),"-9.613115")</f>
        <v>-9.613115</v>
      </c>
      <c r="J946" s="6" t="str">
        <f>IFERROR(__xludf.DUMMYFUNCTION("""COMPUTED_VALUE"""),"-35.750880")</f>
        <v>-35.750880</v>
      </c>
      <c r="K946" s="5" t="str">
        <f>IFERROR(__xludf.DUMMYFUNCTION("""COMPUTED_VALUE"""),"RUA DOUTOR OSWALDO CRUZ")</f>
        <v>RUA DOUTOR OSWALDO CRUZ</v>
      </c>
      <c r="L946" s="5" t="str">
        <f>IFERROR(__xludf.DUMMYFUNCTION("""COMPUTED_VALUE"""),"ARTERIAL ")</f>
        <v>ARTERIAL </v>
      </c>
      <c r="M946" s="5" t="str">
        <f>IFERROR(__xludf.DUMMYFUNCTION("""COMPUTED_VALUE"""),"CHÃ DA JAQUEIRA")</f>
        <v>CHÃ DA JAQUEIRA</v>
      </c>
      <c r="N946" s="5"/>
      <c r="O946" s="5" t="str">
        <f>IFERROR(__xludf.DUMMYFUNCTION("""COMPUTED_VALUE"""),"ANTES DA ESTAÇÃO FERROVIÁRIA BEBEDOURO")</f>
        <v>ANTES DA ESTAÇÃO FERROVIÁRIA BEBEDOURO</v>
      </c>
      <c r="P946" s="5" t="str">
        <f>IFERROR(__xludf.DUMMYFUNCTION("""COMPUTED_VALUE"""),"PRIORIDADE BAIXA")</f>
        <v>PRIORIDADE BAIXA</v>
      </c>
      <c r="Q946" s="5" t="str">
        <f>IFERROR(__xludf.DUMMYFUNCTION("""COMPUTED_VALUE"""),"READEQUAÇÃO DE CALÇADA COM ACESSIBILIDADE E PINTURA DE BAÍA NO ASFALTO.")</f>
        <v>READEQUAÇÃO DE CALÇADA COM ACESSIBILIDADE E PINTURA DE BAÍA NO ASFALTO.</v>
      </c>
      <c r="R946" s="5" t="str">
        <f>IFERROR(__xludf.DUMMYFUNCTION("""COMPUTED_VALUE"""),"IMPLANTAR ABRIGO")</f>
        <v>IMPLANTAR ABRIGO</v>
      </c>
      <c r="S946" s="7">
        <f>IFERROR(__xludf.DUMMYFUNCTION("""COMPUTED_VALUE"""),44835.0)</f>
        <v>44835</v>
      </c>
      <c r="T946" s="5"/>
      <c r="U946" s="5"/>
      <c r="V946" s="9" t="str">
        <f>IFERROR(__xludf.DUMMYFUNCTION("""COMPUTED_VALUE"""),"https://drive.google.com/uc?id=1TEegVRstpkRc_Cte6-7lI2AOBMbrPq0H")</f>
        <v>https://drive.google.com/uc?id=1TEegVRstpkRc_Cte6-7lI2AOBMbrPq0H</v>
      </c>
      <c r="W946" s="5" t="str">
        <f>IFERROR(__xludf.DUMMYFUNCTION("""COMPUTED_VALUE"""),"NÃO")</f>
        <v>NÃO</v>
      </c>
      <c r="X946" s="5" t="str">
        <f>IFERROR(__xludf.DUMMYFUNCTION("""COMPUTED_VALUE"""),"NÃO SE APLICA")</f>
        <v>NÃO SE APLICA</v>
      </c>
    </row>
    <row r="947" ht="23.25" customHeight="1">
      <c r="A947" s="5">
        <f>IFERROR(__xludf.DUMMYFUNCTION("""COMPUTED_VALUE"""),4.0)</f>
        <v>4</v>
      </c>
      <c r="B947" s="5" t="str">
        <f>IFERROR(__xludf.DUMMYFUNCTION("""COMPUTED_VALUE"""),"CJ002")</f>
        <v>CJ002</v>
      </c>
      <c r="C947" s="5" t="str">
        <f>IFERROR(__xludf.DUMMYFUNCTION("""COMPUTED_VALUE"""),"ABRIGO CONCRETO")</f>
        <v>ABRIGO CONCRETO</v>
      </c>
      <c r="D947" s="5" t="str">
        <f>IFERROR(__xludf.DUMMYFUNCTION("""COMPUTED_VALUE"""),"SEM PLACA")</f>
        <v>SEM PLACA</v>
      </c>
      <c r="E947" s="5" t="str">
        <f>IFERROR(__xludf.DUMMYFUNCTION("""COMPUTED_VALUE"""),"SEM BAIA")</f>
        <v>SEM BAIA</v>
      </c>
      <c r="F947" s="5" t="str">
        <f>IFERROR(__xludf.DUMMYFUNCTION("""COMPUTED_VALUE"""),"NÃO")</f>
        <v>NÃO</v>
      </c>
      <c r="G947" s="5" t="str">
        <f>IFERROR(__xludf.DUMMYFUNCTION("""COMPUTED_VALUE"""),"NÃO")</f>
        <v>NÃO</v>
      </c>
      <c r="H947" s="5" t="str">
        <f>IFERROR(__xludf.DUMMYFUNCTION("""COMPUTED_VALUE"""),"PAVIMENTADA")</f>
        <v>PAVIMENTADA</v>
      </c>
      <c r="I947" s="6" t="str">
        <f>IFERROR(__xludf.DUMMYFUNCTION("""COMPUTED_VALUE"""),"-9.620297")</f>
        <v>-9.620297</v>
      </c>
      <c r="J947" s="6" t="str">
        <f>IFERROR(__xludf.DUMMYFUNCTION("""COMPUTED_VALUE""")," -35.752580")</f>
        <v> -35.752580</v>
      </c>
      <c r="K947" s="5" t="str">
        <f>IFERROR(__xludf.DUMMYFUNCTION("""COMPUTED_VALUE"""),"RUA ANTÔNIO CLAUDINO")</f>
        <v>RUA ANTÔNIO CLAUDINO</v>
      </c>
      <c r="L947" s="5" t="str">
        <f>IFERROR(__xludf.DUMMYFUNCTION("""COMPUTED_VALUE"""),"LOCAL")</f>
        <v>LOCAL</v>
      </c>
      <c r="M947" s="5" t="str">
        <f>IFERROR(__xludf.DUMMYFUNCTION("""COMPUTED_VALUE"""),"CHÃ DA JAQUEIRA")</f>
        <v>CHÃ DA JAQUEIRA</v>
      </c>
      <c r="N947" s="5"/>
      <c r="O947" s="5" t="str">
        <f>IFERROR(__xludf.DUMMYFUNCTION("""COMPUTED_VALUE"""),"EM FRENTE A CASA 18")</f>
        <v>EM FRENTE A CASA 18</v>
      </c>
      <c r="P947" s="5" t="str">
        <f>IFERROR(__xludf.DUMMYFUNCTION("""COMPUTED_VALUE"""),"PRIORIDADE BAIXA")</f>
        <v>PRIORIDADE BAIXA</v>
      </c>
      <c r="Q947" s="5" t="str">
        <f>IFERROR(__xludf.DUMMYFUNCTION("""COMPUTED_VALUE"""),"ABRIGO DANIFICADO - REBOCO, PINTURA E ASSENTO DANIFICADO,  NECESSÁRIO FAZER LIMPEZA DA COBERTA, MANUTENÇÃO E LIMPEZA DA COBERTA,
PINTURA DA SINALIZAÇÃO DA BAÍA NO ASFALTO, READEQUAÇÃO DE CALÇADA COM ACESSIBILIDADE")</f>
        <v>ABRIGO DANIFICADO - REBOCO, PINTURA E ASSENTO DANIFICADO,  NECESSÁRIO FAZER LIMPEZA DA COBERTA, MANUTENÇÃO E LIMPEZA DA COBERTA,
PINTURA DA SINALIZAÇÃO DA BAÍA NO ASFALTO, READEQUAÇÃO DE CALÇADA COM ACESSIBILIDADE</v>
      </c>
      <c r="R947" s="5" t="str">
        <f>IFERROR(__xludf.DUMMYFUNCTION("""COMPUTED_VALUE"""),"SUBSTITUIR ABRIGO")</f>
        <v>SUBSTITUIR ABRIGO</v>
      </c>
      <c r="S947" s="7">
        <f>IFERROR(__xludf.DUMMYFUNCTION("""COMPUTED_VALUE"""),44836.0)</f>
        <v>44836</v>
      </c>
      <c r="T947" s="5"/>
      <c r="U947" s="5"/>
      <c r="V947" s="9" t="str">
        <f>IFERROR(__xludf.DUMMYFUNCTION("""COMPUTED_VALUE"""),"https://drive.google.com/uc?id=1CKEG2zN5MZiWtlCOFZ6FcGexsGsbmcG9")</f>
        <v>https://drive.google.com/uc?id=1CKEG2zN5MZiWtlCOFZ6FcGexsGsbmcG9</v>
      </c>
      <c r="W947" s="5" t="str">
        <f>IFERROR(__xludf.DUMMYFUNCTION("""COMPUTED_VALUE"""),"NÃO")</f>
        <v>NÃO</v>
      </c>
      <c r="X947" s="5" t="str">
        <f>IFERROR(__xludf.DUMMYFUNCTION("""COMPUTED_VALUE"""),"NÃO SE APLICA")</f>
        <v>NÃO SE APLICA</v>
      </c>
    </row>
    <row r="948">
      <c r="A948" s="5">
        <f>IFERROR(__xludf.DUMMYFUNCTION("""COMPUTED_VALUE"""),4.0)</f>
        <v>4</v>
      </c>
      <c r="B948" s="5" t="str">
        <f>IFERROR(__xludf.DUMMYFUNCTION("""COMPUTED_VALUE"""),"CJ003")</f>
        <v>CJ003</v>
      </c>
      <c r="C948" s="5" t="str">
        <f>IFERROR(__xludf.DUMMYFUNCTION("""COMPUTED_VALUE"""),"ABRIGO CONCRETO")</f>
        <v>ABRIGO CONCRETO</v>
      </c>
      <c r="D948" s="5" t="str">
        <f>IFERROR(__xludf.DUMMYFUNCTION("""COMPUTED_VALUE"""),"SEM PLACA")</f>
        <v>SEM PLACA</v>
      </c>
      <c r="E948" s="5" t="str">
        <f>IFERROR(__xludf.DUMMYFUNCTION("""COMPUTED_VALUE"""),"SEM BAIA")</f>
        <v>SEM BAIA</v>
      </c>
      <c r="F948" s="5" t="str">
        <f>IFERROR(__xludf.DUMMYFUNCTION("""COMPUTED_VALUE"""),"NÃO")</f>
        <v>NÃO</v>
      </c>
      <c r="G948" s="5" t="str">
        <f>IFERROR(__xludf.DUMMYFUNCTION("""COMPUTED_VALUE"""),"NÃO")</f>
        <v>NÃO</v>
      </c>
      <c r="H948" s="5" t="str">
        <f>IFERROR(__xludf.DUMMYFUNCTION("""COMPUTED_VALUE"""),"PAVIMENTADA")</f>
        <v>PAVIMENTADA</v>
      </c>
      <c r="I948" s="6" t="str">
        <f>IFERROR(__xludf.DUMMYFUNCTION("""COMPUTED_VALUE"""),"-9.617787")</f>
        <v>-9.617787</v>
      </c>
      <c r="J948" s="6" t="str">
        <f>IFERROR(__xludf.DUMMYFUNCTION("""COMPUTED_VALUE"""),"-35.751210")</f>
        <v>-35.751210</v>
      </c>
      <c r="K948" s="5" t="str">
        <f>IFERROR(__xludf.DUMMYFUNCTION("""COMPUTED_VALUE"""),"RUA PREFEITO JOATAS MALTA DE ALENCAR")</f>
        <v>RUA PREFEITO JOATAS MALTA DE ALENCAR</v>
      </c>
      <c r="L948" s="5" t="str">
        <f>IFERROR(__xludf.DUMMYFUNCTION("""COMPUTED_VALUE"""),"COLETORA")</f>
        <v>COLETORA</v>
      </c>
      <c r="M948" s="5" t="str">
        <f>IFERROR(__xludf.DUMMYFUNCTION("""COMPUTED_VALUE"""),"CHÃ DA JAQUEIRA")</f>
        <v>CHÃ DA JAQUEIRA</v>
      </c>
      <c r="N948" s="5"/>
      <c r="O948" s="5" t="str">
        <f>IFERROR(__xludf.DUMMYFUNCTION("""COMPUTED_VALUE"""),"EM FRENTE A CASA 87")</f>
        <v>EM FRENTE A CASA 87</v>
      </c>
      <c r="P948" s="5" t="str">
        <f>IFERROR(__xludf.DUMMYFUNCTION("""COMPUTED_VALUE"""),"PRIORIDADE BAIXA")</f>
        <v>PRIORIDADE BAIXA</v>
      </c>
      <c r="Q948" s="5" t="str">
        <f>IFERROR(__xludf.DUMMYFUNCTION("""COMPUTED_VALUE"""),"ABRIGO DANIFICADO - REBOCO, PINTURA E ASSENTO DANIFICADO,  NECESSÁRIO FAZER LIMPEZA DA COBERTA, MANUTENÇÃO E LIMPEZA DA COBERTA,
PINTURA DA SINALIZAÇÃO DA BAÍA NO ASFALTO, READEQUAÇÃO DE CALÇADA COM ACESSIBILIDADE")</f>
        <v>ABRIGO DANIFICADO - REBOCO, PINTURA E ASSENTO DANIFICADO,  NECESSÁRIO FAZER LIMPEZA DA COBERTA, MANUTENÇÃO E LIMPEZA DA COBERTA,
PINTURA DA SINALIZAÇÃO DA BAÍA NO ASFALTO, READEQUAÇÃO DE CALÇADA COM ACESSIBILIDADE</v>
      </c>
      <c r="R948" s="5" t="str">
        <f>IFERROR(__xludf.DUMMYFUNCTION("""COMPUTED_VALUE"""),"SUBSTITUIR ABRIGO")</f>
        <v>SUBSTITUIR ABRIGO</v>
      </c>
      <c r="S948" s="7">
        <f>IFERROR(__xludf.DUMMYFUNCTION("""COMPUTED_VALUE"""),44837.0)</f>
        <v>44837</v>
      </c>
      <c r="T948" s="5"/>
      <c r="U948" s="5"/>
      <c r="V948" s="9" t="str">
        <f>IFERROR(__xludf.DUMMYFUNCTION("""COMPUTED_VALUE"""),"https://drive.google.com/file/d/14heT-iaAMWNnImgbFd7pQbKwmsZtTlfi/view?usp=share_link")</f>
        <v>https://drive.google.com/file/d/14heT-iaAMWNnImgbFd7pQbKwmsZtTlfi/view?usp=share_link</v>
      </c>
      <c r="W948" s="5" t="str">
        <f>IFERROR(__xludf.DUMMYFUNCTION("""COMPUTED_VALUE"""),"NÃO")</f>
        <v>NÃO</v>
      </c>
      <c r="X948" s="5" t="str">
        <f>IFERROR(__xludf.DUMMYFUNCTION("""COMPUTED_VALUE"""),"NÃO SE APLICA")</f>
        <v>NÃO SE APLICA</v>
      </c>
    </row>
    <row r="949" hidden="1">
      <c r="A949" s="5">
        <f>IFERROR(__xludf.DUMMYFUNCTION("""COMPUTED_VALUE"""),4.0)</f>
        <v>4</v>
      </c>
      <c r="B949" s="5" t="str">
        <f>IFERROR(__xludf.DUMMYFUNCTION("""COMPUTED_VALUE"""),"CJ004")</f>
        <v>CJ004</v>
      </c>
      <c r="C949" s="5" t="str">
        <f>IFERROR(__xludf.DUMMYFUNCTION("""COMPUTED_VALUE"""),"NÃO POSSUI")</f>
        <v>NÃO POSSUI</v>
      </c>
      <c r="D949" s="5" t="str">
        <f>IFERROR(__xludf.DUMMYFUNCTION("""COMPUTED_VALUE"""),"FIXADA EM POSTE")</f>
        <v>FIXADA EM POSTE</v>
      </c>
      <c r="E949" s="5" t="str">
        <f>IFERROR(__xludf.DUMMYFUNCTION("""COMPUTED_VALUE"""),"SEM BAIA")</f>
        <v>SEM BAIA</v>
      </c>
      <c r="F949" s="5" t="str">
        <f>IFERROR(__xludf.DUMMYFUNCTION("""COMPUTED_VALUE"""),"NÃO")</f>
        <v>NÃO</v>
      </c>
      <c r="G949" s="5" t="str">
        <f>IFERROR(__xludf.DUMMYFUNCTION("""COMPUTED_VALUE"""),"NÃO")</f>
        <v>NÃO</v>
      </c>
      <c r="H949" s="5" t="str">
        <f>IFERROR(__xludf.DUMMYFUNCTION("""COMPUTED_VALUE"""),"PAVIMENTADA")</f>
        <v>PAVIMENTADA</v>
      </c>
      <c r="I949" s="6" t="str">
        <f>IFERROR(__xludf.DUMMYFUNCTION("""COMPUTED_VALUE"""),"-9.612413")</f>
        <v>-9.612413</v>
      </c>
      <c r="J949" s="6" t="str">
        <f>IFERROR(__xludf.DUMMYFUNCTION("""COMPUTED_VALUE"""),"-35.747270")</f>
        <v>-35.747270</v>
      </c>
      <c r="K949" s="5" t="str">
        <f>IFERROR(__xludf.DUMMYFUNCTION("""COMPUTED_VALUE"""),"RUA MANOEL INÁCIO")</f>
        <v>RUA MANOEL INÁCIO</v>
      </c>
      <c r="L949" s="5" t="str">
        <f>IFERROR(__xludf.DUMMYFUNCTION("""COMPUTED_VALUE"""),"LOCAL")</f>
        <v>LOCAL</v>
      </c>
      <c r="M949" s="5" t="str">
        <f>IFERROR(__xludf.DUMMYFUNCTION("""COMPUTED_VALUE"""),"CHÃ DA JAQUEIRA")</f>
        <v>CHÃ DA JAQUEIRA</v>
      </c>
      <c r="N949" s="5"/>
      <c r="O949" s="5" t="str">
        <f>IFERROR(__xludf.DUMMYFUNCTION("""COMPUTED_VALUE"""),"LADO OPOSTO AO MERCADO SÃO DOMINGOS")</f>
        <v>LADO OPOSTO AO MERCADO SÃO DOMINGOS</v>
      </c>
      <c r="P949" s="5" t="str">
        <f>IFERROR(__xludf.DUMMYFUNCTION("""COMPUTED_VALUE"""),"PRIORIDADE BAIXA")</f>
        <v>PRIORIDADE BAIXA</v>
      </c>
      <c r="Q949" s="5" t="str">
        <f>IFERROR(__xludf.DUMMYFUNCTION("""COMPUTED_VALUE"""),"PINTURA DE BAÍA NO ASFALTO.")</f>
        <v>PINTURA DE BAÍA NO ASFALTO.</v>
      </c>
      <c r="R949" s="5" t="str">
        <f>IFERROR(__xludf.DUMMYFUNCTION("""COMPUTED_VALUE"""),"IMPLANTAR ABRIGO")</f>
        <v>IMPLANTAR ABRIGO</v>
      </c>
      <c r="S949" s="7">
        <f>IFERROR(__xludf.DUMMYFUNCTION("""COMPUTED_VALUE"""),44838.0)</f>
        <v>44838</v>
      </c>
      <c r="T949" s="5"/>
      <c r="U949" s="5"/>
      <c r="V949" s="9" t="str">
        <f>IFERROR(__xludf.DUMMYFUNCTION("""COMPUTED_VALUE"""),"https://drive.google.com/uc?id=1SZz08vtVHncDV8cF5x4sRYuz9n6x_pn7")</f>
        <v>https://drive.google.com/uc?id=1SZz08vtVHncDV8cF5x4sRYuz9n6x_pn7</v>
      </c>
      <c r="W949" s="5" t="str">
        <f>IFERROR(__xludf.DUMMYFUNCTION("""COMPUTED_VALUE"""),"NÃO")</f>
        <v>NÃO</v>
      </c>
      <c r="X949" s="5" t="str">
        <f>IFERROR(__xludf.DUMMYFUNCTION("""COMPUTED_VALUE"""),"NÃO SE APLICA")</f>
        <v>NÃO SE APLICA</v>
      </c>
    </row>
    <row r="950">
      <c r="A950" s="5">
        <f>IFERROR(__xludf.DUMMYFUNCTION("""COMPUTED_VALUE"""),4.0)</f>
        <v>4</v>
      </c>
      <c r="B950" s="5" t="str">
        <f>IFERROR(__xludf.DUMMYFUNCTION("""COMPUTED_VALUE"""),"CJ005")</f>
        <v>CJ005</v>
      </c>
      <c r="C950" s="5" t="str">
        <f>IFERROR(__xludf.DUMMYFUNCTION("""COMPUTED_VALUE"""),"ABRIGO CONCRETO")</f>
        <v>ABRIGO CONCRETO</v>
      </c>
      <c r="D950" s="5" t="str">
        <f>IFERROR(__xludf.DUMMYFUNCTION("""COMPUTED_VALUE"""),"SEM PLACA")</f>
        <v>SEM PLACA</v>
      </c>
      <c r="E950" s="5" t="str">
        <f>IFERROR(__xludf.DUMMYFUNCTION("""COMPUTED_VALUE"""),"SEM BAIA")</f>
        <v>SEM BAIA</v>
      </c>
      <c r="F950" s="5" t="str">
        <f>IFERROR(__xludf.DUMMYFUNCTION("""COMPUTED_VALUE"""),"NÃO")</f>
        <v>NÃO</v>
      </c>
      <c r="G950" s="5" t="str">
        <f>IFERROR(__xludf.DUMMYFUNCTION("""COMPUTED_VALUE"""),"NÃO")</f>
        <v>NÃO</v>
      </c>
      <c r="H950" s="5" t="str">
        <f>IFERROR(__xludf.DUMMYFUNCTION("""COMPUTED_VALUE"""),"PAVIMENTADA")</f>
        <v>PAVIMENTADA</v>
      </c>
      <c r="I950" s="6" t="str">
        <f>IFERROR(__xludf.DUMMYFUNCTION("""COMPUTED_VALUE"""),"-9.613212")</f>
        <v>-9.613212</v>
      </c>
      <c r="J950" s="6" t="str">
        <f>IFERROR(__xludf.DUMMYFUNCTION("""COMPUTED_VALUE"""),"-35.745987")</f>
        <v>-35.745987</v>
      </c>
      <c r="K950" s="5" t="str">
        <f>IFERROR(__xludf.DUMMYFUNCTION("""COMPUTED_VALUE"""),"AV. MONTE CASTELO")</f>
        <v>AV. MONTE CASTELO</v>
      </c>
      <c r="L950" s="5" t="str">
        <f>IFERROR(__xludf.DUMMYFUNCTION("""COMPUTED_VALUE"""),"LOCAL")</f>
        <v>LOCAL</v>
      </c>
      <c r="M950" s="5" t="str">
        <f>IFERROR(__xludf.DUMMYFUNCTION("""COMPUTED_VALUE"""),"CHÃ DA JAQUEIRA")</f>
        <v>CHÃ DA JAQUEIRA</v>
      </c>
      <c r="N950" s="5"/>
      <c r="O950" s="5" t="str">
        <f>IFERROR(__xludf.DUMMYFUNCTION("""COMPUTED_VALUE"""),"EM FRENTE A PIZZARIA TARANTELLA")</f>
        <v>EM FRENTE A PIZZARIA TARANTELLA</v>
      </c>
      <c r="P950" s="5" t="str">
        <f>IFERROR(__xludf.DUMMYFUNCTION("""COMPUTED_VALUE"""),"PRIORIDADE BAIXA")</f>
        <v>PRIORIDADE BAIXA</v>
      </c>
      <c r="Q950" s="5" t="str">
        <f>IFERROR(__xludf.DUMMYFUNCTION("""COMPUTED_VALUE"""),"ABRIGO DANIFICADO - REBOCO, PINTURA E ASSENTO DANIFICADO,  NECESSÁRIO FAZER LIMPEZA DA COBERTA, MANUTENÇÃO E LIMPEZA DA COBERTA,
PINTURA DA SINALIZAÇÃO DA BAÍA NO ASFALTO, READEQUAÇÃO DE CALÇADA COM ACESSIBILIDADE")</f>
        <v>ABRIGO DANIFICADO - REBOCO, PINTURA E ASSENTO DANIFICADO,  NECESSÁRIO FAZER LIMPEZA DA COBERTA, MANUTENÇÃO E LIMPEZA DA COBERTA,
PINTURA DA SINALIZAÇÃO DA BAÍA NO ASFALTO, READEQUAÇÃO DE CALÇADA COM ACESSIBILIDADE</v>
      </c>
      <c r="R950" s="5" t="str">
        <f>IFERROR(__xludf.DUMMYFUNCTION("""COMPUTED_VALUE"""),"SUBSTITUIR ABRIGO")</f>
        <v>SUBSTITUIR ABRIGO</v>
      </c>
      <c r="S950" s="7">
        <f>IFERROR(__xludf.DUMMYFUNCTION("""COMPUTED_VALUE"""),44839.0)</f>
        <v>44839</v>
      </c>
      <c r="T950" s="5"/>
      <c r="U950" s="5"/>
      <c r="V950" s="9" t="str">
        <f>IFERROR(__xludf.DUMMYFUNCTION("""COMPUTED_VALUE"""),"https://drive.google.com/uc?id=1XqahfMaT-_2fSED1mwgbOXwek-Wv24pN")</f>
        <v>https://drive.google.com/uc?id=1XqahfMaT-_2fSED1mwgbOXwek-Wv24pN</v>
      </c>
      <c r="W950" s="5" t="str">
        <f>IFERROR(__xludf.DUMMYFUNCTION("""COMPUTED_VALUE"""),"NÃO")</f>
        <v>NÃO</v>
      </c>
      <c r="X950" s="5" t="str">
        <f>IFERROR(__xludf.DUMMYFUNCTION("""COMPUTED_VALUE"""),"NÃO SE APLICA")</f>
        <v>NÃO SE APLICA</v>
      </c>
    </row>
    <row r="951" hidden="1">
      <c r="A951" s="5">
        <f>IFERROR(__xludf.DUMMYFUNCTION("""COMPUTED_VALUE"""),4.0)</f>
        <v>4</v>
      </c>
      <c r="B951" s="5" t="str">
        <f>IFERROR(__xludf.DUMMYFUNCTION("""COMPUTED_VALUE"""),"CJ006")</f>
        <v>CJ006</v>
      </c>
      <c r="C951" s="5" t="str">
        <f>IFERROR(__xludf.DUMMYFUNCTION("""COMPUTED_VALUE"""),"NÃO POSSUI")</f>
        <v>NÃO POSSUI</v>
      </c>
      <c r="D951" s="5" t="str">
        <f>IFERROR(__xludf.DUMMYFUNCTION("""COMPUTED_VALUE"""),"FIXADA EM POSTE")</f>
        <v>FIXADA EM POSTE</v>
      </c>
      <c r="E951" s="5" t="str">
        <f>IFERROR(__xludf.DUMMYFUNCTION("""COMPUTED_VALUE"""),"SEM BAIA")</f>
        <v>SEM BAIA</v>
      </c>
      <c r="F951" s="5" t="str">
        <f>IFERROR(__xludf.DUMMYFUNCTION("""COMPUTED_VALUE"""),"NÃO")</f>
        <v>NÃO</v>
      </c>
      <c r="G951" s="5" t="str">
        <f>IFERROR(__xludf.DUMMYFUNCTION("""COMPUTED_VALUE"""),"NÃO")</f>
        <v>NÃO</v>
      </c>
      <c r="H951" s="5" t="str">
        <f>IFERROR(__xludf.DUMMYFUNCTION("""COMPUTED_VALUE"""),"PAVIMENTADA")</f>
        <v>PAVIMENTADA</v>
      </c>
      <c r="I951" s="6" t="str">
        <f>IFERROR(__xludf.DUMMYFUNCTION("""COMPUTED_VALUE"""),"-9.614638")</f>
        <v>-9.614638</v>
      </c>
      <c r="J951" s="6" t="str">
        <f>IFERROR(__xludf.DUMMYFUNCTION("""COMPUTED_VALUE""")," -35.745045")</f>
        <v> -35.745045</v>
      </c>
      <c r="K951" s="5" t="str">
        <f>IFERROR(__xludf.DUMMYFUNCTION("""COMPUTED_VALUE"""),"RUA JEQUITIBÁ")</f>
        <v>RUA JEQUITIBÁ</v>
      </c>
      <c r="L951" s="5" t="str">
        <f>IFERROR(__xludf.DUMMYFUNCTION("""COMPUTED_VALUE"""),"LOCAL")</f>
        <v>LOCAL</v>
      </c>
      <c r="M951" s="5" t="str">
        <f>IFERROR(__xludf.DUMMYFUNCTION("""COMPUTED_VALUE"""),"CHÃ DA JAQUEIRA")</f>
        <v>CHÃ DA JAQUEIRA</v>
      </c>
      <c r="N951" s="5"/>
      <c r="O951" s="5" t="str">
        <f>IFERROR(__xludf.DUMMYFUNCTION("""COMPUTED_VALUE"""),"ANTES DA CASA 10")</f>
        <v>ANTES DA CASA 10</v>
      </c>
      <c r="P951" s="5" t="str">
        <f>IFERROR(__xludf.DUMMYFUNCTION("""COMPUTED_VALUE"""),"PRIORIDADE BAIXA")</f>
        <v>PRIORIDADE BAIXA</v>
      </c>
      <c r="Q951" s="5" t="str">
        <f>IFERROR(__xludf.DUMMYFUNCTION("""COMPUTED_VALUE"""),"PINTURA DE BAÍA NO ASFALTO.")</f>
        <v>PINTURA DE BAÍA NO ASFALTO.</v>
      </c>
      <c r="R951" s="5" t="str">
        <f>IFERROR(__xludf.DUMMYFUNCTION("""COMPUTED_VALUE"""),"IMPLANTAR ABRIGO")</f>
        <v>IMPLANTAR ABRIGO</v>
      </c>
      <c r="S951" s="7">
        <f>IFERROR(__xludf.DUMMYFUNCTION("""COMPUTED_VALUE"""),44840.0)</f>
        <v>44840</v>
      </c>
      <c r="T951" s="5"/>
      <c r="U951" s="5"/>
      <c r="V951" s="9" t="str">
        <f>IFERROR(__xludf.DUMMYFUNCTION("""COMPUTED_VALUE"""),"https://drive.google.com/uc?id=19dUif8NMjot9a2avlJwiT8V3r5jjzrdW/")</f>
        <v>https://drive.google.com/uc?id=19dUif8NMjot9a2avlJwiT8V3r5jjzrdW/</v>
      </c>
      <c r="W951" s="5" t="str">
        <f>IFERROR(__xludf.DUMMYFUNCTION("""COMPUTED_VALUE"""),"NÃO")</f>
        <v>NÃO</v>
      </c>
      <c r="X951" s="5" t="str">
        <f>IFERROR(__xludf.DUMMYFUNCTION("""COMPUTED_VALUE"""),"NÃO SE APLICA")</f>
        <v>NÃO SE APLICA</v>
      </c>
    </row>
    <row r="952" hidden="1">
      <c r="A952" s="5">
        <f>IFERROR(__xludf.DUMMYFUNCTION("""COMPUTED_VALUE"""),4.0)</f>
        <v>4</v>
      </c>
      <c r="B952" s="5" t="str">
        <f>IFERROR(__xludf.DUMMYFUNCTION("""COMPUTED_VALUE"""),"CJ007")</f>
        <v>CJ007</v>
      </c>
      <c r="C952" s="5" t="str">
        <f>IFERROR(__xludf.DUMMYFUNCTION("""COMPUTED_VALUE"""),"NÃO POSSUI")</f>
        <v>NÃO POSSUI</v>
      </c>
      <c r="D952" s="5" t="str">
        <f>IFERROR(__xludf.DUMMYFUNCTION("""COMPUTED_VALUE"""),"COM SUPORTE")</f>
        <v>COM SUPORTE</v>
      </c>
      <c r="E952" s="5" t="str">
        <f>IFERROR(__xludf.DUMMYFUNCTION("""COMPUTED_VALUE"""),"SEM BAIA")</f>
        <v>SEM BAIA</v>
      </c>
      <c r="F952" s="5" t="str">
        <f>IFERROR(__xludf.DUMMYFUNCTION("""COMPUTED_VALUE"""),"NÃO")</f>
        <v>NÃO</v>
      </c>
      <c r="G952" s="5" t="str">
        <f>IFERROR(__xludf.DUMMYFUNCTION("""COMPUTED_VALUE"""),"NÃO")</f>
        <v>NÃO</v>
      </c>
      <c r="H952" s="5" t="str">
        <f>IFERROR(__xludf.DUMMYFUNCTION("""COMPUTED_VALUE"""),"PAVIMENTADA")</f>
        <v>PAVIMENTADA</v>
      </c>
      <c r="I952" s="6" t="str">
        <f>IFERROR(__xludf.DUMMYFUNCTION("""COMPUTED_VALUE"""),"-9.615227")</f>
        <v>-9.615227</v>
      </c>
      <c r="J952" s="6" t="str">
        <f>IFERROR(__xludf.DUMMYFUNCTION("""COMPUTED_VALUE""")," -35.745320")</f>
        <v> -35.745320</v>
      </c>
      <c r="K952" s="5" t="str">
        <f>IFERROR(__xludf.DUMMYFUNCTION("""COMPUTED_VALUE"""),"RUA PAU BRASIL")</f>
        <v>RUA PAU BRASIL</v>
      </c>
      <c r="L952" s="5" t="str">
        <f>IFERROR(__xludf.DUMMYFUNCTION("""COMPUTED_VALUE"""),"LOCAL")</f>
        <v>LOCAL</v>
      </c>
      <c r="M952" s="5" t="str">
        <f>IFERROR(__xludf.DUMMYFUNCTION("""COMPUTED_VALUE"""),"CHÃ DA JAQUEIRA")</f>
        <v>CHÃ DA JAQUEIRA</v>
      </c>
      <c r="N952" s="5"/>
      <c r="O952" s="5" t="str">
        <f>IFERROR(__xludf.DUMMYFUNCTION("""COMPUTED_VALUE"""),"EM FRENTE A CASA 32")</f>
        <v>EM FRENTE A CASA 32</v>
      </c>
      <c r="P952" s="5" t="str">
        <f>IFERROR(__xludf.DUMMYFUNCTION("""COMPUTED_VALUE"""),"PRIORIDADE BAIXA")</f>
        <v>PRIORIDADE BAIXA</v>
      </c>
      <c r="Q952" s="5" t="str">
        <f>IFERROR(__xludf.DUMMYFUNCTION("""COMPUTED_VALUE"""),"PINTURA DE BAÍA NO ASFALTO.")</f>
        <v>PINTURA DE BAÍA NO ASFALTO.</v>
      </c>
      <c r="R952" s="5" t="str">
        <f>IFERROR(__xludf.DUMMYFUNCTION("""COMPUTED_VALUE"""),"IMPLANTAR ABRIGO")</f>
        <v>IMPLANTAR ABRIGO</v>
      </c>
      <c r="S952" s="7">
        <f>IFERROR(__xludf.DUMMYFUNCTION("""COMPUTED_VALUE"""),44841.0)</f>
        <v>44841</v>
      </c>
      <c r="T952" s="5"/>
      <c r="U952" s="5"/>
      <c r="V952" s="9" t="str">
        <f>IFERROR(__xludf.DUMMYFUNCTION("""COMPUTED_VALUE"""),"https://drive.google.com/uc?id=1duKnw7gCOQeuRTrWNYN0jtFpTXqJ9Wdw/")</f>
        <v>https://drive.google.com/uc?id=1duKnw7gCOQeuRTrWNYN0jtFpTXqJ9Wdw/</v>
      </c>
      <c r="W952" s="5" t="str">
        <f>IFERROR(__xludf.DUMMYFUNCTION("""COMPUTED_VALUE"""),"NÃO")</f>
        <v>NÃO</v>
      </c>
      <c r="X952" s="5" t="str">
        <f>IFERROR(__xludf.DUMMYFUNCTION("""COMPUTED_VALUE"""),"NÃO SE APLICA")</f>
        <v>NÃO SE APLICA</v>
      </c>
    </row>
    <row r="953" ht="19.5" hidden="1" customHeight="1">
      <c r="A953" s="5">
        <f>IFERROR(__xludf.DUMMYFUNCTION("""COMPUTED_VALUE"""),4.0)</f>
        <v>4</v>
      </c>
      <c r="B953" s="5" t="str">
        <f>IFERROR(__xludf.DUMMYFUNCTION("""COMPUTED_VALUE"""),"CJ008")</f>
        <v>CJ008</v>
      </c>
      <c r="C953" s="5" t="str">
        <f>IFERROR(__xludf.DUMMYFUNCTION("""COMPUTED_VALUE"""),"NÃO POSSUI")</f>
        <v>NÃO POSSUI</v>
      </c>
      <c r="D953" s="5" t="str">
        <f>IFERROR(__xludf.DUMMYFUNCTION("""COMPUTED_VALUE"""),"SEM PLACA")</f>
        <v>SEM PLACA</v>
      </c>
      <c r="E953" s="5" t="str">
        <f>IFERROR(__xludf.DUMMYFUNCTION("""COMPUTED_VALUE"""),"SEM BAIA")</f>
        <v>SEM BAIA</v>
      </c>
      <c r="F953" s="5" t="str">
        <f>IFERROR(__xludf.DUMMYFUNCTION("""COMPUTED_VALUE"""),"NÃO")</f>
        <v>NÃO</v>
      </c>
      <c r="G953" s="5" t="str">
        <f>IFERROR(__xludf.DUMMYFUNCTION("""COMPUTED_VALUE"""),"NÃO")</f>
        <v>NÃO</v>
      </c>
      <c r="H953" s="5" t="str">
        <f>IFERROR(__xludf.DUMMYFUNCTION("""COMPUTED_VALUE"""),"PAVIMENTADA")</f>
        <v>PAVIMENTADA</v>
      </c>
      <c r="I953" s="6" t="str">
        <f>IFERROR(__xludf.DUMMYFUNCTION("""COMPUTED_VALUE"""),"-9.613288")</f>
        <v>-9.613288</v>
      </c>
      <c r="J953" s="6" t="str">
        <f>IFERROR(__xludf.DUMMYFUNCTION("""COMPUTED_VALUE"""),"-35.746015")</f>
        <v>-35.746015</v>
      </c>
      <c r="K953" s="5" t="str">
        <f>IFERROR(__xludf.DUMMYFUNCTION("""COMPUTED_VALUE"""),"AV. MONTE CASTELO")</f>
        <v>AV. MONTE CASTELO</v>
      </c>
      <c r="L953" s="5" t="str">
        <f>IFERROR(__xludf.DUMMYFUNCTION("""COMPUTED_VALUE"""),"LOCAL")</f>
        <v>LOCAL</v>
      </c>
      <c r="M953" s="5" t="str">
        <f>IFERROR(__xludf.DUMMYFUNCTION("""COMPUTED_VALUE"""),"CHÃ DA JAQUEIRA")</f>
        <v>CHÃ DA JAQUEIRA</v>
      </c>
      <c r="N953" s="5"/>
      <c r="O953" s="5" t="str">
        <f>IFERROR(__xludf.DUMMYFUNCTION("""COMPUTED_VALUE"""),"ANTES DA PIZZARIA TARANTELLA")</f>
        <v>ANTES DA PIZZARIA TARANTELLA</v>
      </c>
      <c r="P953" s="5" t="str">
        <f>IFERROR(__xludf.DUMMYFUNCTION("""COMPUTED_VALUE"""),"PRIORIDADE ALTA")</f>
        <v>PRIORIDADE ALTA</v>
      </c>
      <c r="Q953" s="5" t="str">
        <f>IFERROR(__xludf.DUMMYFUNCTION("""COMPUTED_VALUE"""),"PINTURA DE BAÍA NO ASFALTO.")</f>
        <v>PINTURA DE BAÍA NO ASFALTO.</v>
      </c>
      <c r="R953" s="5" t="str">
        <f>IFERROR(__xludf.DUMMYFUNCTION("""COMPUTED_VALUE"""),"NENHUMA DAS OPÇÕES")</f>
        <v>NENHUMA DAS OPÇÕES</v>
      </c>
      <c r="S953" s="7">
        <f>IFERROR(__xludf.DUMMYFUNCTION("""COMPUTED_VALUE"""),44842.0)</f>
        <v>44842</v>
      </c>
      <c r="T953" s="5"/>
      <c r="U953" s="5"/>
      <c r="V953" s="9" t="str">
        <f>IFERROR(__xludf.DUMMYFUNCTION("""COMPUTED_VALUE"""),"https://drive.google.com/uc?id=12xTC-iZlhXscp-ezQuktUcTS7ksZCOXS")</f>
        <v>https://drive.google.com/uc?id=12xTC-iZlhXscp-ezQuktUcTS7ksZCOXS</v>
      </c>
      <c r="W953" s="5" t="str">
        <f>IFERROR(__xludf.DUMMYFUNCTION("""COMPUTED_VALUE"""),"NÃO")</f>
        <v>NÃO</v>
      </c>
      <c r="X953" s="5" t="str">
        <f>IFERROR(__xludf.DUMMYFUNCTION("""COMPUTED_VALUE"""),"NÃO SE APLICA")</f>
        <v>NÃO SE APLICA</v>
      </c>
    </row>
    <row r="954" hidden="1">
      <c r="A954" s="5">
        <f>IFERROR(__xludf.DUMMYFUNCTION("""COMPUTED_VALUE"""),4.0)</f>
        <v>4</v>
      </c>
      <c r="B954" s="5" t="str">
        <f>IFERROR(__xludf.DUMMYFUNCTION("""COMPUTED_VALUE"""),"CJ009")</f>
        <v>CJ009</v>
      </c>
      <c r="C954" s="5" t="str">
        <f>IFERROR(__xludf.DUMMYFUNCTION("""COMPUTED_VALUE"""),"NÃO POSSUI")</f>
        <v>NÃO POSSUI</v>
      </c>
      <c r="D954" s="5" t="str">
        <f>IFERROR(__xludf.DUMMYFUNCTION("""COMPUTED_VALUE"""),"SEM PLACA")</f>
        <v>SEM PLACA</v>
      </c>
      <c r="E954" s="5" t="str">
        <f>IFERROR(__xludf.DUMMYFUNCTION("""COMPUTED_VALUE"""),"SEM BAIA")</f>
        <v>SEM BAIA</v>
      </c>
      <c r="F954" s="5" t="str">
        <f>IFERROR(__xludf.DUMMYFUNCTION("""COMPUTED_VALUE"""),"NÃO")</f>
        <v>NÃO</v>
      </c>
      <c r="G954" s="5" t="str">
        <f>IFERROR(__xludf.DUMMYFUNCTION("""COMPUTED_VALUE"""),"NÃO")</f>
        <v>NÃO</v>
      </c>
      <c r="H954" s="5" t="str">
        <f>IFERROR(__xludf.DUMMYFUNCTION("""COMPUTED_VALUE"""),"PAVIMENTADA")</f>
        <v>PAVIMENTADA</v>
      </c>
      <c r="I954" s="6" t="str">
        <f>IFERROR(__xludf.DUMMYFUNCTION("""COMPUTED_VALUE"""),"-9.612343")</f>
        <v>-9.612343</v>
      </c>
      <c r="J954" s="6" t="str">
        <f>IFERROR(__xludf.DUMMYFUNCTION("""COMPUTED_VALUE"""),"-35.747395")</f>
        <v>-35.747395</v>
      </c>
      <c r="K954" s="5" t="str">
        <f>IFERROR(__xludf.DUMMYFUNCTION("""COMPUTED_VALUE"""),"RUA MANOEL INÁCIO")</f>
        <v>RUA MANOEL INÁCIO</v>
      </c>
      <c r="L954" s="5" t="str">
        <f>IFERROR(__xludf.DUMMYFUNCTION("""COMPUTED_VALUE"""),"LOCAL")</f>
        <v>LOCAL</v>
      </c>
      <c r="M954" s="5" t="str">
        <f>IFERROR(__xludf.DUMMYFUNCTION("""COMPUTED_VALUE"""),"CHÃ DA JAQUEIRA")</f>
        <v>CHÃ DA JAQUEIRA</v>
      </c>
      <c r="N954" s="5"/>
      <c r="O954" s="5" t="str">
        <f>IFERROR(__xludf.DUMMYFUNCTION("""COMPUTED_VALUE"""),"ANTES DO MERCADO SÃO DOMINGOS")</f>
        <v>ANTES DO MERCADO SÃO DOMINGOS</v>
      </c>
      <c r="P954" s="5" t="str">
        <f>IFERROR(__xludf.DUMMYFUNCTION("""COMPUTED_VALUE"""),"PRIORIDADE ALTA")</f>
        <v>PRIORIDADE ALTA</v>
      </c>
      <c r="Q954" s="5" t="str">
        <f>IFERROR(__xludf.DUMMYFUNCTION("""COMPUTED_VALUE"""),"PINTURA DE BAÍA NO ASFALTO.")</f>
        <v>PINTURA DE BAÍA NO ASFALTO.</v>
      </c>
      <c r="R954" s="5" t="str">
        <f>IFERROR(__xludf.DUMMYFUNCTION("""COMPUTED_VALUE"""),"NENHUMA DAS OPÇÕES")</f>
        <v>NENHUMA DAS OPÇÕES</v>
      </c>
      <c r="S954" s="7">
        <f>IFERROR(__xludf.DUMMYFUNCTION("""COMPUTED_VALUE"""),44843.0)</f>
        <v>44843</v>
      </c>
      <c r="T954" s="5"/>
      <c r="U954" s="5"/>
      <c r="V954" s="9" t="str">
        <f>IFERROR(__xludf.DUMMYFUNCTION("""COMPUTED_VALUE"""),"https://drive.google.com/uc?id=1axrbut3vdW_C0PktPm0v_3_FNIuP5wRV")</f>
        <v>https://drive.google.com/uc?id=1axrbut3vdW_C0PktPm0v_3_FNIuP5wRV</v>
      </c>
      <c r="W954" s="5" t="str">
        <f>IFERROR(__xludf.DUMMYFUNCTION("""COMPUTED_VALUE"""),"NÃO")</f>
        <v>NÃO</v>
      </c>
      <c r="X954" s="5" t="str">
        <f>IFERROR(__xludf.DUMMYFUNCTION("""COMPUTED_VALUE"""),"NÃO SE APLICA")</f>
        <v>NÃO SE APLICA</v>
      </c>
    </row>
    <row r="955" hidden="1">
      <c r="A955" s="5">
        <f>IFERROR(__xludf.DUMMYFUNCTION("""COMPUTED_VALUE"""),4.0)</f>
        <v>4</v>
      </c>
      <c r="B955" s="5" t="str">
        <f>IFERROR(__xludf.DUMMYFUNCTION("""COMPUTED_VALUE"""),"CJ010")</f>
        <v>CJ010</v>
      </c>
      <c r="C955" s="5" t="str">
        <f>IFERROR(__xludf.DUMMYFUNCTION("""COMPUTED_VALUE"""),"NÃO POSSUI")</f>
        <v>NÃO POSSUI</v>
      </c>
      <c r="D955" s="5" t="str">
        <f>IFERROR(__xludf.DUMMYFUNCTION("""COMPUTED_VALUE"""),"COM SUPORTE")</f>
        <v>COM SUPORTE</v>
      </c>
      <c r="E955" s="5" t="str">
        <f>IFERROR(__xludf.DUMMYFUNCTION("""COMPUTED_VALUE"""),"SEM BAIA")</f>
        <v>SEM BAIA</v>
      </c>
      <c r="F955" s="5" t="str">
        <f>IFERROR(__xludf.DUMMYFUNCTION("""COMPUTED_VALUE"""),"NÃO")</f>
        <v>NÃO</v>
      </c>
      <c r="G955" s="5" t="str">
        <f>IFERROR(__xludf.DUMMYFUNCTION("""COMPUTED_VALUE"""),"NÃO")</f>
        <v>NÃO</v>
      </c>
      <c r="H955" s="5" t="str">
        <f>IFERROR(__xludf.DUMMYFUNCTION("""COMPUTED_VALUE"""),"PAVIMENTADA")</f>
        <v>PAVIMENTADA</v>
      </c>
      <c r="I955" s="6" t="str">
        <f>IFERROR(__xludf.DUMMYFUNCTION("""COMPUTED_VALUE"""),"-9.611415")</f>
        <v>-9.611415</v>
      </c>
      <c r="J955" s="6" t="str">
        <f>IFERROR(__xludf.DUMMYFUNCTION("""COMPUTED_VALUE"""),"-35.749403")</f>
        <v>-35.749403</v>
      </c>
      <c r="K955" s="5" t="str">
        <f>IFERROR(__xludf.DUMMYFUNCTION("""COMPUTED_VALUE"""),"AV. EMPRESÁRIO LOURIVAL LOBO FERREIRA")</f>
        <v>AV. EMPRESÁRIO LOURIVAL LOBO FERREIRA</v>
      </c>
      <c r="L955" s="5" t="str">
        <f>IFERROR(__xludf.DUMMYFUNCTION("""COMPUTED_VALUE"""),"COLETORA")</f>
        <v>COLETORA</v>
      </c>
      <c r="M955" s="5" t="str">
        <f>IFERROR(__xludf.DUMMYFUNCTION("""COMPUTED_VALUE"""),"CHÃ DA JAQUEIRA")</f>
        <v>CHÃ DA JAQUEIRA</v>
      </c>
      <c r="N955" s="5"/>
      <c r="O955" s="5" t="str">
        <f>IFERROR(__xludf.DUMMYFUNCTION("""COMPUTED_VALUE"""),"EM FRENTE A BRASILGÁS")</f>
        <v>EM FRENTE A BRASILGÁS</v>
      </c>
      <c r="P955" s="5" t="str">
        <f>IFERROR(__xludf.DUMMYFUNCTION("""COMPUTED_VALUE"""),"PRIORIDADE BAIXA")</f>
        <v>PRIORIDADE BAIXA</v>
      </c>
      <c r="Q955" s="5" t="str">
        <f>IFERROR(__xludf.DUMMYFUNCTION("""COMPUTED_VALUE"""),"READEQUAÇÃO DA CALÇADA")</f>
        <v>READEQUAÇÃO DA CALÇADA</v>
      </c>
      <c r="R955" s="5" t="str">
        <f>IFERROR(__xludf.DUMMYFUNCTION("""COMPUTED_VALUE"""),"NENHUMA DAS OPÇÕES")</f>
        <v>NENHUMA DAS OPÇÕES</v>
      </c>
      <c r="S955" s="7">
        <f>IFERROR(__xludf.DUMMYFUNCTION("""COMPUTED_VALUE"""),44844.0)</f>
        <v>44844</v>
      </c>
      <c r="T955" s="5"/>
      <c r="U955" s="5"/>
      <c r="V955" s="9" t="str">
        <f>IFERROR(__xludf.DUMMYFUNCTION("""COMPUTED_VALUE"""),"https://drive.google.com/uc?id=1HtF4FHYWM3EDX-SpK3F-dY7erjhNX6Rl")</f>
        <v>https://drive.google.com/uc?id=1HtF4FHYWM3EDX-SpK3F-dY7erjhNX6Rl</v>
      </c>
      <c r="W955" s="5" t="str">
        <f>IFERROR(__xludf.DUMMYFUNCTION("""COMPUTED_VALUE"""),"NÃO")</f>
        <v>NÃO</v>
      </c>
      <c r="X955" s="5" t="str">
        <f>IFERROR(__xludf.DUMMYFUNCTION("""COMPUTED_VALUE"""),"NÃO SE APLICA")</f>
        <v>NÃO SE APLICA</v>
      </c>
    </row>
    <row r="956" ht="18.75" hidden="1" customHeight="1">
      <c r="A956" s="5">
        <f>IFERROR(__xludf.DUMMYFUNCTION("""COMPUTED_VALUE"""),4.0)</f>
        <v>4</v>
      </c>
      <c r="B956" s="5" t="str">
        <f>IFERROR(__xludf.DUMMYFUNCTION("""COMPUTED_VALUE"""),"CJ011")</f>
        <v>CJ011</v>
      </c>
      <c r="C956" s="5" t="str">
        <f>IFERROR(__xludf.DUMMYFUNCTION("""COMPUTED_VALUE"""),"NÃO POSSUI")</f>
        <v>NÃO POSSUI</v>
      </c>
      <c r="D956" s="5" t="str">
        <f>IFERROR(__xludf.DUMMYFUNCTION("""COMPUTED_VALUE"""),"SEM PLACA")</f>
        <v>SEM PLACA</v>
      </c>
      <c r="E956" s="5" t="str">
        <f>IFERROR(__xludf.DUMMYFUNCTION("""COMPUTED_VALUE"""),"SEM BAIA")</f>
        <v>SEM BAIA</v>
      </c>
      <c r="F956" s="5" t="str">
        <f>IFERROR(__xludf.DUMMYFUNCTION("""COMPUTED_VALUE"""),"NÃO")</f>
        <v>NÃO</v>
      </c>
      <c r="G956" s="5" t="str">
        <f>IFERROR(__xludf.DUMMYFUNCTION("""COMPUTED_VALUE"""),"NÃO")</f>
        <v>NÃO</v>
      </c>
      <c r="H956" s="5" t="str">
        <f>IFERROR(__xludf.DUMMYFUNCTION("""COMPUTED_VALUE"""),"PAVIMENTADA")</f>
        <v>PAVIMENTADA</v>
      </c>
      <c r="I956" s="6" t="str">
        <f>IFERROR(__xludf.DUMMYFUNCTION("""COMPUTED_VALUE"""),"-9.617978")</f>
        <v>-9.617978</v>
      </c>
      <c r="J956" s="6" t="str">
        <f>IFERROR(__xludf.DUMMYFUNCTION("""COMPUTED_VALUE""")," -35.751312")</f>
        <v> -35.751312</v>
      </c>
      <c r="K956" s="5" t="str">
        <f>IFERROR(__xludf.DUMMYFUNCTION("""COMPUTED_VALUE"""),"R. PREFEITO JOATAS MALTA DE ALENCAR")</f>
        <v>R. PREFEITO JOATAS MALTA DE ALENCAR</v>
      </c>
      <c r="L956" s="5" t="str">
        <f>IFERROR(__xludf.DUMMYFUNCTION("""COMPUTED_VALUE"""),"COLETORA")</f>
        <v>COLETORA</v>
      </c>
      <c r="M956" s="5" t="str">
        <f>IFERROR(__xludf.DUMMYFUNCTION("""COMPUTED_VALUE"""),"CHÃ DA JAQUEIRA")</f>
        <v>CHÃ DA JAQUEIRA</v>
      </c>
      <c r="N956" s="5"/>
      <c r="O956" s="5" t="str">
        <f>IFERROR(__xludf.DUMMYFUNCTION("""COMPUTED_VALUE"""),"EM FRENTE A CASA 78")</f>
        <v>EM FRENTE A CASA 78</v>
      </c>
      <c r="P956" s="5" t="str">
        <f>IFERROR(__xludf.DUMMYFUNCTION("""COMPUTED_VALUE"""),"PRIORIDADE ALTA")</f>
        <v>PRIORIDADE ALTA</v>
      </c>
      <c r="Q956" s="5" t="str">
        <f>IFERROR(__xludf.DUMMYFUNCTION("""COMPUTED_VALUE"""),"PINTURA DE BAÍA NO ASFALTO.")</f>
        <v>PINTURA DE BAÍA NO ASFALTO.</v>
      </c>
      <c r="R956" s="5" t="str">
        <f>IFERROR(__xludf.DUMMYFUNCTION("""COMPUTED_VALUE"""),"NENHUMA DAS OPÇÕES")</f>
        <v>NENHUMA DAS OPÇÕES</v>
      </c>
      <c r="S956" s="7">
        <f>IFERROR(__xludf.DUMMYFUNCTION("""COMPUTED_VALUE"""),44845.0)</f>
        <v>44845</v>
      </c>
      <c r="T956" s="5"/>
      <c r="U956" s="5"/>
      <c r="V956" s="9" t="str">
        <f>IFERROR(__xludf.DUMMYFUNCTION("""COMPUTED_VALUE"""),"https://drive.google.com/uc?id=1ypUbBoDpjJm59TQuix1bu1UURC5JQN0v")</f>
        <v>https://drive.google.com/uc?id=1ypUbBoDpjJm59TQuix1bu1UURC5JQN0v</v>
      </c>
      <c r="W956" s="5" t="str">
        <f>IFERROR(__xludf.DUMMYFUNCTION("""COMPUTED_VALUE"""),"NÃO")</f>
        <v>NÃO</v>
      </c>
      <c r="X956" s="5" t="str">
        <f>IFERROR(__xludf.DUMMYFUNCTION("""COMPUTED_VALUE"""),"NÃO SE APLICA")</f>
        <v>NÃO SE APLICA</v>
      </c>
    </row>
    <row r="957" hidden="1">
      <c r="A957" s="5">
        <f>IFERROR(__xludf.DUMMYFUNCTION("""COMPUTED_VALUE"""),4.0)</f>
        <v>4</v>
      </c>
      <c r="B957" s="5" t="str">
        <f>IFERROR(__xludf.DUMMYFUNCTION("""COMPUTED_VALUE"""),"CJ012")</f>
        <v>CJ012</v>
      </c>
      <c r="C957" s="5" t="str">
        <f>IFERROR(__xludf.DUMMYFUNCTION("""COMPUTED_VALUE"""),"NÃO POSSUI")</f>
        <v>NÃO POSSUI</v>
      </c>
      <c r="D957" s="5" t="str">
        <f>IFERROR(__xludf.DUMMYFUNCTION("""COMPUTED_VALUE"""),"FIXADA EM POSTE")</f>
        <v>FIXADA EM POSTE</v>
      </c>
      <c r="E957" s="5" t="str">
        <f>IFERROR(__xludf.DUMMYFUNCTION("""COMPUTED_VALUE"""),"SEM BAIA")</f>
        <v>SEM BAIA</v>
      </c>
      <c r="F957" s="5" t="str">
        <f>IFERROR(__xludf.DUMMYFUNCTION("""COMPUTED_VALUE"""),"NÃO")</f>
        <v>NÃO</v>
      </c>
      <c r="G957" s="5" t="str">
        <f>IFERROR(__xludf.DUMMYFUNCTION("""COMPUTED_VALUE"""),"NÃO")</f>
        <v>NÃO</v>
      </c>
      <c r="H957" s="5" t="str">
        <f>IFERROR(__xludf.DUMMYFUNCTION("""COMPUTED_VALUE"""),"PAVIMENTADA")</f>
        <v>PAVIMENTADA</v>
      </c>
      <c r="I957" s="6" t="str">
        <f>IFERROR(__xludf.DUMMYFUNCTION("""COMPUTED_VALUE"""),"-9.620267")</f>
        <v>-9.620267</v>
      </c>
      <c r="J957" s="6" t="str">
        <f>IFERROR(__xludf.DUMMYFUNCTION("""COMPUTED_VALUE""")," -35.752496")</f>
        <v> -35.752496</v>
      </c>
      <c r="K957" s="5" t="str">
        <f>IFERROR(__xludf.DUMMYFUNCTION("""COMPUTED_VALUE"""),"RUA MARQUÊS DE ABRANTES")</f>
        <v>RUA MARQUÊS DE ABRANTES</v>
      </c>
      <c r="L957" s="5" t="str">
        <f>IFERROR(__xludf.DUMMYFUNCTION("""COMPUTED_VALUE"""),"LOCAL")</f>
        <v>LOCAL</v>
      </c>
      <c r="M957" s="5" t="str">
        <f>IFERROR(__xludf.DUMMYFUNCTION("""COMPUTED_VALUE"""),"CHÃ DA JAQUEIRA")</f>
        <v>CHÃ DA JAQUEIRA</v>
      </c>
      <c r="N957" s="5"/>
      <c r="O957" s="5" t="str">
        <f>IFERROR(__xludf.DUMMYFUNCTION("""COMPUTED_VALUE"""),"EM FRENTE A CASA 18")</f>
        <v>EM FRENTE A CASA 18</v>
      </c>
      <c r="P957" s="5" t="str">
        <f>IFERROR(__xludf.DUMMYFUNCTION("""COMPUTED_VALUE"""),"PRIORIDADE BAIXA")</f>
        <v>PRIORIDADE BAIXA</v>
      </c>
      <c r="Q957" s="5" t="str">
        <f>IFERROR(__xludf.DUMMYFUNCTION("""COMPUTED_VALUE"""),"PINTURA DE BAÍA NO ASFALTO.")</f>
        <v>PINTURA DE BAÍA NO ASFALTO.</v>
      </c>
      <c r="R957" s="5" t="str">
        <f>IFERROR(__xludf.DUMMYFUNCTION("""COMPUTED_VALUE"""),"IMPLANTAR ABRIGO")</f>
        <v>IMPLANTAR ABRIGO</v>
      </c>
      <c r="S957" s="7">
        <f>IFERROR(__xludf.DUMMYFUNCTION("""COMPUTED_VALUE"""),44846.0)</f>
        <v>44846</v>
      </c>
      <c r="T957" s="5"/>
      <c r="U957" s="5"/>
      <c r="V957" s="9" t="str">
        <f>IFERROR(__xludf.DUMMYFUNCTION("""COMPUTED_VALUE"""),"https://drive.google.com/file/d/1Q0RK5i5v4zIGrxZdR3jeRHTbSB_7iwLn/view?usp=sharing")</f>
        <v>https://drive.google.com/file/d/1Q0RK5i5v4zIGrxZdR3jeRHTbSB_7iwLn/view?usp=sharing</v>
      </c>
      <c r="W957" s="5" t="str">
        <f>IFERROR(__xludf.DUMMYFUNCTION("""COMPUTED_VALUE"""),"NÃO")</f>
        <v>NÃO</v>
      </c>
      <c r="X957" s="5" t="str">
        <f>IFERROR(__xludf.DUMMYFUNCTION("""COMPUTED_VALUE"""),"NÃO SE APLICA")</f>
        <v>NÃO SE APLICA</v>
      </c>
    </row>
    <row r="958" hidden="1">
      <c r="A958" s="5">
        <f>IFERROR(__xludf.DUMMYFUNCTION("""COMPUTED_VALUE"""),4.0)</f>
        <v>4</v>
      </c>
      <c r="B958" s="5" t="str">
        <f>IFERROR(__xludf.DUMMYFUNCTION("""COMPUTED_VALUE"""),"CJ013")</f>
        <v>CJ013</v>
      </c>
      <c r="C958" s="5" t="str">
        <f>IFERROR(__xludf.DUMMYFUNCTION("""COMPUTED_VALUE"""),"NÃO POSSUI")</f>
        <v>NÃO POSSUI</v>
      </c>
      <c r="D958" s="5" t="str">
        <f>IFERROR(__xludf.DUMMYFUNCTION("""COMPUTED_VALUE"""),"COM SUPORTE")</f>
        <v>COM SUPORTE</v>
      </c>
      <c r="E958" s="5" t="str">
        <f>IFERROR(__xludf.DUMMYFUNCTION("""COMPUTED_VALUE"""),"SEM BAIA")</f>
        <v>SEM BAIA</v>
      </c>
      <c r="F958" s="5" t="str">
        <f>IFERROR(__xludf.DUMMYFUNCTION("""COMPUTED_VALUE"""),"NÃO")</f>
        <v>NÃO</v>
      </c>
      <c r="G958" s="5" t="str">
        <f>IFERROR(__xludf.DUMMYFUNCTION("""COMPUTED_VALUE"""),"NÃO")</f>
        <v>NÃO</v>
      </c>
      <c r="H958" s="5" t="str">
        <f>IFERROR(__xludf.DUMMYFUNCTION("""COMPUTED_VALUE"""),"PAVIMENTADA")</f>
        <v>PAVIMENTADA</v>
      </c>
      <c r="I958" s="6" t="str">
        <f>IFERROR(__xludf.DUMMYFUNCTION("""COMPUTED_VALUE"""),"-9.614068")</f>
        <v>-9.614068</v>
      </c>
      <c r="J958" s="6" t="str">
        <f>IFERROR(__xludf.DUMMYFUNCTION("""COMPUTED_VALUE"""),"-35.749412")</f>
        <v>-35.749412</v>
      </c>
      <c r="K958" s="5" t="str">
        <f>IFERROR(__xludf.DUMMYFUNCTION("""COMPUTED_VALUE"""),"RUA DO ARAME")</f>
        <v>RUA DO ARAME</v>
      </c>
      <c r="L958" s="5" t="str">
        <f>IFERROR(__xludf.DUMMYFUNCTION("""COMPUTED_VALUE"""),"LOCAL")</f>
        <v>LOCAL</v>
      </c>
      <c r="M958" s="5" t="str">
        <f>IFERROR(__xludf.DUMMYFUNCTION("""COMPUTED_VALUE"""),"CHÃ DA JAQUEIRA")</f>
        <v>CHÃ DA JAQUEIRA</v>
      </c>
      <c r="N958" s="5"/>
      <c r="O958" s="5" t="str">
        <f>IFERROR(__xludf.DUMMYFUNCTION("""COMPUTED_VALUE"""),"EM FRENTE A CASA 69A")</f>
        <v>EM FRENTE A CASA 69A</v>
      </c>
      <c r="P958" s="5" t="str">
        <f>IFERROR(__xludf.DUMMYFUNCTION("""COMPUTED_VALUE"""),"PRIORIDADE BAIXA")</f>
        <v>PRIORIDADE BAIXA</v>
      </c>
      <c r="Q958" s="5" t="str">
        <f>IFERROR(__xludf.DUMMYFUNCTION("""COMPUTED_VALUE"""),"READEQUAÇÃO DA CALÇADA")</f>
        <v>READEQUAÇÃO DA CALÇADA</v>
      </c>
      <c r="R958" s="5" t="str">
        <f>IFERROR(__xludf.DUMMYFUNCTION("""COMPUTED_VALUE"""),"NENHUMA DAS OPÇÕES")</f>
        <v>NENHUMA DAS OPÇÕES</v>
      </c>
      <c r="S958" s="7">
        <f>IFERROR(__xludf.DUMMYFUNCTION("""COMPUTED_VALUE"""),44847.0)</f>
        <v>44847</v>
      </c>
      <c r="T958" s="5"/>
      <c r="U958" s="5"/>
      <c r="V958" s="9" t="str">
        <f>IFERROR(__xludf.DUMMYFUNCTION("""COMPUTED_VALUE"""),"https://drive.google.com/uc?id=13lo8Sj0EJ5mYFPbXH18aB-1nsMmf1-d0")</f>
        <v>https://drive.google.com/uc?id=13lo8Sj0EJ5mYFPbXH18aB-1nsMmf1-d0</v>
      </c>
      <c r="W958" s="5" t="str">
        <f>IFERROR(__xludf.DUMMYFUNCTION("""COMPUTED_VALUE"""),"NÃO")</f>
        <v>NÃO</v>
      </c>
      <c r="X958" s="5" t="str">
        <f>IFERROR(__xludf.DUMMYFUNCTION("""COMPUTED_VALUE"""),"NÃO SE APLICA")</f>
        <v>NÃO SE APLICA</v>
      </c>
    </row>
    <row r="959" hidden="1">
      <c r="A959" s="5">
        <f>IFERROR(__xludf.DUMMYFUNCTION("""COMPUTED_VALUE"""),4.0)</f>
        <v>4</v>
      </c>
      <c r="B959" s="5" t="str">
        <f>IFERROR(__xludf.DUMMYFUNCTION("""COMPUTED_VALUE"""),"CJ014")</f>
        <v>CJ014</v>
      </c>
      <c r="C959" s="5" t="str">
        <f>IFERROR(__xludf.DUMMYFUNCTION("""COMPUTED_VALUE"""),"NÃO POSSUI")</f>
        <v>NÃO POSSUI</v>
      </c>
      <c r="D959" s="5" t="str">
        <f>IFERROR(__xludf.DUMMYFUNCTION("""COMPUTED_VALUE"""),"FIXADA EM POSTE")</f>
        <v>FIXADA EM POSTE</v>
      </c>
      <c r="E959" s="5" t="str">
        <f>IFERROR(__xludf.DUMMYFUNCTION("""COMPUTED_VALUE"""),"SEM BAIA")</f>
        <v>SEM BAIA</v>
      </c>
      <c r="F959" s="5" t="str">
        <f>IFERROR(__xludf.DUMMYFUNCTION("""COMPUTED_VALUE"""),"NÃO")</f>
        <v>NÃO</v>
      </c>
      <c r="G959" s="5" t="str">
        <f>IFERROR(__xludf.DUMMYFUNCTION("""COMPUTED_VALUE"""),"NÃO")</f>
        <v>NÃO</v>
      </c>
      <c r="H959" s="5" t="str">
        <f>IFERROR(__xludf.DUMMYFUNCTION("""COMPUTED_VALUE"""),"PAVIMENTADA COM AVARIAS")</f>
        <v>PAVIMENTADA COM AVARIAS</v>
      </c>
      <c r="I959" s="6" t="str">
        <f>IFERROR(__xludf.DUMMYFUNCTION("""COMPUTED_VALUE"""),"-9.613237")</f>
        <v>-9.613237</v>
      </c>
      <c r="J959" s="6" t="str">
        <f>IFERROR(__xludf.DUMMYFUNCTION("""COMPUTED_VALUE"""),"-35.750840")</f>
        <v>-35.750840</v>
      </c>
      <c r="K959" s="5" t="str">
        <f>IFERROR(__xludf.DUMMYFUNCTION("""COMPUTED_VALUE"""),"RUA PREFEITO JOATAS MALTA DE ALENCAR")</f>
        <v>RUA PREFEITO JOATAS MALTA DE ALENCAR</v>
      </c>
      <c r="L959" s="5" t="str">
        <f>IFERROR(__xludf.DUMMYFUNCTION("""COMPUTED_VALUE"""),"COLETORA")</f>
        <v>COLETORA</v>
      </c>
      <c r="M959" s="5" t="str">
        <f>IFERROR(__xludf.DUMMYFUNCTION("""COMPUTED_VALUE"""),"CHÃ DA JAQUEIRA")</f>
        <v>CHÃ DA JAQUEIRA</v>
      </c>
      <c r="N959" s="5"/>
      <c r="O959" s="5" t="str">
        <f>IFERROR(__xludf.DUMMYFUNCTION("""COMPUTED_VALUE"""),"EM FRENTE A FARMACIA SANTA FARMA")</f>
        <v>EM FRENTE A FARMACIA SANTA FARMA</v>
      </c>
      <c r="P959" s="5" t="str">
        <f>IFERROR(__xludf.DUMMYFUNCTION("""COMPUTED_VALUE"""),"PRIORIDADE BAIXA")</f>
        <v>PRIORIDADE BAIXA</v>
      </c>
      <c r="Q959" s="5" t="str">
        <f>IFERROR(__xludf.DUMMYFUNCTION("""COMPUTED_VALUE"""),"READEQUAÇÃO DA CALÇADA")</f>
        <v>READEQUAÇÃO DA CALÇADA</v>
      </c>
      <c r="R959" s="5" t="str">
        <f>IFERROR(__xludf.DUMMYFUNCTION("""COMPUTED_VALUE"""),"NENHUMA DAS OPÇÕES")</f>
        <v>NENHUMA DAS OPÇÕES</v>
      </c>
      <c r="S959" s="7">
        <f>IFERROR(__xludf.DUMMYFUNCTION("""COMPUTED_VALUE"""),44848.0)</f>
        <v>44848</v>
      </c>
      <c r="T959" s="5"/>
      <c r="U959" s="5"/>
      <c r="V959" s="9" t="str">
        <f>IFERROR(__xludf.DUMMYFUNCTION("""COMPUTED_VALUE"""),"https://drive.google.com/uc?id=1P1tmJ5naBwbIu0WXuZtDzypAPmNspq1H")</f>
        <v>https://drive.google.com/uc?id=1P1tmJ5naBwbIu0WXuZtDzypAPmNspq1H</v>
      </c>
      <c r="W959" s="5" t="str">
        <f>IFERROR(__xludf.DUMMYFUNCTION("""COMPUTED_VALUE"""),"NÃO")</f>
        <v>NÃO</v>
      </c>
      <c r="X959" s="5" t="str">
        <f>IFERROR(__xludf.DUMMYFUNCTION("""COMPUTED_VALUE"""),"NÃO SE APLICA")</f>
        <v>NÃO SE APLICA</v>
      </c>
    </row>
    <row r="960" ht="18.75" customHeight="1">
      <c r="A960" s="5">
        <f>IFERROR(__xludf.DUMMYFUNCTION("""COMPUTED_VALUE"""),4.0)</f>
        <v>4</v>
      </c>
      <c r="B960" s="5" t="str">
        <f>IFERROR(__xludf.DUMMYFUNCTION("""COMPUTED_VALUE"""),"CJ015")</f>
        <v>CJ015</v>
      </c>
      <c r="C960" s="5" t="str">
        <f>IFERROR(__xludf.DUMMYFUNCTION("""COMPUTED_VALUE"""),"ABRIGO CONCRETO")</f>
        <v>ABRIGO CONCRETO</v>
      </c>
      <c r="D960" s="5" t="str">
        <f>IFERROR(__xludf.DUMMYFUNCTION("""COMPUTED_VALUE"""),"SEM PLACA")</f>
        <v>SEM PLACA</v>
      </c>
      <c r="E960" s="5" t="str">
        <f>IFERROR(__xludf.DUMMYFUNCTION("""COMPUTED_VALUE"""),"SEM BAIA")</f>
        <v>SEM BAIA</v>
      </c>
      <c r="F960" s="5" t="str">
        <f>IFERROR(__xludf.DUMMYFUNCTION("""COMPUTED_VALUE"""),"NÃO")</f>
        <v>NÃO</v>
      </c>
      <c r="G960" s="5" t="str">
        <f>IFERROR(__xludf.DUMMYFUNCTION("""COMPUTED_VALUE"""),"NÃO")</f>
        <v>NÃO</v>
      </c>
      <c r="H960" s="5" t="str">
        <f>IFERROR(__xludf.DUMMYFUNCTION("""COMPUTED_VALUE"""),"PAVIMENTADA COM AVARIAS")</f>
        <v>PAVIMENTADA COM AVARIAS</v>
      </c>
      <c r="I960" s="6" t="str">
        <f>IFERROR(__xludf.DUMMYFUNCTION("""COMPUTED_VALUE"""),"-9.615925")</f>
        <v>-9.615925</v>
      </c>
      <c r="J960" s="6" t="str">
        <f>IFERROR(__xludf.DUMMYFUNCTION("""COMPUTED_VALUE"""),"-35.748415")</f>
        <v>-35.748415</v>
      </c>
      <c r="K960" s="5" t="str">
        <f>IFERROR(__xludf.DUMMYFUNCTION("""COMPUTED_VALUE"""),"RUA DO ARAME")</f>
        <v>RUA DO ARAME</v>
      </c>
      <c r="L960" s="5" t="str">
        <f>IFERROR(__xludf.DUMMYFUNCTION("""COMPUTED_VALUE"""),"LOCAL")</f>
        <v>LOCAL</v>
      </c>
      <c r="M960" s="5" t="str">
        <f>IFERROR(__xludf.DUMMYFUNCTION("""COMPUTED_VALUE"""),"CHÃ DA JAQUEIRA")</f>
        <v>CHÃ DA JAQUEIRA</v>
      </c>
      <c r="N960" s="5"/>
      <c r="O960" s="5" t="str">
        <f>IFERROR(__xludf.DUMMYFUNCTION("""COMPUTED_VALUE"""),"PRAÇA ADEILTON JOAQUIM DA SILVA")</f>
        <v>PRAÇA ADEILTON JOAQUIM DA SILVA</v>
      </c>
      <c r="P960" s="5" t="str">
        <f>IFERROR(__xludf.DUMMYFUNCTION("""COMPUTED_VALUE"""),"PRIORIDADE BAIXA")</f>
        <v>PRIORIDADE BAIXA</v>
      </c>
      <c r="Q960" s="5" t="str">
        <f>IFERROR(__xludf.DUMMYFUNCTION("""COMPUTED_VALUE"""),"ABRIGO DANIFICADO - REBOCO, PINTURA E ASSENTO DANIFICADO,  NECESSÁRIO FAZER LIMPEZA DA COBERTA, MANUTENÇÃO E LIMPEZA DA COBERTA,
PINTURA DA SINALIZAÇÃO DA BAÍA NO ASFALTO, READEQUAÇÃO DE CALÇADA COM ACESSIBILIDADE")</f>
        <v>ABRIGO DANIFICADO - REBOCO, PINTURA E ASSENTO DANIFICADO,  NECESSÁRIO FAZER LIMPEZA DA COBERTA, MANUTENÇÃO E LIMPEZA DA COBERTA,
PINTURA DA SINALIZAÇÃO DA BAÍA NO ASFALTO, READEQUAÇÃO DE CALÇADA COM ACESSIBILIDADE</v>
      </c>
      <c r="R960" s="5" t="str">
        <f>IFERROR(__xludf.DUMMYFUNCTION("""COMPUTED_VALUE"""),"SUBSTITUIR ABRIGO")</f>
        <v>SUBSTITUIR ABRIGO</v>
      </c>
      <c r="S960" s="7">
        <f>IFERROR(__xludf.DUMMYFUNCTION("""COMPUTED_VALUE"""),44849.0)</f>
        <v>44849</v>
      </c>
      <c r="T960" s="5"/>
      <c r="U960" s="5"/>
      <c r="V960" s="9" t="str">
        <f>IFERROR(__xludf.DUMMYFUNCTION("""COMPUTED_VALUE"""),"https://drive.google.com/uc?id=1Fr_3Mn88ssTIcg41HIRfrBmWW0UoinoN")</f>
        <v>https://drive.google.com/uc?id=1Fr_3Mn88ssTIcg41HIRfrBmWW0UoinoN</v>
      </c>
      <c r="W960" s="5" t="str">
        <f>IFERROR(__xludf.DUMMYFUNCTION("""COMPUTED_VALUE"""),"NÃO")</f>
        <v>NÃO</v>
      </c>
      <c r="X960" s="5" t="str">
        <f>IFERROR(__xludf.DUMMYFUNCTION("""COMPUTED_VALUE"""),"NÃO SE APLICA")</f>
        <v>NÃO SE APLICA</v>
      </c>
    </row>
    <row r="961" hidden="1">
      <c r="A961" s="5">
        <f>IFERROR(__xludf.DUMMYFUNCTION("""COMPUTED_VALUE"""),4.0)</f>
        <v>4</v>
      </c>
      <c r="B961" s="5" t="str">
        <f>IFERROR(__xludf.DUMMYFUNCTION("""COMPUTED_VALUE"""),"CJ016")</f>
        <v>CJ016</v>
      </c>
      <c r="C961" s="5" t="str">
        <f>IFERROR(__xludf.DUMMYFUNCTION("""COMPUTED_VALUE"""),"NÃO POSSUI")</f>
        <v>NÃO POSSUI</v>
      </c>
      <c r="D961" s="5" t="str">
        <f>IFERROR(__xludf.DUMMYFUNCTION("""COMPUTED_VALUE"""),"FIXADA EM POSTE")</f>
        <v>FIXADA EM POSTE</v>
      </c>
      <c r="E961" s="5" t="str">
        <f>IFERROR(__xludf.DUMMYFUNCTION("""COMPUTED_VALUE"""),"SEM BAIA")</f>
        <v>SEM BAIA</v>
      </c>
      <c r="F961" s="5" t="str">
        <f>IFERROR(__xludf.DUMMYFUNCTION("""COMPUTED_VALUE"""),"NÃO")</f>
        <v>NÃO</v>
      </c>
      <c r="G961" s="5" t="str">
        <f>IFERROR(__xludf.DUMMYFUNCTION("""COMPUTED_VALUE"""),"NÃO")</f>
        <v>NÃO</v>
      </c>
      <c r="H961" s="5" t="str">
        <f>IFERROR(__xludf.DUMMYFUNCTION("""COMPUTED_VALUE"""),"PAVIMENTADA COM AVARIAS")</f>
        <v>PAVIMENTADA COM AVARIAS</v>
      </c>
      <c r="I961" s="6" t="str">
        <f>IFERROR(__xludf.DUMMYFUNCTION("""COMPUTED_VALUE"""),"-9.613713")</f>
        <v>-9.613713</v>
      </c>
      <c r="J961" s="6" t="str">
        <f>IFERROR(__xludf.DUMMYFUNCTION("""COMPUTED_VALUE"""),"-35.749627")</f>
        <v>-35.749627</v>
      </c>
      <c r="K961" s="5" t="str">
        <f>IFERROR(__xludf.DUMMYFUNCTION("""COMPUTED_VALUE"""),"RUA DO ARAME")</f>
        <v>RUA DO ARAME</v>
      </c>
      <c r="L961" s="5" t="str">
        <f>IFERROR(__xludf.DUMMYFUNCTION("""COMPUTED_VALUE"""),"LOCAL")</f>
        <v>LOCAL</v>
      </c>
      <c r="M961" s="5" t="str">
        <f>IFERROR(__xludf.DUMMYFUNCTION("""COMPUTED_VALUE"""),"CHÃ DA JAQUEIRA")</f>
        <v>CHÃ DA JAQUEIRA</v>
      </c>
      <c r="N961" s="5"/>
      <c r="O961" s="5" t="str">
        <f>IFERROR(__xludf.DUMMYFUNCTION("""COMPUTED_VALUE"""),"EM FRENTE A CASA 119")</f>
        <v>EM FRENTE A CASA 119</v>
      </c>
      <c r="P961" s="5" t="str">
        <f>IFERROR(__xludf.DUMMYFUNCTION("""COMPUTED_VALUE"""),"PRIORIDADE BAIXA")</f>
        <v>PRIORIDADE BAIXA</v>
      </c>
      <c r="Q961" s="5" t="str">
        <f>IFERROR(__xludf.DUMMYFUNCTION("""COMPUTED_VALUE"""),"PINTURA DE BAÍA NO ASFALTO.")</f>
        <v>PINTURA DE BAÍA NO ASFALTO.</v>
      </c>
      <c r="R961" s="5" t="str">
        <f>IFERROR(__xludf.DUMMYFUNCTION("""COMPUTED_VALUE"""),"NENHUMA DAS OPÇÕES")</f>
        <v>NENHUMA DAS OPÇÕES</v>
      </c>
      <c r="S961" s="7">
        <f>IFERROR(__xludf.DUMMYFUNCTION("""COMPUTED_VALUE"""),44850.0)</f>
        <v>44850</v>
      </c>
      <c r="T961" s="5"/>
      <c r="U961" s="5"/>
      <c r="V961" s="9" t="str">
        <f>IFERROR(__xludf.DUMMYFUNCTION("""COMPUTED_VALUE"""),"https://drive.google.com/uc?id=1GKGIKSQqBq4HGaeMU1Y71EhmvLGplzK8/")</f>
        <v>https://drive.google.com/uc?id=1GKGIKSQqBq4HGaeMU1Y71EhmvLGplzK8/</v>
      </c>
      <c r="W961" s="5" t="str">
        <f>IFERROR(__xludf.DUMMYFUNCTION("""COMPUTED_VALUE"""),"NÃO")</f>
        <v>NÃO</v>
      </c>
      <c r="X961" s="5" t="str">
        <f>IFERROR(__xludf.DUMMYFUNCTION("""COMPUTED_VALUE"""),"NÃO SE APLICA")</f>
        <v>NÃO SE APLICA</v>
      </c>
    </row>
    <row r="962" hidden="1">
      <c r="A962" s="5">
        <f>IFERROR(__xludf.DUMMYFUNCTION("""COMPUTED_VALUE"""),4.0)</f>
        <v>4</v>
      </c>
      <c r="B962" s="5" t="str">
        <f>IFERROR(__xludf.DUMMYFUNCTION("""COMPUTED_VALUE"""),"CJ017")</f>
        <v>CJ017</v>
      </c>
      <c r="C962" s="5" t="str">
        <f>IFERROR(__xludf.DUMMYFUNCTION("""COMPUTED_VALUE"""),"NÃO POSSUI")</f>
        <v>NÃO POSSUI</v>
      </c>
      <c r="D962" s="5" t="str">
        <f>IFERROR(__xludf.DUMMYFUNCTION("""COMPUTED_VALUE"""),"COM SUPORTE")</f>
        <v>COM SUPORTE</v>
      </c>
      <c r="E962" s="5" t="str">
        <f>IFERROR(__xludf.DUMMYFUNCTION("""COMPUTED_VALUE"""),"SEM BAIA")</f>
        <v>SEM BAIA</v>
      </c>
      <c r="F962" s="5" t="str">
        <f>IFERROR(__xludf.DUMMYFUNCTION("""COMPUTED_VALUE"""),"NÃO")</f>
        <v>NÃO</v>
      </c>
      <c r="G962" s="5" t="str">
        <f>IFERROR(__xludf.DUMMYFUNCTION("""COMPUTED_VALUE"""),"NÃO")</f>
        <v>NÃO</v>
      </c>
      <c r="H962" s="5" t="str">
        <f>IFERROR(__xludf.DUMMYFUNCTION("""COMPUTED_VALUE"""),"PAVIMENTADA COM AVARIAS")</f>
        <v>PAVIMENTADA COM AVARIAS</v>
      </c>
      <c r="I962" s="6" t="str">
        <f>IFERROR(__xludf.DUMMYFUNCTION("""COMPUTED_VALUE"""),"-9.611294")</f>
        <v>-9.611294</v>
      </c>
      <c r="J962" s="6" t="str">
        <f>IFERROR(__xludf.DUMMYFUNCTION("""COMPUTED_VALUE"""),"-35.749157")</f>
        <v>-35.749157</v>
      </c>
      <c r="K962" s="5" t="str">
        <f>IFERROR(__xludf.DUMMYFUNCTION("""COMPUTED_VALUE"""),"AV. EMPRESÁRIO LOURIVAL LOBO FERREIRA")</f>
        <v>AV. EMPRESÁRIO LOURIVAL LOBO FERREIRA</v>
      </c>
      <c r="L962" s="5" t="str">
        <f>IFERROR(__xludf.DUMMYFUNCTION("""COMPUTED_VALUE"""),"COLETORA")</f>
        <v>COLETORA</v>
      </c>
      <c r="M962" s="5" t="str">
        <f>IFERROR(__xludf.DUMMYFUNCTION("""COMPUTED_VALUE"""),"CHÃ DA JAQUEIRA")</f>
        <v>CHÃ DA JAQUEIRA</v>
      </c>
      <c r="N962" s="5"/>
      <c r="O962" s="5" t="str">
        <f>IFERROR(__xludf.DUMMYFUNCTION("""COMPUTED_VALUE"""),"EM FRENTE A ESCOLA FLOR DO BAIRRO")</f>
        <v>EM FRENTE A ESCOLA FLOR DO BAIRRO</v>
      </c>
      <c r="P962" s="5" t="str">
        <f>IFERROR(__xludf.DUMMYFUNCTION("""COMPUTED_VALUE"""),"PRIORIDADE BAIXA")</f>
        <v>PRIORIDADE BAIXA</v>
      </c>
      <c r="Q962" s="5" t="str">
        <f>IFERROR(__xludf.DUMMYFUNCTION("""COMPUTED_VALUE"""),"PLACA APRESENTA AVARIAS NA FIXAÇÃO; READEQUAÇÃO DA CALÇADA.")</f>
        <v>PLACA APRESENTA AVARIAS NA FIXAÇÃO; READEQUAÇÃO DA CALÇADA.</v>
      </c>
      <c r="R962" s="5" t="str">
        <f>IFERROR(__xludf.DUMMYFUNCTION("""COMPUTED_VALUE"""),"NENHUMA DAS OPÇÕES")</f>
        <v>NENHUMA DAS OPÇÕES</v>
      </c>
      <c r="S962" s="7">
        <f>IFERROR(__xludf.DUMMYFUNCTION("""COMPUTED_VALUE"""),44851.0)</f>
        <v>44851</v>
      </c>
      <c r="T962" s="5"/>
      <c r="U962" s="5"/>
      <c r="V962" s="9" t="str">
        <f>IFERROR(__xludf.DUMMYFUNCTION("""COMPUTED_VALUE"""),"https://drive.google.com/uc?id=1LhtLESZWqidEQfOCiyV0Tx05loUPpbxP")</f>
        <v>https://drive.google.com/uc?id=1LhtLESZWqidEQfOCiyV0Tx05loUPpbxP</v>
      </c>
      <c r="W962" s="5" t="str">
        <f>IFERROR(__xludf.DUMMYFUNCTION("""COMPUTED_VALUE"""),"NÃO")</f>
        <v>NÃO</v>
      </c>
      <c r="X962" s="5" t="str">
        <f>IFERROR(__xludf.DUMMYFUNCTION("""COMPUTED_VALUE"""),"NÃO SE APLICA")</f>
        <v>NÃO SE APLICA</v>
      </c>
    </row>
    <row r="963" hidden="1">
      <c r="A963" s="5">
        <f>IFERROR(__xludf.DUMMYFUNCTION("IMPORTRANGE(""https://docs.google.com/spreadsheets/d/1zsUaGcapKI8nFhFHzkKqQm76kpV8QjqjUiktsuAdmUw/edit#gid=1185486678"", ""CHÃ DE BEBEDOURO!A3:X13"")"),4.0)</f>
        <v>4</v>
      </c>
      <c r="B963" s="5" t="str">
        <f>IFERROR(__xludf.DUMMYFUNCTION("""COMPUTED_VALUE"""),"CB001")</f>
        <v>CB001</v>
      </c>
      <c r="C963" s="5" t="str">
        <f>IFERROR(__xludf.DUMMYFUNCTION("""COMPUTED_VALUE"""),"NÃO POSSUI")</f>
        <v>NÃO POSSUI</v>
      </c>
      <c r="D963" s="5" t="str">
        <f>IFERROR(__xludf.DUMMYFUNCTION("""COMPUTED_VALUE"""),"COM SUPORTE")</f>
        <v>COM SUPORTE</v>
      </c>
      <c r="E963" s="5" t="str">
        <f>IFERROR(__xludf.DUMMYFUNCTION("""COMPUTED_VALUE"""),"SEM BAIA")</f>
        <v>SEM BAIA</v>
      </c>
      <c r="F963" s="5" t="str">
        <f>IFERROR(__xludf.DUMMYFUNCTION("""COMPUTED_VALUE"""),"NÃO")</f>
        <v>NÃO</v>
      </c>
      <c r="G963" s="5" t="str">
        <f>IFERROR(__xludf.DUMMYFUNCTION("""COMPUTED_VALUE"""),"NÃO")</f>
        <v>NÃO</v>
      </c>
      <c r="H963" s="5" t="str">
        <f>IFERROR(__xludf.DUMMYFUNCTION("""COMPUTED_VALUE"""),"PAVIMENTADA")</f>
        <v>PAVIMENTADA</v>
      </c>
      <c r="I963" s="6" t="str">
        <f>IFERROR(__xludf.DUMMYFUNCTION("""COMPUTED_VALUE"""),"-9.620330")</f>
        <v>-9.620330</v>
      </c>
      <c r="J963" s="6" t="str">
        <f>IFERROR(__xludf.DUMMYFUNCTION("""COMPUTED_VALUE"""),"-35.752930")</f>
        <v>-35.752930</v>
      </c>
      <c r="K963" s="5" t="str">
        <f>IFERROR(__xludf.DUMMYFUNCTION("""COMPUTED_VALUE"""),"R. MARQUÊS DE ABRANTES, 573")</f>
        <v>R. MARQUÊS DE ABRANTES, 573</v>
      </c>
      <c r="L963" s="5" t="str">
        <f>IFERROR(__xludf.DUMMYFUNCTION("""COMPUTED_VALUE"""),"LOCAL")</f>
        <v>LOCAL</v>
      </c>
      <c r="M963" s="5" t="str">
        <f>IFERROR(__xludf.DUMMYFUNCTION("""COMPUTED_VALUE"""),"CHÃ DE BEBEDOURO")</f>
        <v>CHÃ DE BEBEDOURO</v>
      </c>
      <c r="N963" s="5" t="str">
        <f>IFERROR(__xludf.DUMMYFUNCTION("""COMPUTED_VALUE"""),"CENTRO - BAIRRO")</f>
        <v>CENTRO - BAIRRO</v>
      </c>
      <c r="O963" s="5" t="str">
        <f>IFERROR(__xludf.DUMMYFUNCTION("""COMPUTED_VALUE"""),"EM FRENTE A CASA 06")</f>
        <v>EM FRENTE A CASA 06</v>
      </c>
      <c r="P963" s="5" t="str">
        <f>IFERROR(__xludf.DUMMYFUNCTION("""COMPUTED_VALUE"""),"PRIORIDADE BAIXA")</f>
        <v>PRIORIDADE BAIXA</v>
      </c>
      <c r="Q963" s="5" t="str">
        <f>IFERROR(__xludf.DUMMYFUNCTION("""COMPUTED_VALUE"""),"READEQUAÇÃO DE CALÇADA COM ACESSIBILIDADE E PINTURA DE BAÍA NO ASFALTO")</f>
        <v>READEQUAÇÃO DE CALÇADA COM ACESSIBILIDADE E PINTURA DE BAÍA NO ASFALTO</v>
      </c>
      <c r="R963" s="5" t="str">
        <f>IFERROR(__xludf.DUMMYFUNCTION("""COMPUTED_VALUE"""),"NENHUMA DAS OPÇÕES")</f>
        <v>NENHUMA DAS OPÇÕES</v>
      </c>
      <c r="S963" s="5"/>
      <c r="T963" s="5"/>
      <c r="U963" s="5"/>
      <c r="V963" s="9" t="str">
        <f>IFERROR(__xludf.DUMMYFUNCTION("""COMPUTED_VALUE"""),"https://drive.google.com/uc?id=1lm3jZFfzOMauW9DZ2C5ViccZ8KqDiLOm")</f>
        <v>https://drive.google.com/uc?id=1lm3jZFfzOMauW9DZ2C5ViccZ8KqDiLOm</v>
      </c>
      <c r="W963" s="5" t="str">
        <f>IFERROR(__xludf.DUMMYFUNCTION("""COMPUTED_VALUE"""),"NÃO")</f>
        <v>NÃO</v>
      </c>
      <c r="X963" s="5" t="str">
        <f>IFERROR(__xludf.DUMMYFUNCTION("""COMPUTED_VALUE"""),"NÃO SE APLICA")</f>
        <v>NÃO SE APLICA</v>
      </c>
    </row>
    <row r="964" hidden="1">
      <c r="A964" s="5">
        <f>IFERROR(__xludf.DUMMYFUNCTION("""COMPUTED_VALUE"""),4.0)</f>
        <v>4</v>
      </c>
      <c r="B964" s="5" t="str">
        <f>IFERROR(__xludf.DUMMYFUNCTION("""COMPUTED_VALUE"""),"CB002")</f>
        <v>CB002</v>
      </c>
      <c r="C964" s="5" t="str">
        <f>IFERROR(__xludf.DUMMYFUNCTION("""COMPUTED_VALUE"""),"NÃO POSSUI")</f>
        <v>NÃO POSSUI</v>
      </c>
      <c r="D964" s="5" t="str">
        <f>IFERROR(__xludf.DUMMYFUNCTION("""COMPUTED_VALUE"""),"COM SUPORTE")</f>
        <v>COM SUPORTE</v>
      </c>
      <c r="E964" s="5" t="str">
        <f>IFERROR(__xludf.DUMMYFUNCTION("""COMPUTED_VALUE"""),"SEM BAIA")</f>
        <v>SEM BAIA</v>
      </c>
      <c r="F964" s="5" t="str">
        <f>IFERROR(__xludf.DUMMYFUNCTION("""COMPUTED_VALUE"""),"NÃO")</f>
        <v>NÃO</v>
      </c>
      <c r="G964" s="5" t="str">
        <f>IFERROR(__xludf.DUMMYFUNCTION("""COMPUTED_VALUE"""),"NÃO")</f>
        <v>NÃO</v>
      </c>
      <c r="H964" s="5" t="str">
        <f>IFERROR(__xludf.DUMMYFUNCTION("""COMPUTED_VALUE"""),"PAVIMENTADA")</f>
        <v>PAVIMENTADA</v>
      </c>
      <c r="I964" s="6" t="str">
        <f>IFERROR(__xludf.DUMMYFUNCTION("""COMPUTED_VALUE"""),"-9.617037")</f>
        <v>-9.617037</v>
      </c>
      <c r="J964" s="6" t="str">
        <f>IFERROR(__xludf.DUMMYFUNCTION("""COMPUTED_VALUE"""),"-35.755065")</f>
        <v>-35.755065</v>
      </c>
      <c r="K964" s="5" t="str">
        <f>IFERROR(__xludf.DUMMYFUNCTION("""COMPUTED_VALUE"""),"R. MARQUÊS DE ABRANTES, 969 ")</f>
        <v>R. MARQUÊS DE ABRANTES, 969 </v>
      </c>
      <c r="L964" s="5" t="str">
        <f>IFERROR(__xludf.DUMMYFUNCTION("""COMPUTED_VALUE"""),"LOCAL")</f>
        <v>LOCAL</v>
      </c>
      <c r="M964" s="5" t="str">
        <f>IFERROR(__xludf.DUMMYFUNCTION("""COMPUTED_VALUE"""),"CHÃ DE BEBEDOURO")</f>
        <v>CHÃ DE BEBEDOURO</v>
      </c>
      <c r="N964" s="5" t="str">
        <f>IFERROR(__xludf.DUMMYFUNCTION("""COMPUTED_VALUE"""),"CENTRO - BAIRRO")</f>
        <v>CENTRO - BAIRRO</v>
      </c>
      <c r="O964" s="5" t="str">
        <f>IFERROR(__xludf.DUMMYFUNCTION("""COMPUTED_VALUE"""),"EM FRENTE A CASA 1004")</f>
        <v>EM FRENTE A CASA 1004</v>
      </c>
      <c r="P964" s="5" t="str">
        <f>IFERROR(__xludf.DUMMYFUNCTION("""COMPUTED_VALUE"""),"PRIORIDADE BAIXA")</f>
        <v>PRIORIDADE BAIXA</v>
      </c>
      <c r="Q964" s="5" t="str">
        <f>IFERROR(__xludf.DUMMYFUNCTION("""COMPUTED_VALUE"""),"READEQUAÇÃO DE CALÇADA COM ACESSIBILIDADE E PINTURA DE BAÍA NO ASFALTO. ")</f>
        <v>READEQUAÇÃO DE CALÇADA COM ACESSIBILIDADE E PINTURA DE BAÍA NO ASFALTO. </v>
      </c>
      <c r="R964" s="5" t="str">
        <f>IFERROR(__xludf.DUMMYFUNCTION("""COMPUTED_VALUE"""),"NENHUMA DAS OPÇÕES")</f>
        <v>NENHUMA DAS OPÇÕES</v>
      </c>
      <c r="S964" s="5"/>
      <c r="T964" s="5"/>
      <c r="U964" s="5"/>
      <c r="V964" s="9" t="str">
        <f>IFERROR(__xludf.DUMMYFUNCTION("""COMPUTED_VALUE"""),"https://drive.google.com/uc?id=1fYal7FQByBeAWZIZC3iOf7SqtyLYxI7I")</f>
        <v>https://drive.google.com/uc?id=1fYal7FQByBeAWZIZC3iOf7SqtyLYxI7I</v>
      </c>
      <c r="W964" s="5" t="str">
        <f>IFERROR(__xludf.DUMMYFUNCTION("""COMPUTED_VALUE"""),"NÃO")</f>
        <v>NÃO</v>
      </c>
      <c r="X964" s="5" t="str">
        <f>IFERROR(__xludf.DUMMYFUNCTION("""COMPUTED_VALUE"""),"NÃO SE APLICA")</f>
        <v>NÃO SE APLICA</v>
      </c>
    </row>
    <row r="965" hidden="1">
      <c r="A965" s="5">
        <f>IFERROR(__xludf.DUMMYFUNCTION("""COMPUTED_VALUE"""),4.0)</f>
        <v>4</v>
      </c>
      <c r="B965" s="5" t="str">
        <f>IFERROR(__xludf.DUMMYFUNCTION("""COMPUTED_VALUE"""),"CB003")</f>
        <v>CB003</v>
      </c>
      <c r="C965" s="5" t="str">
        <f>IFERROR(__xludf.DUMMYFUNCTION("""COMPUTED_VALUE"""),"NÃO POSSUI")</f>
        <v>NÃO POSSUI</v>
      </c>
      <c r="D965" s="5" t="str">
        <f>IFERROR(__xludf.DUMMYFUNCTION("""COMPUTED_VALUE"""),"FIXADA EM POSTE")</f>
        <v>FIXADA EM POSTE</v>
      </c>
      <c r="E965" s="5" t="str">
        <f>IFERROR(__xludf.DUMMYFUNCTION("""COMPUTED_VALUE"""),"SEM BAIA")</f>
        <v>SEM BAIA</v>
      </c>
      <c r="F965" s="5" t="str">
        <f>IFERROR(__xludf.DUMMYFUNCTION("""COMPUTED_VALUE"""),"NÃO")</f>
        <v>NÃO</v>
      </c>
      <c r="G965" s="5" t="str">
        <f>IFERROR(__xludf.DUMMYFUNCTION("""COMPUTED_VALUE"""),"NÃO")</f>
        <v>NÃO</v>
      </c>
      <c r="H965" s="5" t="str">
        <f>IFERROR(__xludf.DUMMYFUNCTION("""COMPUTED_VALUE"""),"PAVIMENTADA")</f>
        <v>PAVIMENTADA</v>
      </c>
      <c r="I965" s="6" t="str">
        <f>IFERROR(__xludf.DUMMYFUNCTION("""COMPUTED_VALUE"""),"-9.618245")</f>
        <v>-9.618245</v>
      </c>
      <c r="J965" s="6" t="str">
        <f>IFERROR(__xludf.DUMMYFUNCTION("""COMPUTED_VALUE"""),"-35.752750")</f>
        <v>-35.752750</v>
      </c>
      <c r="K965" s="5" t="str">
        <f>IFERROR(__xludf.DUMMYFUNCTION("""COMPUTED_VALUE"""),"R. MARQUÊS DE ABRANTES, 505")</f>
        <v>R. MARQUÊS DE ABRANTES, 505</v>
      </c>
      <c r="L965" s="5" t="str">
        <f>IFERROR(__xludf.DUMMYFUNCTION("""COMPUTED_VALUE"""),"LOCAL")</f>
        <v>LOCAL</v>
      </c>
      <c r="M965" s="5" t="str">
        <f>IFERROR(__xludf.DUMMYFUNCTION("""COMPUTED_VALUE"""),"CHÃ DE BEBEDOURO")</f>
        <v>CHÃ DE BEBEDOURO</v>
      </c>
      <c r="N965" s="5" t="str">
        <f>IFERROR(__xludf.DUMMYFUNCTION("""COMPUTED_VALUE"""),"BAIRRO - CENTRO")</f>
        <v>BAIRRO - CENTRO</v>
      </c>
      <c r="O965" s="5" t="str">
        <f>IFERROR(__xludf.DUMMYFUNCTION("""COMPUTED_VALUE"""),"PRÓXIMO A CASA 505 A ")</f>
        <v>PRÓXIMO A CASA 505 A </v>
      </c>
      <c r="P965" s="5" t="str">
        <f>IFERROR(__xludf.DUMMYFUNCTION("""COMPUTED_VALUE"""),"PRIORIDADE BAIXA")</f>
        <v>PRIORIDADE BAIXA</v>
      </c>
      <c r="Q965" s="5" t="str">
        <f>IFERROR(__xludf.DUMMYFUNCTION("""COMPUTED_VALUE"""),"REALOCAR PLACA. READEQUAÇÃO DE CALÇADA COM ACESSIBILIDADE E PINTURA DE BAÍA NO ASFALTO
")</f>
        <v>REALOCAR PLACA. READEQUAÇÃO DE CALÇADA COM ACESSIBILIDADE E PINTURA DE BAÍA NO ASFALTO
</v>
      </c>
      <c r="R965" s="5" t="str">
        <f>IFERROR(__xludf.DUMMYFUNCTION("""COMPUTED_VALUE"""),"NENHUMA DAS OPÇÕES")</f>
        <v>NENHUMA DAS OPÇÕES</v>
      </c>
      <c r="S965" s="5"/>
      <c r="T965" s="5"/>
      <c r="U965" s="5"/>
      <c r="V965" s="9" t="str">
        <f>IFERROR(__xludf.DUMMYFUNCTION("""COMPUTED_VALUE"""),"https://drive.google.com/uc?id=1gzBa8BERmFhcHYrw-91Vqa9kO4nUYtcW")</f>
        <v>https://drive.google.com/uc?id=1gzBa8BERmFhcHYrw-91Vqa9kO4nUYtcW</v>
      </c>
      <c r="W965" s="5" t="str">
        <f>IFERROR(__xludf.DUMMYFUNCTION("""COMPUTED_VALUE"""),"NÃO")</f>
        <v>NÃO</v>
      </c>
      <c r="X965" s="5" t="str">
        <f>IFERROR(__xludf.DUMMYFUNCTION("""COMPUTED_VALUE"""),"NÃO SE APLICA")</f>
        <v>NÃO SE APLICA</v>
      </c>
    </row>
    <row r="966" hidden="1">
      <c r="A966" s="5">
        <f>IFERROR(__xludf.DUMMYFUNCTION("""COMPUTED_VALUE"""),4.0)</f>
        <v>4</v>
      </c>
      <c r="B966" s="5" t="str">
        <f>IFERROR(__xludf.DUMMYFUNCTION("""COMPUTED_VALUE"""),"CB004")</f>
        <v>CB004</v>
      </c>
      <c r="C966" s="5" t="str">
        <f>IFERROR(__xludf.DUMMYFUNCTION("""COMPUTED_VALUE"""),"NÃO POSSUI")</f>
        <v>NÃO POSSUI</v>
      </c>
      <c r="D966" s="5" t="str">
        <f>IFERROR(__xludf.DUMMYFUNCTION("""COMPUTED_VALUE"""),"FIXADA EM POSTE")</f>
        <v>FIXADA EM POSTE</v>
      </c>
      <c r="E966" s="5" t="str">
        <f>IFERROR(__xludf.DUMMYFUNCTION("""COMPUTED_VALUE"""),"SEM BAIA")</f>
        <v>SEM BAIA</v>
      </c>
      <c r="F966" s="5" t="str">
        <f>IFERROR(__xludf.DUMMYFUNCTION("""COMPUTED_VALUE"""),"NÃO")</f>
        <v>NÃO</v>
      </c>
      <c r="G966" s="5" t="str">
        <f>IFERROR(__xludf.DUMMYFUNCTION("""COMPUTED_VALUE"""),"NÃO")</f>
        <v>NÃO</v>
      </c>
      <c r="H966" s="5" t="str">
        <f>IFERROR(__xludf.DUMMYFUNCTION("""COMPUTED_VALUE"""),"PAVIMENTADA")</f>
        <v>PAVIMENTADA</v>
      </c>
      <c r="I966" s="6" t="str">
        <f>IFERROR(__xludf.DUMMYFUNCTION("""COMPUTED_VALUE"""),"-9.617122")</f>
        <v>-9.617122</v>
      </c>
      <c r="J966" s="6" t="str">
        <f>IFERROR(__xludf.DUMMYFUNCTION("""COMPUTED_VALUE"""),"-35.755087")</f>
        <v>-35.755087</v>
      </c>
      <c r="K966" s="5" t="str">
        <f>IFERROR(__xludf.DUMMYFUNCTION("""COMPUTED_VALUE"""),"R. MARQUÊS DE ABRANTES, 964")</f>
        <v>R. MARQUÊS DE ABRANTES, 964</v>
      </c>
      <c r="L966" s="5" t="str">
        <f>IFERROR(__xludf.DUMMYFUNCTION("""COMPUTED_VALUE"""),"LOCAL")</f>
        <v>LOCAL</v>
      </c>
      <c r="M966" s="5" t="str">
        <f>IFERROR(__xludf.DUMMYFUNCTION("""COMPUTED_VALUE"""),"CHÃ DE BEBEDOURO")</f>
        <v>CHÃ DE BEBEDOURO</v>
      </c>
      <c r="N966" s="5" t="str">
        <f>IFERROR(__xludf.DUMMYFUNCTION("""COMPUTED_VALUE"""),"BAIRRO - CENTRO")</f>
        <v>BAIRRO - CENTRO</v>
      </c>
      <c r="O966" s="5" t="str">
        <f>IFERROR(__xludf.DUMMYFUNCTION("""COMPUTED_VALUE"""),"EM FRENTE A CASA 964")</f>
        <v>EM FRENTE A CASA 964</v>
      </c>
      <c r="P966" s="5" t="str">
        <f>IFERROR(__xludf.DUMMYFUNCTION("""COMPUTED_VALUE"""),"PRIORIDADE BAIXA")</f>
        <v>PRIORIDADE BAIXA</v>
      </c>
      <c r="Q966" s="5" t="str">
        <f>IFERROR(__xludf.DUMMYFUNCTION("""COMPUTED_VALUE"""),"READEQUAÇÃO DE CALÇADA COM ACESSIBILIDADE E PINTURA DE BAÍA NO ASFALTO.")</f>
        <v>READEQUAÇÃO DE CALÇADA COM ACESSIBILIDADE E PINTURA DE BAÍA NO ASFALTO.</v>
      </c>
      <c r="R966" s="5" t="str">
        <f>IFERROR(__xludf.DUMMYFUNCTION("""COMPUTED_VALUE"""),"NENHUMA DAS OPÇÕES")</f>
        <v>NENHUMA DAS OPÇÕES</v>
      </c>
      <c r="S966" s="5"/>
      <c r="T966" s="5"/>
      <c r="U966" s="5"/>
      <c r="V966" s="9" t="str">
        <f>IFERROR(__xludf.DUMMYFUNCTION("""COMPUTED_VALUE"""),"https://drive.google.com/uc?id=10E5A1Dkyyp9Iiy90nW5_okUQUDYRKHvh")</f>
        <v>https://drive.google.com/uc?id=10E5A1Dkyyp9Iiy90nW5_okUQUDYRKHvh</v>
      </c>
      <c r="W966" s="5" t="str">
        <f>IFERROR(__xludf.DUMMYFUNCTION("""COMPUTED_VALUE"""),"NÃO")</f>
        <v>NÃO</v>
      </c>
      <c r="X966" s="5" t="str">
        <f>IFERROR(__xludf.DUMMYFUNCTION("""COMPUTED_VALUE"""),"NÃO SE APLICA")</f>
        <v>NÃO SE APLICA</v>
      </c>
    </row>
    <row r="967" hidden="1">
      <c r="A967" s="5">
        <f>IFERROR(__xludf.DUMMYFUNCTION("""COMPUTED_VALUE"""),4.0)</f>
        <v>4</v>
      </c>
      <c r="B967" s="5" t="str">
        <f>IFERROR(__xludf.DUMMYFUNCTION("""COMPUTED_VALUE"""),"CB005")</f>
        <v>CB005</v>
      </c>
      <c r="C967" s="5" t="str">
        <f>IFERROR(__xludf.DUMMYFUNCTION("""COMPUTED_VALUE"""),"NÃO POSSUI")</f>
        <v>NÃO POSSUI</v>
      </c>
      <c r="D967" s="5" t="str">
        <f>IFERROR(__xludf.DUMMYFUNCTION("""COMPUTED_VALUE"""),"COM SUPORTE")</f>
        <v>COM SUPORTE</v>
      </c>
      <c r="E967" s="5" t="str">
        <f>IFERROR(__xludf.DUMMYFUNCTION("""COMPUTED_VALUE"""),"SEM BAIA")</f>
        <v>SEM BAIA</v>
      </c>
      <c r="F967" s="5" t="str">
        <f>IFERROR(__xludf.DUMMYFUNCTION("""COMPUTED_VALUE"""),"NÃO")</f>
        <v>NÃO</v>
      </c>
      <c r="G967" s="5" t="str">
        <f>IFERROR(__xludf.DUMMYFUNCTION("""COMPUTED_VALUE"""),"NÃO")</f>
        <v>NÃO</v>
      </c>
      <c r="H967" s="5" t="str">
        <f>IFERROR(__xludf.DUMMYFUNCTION("""COMPUTED_VALUE"""),"PAVIMENTADA")</f>
        <v>PAVIMENTADA</v>
      </c>
      <c r="I967" s="6" t="str">
        <f>IFERROR(__xludf.DUMMYFUNCTION("""COMPUTED_VALUE"""),"-9.622217")</f>
        <v>-9.622217</v>
      </c>
      <c r="J967" s="6" t="str">
        <f>IFERROR(__xludf.DUMMYFUNCTION("""COMPUTED_VALUE"""),"-35.753485")</f>
        <v>-35.753485</v>
      </c>
      <c r="K967" s="5" t="str">
        <f>IFERROR(__xludf.DUMMYFUNCTION("""COMPUTED_VALUE"""),"R. DOUTOR OSWALDO CRUZ 120 ")</f>
        <v>R. DOUTOR OSWALDO CRUZ 120 </v>
      </c>
      <c r="L967" s="5" t="str">
        <f>IFERROR(__xludf.DUMMYFUNCTION("""COMPUTED_VALUE"""),"ARTERIAL ")</f>
        <v>ARTERIAL </v>
      </c>
      <c r="M967" s="5" t="str">
        <f>IFERROR(__xludf.DUMMYFUNCTION("""COMPUTED_VALUE"""),"CHÃ DE BEBEDOURO")</f>
        <v>CHÃ DE BEBEDOURO</v>
      </c>
      <c r="N967" s="5" t="str">
        <f>IFERROR(__xludf.DUMMYFUNCTION("""COMPUTED_VALUE"""),"CENTRO - BAIRRO")</f>
        <v>CENTRO - BAIRRO</v>
      </c>
      <c r="O967" s="5" t="str">
        <f>IFERROR(__xludf.DUMMYFUNCTION("""COMPUTED_VALUE"""),"EM FRENTE A CASA 120")</f>
        <v>EM FRENTE A CASA 120</v>
      </c>
      <c r="P967" s="5" t="str">
        <f>IFERROR(__xludf.DUMMYFUNCTION("""COMPUTED_VALUE"""),"PRIORIDADE BAIXA")</f>
        <v>PRIORIDADE BAIXA</v>
      </c>
      <c r="Q967" s="5" t="str">
        <f>IFERROR(__xludf.DUMMYFUNCTION("""COMPUTED_VALUE"""),"READEQUAÇÃO DE CALÇADA COM ACESSIBILIDADE E PINTURA DE BAÍA NO ASFALTO.")</f>
        <v>READEQUAÇÃO DE CALÇADA COM ACESSIBILIDADE E PINTURA DE BAÍA NO ASFALTO.</v>
      </c>
      <c r="R967" s="5" t="str">
        <f>IFERROR(__xludf.DUMMYFUNCTION("""COMPUTED_VALUE"""),"NENHUMA DAS OPÇÕES")</f>
        <v>NENHUMA DAS OPÇÕES</v>
      </c>
      <c r="S967" s="5"/>
      <c r="T967" s="5"/>
      <c r="U967" s="5"/>
      <c r="V967" s="9" t="str">
        <f>IFERROR(__xludf.DUMMYFUNCTION("""COMPUTED_VALUE"""),"https://drive.google.com/uc?id=1sMwi9jRM0HqzuXmbtqJ60pIk_OGJPyoe")</f>
        <v>https://drive.google.com/uc?id=1sMwi9jRM0HqzuXmbtqJ60pIk_OGJPyoe</v>
      </c>
      <c r="W967" s="5" t="str">
        <f>IFERROR(__xludf.DUMMYFUNCTION("""COMPUTED_VALUE"""),"NÃO")</f>
        <v>NÃO</v>
      </c>
      <c r="X967" s="5" t="str">
        <f>IFERROR(__xludf.DUMMYFUNCTION("""COMPUTED_VALUE"""),"NÃO SE APLICA")</f>
        <v>NÃO SE APLICA</v>
      </c>
    </row>
    <row r="968" hidden="1">
      <c r="A968" s="11">
        <f>IFERROR(__xludf.DUMMYFUNCTION("""COMPUTED_VALUE"""),4.0)</f>
        <v>4</v>
      </c>
      <c r="B968" s="5" t="str">
        <f>IFERROR(__xludf.DUMMYFUNCTION("""COMPUTED_VALUE"""),"CB006")</f>
        <v>CB006</v>
      </c>
      <c r="C968" s="5" t="str">
        <f>IFERROR(__xludf.DUMMYFUNCTION("""COMPUTED_VALUE"""),"NÃO POSSUI")</f>
        <v>NÃO POSSUI</v>
      </c>
      <c r="D968" s="5" t="str">
        <f>IFERROR(__xludf.DUMMYFUNCTION("""COMPUTED_VALUE"""),"FIXADA EM POSTE")</f>
        <v>FIXADA EM POSTE</v>
      </c>
      <c r="E968" s="5" t="str">
        <f>IFERROR(__xludf.DUMMYFUNCTION("""COMPUTED_VALUE"""),"SEM BAIA")</f>
        <v>SEM BAIA</v>
      </c>
      <c r="F968" s="5" t="str">
        <f>IFERROR(__xludf.DUMMYFUNCTION("""COMPUTED_VALUE"""),"NÃO")</f>
        <v>NÃO</v>
      </c>
      <c r="G968" s="5" t="str">
        <f>IFERROR(__xludf.DUMMYFUNCTION("""COMPUTED_VALUE"""),"NÃO")</f>
        <v>NÃO</v>
      </c>
      <c r="H968" s="5" t="str">
        <f>IFERROR(__xludf.DUMMYFUNCTION("""COMPUTED_VALUE"""),"PAVIMENTADA")</f>
        <v>PAVIMENTADA</v>
      </c>
      <c r="I968" s="6" t="str">
        <f>IFERROR(__xludf.DUMMYFUNCTION("""COMPUTED_VALUE"""),"-9.620912")</f>
        <v>-9.620912</v>
      </c>
      <c r="J968" s="6" t="str">
        <f>IFERROR(__xludf.DUMMYFUNCTION("""COMPUTED_VALUE"""),"-35.757348")</f>
        <v>-35.757348</v>
      </c>
      <c r="K968" s="5" t="str">
        <f>IFERROR(__xludf.DUMMYFUNCTION("""COMPUTED_VALUE"""),"R. DOUTOR OSWALDO CRUZ  ")</f>
        <v>R. DOUTOR OSWALDO CRUZ  </v>
      </c>
      <c r="L968" s="5" t="str">
        <f>IFERROR(__xludf.DUMMYFUNCTION("""COMPUTED_VALUE"""),"ARTERIAL ")</f>
        <v>ARTERIAL </v>
      </c>
      <c r="M968" s="5" t="str">
        <f>IFERROR(__xludf.DUMMYFUNCTION("""COMPUTED_VALUE"""),"CHÃ DE BEBEDOURO")</f>
        <v>CHÃ DE BEBEDOURO</v>
      </c>
      <c r="N968" s="5" t="str">
        <f>IFERROR(__xludf.DUMMYFUNCTION("""COMPUTED_VALUE"""),"BAIRRO - CENTRO")</f>
        <v>BAIRRO - CENTRO</v>
      </c>
      <c r="O968" s="5" t="str">
        <f>IFERROR(__xludf.DUMMYFUNCTION("""COMPUTED_VALUE"""),"STUDIO DESIGNER HAIR ")</f>
        <v>STUDIO DESIGNER HAIR </v>
      </c>
      <c r="P968" s="5" t="str">
        <f>IFERROR(__xludf.DUMMYFUNCTION("""COMPUTED_VALUE"""),"PRIORIDADE BAIXA")</f>
        <v>PRIORIDADE BAIXA</v>
      </c>
      <c r="Q968" s="5" t="str">
        <f>IFERROR(__xludf.DUMMYFUNCTION("""COMPUTED_VALUE"""),"RETIRAR PONTO DE LIXO DO LOCAL. READEQUAÇÃO DE CALÇADA COM ACESSIBILIDADE E PINTURA DE BAÍA NO ASFALTO.")</f>
        <v>RETIRAR PONTO DE LIXO DO LOCAL. READEQUAÇÃO DE CALÇADA COM ACESSIBILIDADE E PINTURA DE BAÍA NO ASFALTO.</v>
      </c>
      <c r="R968" s="5" t="str">
        <f>IFERROR(__xludf.DUMMYFUNCTION("""COMPUTED_VALUE"""),"IMPLANTAR ABRIGO")</f>
        <v>IMPLANTAR ABRIGO</v>
      </c>
      <c r="S968" s="5"/>
      <c r="T968" s="5"/>
      <c r="U968" s="5"/>
      <c r="V968" s="9" t="str">
        <f>IFERROR(__xludf.DUMMYFUNCTION("""COMPUTED_VALUE"""),"https://drive.google.com/uc?id=1ZbEJmDRHFpTC4ovJx4FAoTSbXjCWLO7x")</f>
        <v>https://drive.google.com/uc?id=1ZbEJmDRHFpTC4ovJx4FAoTSbXjCWLO7x</v>
      </c>
      <c r="W968" s="5" t="str">
        <f>IFERROR(__xludf.DUMMYFUNCTION("""COMPUTED_VALUE"""),"NÃO")</f>
        <v>NÃO</v>
      </c>
      <c r="X968" s="5" t="str">
        <f>IFERROR(__xludf.DUMMYFUNCTION("""COMPUTED_VALUE"""),"NÃO SE APLICA")</f>
        <v>NÃO SE APLICA</v>
      </c>
    </row>
    <row r="969">
      <c r="A969" s="5">
        <f>IFERROR(__xludf.DUMMYFUNCTION("""COMPUTED_VALUE"""),4.0)</f>
        <v>4</v>
      </c>
      <c r="B969" s="5" t="str">
        <f>IFERROR(__xludf.DUMMYFUNCTION("""COMPUTED_VALUE"""),"CB007")</f>
        <v>CB007</v>
      </c>
      <c r="C969" s="5" t="str">
        <f>IFERROR(__xludf.DUMMYFUNCTION("""COMPUTED_VALUE"""),"ABRIGO CONCRETO")</f>
        <v>ABRIGO CONCRETO</v>
      </c>
      <c r="D969" s="5" t="str">
        <f>IFERROR(__xludf.DUMMYFUNCTION("""COMPUTED_VALUE"""),"SEM PLACA")</f>
        <v>SEM PLACA</v>
      </c>
      <c r="E969" s="5" t="str">
        <f>IFERROR(__xludf.DUMMYFUNCTION("""COMPUTED_VALUE"""),"SEM BAIA")</f>
        <v>SEM BAIA</v>
      </c>
      <c r="F969" s="5" t="str">
        <f>IFERROR(__xludf.DUMMYFUNCTION("""COMPUTED_VALUE"""),"NÃO")</f>
        <v>NÃO</v>
      </c>
      <c r="G969" s="5" t="str">
        <f>IFERROR(__xludf.DUMMYFUNCTION("""COMPUTED_VALUE"""),"NÃO")</f>
        <v>NÃO</v>
      </c>
      <c r="H969" s="5" t="str">
        <f>IFERROR(__xludf.DUMMYFUNCTION("""COMPUTED_VALUE"""),"PAVIMENTADA")</f>
        <v>PAVIMENTADA</v>
      </c>
      <c r="I969" s="6" t="str">
        <f>IFERROR(__xludf.DUMMYFUNCTION("""COMPUTED_VALUE"""),"-9.622134")</f>
        <v>-9.622134</v>
      </c>
      <c r="J969" s="6" t="str">
        <f>IFERROR(__xludf.DUMMYFUNCTION("""COMPUTED_VALUE"""),"-35.754091")</f>
        <v>-35.754091</v>
      </c>
      <c r="K969" s="5" t="str">
        <f>IFERROR(__xludf.DUMMYFUNCTION("""COMPUTED_VALUE"""),"R. DOUTOR OSWALDO CRUZ  153")</f>
        <v>R. DOUTOR OSWALDO CRUZ  153</v>
      </c>
      <c r="L969" s="5" t="str">
        <f>IFERROR(__xludf.DUMMYFUNCTION("""COMPUTED_VALUE"""),"ARTERIAL ")</f>
        <v>ARTERIAL </v>
      </c>
      <c r="M969" s="5" t="str">
        <f>IFERROR(__xludf.DUMMYFUNCTION("""COMPUTED_VALUE"""),"CHÃ DE BEBEDOURO")</f>
        <v>CHÃ DE BEBEDOURO</v>
      </c>
      <c r="N969" s="5" t="str">
        <f>IFERROR(__xludf.DUMMYFUNCTION("""COMPUTED_VALUE"""),"BAIRRO - CENTRO")</f>
        <v>BAIRRO - CENTRO</v>
      </c>
      <c r="O969" s="5" t="str">
        <f>IFERROR(__xludf.DUMMYFUNCTION("""COMPUTED_VALUE"""),"EM FRENTE A ASSOCIAÇÃO DA CRIANÇA E DO ADOLECENTE DE CHÃ DO BEBEDOURO.")</f>
        <v>EM FRENTE A ASSOCIAÇÃO DA CRIANÇA E DO ADOLECENTE DE CHÃ DO BEBEDOURO.</v>
      </c>
      <c r="P969" s="5" t="str">
        <f>IFERROR(__xludf.DUMMYFUNCTION("""COMPUTED_VALUE"""),"PRIORIDADE BAIXA")</f>
        <v>PRIORIDADE BAIXA</v>
      </c>
      <c r="Q969" s="5" t="str">
        <f>IFERROR(__xludf.DUMMYFUNCTION("""COMPUTED_VALUE"""),"READEQUAÇÃO DE CALÇADA COM ACESSIBILIDADE E PINTURA DE BAÍA NO ASFALTO. MANUTENÇÃO DE PINTURA E LIMPEZA DA VEGETAÇÃO SELVAGEM.   ")</f>
        <v>READEQUAÇÃO DE CALÇADA COM ACESSIBILIDADE E PINTURA DE BAÍA NO ASFALTO. MANUTENÇÃO DE PINTURA E LIMPEZA DA VEGETAÇÃO SELVAGEM.   </v>
      </c>
      <c r="R969" s="5" t="str">
        <f>IFERROR(__xludf.DUMMYFUNCTION("""COMPUTED_VALUE"""),"SUBSTITUIR ABRIGO")</f>
        <v>SUBSTITUIR ABRIGO</v>
      </c>
      <c r="S969" s="5"/>
      <c r="T969" s="5"/>
      <c r="U969" s="5"/>
      <c r="V969" s="9" t="str">
        <f>IFERROR(__xludf.DUMMYFUNCTION("""COMPUTED_VALUE"""),"https://drive.google.com/uc?id=1boPXGgrNSyANfS62VjwPCgCjAVHMI67H")</f>
        <v>https://drive.google.com/uc?id=1boPXGgrNSyANfS62VjwPCgCjAVHMI67H</v>
      </c>
      <c r="W969" s="5" t="str">
        <f>IFERROR(__xludf.DUMMYFUNCTION("""COMPUTED_VALUE"""),"NÃO")</f>
        <v>NÃO</v>
      </c>
      <c r="X969" s="5" t="str">
        <f>IFERROR(__xludf.DUMMYFUNCTION("""COMPUTED_VALUE"""),"NÃO SE APLICA")</f>
        <v>NÃO SE APLICA</v>
      </c>
    </row>
    <row r="970">
      <c r="A970" s="5">
        <f>IFERROR(__xludf.DUMMYFUNCTION("""COMPUTED_VALUE"""),4.0)</f>
        <v>4</v>
      </c>
      <c r="B970" s="5" t="str">
        <f>IFERROR(__xludf.DUMMYFUNCTION("""COMPUTED_VALUE"""),"CB008")</f>
        <v>CB008</v>
      </c>
      <c r="C970" s="5" t="str">
        <f>IFERROR(__xludf.DUMMYFUNCTION("""COMPUTED_VALUE"""),"ABRIGO CONCRETO")</f>
        <v>ABRIGO CONCRETO</v>
      </c>
      <c r="D970" s="5" t="str">
        <f>IFERROR(__xludf.DUMMYFUNCTION("""COMPUTED_VALUE"""),"SEM PLACA")</f>
        <v>SEM PLACA</v>
      </c>
      <c r="E970" s="5" t="str">
        <f>IFERROR(__xludf.DUMMYFUNCTION("""COMPUTED_VALUE"""),"SEM BAIA")</f>
        <v>SEM BAIA</v>
      </c>
      <c r="F970" s="5" t="str">
        <f>IFERROR(__xludf.DUMMYFUNCTION("""COMPUTED_VALUE"""),"SIM")</f>
        <v>SIM</v>
      </c>
      <c r="G970" s="5" t="str">
        <f>IFERROR(__xludf.DUMMYFUNCTION("""COMPUTED_VALUE"""),"SIM")</f>
        <v>SIM</v>
      </c>
      <c r="H970" s="5" t="str">
        <f>IFERROR(__xludf.DUMMYFUNCTION("""COMPUTED_VALUE"""),"PAVIMENTADA")</f>
        <v>PAVIMENTADA</v>
      </c>
      <c r="I970" s="6" t="str">
        <f>IFERROR(__xludf.DUMMYFUNCTION("""COMPUTED_VALUE"""),"-9.619551")</f>
        <v>-9.619551</v>
      </c>
      <c r="J970" s="6" t="str">
        <f>IFERROR(__xludf.DUMMYFUNCTION("""COMPUTED_VALUE"""),"-35.760320")</f>
        <v>-35.760320</v>
      </c>
      <c r="K970" s="5" t="str">
        <f>IFERROR(__xludf.DUMMYFUNCTION("""COMPUTED_VALUE"""),"AV. JORGE MONTENEGRO DE BARROS 10530 52")</f>
        <v>AV. JORGE MONTENEGRO DE BARROS 10530 52</v>
      </c>
      <c r="L970" s="5" t="str">
        <f>IFERROR(__xludf.DUMMYFUNCTION("""COMPUTED_VALUE"""),"ARTERIAL ")</f>
        <v>ARTERIAL </v>
      </c>
      <c r="M970" s="5" t="str">
        <f>IFERROR(__xludf.DUMMYFUNCTION("""COMPUTED_VALUE"""),"CHÃ DE BEBEDOURO")</f>
        <v>CHÃ DE BEBEDOURO</v>
      </c>
      <c r="N970" s="5" t="str">
        <f>IFERROR(__xludf.DUMMYFUNCTION("""COMPUTED_VALUE"""),"BAIRRO - CENTRO")</f>
        <v>BAIRRO - CENTRO</v>
      </c>
      <c r="O970" s="5" t="str">
        <f>IFERROR(__xludf.DUMMYFUNCTION("""COMPUTED_VALUE"""),"OUTRO LADO DO SOPRABEM")</f>
        <v>OUTRO LADO DO SOPRABEM</v>
      </c>
      <c r="P970" s="5" t="str">
        <f>IFERROR(__xludf.DUMMYFUNCTION("""COMPUTED_VALUE"""),"PRIORIDADE BAIXA")</f>
        <v>PRIORIDADE BAIXA</v>
      </c>
      <c r="Q970" s="5" t="str">
        <f>IFERROR(__xludf.DUMMYFUNCTION("""COMPUTED_VALUE"""),"READEQUAÇÃO DE CALÇADA COM ACESSIBILIDADE E PINTURA DE BAÍA NO ASFALTO.")</f>
        <v>READEQUAÇÃO DE CALÇADA COM ACESSIBILIDADE E PINTURA DE BAÍA NO ASFALTO.</v>
      </c>
      <c r="R970" s="5" t="str">
        <f>IFERROR(__xludf.DUMMYFUNCTION("""COMPUTED_VALUE"""),"SUBSTITUIR ABRIGO")</f>
        <v>SUBSTITUIR ABRIGO</v>
      </c>
      <c r="S970" s="5"/>
      <c r="T970" s="5"/>
      <c r="U970" s="5"/>
      <c r="V970" s="9" t="str">
        <f>IFERROR(__xludf.DUMMYFUNCTION("""COMPUTED_VALUE"""),"https://drive.google.com/uc?id=1PhMyDhQ5ODoJnnPYbENztJSY-c47CLAN")</f>
        <v>https://drive.google.com/uc?id=1PhMyDhQ5ODoJnnPYbENztJSY-c47CLAN</v>
      </c>
      <c r="W970" s="5" t="str">
        <f>IFERROR(__xludf.DUMMYFUNCTION("""COMPUTED_VALUE"""),"NÃO")</f>
        <v>NÃO</v>
      </c>
      <c r="X970" s="5" t="str">
        <f>IFERROR(__xludf.DUMMYFUNCTION("""COMPUTED_VALUE"""),"NÃO SE APLICA")</f>
        <v>NÃO SE APLICA</v>
      </c>
    </row>
    <row r="971">
      <c r="A971" s="5">
        <f>IFERROR(__xludf.DUMMYFUNCTION("""COMPUTED_VALUE"""),4.0)</f>
        <v>4</v>
      </c>
      <c r="B971" s="5" t="str">
        <f>IFERROR(__xludf.DUMMYFUNCTION("""COMPUTED_VALUE"""),"CB009")</f>
        <v>CB009</v>
      </c>
      <c r="C971" s="5" t="str">
        <f>IFERROR(__xludf.DUMMYFUNCTION("""COMPUTED_VALUE"""),"ABRIGO CONCRETO")</f>
        <v>ABRIGO CONCRETO</v>
      </c>
      <c r="D971" s="5" t="str">
        <f>IFERROR(__xludf.DUMMYFUNCTION("""COMPUTED_VALUE"""),"SEM PLACA")</f>
        <v>SEM PLACA</v>
      </c>
      <c r="E971" s="5" t="str">
        <f>IFERROR(__xludf.DUMMYFUNCTION("""COMPUTED_VALUE"""),"SEM BAIA")</f>
        <v>SEM BAIA</v>
      </c>
      <c r="F971" s="5" t="str">
        <f>IFERROR(__xludf.DUMMYFUNCTION("""COMPUTED_VALUE"""),"SIM")</f>
        <v>SIM</v>
      </c>
      <c r="G971" s="5" t="str">
        <f>IFERROR(__xludf.DUMMYFUNCTION("""COMPUTED_VALUE"""),"NÃO")</f>
        <v>NÃO</v>
      </c>
      <c r="H971" s="5" t="str">
        <f>IFERROR(__xludf.DUMMYFUNCTION("""COMPUTED_VALUE"""),"PAVIMENTADA")</f>
        <v>PAVIMENTADA</v>
      </c>
      <c r="I971" s="6" t="str">
        <f>IFERROR(__xludf.DUMMYFUNCTION("""COMPUTED_VALUE"""),"-9.619340")</f>
        <v>-9.619340</v>
      </c>
      <c r="J971" s="6" t="str">
        <f>IFERROR(__xludf.DUMMYFUNCTION("""COMPUTED_VALUE"""),"-35.760553")</f>
        <v>-35.760553</v>
      </c>
      <c r="K971" s="5" t="str">
        <f>IFERROR(__xludf.DUMMYFUNCTION("""COMPUTED_VALUE"""),"RUA DOUTOR OSWALDO CRUZ")</f>
        <v>RUA DOUTOR OSWALDO CRUZ</v>
      </c>
      <c r="L971" s="5" t="str">
        <f>IFERROR(__xludf.DUMMYFUNCTION("""COMPUTED_VALUE"""),"ARTERIAL ")</f>
        <v>ARTERIAL </v>
      </c>
      <c r="M971" s="5" t="str">
        <f>IFERROR(__xludf.DUMMYFUNCTION("""COMPUTED_VALUE"""),"CHÃ DE BEBEDOURO")</f>
        <v>CHÃ DE BEBEDOURO</v>
      </c>
      <c r="N971" s="5" t="str">
        <f>IFERROR(__xludf.DUMMYFUNCTION("""COMPUTED_VALUE"""),"BAIRRO - CENTRO")</f>
        <v>BAIRRO - CENTRO</v>
      </c>
      <c r="O971" s="5" t="str">
        <f>IFERROR(__xludf.DUMMYFUNCTION("""COMPUTED_VALUE"""),"EM FRENTE O SOPRO BEM")</f>
        <v>EM FRENTE O SOPRO BEM</v>
      </c>
      <c r="P971" s="5" t="str">
        <f>IFERROR(__xludf.DUMMYFUNCTION("""COMPUTED_VALUE"""),"PRIORIDADE BAIXA")</f>
        <v>PRIORIDADE BAIXA</v>
      </c>
      <c r="Q971" s="5" t="str">
        <f>IFERROR(__xludf.DUMMYFUNCTION("""COMPUTED_VALUE"""),"READEQUAÇÃO DE CALÇADA COM ACESSIBILIDADE E PINTURA DE BAÍA NO ASFALTO. MANUTENÇÃO DO ABRIGO")</f>
        <v>READEQUAÇÃO DE CALÇADA COM ACESSIBILIDADE E PINTURA DE BAÍA NO ASFALTO. MANUTENÇÃO DO ABRIGO</v>
      </c>
      <c r="R971" s="5" t="str">
        <f>IFERROR(__xludf.DUMMYFUNCTION("""COMPUTED_VALUE"""),"SUBSTITUIR ABRIGO")</f>
        <v>SUBSTITUIR ABRIGO</v>
      </c>
      <c r="S971" s="5"/>
      <c r="T971" s="5"/>
      <c r="U971" s="5"/>
      <c r="V971" s="9" t="str">
        <f>IFERROR(__xludf.DUMMYFUNCTION("""COMPUTED_VALUE"""),"https://drive.google.com/uc?id=1H-exHSs_FHd1Lfw0cmQVRwlzrrevvHjw")</f>
        <v>https://drive.google.com/uc?id=1H-exHSs_FHd1Lfw0cmQVRwlzrrevvHjw</v>
      </c>
      <c r="W971" s="5" t="str">
        <f>IFERROR(__xludf.DUMMYFUNCTION("""COMPUTED_VALUE"""),"NÃO")</f>
        <v>NÃO</v>
      </c>
      <c r="X971" s="5" t="str">
        <f>IFERROR(__xludf.DUMMYFUNCTION("""COMPUTED_VALUE"""),"NÃO SE APLICA")</f>
        <v>NÃO SE APLICA</v>
      </c>
    </row>
    <row r="972" hidden="1">
      <c r="A972" s="5">
        <f>IFERROR(__xludf.DUMMYFUNCTION("""COMPUTED_VALUE"""),4.0)</f>
        <v>4</v>
      </c>
      <c r="B972" s="5" t="str">
        <f>IFERROR(__xludf.DUMMYFUNCTION("""COMPUTED_VALUE"""),"CB010")</f>
        <v>CB010</v>
      </c>
      <c r="C972" s="5" t="str">
        <f>IFERROR(__xludf.DUMMYFUNCTION("""COMPUTED_VALUE"""),"NÃO POSSUI")</f>
        <v>NÃO POSSUI</v>
      </c>
      <c r="D972" s="5" t="str">
        <f>IFERROR(__xludf.DUMMYFUNCTION("""COMPUTED_VALUE"""),"COM SUPORTE")</f>
        <v>COM SUPORTE</v>
      </c>
      <c r="E972" s="5" t="str">
        <f>IFERROR(__xludf.DUMMYFUNCTION("""COMPUTED_VALUE"""),"SEM BAIA")</f>
        <v>SEM BAIA</v>
      </c>
      <c r="F972" s="5" t="str">
        <f>IFERROR(__xludf.DUMMYFUNCTION("""COMPUTED_VALUE"""),"NÃO")</f>
        <v>NÃO</v>
      </c>
      <c r="G972" s="5" t="str">
        <f>IFERROR(__xludf.DUMMYFUNCTION("""COMPUTED_VALUE"""),"NÃO")</f>
        <v>NÃO</v>
      </c>
      <c r="H972" s="5" t="str">
        <f>IFERROR(__xludf.DUMMYFUNCTION("""COMPUTED_VALUE"""),"PAVIMENTADA")</f>
        <v>PAVIMENTADA</v>
      </c>
      <c r="I972" s="6" t="str">
        <f>IFERROR(__xludf.DUMMYFUNCTION("""COMPUTED_VALUE"""),"-9.621155")</f>
        <v>-9.621155</v>
      </c>
      <c r="J972" s="6" t="str">
        <f>IFERROR(__xludf.DUMMYFUNCTION("""COMPUTED_VALUE"""),"-35.756360")</f>
        <v>-35.756360</v>
      </c>
      <c r="K972" s="5" t="str">
        <f>IFERROR(__xludf.DUMMYFUNCTION("""COMPUTED_VALUE"""),"RUA DOUTOR OSWALDO CRUZ")</f>
        <v>RUA DOUTOR OSWALDO CRUZ</v>
      </c>
      <c r="L972" s="5" t="str">
        <f>IFERROR(__xludf.DUMMYFUNCTION("""COMPUTED_VALUE"""),"ARTERIAL ")</f>
        <v>ARTERIAL </v>
      </c>
      <c r="M972" s="5" t="str">
        <f>IFERROR(__xludf.DUMMYFUNCTION("""COMPUTED_VALUE"""),"CHÃ DE BEBEDOURO")</f>
        <v>CHÃ DE BEBEDOURO</v>
      </c>
      <c r="N972" s="5" t="str">
        <f>IFERROR(__xludf.DUMMYFUNCTION("""COMPUTED_VALUE"""),"BAIRRO - CENTRO")</f>
        <v>BAIRRO - CENTRO</v>
      </c>
      <c r="O972" s="5" t="str">
        <f>IFERROR(__xludf.DUMMYFUNCTION("""COMPUTED_VALUE"""),"PRÓXIMO A CASA 458")</f>
        <v>PRÓXIMO A CASA 458</v>
      </c>
      <c r="P972" s="5" t="str">
        <f>IFERROR(__xludf.DUMMYFUNCTION("""COMPUTED_VALUE"""),"PRIORIDADE BAIXA")</f>
        <v>PRIORIDADE BAIXA</v>
      </c>
      <c r="Q972" s="5" t="str">
        <f>IFERROR(__xludf.DUMMYFUNCTION("""COMPUTED_VALUE"""),"READEQUAÇÃO DE CALÇADA COM ACESSIBILIDADE E PINTURA DE BAÍA NO ASFALTO")</f>
        <v>READEQUAÇÃO DE CALÇADA COM ACESSIBILIDADE E PINTURA DE BAÍA NO ASFALTO</v>
      </c>
      <c r="R972" s="5" t="str">
        <f>IFERROR(__xludf.DUMMYFUNCTION("""COMPUTED_VALUE"""),"NENHUMA DAS OPÇÕES")</f>
        <v>NENHUMA DAS OPÇÕES</v>
      </c>
      <c r="S972" s="5"/>
      <c r="T972" s="5"/>
      <c r="U972" s="5"/>
      <c r="V972" s="9" t="str">
        <f>IFERROR(__xludf.DUMMYFUNCTION("""COMPUTED_VALUE"""),"https://drive.google.com/uc?id=1mJh2DC_hiPFooWddP85cN_HXDbKF6tmC")</f>
        <v>https://drive.google.com/uc?id=1mJh2DC_hiPFooWddP85cN_HXDbKF6tmC</v>
      </c>
      <c r="W972" s="5" t="str">
        <f>IFERROR(__xludf.DUMMYFUNCTION("""COMPUTED_VALUE"""),"NÃO")</f>
        <v>NÃO</v>
      </c>
      <c r="X972" s="5" t="str">
        <f>IFERROR(__xludf.DUMMYFUNCTION("""COMPUTED_VALUE"""),"NÃO SE APLICA")</f>
        <v>NÃO SE APLICA</v>
      </c>
    </row>
    <row r="973" hidden="1">
      <c r="A973" s="5">
        <f>IFERROR(__xludf.DUMMYFUNCTION("""COMPUTED_VALUE"""),4.0)</f>
        <v>4</v>
      </c>
      <c r="B973" s="5" t="str">
        <f>IFERROR(__xludf.DUMMYFUNCTION("""COMPUTED_VALUE"""),"CB011")</f>
        <v>CB011</v>
      </c>
      <c r="C973" s="5" t="str">
        <f>IFERROR(__xludf.DUMMYFUNCTION("""COMPUTED_VALUE"""),"NÃO POSSUI")</f>
        <v>NÃO POSSUI</v>
      </c>
      <c r="D973" s="5" t="str">
        <f>IFERROR(__xludf.DUMMYFUNCTION("""COMPUTED_VALUE"""),"COM SUPORTE")</f>
        <v>COM SUPORTE</v>
      </c>
      <c r="E973" s="5" t="str">
        <f>IFERROR(__xludf.DUMMYFUNCTION("""COMPUTED_VALUE"""),"SEM BAIA")</f>
        <v>SEM BAIA</v>
      </c>
      <c r="F973" s="5" t="str">
        <f>IFERROR(__xludf.DUMMYFUNCTION("""COMPUTED_VALUE"""),"NÃO")</f>
        <v>NÃO</v>
      </c>
      <c r="G973" s="5" t="str">
        <f>IFERROR(__xludf.DUMMYFUNCTION("""COMPUTED_VALUE"""),"NÃO")</f>
        <v>NÃO</v>
      </c>
      <c r="H973" s="5" t="str">
        <f>IFERROR(__xludf.DUMMYFUNCTION("""COMPUTED_VALUE"""),"PAVIMENTADA")</f>
        <v>PAVIMENTADA</v>
      </c>
      <c r="I973" s="6" t="str">
        <f>IFERROR(__xludf.DUMMYFUNCTION("""COMPUTED_VALUE"""),"-9.625135")</f>
        <v>-9.625135</v>
      </c>
      <c r="J973" s="6" t="str">
        <f>IFERROR(__xludf.DUMMYFUNCTION("""COMPUTED_VALUE"""),"-35.752067")</f>
        <v>-35.752067</v>
      </c>
      <c r="K973" s="5" t="str">
        <f>IFERROR(__xludf.DUMMYFUNCTION("""COMPUTED_VALUE"""),"RUA DOUTOR OSWALDO CRUZ")</f>
        <v>RUA DOUTOR OSWALDO CRUZ</v>
      </c>
      <c r="L973" s="5" t="str">
        <f>IFERROR(__xludf.DUMMYFUNCTION("""COMPUTED_VALUE"""),"ARTERIAL ")</f>
        <v>ARTERIAL </v>
      </c>
      <c r="M973" s="5" t="str">
        <f>IFERROR(__xludf.DUMMYFUNCTION("""COMPUTED_VALUE"""),"CHÃ DE BEBEDOURO")</f>
        <v>CHÃ DE BEBEDOURO</v>
      </c>
      <c r="N973" s="5" t="str">
        <f>IFERROR(__xludf.DUMMYFUNCTION("""COMPUTED_VALUE"""),"BAIRRO - CENTRO")</f>
        <v>BAIRRO - CENTRO</v>
      </c>
      <c r="O973" s="5" t="str">
        <f>IFERROR(__xludf.DUMMYFUNCTION("""COMPUTED_VALUE"""),"ANTES DA ESTAÇÃO FERROVIÁRIA BEBEDOURO")</f>
        <v>ANTES DA ESTAÇÃO FERROVIÁRIA BEBEDOURO</v>
      </c>
      <c r="P973" s="5" t="str">
        <f>IFERROR(__xludf.DUMMYFUNCTION("""COMPUTED_VALUE"""),"PRIORIDADE BAIXA")</f>
        <v>PRIORIDADE BAIXA</v>
      </c>
      <c r="Q973" s="5" t="str">
        <f>IFERROR(__xludf.DUMMYFUNCTION("""COMPUTED_VALUE"""),"READEQUAÇÃO DA CALÇADA E PINTURA DE BAÍA NO ASFALTO.")</f>
        <v>READEQUAÇÃO DA CALÇADA E PINTURA DE BAÍA NO ASFALTO.</v>
      </c>
      <c r="R973" s="5" t="str">
        <f>IFERROR(__xludf.DUMMYFUNCTION("""COMPUTED_VALUE"""),"NENHUMA DAS OPÇÕES")</f>
        <v>NENHUMA DAS OPÇÕES</v>
      </c>
      <c r="S973" s="5"/>
      <c r="T973" s="5"/>
      <c r="U973" s="5"/>
      <c r="V973" s="9" t="str">
        <f>IFERROR(__xludf.DUMMYFUNCTION("""COMPUTED_VALUE"""),"https://drive.google.com/uc?id=1I8iuC6FM8SErqFuYuDgLZeB1kBgdj9qc")</f>
        <v>https://drive.google.com/uc?id=1I8iuC6FM8SErqFuYuDgLZeB1kBgdj9qc</v>
      </c>
      <c r="W973" s="5" t="str">
        <f>IFERROR(__xludf.DUMMYFUNCTION("""COMPUTED_VALUE"""),"NÃO")</f>
        <v>NÃO</v>
      </c>
      <c r="X973" s="5" t="str">
        <f>IFERROR(__xludf.DUMMYFUNCTION("""COMPUTED_VALUE"""),"NÃO SE APLICA")</f>
        <v>NÃO SE APLICA</v>
      </c>
    </row>
    <row r="974">
      <c r="A974" s="5">
        <f>IFERROR(__xludf.DUMMYFUNCTION("IMPORTRANGE(""https://docs.google.com/spreadsheets/d/1zsUaGcapKI8nFhFHzkKqQm76kpV8QjqjUiktsuAdmUw/edit#gid=309183062"", ""MUTANGE!A3:X4"")"),4.0)</f>
        <v>4</v>
      </c>
      <c r="B974" s="5" t="str">
        <f>IFERROR(__xludf.DUMMYFUNCTION("""COMPUTED_VALUE"""),"MT001")</f>
        <v>MT001</v>
      </c>
      <c r="C974" s="5" t="str">
        <f>IFERROR(__xludf.DUMMYFUNCTION("""COMPUTED_VALUE"""),"ABRIGO CONCRETO")</f>
        <v>ABRIGO CONCRETO</v>
      </c>
      <c r="D974" s="5" t="str">
        <f>IFERROR(__xludf.DUMMYFUNCTION("""COMPUTED_VALUE"""),"SEM PLACA")</f>
        <v>SEM PLACA</v>
      </c>
      <c r="E974" s="5" t="str">
        <f>IFERROR(__xludf.DUMMYFUNCTION("""COMPUTED_VALUE"""),"SEM BAIA")</f>
        <v>SEM BAIA</v>
      </c>
      <c r="F974" s="5" t="str">
        <f>IFERROR(__xludf.DUMMYFUNCTION("""COMPUTED_VALUE"""),"NÃO")</f>
        <v>NÃO</v>
      </c>
      <c r="G974" s="5" t="str">
        <f>IFERROR(__xludf.DUMMYFUNCTION("""COMPUTED_VALUE"""),"NÃO")</f>
        <v>NÃO</v>
      </c>
      <c r="H974" s="5" t="str">
        <f>IFERROR(__xludf.DUMMYFUNCTION("""COMPUTED_VALUE"""),"PAVIMENTADA")</f>
        <v>PAVIMENTADA</v>
      </c>
      <c r="I974" s="5"/>
      <c r="J974" s="5"/>
      <c r="K974" s="5" t="str">
        <f>IFERROR(__xludf.DUMMYFUNCTION("""COMPUTED_VALUE"""),"AV. MAJOR CÍCERO DE GÓES MONTEIRO, S/N")</f>
        <v>AV. MAJOR CÍCERO DE GÓES MONTEIRO, S/N</v>
      </c>
      <c r="L974" s="5" t="str">
        <f>IFERROR(__xludf.DUMMYFUNCTION("""COMPUTED_VALUE"""),"ARTERIAL ")</f>
        <v>ARTERIAL </v>
      </c>
      <c r="M974" s="5" t="str">
        <f>IFERROR(__xludf.DUMMYFUNCTION("""COMPUTED_VALUE"""),"MUTANGE")</f>
        <v>MUTANGE</v>
      </c>
      <c r="N974" s="5" t="str">
        <f>IFERROR(__xludf.DUMMYFUNCTION("""COMPUTED_VALUE"""),"BAIRRO - CENTRO")</f>
        <v>BAIRRO - CENTRO</v>
      </c>
      <c r="O974" s="5" t="str">
        <f>IFERROR(__xludf.DUMMYFUNCTION("""COMPUTED_VALUE"""),"EM FRENTE AO PRÉDIO PRINCIPAL DA BRANSKEN")</f>
        <v>EM FRENTE AO PRÉDIO PRINCIPAL DA BRANSKEN</v>
      </c>
      <c r="P974" s="5" t="str">
        <f>IFERROR(__xludf.DUMMYFUNCTION("""COMPUTED_VALUE"""),"PRIORIDADE ALTA")</f>
        <v>PRIORIDADE ALTA</v>
      </c>
      <c r="Q974" s="5" t="str">
        <f>IFERROR(__xludf.DUMMYFUNCTION("""COMPUTED_VALUE"""),"RETIRAR ABRIGO DESATIVADO")</f>
        <v>RETIRAR ABRIGO DESATIVADO</v>
      </c>
      <c r="R974" s="5" t="str">
        <f>IFERROR(__xludf.DUMMYFUNCTION("""COMPUTED_VALUE"""),"NENHUMA DAS OPÇÕES")</f>
        <v>NENHUMA DAS OPÇÕES</v>
      </c>
      <c r="S974" s="5"/>
      <c r="T974" s="5"/>
      <c r="U974" s="5"/>
      <c r="V974" s="9" t="str">
        <f>IFERROR(__xludf.DUMMYFUNCTION("""COMPUTED_VALUE"""),"https://drive.google.com/uc?id=19_51Q16791uYhu0Dnu0pEXlwsP5tS_ge")</f>
        <v>https://drive.google.com/uc?id=19_51Q16791uYhu0Dnu0pEXlwsP5tS_ge</v>
      </c>
      <c r="W974" s="5" t="str">
        <f>IFERROR(__xludf.DUMMYFUNCTION("""COMPUTED_VALUE"""),"NÃO")</f>
        <v>NÃO</v>
      </c>
      <c r="X974" s="5" t="str">
        <f>IFERROR(__xludf.DUMMYFUNCTION("""COMPUTED_VALUE"""),"NÃO SE APLICA")</f>
        <v>NÃO SE APLICA</v>
      </c>
    </row>
    <row r="975">
      <c r="A975" s="5">
        <f>IFERROR(__xludf.DUMMYFUNCTION("""COMPUTED_VALUE"""),4.0)</f>
        <v>4</v>
      </c>
      <c r="B975" s="5" t="str">
        <f>IFERROR(__xludf.DUMMYFUNCTION("""COMPUTED_VALUE"""),"MT002")</f>
        <v>MT002</v>
      </c>
      <c r="C975" s="5" t="str">
        <f>IFERROR(__xludf.DUMMYFUNCTION("""COMPUTED_VALUE"""),"ABRIGO CONCRETO")</f>
        <v>ABRIGO CONCRETO</v>
      </c>
      <c r="D975" s="5" t="str">
        <f>IFERROR(__xludf.DUMMYFUNCTION("""COMPUTED_VALUE"""),"SEM PLACA")</f>
        <v>SEM PLACA</v>
      </c>
      <c r="E975" s="5" t="str">
        <f>IFERROR(__xludf.DUMMYFUNCTION("""COMPUTED_VALUE"""),"SEM BAIA")</f>
        <v>SEM BAIA</v>
      </c>
      <c r="F975" s="5" t="str">
        <f>IFERROR(__xludf.DUMMYFUNCTION("""COMPUTED_VALUE"""),"NÃO")</f>
        <v>NÃO</v>
      </c>
      <c r="G975" s="5" t="str">
        <f>IFERROR(__xludf.DUMMYFUNCTION("""COMPUTED_VALUE"""),"NÃO")</f>
        <v>NÃO</v>
      </c>
      <c r="H975" s="5" t="str">
        <f>IFERROR(__xludf.DUMMYFUNCTION("""COMPUTED_VALUE"""),"PAVIMENTADA")</f>
        <v>PAVIMENTADA</v>
      </c>
      <c r="I975" s="5"/>
      <c r="J975" s="5"/>
      <c r="K975" s="5" t="str">
        <f>IFERROR(__xludf.DUMMYFUNCTION("""COMPUTED_VALUE"""),"AV. MAJOR CÍCERO DE GÓES MONTEIRO, S/N")</f>
        <v>AV. MAJOR CÍCERO DE GÓES MONTEIRO, S/N</v>
      </c>
      <c r="L975" s="5" t="str">
        <f>IFERROR(__xludf.DUMMYFUNCTION("""COMPUTED_VALUE"""),"ARTERIAL ")</f>
        <v>ARTERIAL </v>
      </c>
      <c r="M975" s="5" t="str">
        <f>IFERROR(__xludf.DUMMYFUNCTION("""COMPUTED_VALUE"""),"MUTANGE")</f>
        <v>MUTANGE</v>
      </c>
      <c r="N975" s="5" t="str">
        <f>IFERROR(__xludf.DUMMYFUNCTION("""COMPUTED_VALUE"""),"BAIRRO - CENTRO")</f>
        <v>BAIRRO - CENTRO</v>
      </c>
      <c r="O975" s="5" t="str">
        <f>IFERROR(__xludf.DUMMYFUNCTION("""COMPUTED_VALUE"""),"EM FRENTE AO IGREJA DO SÉTIMO DIA")</f>
        <v>EM FRENTE AO IGREJA DO SÉTIMO DIA</v>
      </c>
      <c r="P975" s="5" t="str">
        <f>IFERROR(__xludf.DUMMYFUNCTION("""COMPUTED_VALUE"""),"PRIORIDADE ALTA")</f>
        <v>PRIORIDADE ALTA</v>
      </c>
      <c r="Q975" s="5" t="str">
        <f>IFERROR(__xludf.DUMMYFUNCTION("""COMPUTED_VALUE"""),"RETIRAR ABRIGO DESATIVADO")</f>
        <v>RETIRAR ABRIGO DESATIVADO</v>
      </c>
      <c r="R975" s="5" t="str">
        <f>IFERROR(__xludf.DUMMYFUNCTION("""COMPUTED_VALUE"""),"NENHUMA DAS OPÇÕES")</f>
        <v>NENHUMA DAS OPÇÕES</v>
      </c>
      <c r="S975" s="5"/>
      <c r="T975" s="5"/>
      <c r="U975" s="5"/>
      <c r="V975" s="9" t="str">
        <f>IFERROR(__xludf.DUMMYFUNCTION("""COMPUTED_VALUE"""),"https://drive.google.com/uc?id=1uTDEQXY6i6G80HEldbSPPxvg4x59R3Lo")</f>
        <v>https://drive.google.com/uc?id=1uTDEQXY6i6G80HEldbSPPxvg4x59R3Lo</v>
      </c>
      <c r="W975" s="5" t="str">
        <f>IFERROR(__xludf.DUMMYFUNCTION("""COMPUTED_VALUE"""),"NÃO")</f>
        <v>NÃO</v>
      </c>
      <c r="X975" s="5" t="str">
        <f>IFERROR(__xludf.DUMMYFUNCTION("""COMPUTED_VALUE"""),"NÃO SE APLICA")</f>
        <v>NÃO SE APLICA</v>
      </c>
    </row>
    <row r="976">
      <c r="A976" s="5">
        <f>IFERROR(__xludf.DUMMYFUNCTION("IMPORTRANGE(""https://docs.google.com/spreadsheets/d/1zsUaGcapKI8nFhFHzkKqQm76kpV8QjqjUiktsuAdmUw/edit#gid=868157492"", ""FERNÃO VELHO!A3:X16"")"),4.0)</f>
        <v>4</v>
      </c>
      <c r="B976" s="5" t="str">
        <f>IFERROR(__xludf.DUMMYFUNCTION("""COMPUTED_VALUE"""),"FV001")</f>
        <v>FV001</v>
      </c>
      <c r="C976" s="5" t="str">
        <f>IFERROR(__xludf.DUMMYFUNCTION("""COMPUTED_VALUE"""),"ABRIGO CONCRETO")</f>
        <v>ABRIGO CONCRETO</v>
      </c>
      <c r="D976" s="5" t="str">
        <f>IFERROR(__xludf.DUMMYFUNCTION("""COMPUTED_VALUE"""),"SEM PLACA")</f>
        <v>SEM PLACA</v>
      </c>
      <c r="E976" s="5" t="str">
        <f>IFERROR(__xludf.DUMMYFUNCTION("""COMPUTED_VALUE"""),"SEM BAIA")</f>
        <v>SEM BAIA</v>
      </c>
      <c r="F976" s="5" t="str">
        <f>IFERROR(__xludf.DUMMYFUNCTION("""COMPUTED_VALUE"""),"NÃO")</f>
        <v>NÃO</v>
      </c>
      <c r="G976" s="5" t="str">
        <f>IFERROR(__xludf.DUMMYFUNCTION("""COMPUTED_VALUE"""),"NÃO")</f>
        <v>NÃO</v>
      </c>
      <c r="H976" s="5" t="str">
        <f>IFERROR(__xludf.DUMMYFUNCTION("""COMPUTED_VALUE"""),"PAVIMENTADA COM AVARIAS")</f>
        <v>PAVIMENTADA COM AVARIAS</v>
      </c>
      <c r="I976" s="6" t="str">
        <f>IFERROR(__xludf.DUMMYFUNCTION("""COMPUTED_VALUE"""),"-9.592039")</f>
        <v>-9.592039</v>
      </c>
      <c r="J976" s="6" t="str">
        <f>IFERROR(__xludf.DUMMYFUNCTION("""COMPUTED_VALUE"""),"-35.778906")</f>
        <v>-35.778906</v>
      </c>
      <c r="K976" s="5" t="str">
        <f>IFERROR(__xludf.DUMMYFUNCTION("""COMPUTED_VALUE"""),"ESTRADA DA GOIABEIRA")</f>
        <v>ESTRADA DA GOIABEIRA</v>
      </c>
      <c r="L976" s="5" t="str">
        <f>IFERROR(__xludf.DUMMYFUNCTION("""COMPUTED_VALUE"""),"LOCAL")</f>
        <v>LOCAL</v>
      </c>
      <c r="M976" s="5" t="str">
        <f>IFERROR(__xludf.DUMMYFUNCTION("""COMPUTED_VALUE"""),"FERNÃO VELHO ")</f>
        <v>FERNÃO VELHO </v>
      </c>
      <c r="N976" s="5" t="str">
        <f>IFERROR(__xludf.DUMMYFUNCTION("""COMPUTED_VALUE"""),"BAIRRO - CENTRO")</f>
        <v>BAIRRO - CENTRO</v>
      </c>
      <c r="O976" s="5" t="str">
        <f>IFERROR(__xludf.DUMMYFUNCTION("""COMPUTED_VALUE"""),"PRÓXIMO A PRIMEIRA ESQUINA")</f>
        <v>PRÓXIMO A PRIMEIRA ESQUINA</v>
      </c>
      <c r="P976" s="5" t="str">
        <f>IFERROR(__xludf.DUMMYFUNCTION("""COMPUTED_VALUE"""),"PRIORIDADE BAIXA")</f>
        <v>PRIORIDADE BAIXA</v>
      </c>
      <c r="Q976" s="5" t="str">
        <f>IFERROR(__xludf.DUMMYFUNCTION("""COMPUTED_VALUE"""),"READEQUAÇÃO DE CALÇADA COM ACESSIBILIDADE. PINTURA DE BAIA NO ASFALTO.")</f>
        <v>READEQUAÇÃO DE CALÇADA COM ACESSIBILIDADE. PINTURA DE BAIA NO ASFALTO.</v>
      </c>
      <c r="R976" s="5" t="str">
        <f>IFERROR(__xludf.DUMMYFUNCTION("""COMPUTED_VALUE"""),"SUBSTITUIR ABRIGO")</f>
        <v>SUBSTITUIR ABRIGO</v>
      </c>
      <c r="S976" s="7">
        <f>IFERROR(__xludf.DUMMYFUNCTION("""COMPUTED_VALUE"""),44835.0)</f>
        <v>44835</v>
      </c>
      <c r="T976" s="5"/>
      <c r="U976" s="5"/>
      <c r="V976" s="9" t="str">
        <f>IFERROR(__xludf.DUMMYFUNCTION("""COMPUTED_VALUE"""),"https://drive.google.com/uc?id=1BUNxJkAIkugAvEfvP3utS8_-qIuHN4dq")</f>
        <v>https://drive.google.com/uc?id=1BUNxJkAIkugAvEfvP3utS8_-qIuHN4dq</v>
      </c>
      <c r="W976" s="5" t="str">
        <f>IFERROR(__xludf.DUMMYFUNCTION("""COMPUTED_VALUE"""),"NÃO")</f>
        <v>NÃO</v>
      </c>
      <c r="X976" s="5" t="str">
        <f>IFERROR(__xludf.DUMMYFUNCTION("""COMPUTED_VALUE"""),"NÃO SE APLICA")</f>
        <v>NÃO SE APLICA</v>
      </c>
    </row>
    <row r="977">
      <c r="A977" s="5">
        <f>IFERROR(__xludf.DUMMYFUNCTION("""COMPUTED_VALUE"""),4.0)</f>
        <v>4</v>
      </c>
      <c r="B977" s="5" t="str">
        <f>IFERROR(__xludf.DUMMYFUNCTION("""COMPUTED_VALUE"""),"FV002")</f>
        <v>FV002</v>
      </c>
      <c r="C977" s="5" t="str">
        <f>IFERROR(__xludf.DUMMYFUNCTION("""COMPUTED_VALUE"""),"ABRIGO CONCRETO")</f>
        <v>ABRIGO CONCRETO</v>
      </c>
      <c r="D977" s="5" t="str">
        <f>IFERROR(__xludf.DUMMYFUNCTION("""COMPUTED_VALUE"""),"SEM PLACA")</f>
        <v>SEM PLACA</v>
      </c>
      <c r="E977" s="5" t="str">
        <f>IFERROR(__xludf.DUMMYFUNCTION("""COMPUTED_VALUE"""),"SEM BAIA")</f>
        <v>SEM BAIA</v>
      </c>
      <c r="F977" s="5" t="str">
        <f>IFERROR(__xludf.DUMMYFUNCTION("""COMPUTED_VALUE"""),"NÃO")</f>
        <v>NÃO</v>
      </c>
      <c r="G977" s="5" t="str">
        <f>IFERROR(__xludf.DUMMYFUNCTION("""COMPUTED_VALUE"""),"NÃO")</f>
        <v>NÃO</v>
      </c>
      <c r="H977" s="5" t="str">
        <f>IFERROR(__xludf.DUMMYFUNCTION("""COMPUTED_VALUE"""),"NÃO PAVIMENTADA")</f>
        <v>NÃO PAVIMENTADA</v>
      </c>
      <c r="I977" s="6" t="str">
        <f>IFERROR(__xludf.DUMMYFUNCTION("""COMPUTED_VALUE"""),"-9.591268")</f>
        <v>-9.591268</v>
      </c>
      <c r="J977" s="6" t="str">
        <f>IFERROR(__xludf.DUMMYFUNCTION("""COMPUTED_VALUE"""),"-35.781345")</f>
        <v>-35.781345</v>
      </c>
      <c r="K977" s="5" t="str">
        <f>IFERROR(__xludf.DUMMYFUNCTION("""COMPUTED_VALUE"""),"ESTRADA DA GOIABEIRA")</f>
        <v>ESTRADA DA GOIABEIRA</v>
      </c>
      <c r="L977" s="5" t="str">
        <f>IFERROR(__xludf.DUMMYFUNCTION("""COMPUTED_VALUE"""),"LOCAL")</f>
        <v>LOCAL</v>
      </c>
      <c r="M977" s="5" t="str">
        <f>IFERROR(__xludf.DUMMYFUNCTION("""COMPUTED_VALUE"""),"FERNÃO VELHO ")</f>
        <v>FERNÃO VELHO </v>
      </c>
      <c r="N977" s="5" t="str">
        <f>IFERROR(__xludf.DUMMYFUNCTION("""COMPUTED_VALUE"""),"BAIRRO - CENTRO")</f>
        <v>BAIRRO - CENTRO</v>
      </c>
      <c r="O977" s="5" t="str">
        <f>IFERROR(__xludf.DUMMYFUNCTION("""COMPUTED_VALUE"""),"AO LADO DA ENTRADA DA RUA BELA VISTA ")</f>
        <v>AO LADO DA ENTRADA DA RUA BELA VISTA </v>
      </c>
      <c r="P977" s="5" t="str">
        <f>IFERROR(__xludf.DUMMYFUNCTION("""COMPUTED_VALUE"""),"PRIORIDADE BAIXA")</f>
        <v>PRIORIDADE BAIXA</v>
      </c>
      <c r="Q977" s="5" t="str">
        <f>IFERROR(__xludf.DUMMYFUNCTION("""COMPUTED_VALUE"""),"READEQUAÇÃO DE CALÇADA COM ACESSIBILIDADE. PINTURA DE BAIA NO ASFALTO.")</f>
        <v>READEQUAÇÃO DE CALÇADA COM ACESSIBILIDADE. PINTURA DE BAIA NO ASFALTO.</v>
      </c>
      <c r="R977" s="5" t="str">
        <f>IFERROR(__xludf.DUMMYFUNCTION("""COMPUTED_VALUE"""),"SUBSTITUIR ABRIGO")</f>
        <v>SUBSTITUIR ABRIGO</v>
      </c>
      <c r="S977" s="7">
        <f>IFERROR(__xludf.DUMMYFUNCTION("""COMPUTED_VALUE"""),44836.0)</f>
        <v>44836</v>
      </c>
      <c r="T977" s="5"/>
      <c r="U977" s="5"/>
      <c r="V977" s="9" t="str">
        <f>IFERROR(__xludf.DUMMYFUNCTION("""COMPUTED_VALUE"""),"https://drive.google.com/uc?id=1Q-RGT3CIKkgaq5D3Hmf0vNKLyA_JEnI7")</f>
        <v>https://drive.google.com/uc?id=1Q-RGT3CIKkgaq5D3Hmf0vNKLyA_JEnI7</v>
      </c>
      <c r="W977" s="5" t="str">
        <f>IFERROR(__xludf.DUMMYFUNCTION("""COMPUTED_VALUE"""),"NÃO")</f>
        <v>NÃO</v>
      </c>
      <c r="X977" s="5" t="str">
        <f>IFERROR(__xludf.DUMMYFUNCTION("""COMPUTED_VALUE"""),"NÃO SE APLICA")</f>
        <v>NÃO SE APLICA</v>
      </c>
    </row>
    <row r="978" hidden="1">
      <c r="A978" s="5">
        <f>IFERROR(__xludf.DUMMYFUNCTION("""COMPUTED_VALUE"""),4.0)</f>
        <v>4</v>
      </c>
      <c r="B978" s="5" t="str">
        <f>IFERROR(__xludf.DUMMYFUNCTION("""COMPUTED_VALUE"""),"FV003")</f>
        <v>FV003</v>
      </c>
      <c r="C978" s="5" t="str">
        <f>IFERROR(__xludf.DUMMYFUNCTION("""COMPUTED_VALUE"""),"NÃO POSSUI")</f>
        <v>NÃO POSSUI</v>
      </c>
      <c r="D978" s="5" t="str">
        <f>IFERROR(__xludf.DUMMYFUNCTION("""COMPUTED_VALUE"""),"COM SUPORTE")</f>
        <v>COM SUPORTE</v>
      </c>
      <c r="E978" s="5" t="str">
        <f>IFERROR(__xludf.DUMMYFUNCTION("""COMPUTED_VALUE"""),"SEM BAIA")</f>
        <v>SEM BAIA</v>
      </c>
      <c r="F978" s="5" t="str">
        <f>IFERROR(__xludf.DUMMYFUNCTION("""COMPUTED_VALUE"""),"NÃO")</f>
        <v>NÃO</v>
      </c>
      <c r="G978" s="5" t="str">
        <f>IFERROR(__xludf.DUMMYFUNCTION("""COMPUTED_VALUE"""),"NÃO")</f>
        <v>NÃO</v>
      </c>
      <c r="H978" s="5" t="str">
        <f>IFERROR(__xludf.DUMMYFUNCTION("""COMPUTED_VALUE"""),"NÃO PAVIMENTADA")</f>
        <v>NÃO PAVIMENTADA</v>
      </c>
      <c r="I978" s="6" t="str">
        <f>IFERROR(__xludf.DUMMYFUNCTION("""COMPUTED_VALUE"""),"-9.591355")</f>
        <v>-9.591355</v>
      </c>
      <c r="J978" s="6" t="str">
        <f>IFERROR(__xludf.DUMMYFUNCTION("""COMPUTED_VALUE"""),"-35.781222")</f>
        <v>-35.781222</v>
      </c>
      <c r="K978" s="5" t="str">
        <f>IFERROR(__xludf.DUMMYFUNCTION("""COMPUTED_VALUE"""),"ESTRADA DA GOIABEIRA")</f>
        <v>ESTRADA DA GOIABEIRA</v>
      </c>
      <c r="L978" s="5" t="str">
        <f>IFERROR(__xludf.DUMMYFUNCTION("""COMPUTED_VALUE"""),"LOCAL")</f>
        <v>LOCAL</v>
      </c>
      <c r="M978" s="5" t="str">
        <f>IFERROR(__xludf.DUMMYFUNCTION("""COMPUTED_VALUE"""),"FERNÃO VELHO ")</f>
        <v>FERNÃO VELHO </v>
      </c>
      <c r="N978" s="5" t="str">
        <f>IFERROR(__xludf.DUMMYFUNCTION("""COMPUTED_VALUE"""),"CENTRO - BAIRRO")</f>
        <v>CENTRO - BAIRRO</v>
      </c>
      <c r="O978" s="5" t="str">
        <f>IFERROR(__xludf.DUMMYFUNCTION("""COMPUTED_VALUE"""),"EM FRENTE AO ABRIGO DE CONCRETO.")</f>
        <v>EM FRENTE AO ABRIGO DE CONCRETO.</v>
      </c>
      <c r="P978" s="5" t="str">
        <f>IFERROR(__xludf.DUMMYFUNCTION("""COMPUTED_VALUE"""),"PRIORIDADE BAIXA")</f>
        <v>PRIORIDADE BAIXA</v>
      </c>
      <c r="Q978" s="5" t="str">
        <f>IFERROR(__xludf.DUMMYFUNCTION("""COMPUTED_VALUE"""),"READEQUAÇÃO DE CALÇADA COM ACESSIBILIDADE. PINTURA DE BAIA NO ASFALTO.")</f>
        <v>READEQUAÇÃO DE CALÇADA COM ACESSIBILIDADE. PINTURA DE BAIA NO ASFALTO.</v>
      </c>
      <c r="R978" s="5" t="str">
        <f>IFERROR(__xludf.DUMMYFUNCTION("""COMPUTED_VALUE"""),"IMPLANTAR ABRIGO")</f>
        <v>IMPLANTAR ABRIGO</v>
      </c>
      <c r="S978" s="7">
        <f>IFERROR(__xludf.DUMMYFUNCTION("""COMPUTED_VALUE"""),44837.0)</f>
        <v>44837</v>
      </c>
      <c r="T978" s="5"/>
      <c r="U978" s="5"/>
      <c r="V978" s="9" t="str">
        <f>IFERROR(__xludf.DUMMYFUNCTION("""COMPUTED_VALUE"""),"https://drive.google.com/uc?id=1XLjpuzSGnbnz21fwfHQFv5kBS-OtViyi")</f>
        <v>https://drive.google.com/uc?id=1XLjpuzSGnbnz21fwfHQFv5kBS-OtViyi</v>
      </c>
      <c r="W978" s="5" t="str">
        <f>IFERROR(__xludf.DUMMYFUNCTION("""COMPUTED_VALUE"""),"NÃO")</f>
        <v>NÃO</v>
      </c>
      <c r="X978" s="5" t="str">
        <f>IFERROR(__xludf.DUMMYFUNCTION("""COMPUTED_VALUE"""),"NÃO SE APLICA")</f>
        <v>NÃO SE APLICA</v>
      </c>
    </row>
    <row r="979" hidden="1">
      <c r="A979" s="5">
        <f>IFERROR(__xludf.DUMMYFUNCTION("""COMPUTED_VALUE"""),4.0)</f>
        <v>4</v>
      </c>
      <c r="B979" s="5" t="str">
        <f>IFERROR(__xludf.DUMMYFUNCTION("""COMPUTED_VALUE"""),"FV004")</f>
        <v>FV004</v>
      </c>
      <c r="C979" s="5" t="str">
        <f>IFERROR(__xludf.DUMMYFUNCTION("""COMPUTED_VALUE"""),"NÃO POSSUI")</f>
        <v>NÃO POSSUI</v>
      </c>
      <c r="D979" s="5" t="str">
        <f>IFERROR(__xludf.DUMMYFUNCTION("""COMPUTED_VALUE"""),"COM SUPORTE")</f>
        <v>COM SUPORTE</v>
      </c>
      <c r="E979" s="5" t="str">
        <f>IFERROR(__xludf.DUMMYFUNCTION("""COMPUTED_VALUE"""),"SEM BAIA")</f>
        <v>SEM BAIA</v>
      </c>
      <c r="F979" s="5" t="str">
        <f>IFERROR(__xludf.DUMMYFUNCTION("""COMPUTED_VALUE"""),"NÃO")</f>
        <v>NÃO</v>
      </c>
      <c r="G979" s="5" t="str">
        <f>IFERROR(__xludf.DUMMYFUNCTION("""COMPUTED_VALUE"""),"NÃO")</f>
        <v>NÃO</v>
      </c>
      <c r="H979" s="5" t="str">
        <f>IFERROR(__xludf.DUMMYFUNCTION("""COMPUTED_VALUE"""),"PAVIMENTADA")</f>
        <v>PAVIMENTADA</v>
      </c>
      <c r="I979" s="6" t="str">
        <f>IFERROR(__xludf.DUMMYFUNCTION("""COMPUTED_VALUE"""),"-9.590490")</f>
        <v>-9.590490</v>
      </c>
      <c r="J979" s="6" t="str">
        <f>IFERROR(__xludf.DUMMYFUNCTION("""COMPUTED_VALUE"""),"-35.786172")</f>
        <v>-35.786172</v>
      </c>
      <c r="K979" s="5" t="str">
        <f>IFERROR(__xludf.DUMMYFUNCTION("""COMPUTED_VALUE"""),"RUA DA PRAIA")</f>
        <v>RUA DA PRAIA</v>
      </c>
      <c r="L979" s="5" t="str">
        <f>IFERROR(__xludf.DUMMYFUNCTION("""COMPUTED_VALUE"""),"LOCAL")</f>
        <v>LOCAL</v>
      </c>
      <c r="M979" s="5" t="str">
        <f>IFERROR(__xludf.DUMMYFUNCTION("""COMPUTED_VALUE"""),"FERNÃO VELHO ")</f>
        <v>FERNÃO VELHO </v>
      </c>
      <c r="N979" s="5" t="str">
        <f>IFERROR(__xludf.DUMMYFUNCTION("""COMPUTED_VALUE"""),"BAIRRO - CENTRO")</f>
        <v>BAIRRO - CENTRO</v>
      </c>
      <c r="O979" s="5" t="str">
        <f>IFERROR(__xludf.DUMMYFUNCTION("""COMPUTED_VALUE"""),"PRÓXIMO A ESTAÇÃO DE TREM ")</f>
        <v>PRÓXIMO A ESTAÇÃO DE TREM </v>
      </c>
      <c r="P979" s="5" t="str">
        <f>IFERROR(__xludf.DUMMYFUNCTION("""COMPUTED_VALUE"""),"PRIORIDADE BAIXA")</f>
        <v>PRIORIDADE BAIXA</v>
      </c>
      <c r="Q979" s="5" t="str">
        <f>IFERROR(__xludf.DUMMYFUNCTION("""COMPUTED_VALUE"""),"READEQUAÇÃO DE CALÇADA COM ACESSIBILIDADE. PINTURA DE BAIA NO ASFALTO.")</f>
        <v>READEQUAÇÃO DE CALÇADA COM ACESSIBILIDADE. PINTURA DE BAIA NO ASFALTO.</v>
      </c>
      <c r="R979" s="5" t="str">
        <f>IFERROR(__xludf.DUMMYFUNCTION("""COMPUTED_VALUE"""),"NENHUMA DAS OPÇÕES")</f>
        <v>NENHUMA DAS OPÇÕES</v>
      </c>
      <c r="S979" s="7">
        <f>IFERROR(__xludf.DUMMYFUNCTION("""COMPUTED_VALUE"""),44838.0)</f>
        <v>44838</v>
      </c>
      <c r="T979" s="5"/>
      <c r="U979" s="5"/>
      <c r="V979" s="9" t="str">
        <f>IFERROR(__xludf.DUMMYFUNCTION("""COMPUTED_VALUE"""),"https://drive.google.com/uc?id=1PQWoNmBuU4g4kXvXhR9OlB6kp89KAwF6")</f>
        <v>https://drive.google.com/uc?id=1PQWoNmBuU4g4kXvXhR9OlB6kp89KAwF6</v>
      </c>
      <c r="W979" s="5" t="str">
        <f>IFERROR(__xludf.DUMMYFUNCTION("""COMPUTED_VALUE"""),"NÃO")</f>
        <v>NÃO</v>
      </c>
      <c r="X979" s="5" t="str">
        <f>IFERROR(__xludf.DUMMYFUNCTION("""COMPUTED_VALUE"""),"NÃO SE APLICA")</f>
        <v>NÃO SE APLICA</v>
      </c>
    </row>
    <row r="980" hidden="1">
      <c r="A980" s="5">
        <f>IFERROR(__xludf.DUMMYFUNCTION("""COMPUTED_VALUE"""),4.0)</f>
        <v>4</v>
      </c>
      <c r="B980" s="5" t="str">
        <f>IFERROR(__xludf.DUMMYFUNCTION("""COMPUTED_VALUE"""),"FV005")</f>
        <v>FV005</v>
      </c>
      <c r="C980" s="5" t="str">
        <f>IFERROR(__xludf.DUMMYFUNCTION("""COMPUTED_VALUE"""),"NÃO POSSUI")</f>
        <v>NÃO POSSUI</v>
      </c>
      <c r="D980" s="5" t="str">
        <f>IFERROR(__xludf.DUMMYFUNCTION("""COMPUTED_VALUE"""),"SEM PLACA")</f>
        <v>SEM PLACA</v>
      </c>
      <c r="E980" s="5" t="str">
        <f>IFERROR(__xludf.DUMMYFUNCTION("""COMPUTED_VALUE"""),"SEM BAIA")</f>
        <v>SEM BAIA</v>
      </c>
      <c r="F980" s="5" t="str">
        <f>IFERROR(__xludf.DUMMYFUNCTION("""COMPUTED_VALUE"""),"NÃO")</f>
        <v>NÃO</v>
      </c>
      <c r="G980" s="5" t="str">
        <f>IFERROR(__xludf.DUMMYFUNCTION("""COMPUTED_VALUE"""),"NÃO")</f>
        <v>NÃO</v>
      </c>
      <c r="H980" s="5" t="str">
        <f>IFERROR(__xludf.DUMMYFUNCTION("""COMPUTED_VALUE"""),"PAVIMENTADA")</f>
        <v>PAVIMENTADA</v>
      </c>
      <c r="I980" s="6" t="str">
        <f>IFERROR(__xludf.DUMMYFUNCTION("""COMPUTED_VALUE"""),"-9.589543")</f>
        <v>-9.589543</v>
      </c>
      <c r="J980" s="6" t="str">
        <f>IFERROR(__xludf.DUMMYFUNCTION("""COMPUTED_VALUE"""),"-35.788528")</f>
        <v>-35.788528</v>
      </c>
      <c r="K980" s="5" t="str">
        <f>IFERROR(__xludf.DUMMYFUNCTION("""COMPUTED_VALUE"""),"RUA DA PRAIA")</f>
        <v>RUA DA PRAIA</v>
      </c>
      <c r="L980" s="5" t="str">
        <f>IFERROR(__xludf.DUMMYFUNCTION("""COMPUTED_VALUE"""),"LOCAL")</f>
        <v>LOCAL</v>
      </c>
      <c r="M980" s="5" t="str">
        <f>IFERROR(__xludf.DUMMYFUNCTION("""COMPUTED_VALUE"""),"FERNÃO VELHO ")</f>
        <v>FERNÃO VELHO </v>
      </c>
      <c r="N980" s="5" t="str">
        <f>IFERROR(__xludf.DUMMYFUNCTION("""COMPUTED_VALUE"""),"CENTRO - BAIRRO")</f>
        <v>CENTRO - BAIRRO</v>
      </c>
      <c r="O980" s="5" t="str">
        <f>IFERROR(__xludf.DUMMYFUNCTION("""COMPUTED_VALUE"""),"DO OUTRO LADO DA CASA 115")</f>
        <v>DO OUTRO LADO DA CASA 115</v>
      </c>
      <c r="P980" s="5" t="str">
        <f>IFERROR(__xludf.DUMMYFUNCTION("""COMPUTED_VALUE"""),"PRIORIDADE ALTA")</f>
        <v>PRIORIDADE ALTA</v>
      </c>
      <c r="Q980" s="5" t="str">
        <f>IFERROR(__xludf.DUMMYFUNCTION("""COMPUTED_VALUE"""),"READEQUAÇÃO DE CALÇADA COM ACESSIBILIDADE. PINTURA DE BAIA NO ASFALTO.")</f>
        <v>READEQUAÇÃO DE CALÇADA COM ACESSIBILIDADE. PINTURA DE BAIA NO ASFALTO.</v>
      </c>
      <c r="R980" s="5" t="str">
        <f>IFERROR(__xludf.DUMMYFUNCTION("""COMPUTED_VALUE"""),"NENHUMA DAS OPÇÕES")</f>
        <v>NENHUMA DAS OPÇÕES</v>
      </c>
      <c r="S980" s="7">
        <f>IFERROR(__xludf.DUMMYFUNCTION("""COMPUTED_VALUE"""),44839.0)</f>
        <v>44839</v>
      </c>
      <c r="T980" s="5"/>
      <c r="U980" s="5"/>
      <c r="V980" s="9" t="str">
        <f>IFERROR(__xludf.DUMMYFUNCTION("""COMPUTED_VALUE"""),"https://drive.google.com/uc?id=1TZc4Hdqd03QvgZc4OUpYBw0Y3Q4MwFti")</f>
        <v>https://drive.google.com/uc?id=1TZc4Hdqd03QvgZc4OUpYBw0Y3Q4MwFti</v>
      </c>
      <c r="W980" s="5" t="str">
        <f>IFERROR(__xludf.DUMMYFUNCTION("""COMPUTED_VALUE"""),"NÃO")</f>
        <v>NÃO</v>
      </c>
      <c r="X980" s="5" t="str">
        <f>IFERROR(__xludf.DUMMYFUNCTION("""COMPUTED_VALUE"""),"NÃO SE APLICA")</f>
        <v>NÃO SE APLICA</v>
      </c>
    </row>
    <row r="981" hidden="1">
      <c r="A981" s="5">
        <f>IFERROR(__xludf.DUMMYFUNCTION("""COMPUTED_VALUE"""),4.0)</f>
        <v>4</v>
      </c>
      <c r="B981" s="5" t="str">
        <f>IFERROR(__xludf.DUMMYFUNCTION("""COMPUTED_VALUE"""),"FV006")</f>
        <v>FV006</v>
      </c>
      <c r="C981" s="5" t="str">
        <f>IFERROR(__xludf.DUMMYFUNCTION("""COMPUTED_VALUE"""),"NÃO POSSUI")</f>
        <v>NÃO POSSUI</v>
      </c>
      <c r="D981" s="5" t="str">
        <f>IFERROR(__xludf.DUMMYFUNCTION("""COMPUTED_VALUE"""),"FIXADA EM POSTE")</f>
        <v>FIXADA EM POSTE</v>
      </c>
      <c r="E981" s="5" t="str">
        <f>IFERROR(__xludf.DUMMYFUNCTION("""COMPUTED_VALUE"""),"SEM BAIA")</f>
        <v>SEM BAIA</v>
      </c>
      <c r="F981" s="5" t="str">
        <f>IFERROR(__xludf.DUMMYFUNCTION("""COMPUTED_VALUE"""),"NÃO")</f>
        <v>NÃO</v>
      </c>
      <c r="G981" s="5" t="str">
        <f>IFERROR(__xludf.DUMMYFUNCTION("""COMPUTED_VALUE"""),"NÃO")</f>
        <v>NÃO</v>
      </c>
      <c r="H981" s="5" t="str">
        <f>IFERROR(__xludf.DUMMYFUNCTION("""COMPUTED_VALUE"""),"PAVIMENTADA")</f>
        <v>PAVIMENTADA</v>
      </c>
      <c r="I981" s="6" t="str">
        <f>IFERROR(__xludf.DUMMYFUNCTION("""COMPUTED_VALUE"""),"-9.590439")</f>
        <v>-9.590439</v>
      </c>
      <c r="J981" s="6" t="str">
        <f>IFERROR(__xludf.DUMMYFUNCTION("""COMPUTED_VALUE"""),"-35.787249")</f>
        <v>-35.787249</v>
      </c>
      <c r="K981" s="5" t="str">
        <f>IFERROR(__xludf.DUMMYFUNCTION("""COMPUTED_VALUE"""),"RUA DA PRAIA ")</f>
        <v>RUA DA PRAIA </v>
      </c>
      <c r="L981" s="5" t="str">
        <f>IFERROR(__xludf.DUMMYFUNCTION("""COMPUTED_VALUE"""),"LOCAL")</f>
        <v>LOCAL</v>
      </c>
      <c r="M981" s="5" t="str">
        <f>IFERROR(__xludf.DUMMYFUNCTION("""COMPUTED_VALUE"""),"FERNÃO VELHO ")</f>
        <v>FERNÃO VELHO </v>
      </c>
      <c r="N981" s="5" t="str">
        <f>IFERROR(__xludf.DUMMYFUNCTION("""COMPUTED_VALUE"""),"BAIRRO - CENTRO")</f>
        <v>BAIRRO - CENTRO</v>
      </c>
      <c r="O981" s="5" t="str">
        <f>IFERROR(__xludf.DUMMYFUNCTION("""COMPUTED_VALUE"""),"EM FRENTE O CALDO")</f>
        <v>EM FRENTE O CALDO</v>
      </c>
      <c r="P981" s="5" t="str">
        <f>IFERROR(__xludf.DUMMYFUNCTION("""COMPUTED_VALUE"""),"PRIORIDADE BAIXA")</f>
        <v>PRIORIDADE BAIXA</v>
      </c>
      <c r="Q981" s="5" t="str">
        <f>IFERROR(__xludf.DUMMYFUNCTION("""COMPUTED_VALUE"""),"READEQUAÇÃO DE CALÇADA COM ACESSIBILIDADE E PINTURA DE BAÍA NO ASFALTO. ")</f>
        <v>READEQUAÇÃO DE CALÇADA COM ACESSIBILIDADE E PINTURA DE BAÍA NO ASFALTO. </v>
      </c>
      <c r="R981" s="5" t="str">
        <f>IFERROR(__xludf.DUMMYFUNCTION("""COMPUTED_VALUE"""),"NENHUMA DAS OPÇÕES")</f>
        <v>NENHUMA DAS OPÇÕES</v>
      </c>
      <c r="S981" s="7">
        <f>IFERROR(__xludf.DUMMYFUNCTION("""COMPUTED_VALUE"""),44840.0)</f>
        <v>44840</v>
      </c>
      <c r="T981" s="5"/>
      <c r="U981" s="5"/>
      <c r="V981" s="9" t="str">
        <f>IFERROR(__xludf.DUMMYFUNCTION("""COMPUTED_VALUE"""),"https://drive.google.com/uc?id=1PZEfCc2ie7nl-h0isjXu83JdcfbrCdb8")</f>
        <v>https://drive.google.com/uc?id=1PZEfCc2ie7nl-h0isjXu83JdcfbrCdb8</v>
      </c>
      <c r="W981" s="5" t="str">
        <f>IFERROR(__xludf.DUMMYFUNCTION("""COMPUTED_VALUE"""),"NÃO")</f>
        <v>NÃO</v>
      </c>
      <c r="X981" s="5" t="str">
        <f>IFERROR(__xludf.DUMMYFUNCTION("""COMPUTED_VALUE"""),"NÃO SE APLICA")</f>
        <v>NÃO SE APLICA</v>
      </c>
    </row>
    <row r="982" hidden="1">
      <c r="A982" s="5">
        <f>IFERROR(__xludf.DUMMYFUNCTION("""COMPUTED_VALUE"""),4.0)</f>
        <v>4</v>
      </c>
      <c r="B982" s="5" t="str">
        <f>IFERROR(__xludf.DUMMYFUNCTION("""COMPUTED_VALUE"""),"FV007")</f>
        <v>FV007</v>
      </c>
      <c r="C982" s="5" t="str">
        <f>IFERROR(__xludf.DUMMYFUNCTION("""COMPUTED_VALUE"""),"NÃO POSSUI")</f>
        <v>NÃO POSSUI</v>
      </c>
      <c r="D982" s="5" t="str">
        <f>IFERROR(__xludf.DUMMYFUNCTION("""COMPUTED_VALUE"""),"COM SUPORTE")</f>
        <v>COM SUPORTE</v>
      </c>
      <c r="E982" s="5" t="str">
        <f>IFERROR(__xludf.DUMMYFUNCTION("""COMPUTED_VALUE"""),"SEM BAIA")</f>
        <v>SEM BAIA</v>
      </c>
      <c r="F982" s="5" t="str">
        <f>IFERROR(__xludf.DUMMYFUNCTION("""COMPUTED_VALUE"""),"NÃO")</f>
        <v>NÃO</v>
      </c>
      <c r="G982" s="5" t="str">
        <f>IFERROR(__xludf.DUMMYFUNCTION("""COMPUTED_VALUE"""),"NÃO")</f>
        <v>NÃO</v>
      </c>
      <c r="H982" s="5" t="str">
        <f>IFERROR(__xludf.DUMMYFUNCTION("""COMPUTED_VALUE"""),"NÃO PAVIMENTADA")</f>
        <v>NÃO PAVIMENTADA</v>
      </c>
      <c r="I982" s="6" t="str">
        <f>IFERROR(__xludf.DUMMYFUNCTION("""COMPUTED_VALUE"""),"-9.589483")</f>
        <v>-9.589483</v>
      </c>
      <c r="J982" s="6" t="str">
        <f>IFERROR(__xludf.DUMMYFUNCTION("""COMPUTED_VALUE"""),"-35.793483")</f>
        <v>-35.793483</v>
      </c>
      <c r="K982" s="5" t="str">
        <f>IFERROR(__xludf.DUMMYFUNCTION("""COMPUTED_VALUE"""),"RUA VEREADOR HERMÍNIO CARDOSO 57")</f>
        <v>RUA VEREADOR HERMÍNIO CARDOSO 57</v>
      </c>
      <c r="L982" s="5" t="str">
        <f>IFERROR(__xludf.DUMMYFUNCTION("""COMPUTED_VALUE"""),"LOCAL")</f>
        <v>LOCAL</v>
      </c>
      <c r="M982" s="5" t="str">
        <f>IFERROR(__xludf.DUMMYFUNCTION("""COMPUTED_VALUE"""),"FERNÃO VELHO ")</f>
        <v>FERNÃO VELHO </v>
      </c>
      <c r="N982" s="5" t="str">
        <f>IFERROR(__xludf.DUMMYFUNCTION("""COMPUTED_VALUE"""),"CENTRO - BAIRRO")</f>
        <v>CENTRO - BAIRRO</v>
      </c>
      <c r="O982" s="5" t="str">
        <f>IFERROR(__xludf.DUMMYFUNCTION("""COMPUTED_VALUE"""),"ESPELHAR PLACA EXISTENTE")</f>
        <v>ESPELHAR PLACA EXISTENTE</v>
      </c>
      <c r="P982" s="5" t="str">
        <f>IFERROR(__xludf.DUMMYFUNCTION("""COMPUTED_VALUE"""),"PRIORIDADE BAIXA")</f>
        <v>PRIORIDADE BAIXA</v>
      </c>
      <c r="Q982" s="5" t="str">
        <f>IFERROR(__xludf.DUMMYFUNCTION("""COMPUTED_VALUE"""),"READEQUAÇÃO DE CALÇADA COM ACESSIBILIDADE E PINTURA DE BAÍA NO ASFALTO")</f>
        <v>READEQUAÇÃO DE CALÇADA COM ACESSIBILIDADE E PINTURA DE BAÍA NO ASFALTO</v>
      </c>
      <c r="R982" s="5" t="str">
        <f>IFERROR(__xludf.DUMMYFUNCTION("""COMPUTED_VALUE"""),"NENHUMA DAS OPÇÕES")</f>
        <v>NENHUMA DAS OPÇÕES</v>
      </c>
      <c r="S982" s="7">
        <f>IFERROR(__xludf.DUMMYFUNCTION("""COMPUTED_VALUE"""),44841.0)</f>
        <v>44841</v>
      </c>
      <c r="T982" s="5"/>
      <c r="U982" s="7">
        <f>IFERROR(__xludf.DUMMYFUNCTION("""COMPUTED_VALUE"""),44960.0)</f>
        <v>44960</v>
      </c>
      <c r="V982" s="9" t="str">
        <f>IFERROR(__xludf.DUMMYFUNCTION("""COMPUTED_VALUE"""),"https://drive.google.com/uc?id=1WZozoIbsSy-ZSd8Gb9u_gSFWFh7R1XIX/")</f>
        <v>https://drive.google.com/uc?id=1WZozoIbsSy-ZSd8Gb9u_gSFWFh7R1XIX/</v>
      </c>
      <c r="W982" s="5" t="str">
        <f>IFERROR(__xludf.DUMMYFUNCTION("""COMPUTED_VALUE"""),"NÃO")</f>
        <v>NÃO</v>
      </c>
      <c r="X982" s="5" t="str">
        <f>IFERROR(__xludf.DUMMYFUNCTION("""COMPUTED_VALUE"""),"NÃO SE APLICA")</f>
        <v>NÃO SE APLICA</v>
      </c>
    </row>
    <row r="983" hidden="1">
      <c r="A983" s="5">
        <f>IFERROR(__xludf.DUMMYFUNCTION("""COMPUTED_VALUE"""),4.0)</f>
        <v>4</v>
      </c>
      <c r="B983" s="5" t="str">
        <f>IFERROR(__xludf.DUMMYFUNCTION("""COMPUTED_VALUE"""),"FV008")</f>
        <v>FV008</v>
      </c>
      <c r="C983" s="5" t="str">
        <f>IFERROR(__xludf.DUMMYFUNCTION("""COMPUTED_VALUE"""),"NÃO POSSUI")</f>
        <v>NÃO POSSUI</v>
      </c>
      <c r="D983" s="5" t="str">
        <f>IFERROR(__xludf.DUMMYFUNCTION("""COMPUTED_VALUE"""),"FIXADA EM POSTE")</f>
        <v>FIXADA EM POSTE</v>
      </c>
      <c r="E983" s="5" t="str">
        <f>IFERROR(__xludf.DUMMYFUNCTION("""COMPUTED_VALUE"""),"SEM BAIA")</f>
        <v>SEM BAIA</v>
      </c>
      <c r="F983" s="5" t="str">
        <f>IFERROR(__xludf.DUMMYFUNCTION("""COMPUTED_VALUE"""),"NÃO")</f>
        <v>NÃO</v>
      </c>
      <c r="G983" s="5" t="str">
        <f>IFERROR(__xludf.DUMMYFUNCTION("""COMPUTED_VALUE"""),"NÃO")</f>
        <v>NÃO</v>
      </c>
      <c r="H983" s="5" t="str">
        <f>IFERROR(__xludf.DUMMYFUNCTION("""COMPUTED_VALUE"""),"PAVIMENTADA")</f>
        <v>PAVIMENTADA</v>
      </c>
      <c r="I983" s="6" t="str">
        <f>IFERROR(__xludf.DUMMYFUNCTION("""COMPUTED_VALUE"""),"-9.589518")</f>
        <v>-9.589518</v>
      </c>
      <c r="J983" s="6" t="str">
        <f>IFERROR(__xludf.DUMMYFUNCTION("""COMPUTED_VALUE"""),"-35.793937")</f>
        <v>-35.793937</v>
      </c>
      <c r="K983" s="5" t="str">
        <f>IFERROR(__xludf.DUMMYFUNCTION("""COMPUTED_VALUE"""),"RUA VEREADOR HERMÍNIO CARDOSO")</f>
        <v>RUA VEREADOR HERMÍNIO CARDOSO</v>
      </c>
      <c r="L983" s="5" t="str">
        <f>IFERROR(__xludf.DUMMYFUNCTION("""COMPUTED_VALUE"""),"LOCAL")</f>
        <v>LOCAL</v>
      </c>
      <c r="M983" s="5" t="str">
        <f>IFERROR(__xludf.DUMMYFUNCTION("""COMPUTED_VALUE"""),"FERNÃO VELHO ")</f>
        <v>FERNÃO VELHO </v>
      </c>
      <c r="N983" s="5" t="str">
        <f>IFERROR(__xludf.DUMMYFUNCTION("""COMPUTED_VALUE"""),"BAIRRO - CENTRO")</f>
        <v>BAIRRO - CENTRO</v>
      </c>
      <c r="O983" s="5" t="str">
        <f>IFERROR(__xludf.DUMMYFUNCTION("""COMPUTED_VALUE"""),"SEM REFERÊNCIA")</f>
        <v>SEM REFERÊNCIA</v>
      </c>
      <c r="P983" s="5" t="str">
        <f>IFERROR(__xludf.DUMMYFUNCTION("""COMPUTED_VALUE"""),"PRIORIDADE BAIXA")</f>
        <v>PRIORIDADE BAIXA</v>
      </c>
      <c r="Q983" s="5" t="str">
        <f>IFERROR(__xludf.DUMMYFUNCTION("""COMPUTED_VALUE"""),"READEQUAÇÃO DE CALÇADA COM ACESSIBILIDADE E PINTURA DE BAÍA NO ASFALTO.")</f>
        <v>READEQUAÇÃO DE CALÇADA COM ACESSIBILIDADE E PINTURA DE BAÍA NO ASFALTO.</v>
      </c>
      <c r="R983" s="5" t="str">
        <f>IFERROR(__xludf.DUMMYFUNCTION("""COMPUTED_VALUE"""),"IMPLANTAR ABRIGO")</f>
        <v>IMPLANTAR ABRIGO</v>
      </c>
      <c r="S983" s="7">
        <f>IFERROR(__xludf.DUMMYFUNCTION("""COMPUTED_VALUE"""),44842.0)</f>
        <v>44842</v>
      </c>
      <c r="T983" s="5"/>
      <c r="U983" s="5"/>
      <c r="V983" s="9" t="str">
        <f>IFERROR(__xludf.DUMMYFUNCTION("""COMPUTED_VALUE"""),"https://drive.google.com/uc?id=1cVoNgjK3REvk6LeJdj7k1NX1JSm4bPXL")</f>
        <v>https://drive.google.com/uc?id=1cVoNgjK3REvk6LeJdj7k1NX1JSm4bPXL</v>
      </c>
      <c r="W983" s="5" t="str">
        <f>IFERROR(__xludf.DUMMYFUNCTION("""COMPUTED_VALUE"""),"NÃO")</f>
        <v>NÃO</v>
      </c>
      <c r="X983" s="5" t="str">
        <f>IFERROR(__xludf.DUMMYFUNCTION("""COMPUTED_VALUE"""),"NÃO SE APLICA")</f>
        <v>NÃO SE APLICA</v>
      </c>
    </row>
    <row r="984" hidden="1">
      <c r="A984" s="5">
        <f>IFERROR(__xludf.DUMMYFUNCTION("""COMPUTED_VALUE"""),4.0)</f>
        <v>4</v>
      </c>
      <c r="B984" s="5" t="str">
        <f>IFERROR(__xludf.DUMMYFUNCTION("""COMPUTED_VALUE"""),"FV009")</f>
        <v>FV009</v>
      </c>
      <c r="C984" s="5" t="str">
        <f>IFERROR(__xludf.DUMMYFUNCTION("""COMPUTED_VALUE"""),"NÃO POSSUI")</f>
        <v>NÃO POSSUI</v>
      </c>
      <c r="D984" s="5" t="str">
        <f>IFERROR(__xludf.DUMMYFUNCTION("""COMPUTED_VALUE"""),"FIXADA EM POSTE")</f>
        <v>FIXADA EM POSTE</v>
      </c>
      <c r="E984" s="5" t="str">
        <f>IFERROR(__xludf.DUMMYFUNCTION("""COMPUTED_VALUE"""),"SEM BAIA")</f>
        <v>SEM BAIA</v>
      </c>
      <c r="F984" s="5" t="str">
        <f>IFERROR(__xludf.DUMMYFUNCTION("""COMPUTED_VALUE"""),"NÃO")</f>
        <v>NÃO</v>
      </c>
      <c r="G984" s="5" t="str">
        <f>IFERROR(__xludf.DUMMYFUNCTION("""COMPUTED_VALUE"""),"NÃO")</f>
        <v>NÃO</v>
      </c>
      <c r="H984" s="5" t="str">
        <f>IFERROR(__xludf.DUMMYFUNCTION("""COMPUTED_VALUE"""),"PAVIMENTADA")</f>
        <v>PAVIMENTADA</v>
      </c>
      <c r="I984" s="6" t="str">
        <f>IFERROR(__xludf.DUMMYFUNCTION("""COMPUTED_VALUE"""),"-9.589015")</f>
        <v>-9.589015</v>
      </c>
      <c r="J984" s="6" t="str">
        <f>IFERROR(__xludf.DUMMYFUNCTION("""COMPUTED_VALUE"""),"-35.795608")</f>
        <v>-35.795608</v>
      </c>
      <c r="K984" s="5" t="str">
        <f>IFERROR(__xludf.DUMMYFUNCTION("""COMPUTED_VALUE"""),"RUA VEREADOR HERMÍNIO CARDOSO")</f>
        <v>RUA VEREADOR HERMÍNIO CARDOSO</v>
      </c>
      <c r="L984" s="5" t="str">
        <f>IFERROR(__xludf.DUMMYFUNCTION("""COMPUTED_VALUE"""),"LOCAL")</f>
        <v>LOCAL</v>
      </c>
      <c r="M984" s="5" t="str">
        <f>IFERROR(__xludf.DUMMYFUNCTION("""COMPUTED_VALUE"""),"FERNÃO VELHO ")</f>
        <v>FERNÃO VELHO </v>
      </c>
      <c r="N984" s="5" t="str">
        <f>IFERROR(__xludf.DUMMYFUNCTION("""COMPUTED_VALUE"""),"BAIRRO - CENTRO")</f>
        <v>BAIRRO - CENTRO</v>
      </c>
      <c r="O984" s="5" t="str">
        <f>IFERROR(__xludf.DUMMYFUNCTION("""COMPUTED_VALUE"""),"SAÍDA DO RIO NOVO")</f>
        <v>SAÍDA DO RIO NOVO</v>
      </c>
      <c r="P984" s="5" t="str">
        <f>IFERROR(__xludf.DUMMYFUNCTION("""COMPUTED_VALUE"""),"PRIORIDADE BAIXA")</f>
        <v>PRIORIDADE BAIXA</v>
      </c>
      <c r="Q984" s="5" t="str">
        <f>IFERROR(__xludf.DUMMYFUNCTION("""COMPUTED_VALUE"""),"READEQUAÇÃO DE CALÇADA COM ACESSIBILIDADE E PINTURA DE BAÍA NO ASFALTO.")</f>
        <v>READEQUAÇÃO DE CALÇADA COM ACESSIBILIDADE E PINTURA DE BAÍA NO ASFALTO.</v>
      </c>
      <c r="R984" s="5" t="str">
        <f>IFERROR(__xludf.DUMMYFUNCTION("""COMPUTED_VALUE"""),"IMPLANTAR ABRIGO")</f>
        <v>IMPLANTAR ABRIGO</v>
      </c>
      <c r="S984" s="7">
        <f>IFERROR(__xludf.DUMMYFUNCTION("""COMPUTED_VALUE"""),44843.0)</f>
        <v>44843</v>
      </c>
      <c r="T984" s="5"/>
      <c r="U984" s="5"/>
      <c r="V984" s="9" t="str">
        <f>IFERROR(__xludf.DUMMYFUNCTION("""COMPUTED_VALUE"""),"https://drive.google.com/uc?id=16OwpjLtLLhCOp1BAqljhC_btLCXu4VTa")</f>
        <v>https://drive.google.com/uc?id=16OwpjLtLLhCOp1BAqljhC_btLCXu4VTa</v>
      </c>
      <c r="W984" s="5" t="str">
        <f>IFERROR(__xludf.DUMMYFUNCTION("""COMPUTED_VALUE"""),"NÃO")</f>
        <v>NÃO</v>
      </c>
      <c r="X984" s="5" t="str">
        <f>IFERROR(__xludf.DUMMYFUNCTION("""COMPUTED_VALUE"""),"NÃO SE APLICA")</f>
        <v>NÃO SE APLICA</v>
      </c>
    </row>
    <row r="985">
      <c r="A985" s="5">
        <f>IFERROR(__xludf.DUMMYFUNCTION("""COMPUTED_VALUE"""),4.0)</f>
        <v>4</v>
      </c>
      <c r="B985" s="5" t="str">
        <f>IFERROR(__xludf.DUMMYFUNCTION("""COMPUTED_VALUE"""),"FV010")</f>
        <v>FV010</v>
      </c>
      <c r="C985" s="5" t="str">
        <f>IFERROR(__xludf.DUMMYFUNCTION("""COMPUTED_VALUE"""),"ABRIGO CONCRETO")</f>
        <v>ABRIGO CONCRETO</v>
      </c>
      <c r="D985" s="5" t="str">
        <f>IFERROR(__xludf.DUMMYFUNCTION("""COMPUTED_VALUE"""),"SEM PLACA")</f>
        <v>SEM PLACA</v>
      </c>
      <c r="E985" s="5" t="str">
        <f>IFERROR(__xludf.DUMMYFUNCTION("""COMPUTED_VALUE"""),"SEM BAIA")</f>
        <v>SEM BAIA</v>
      </c>
      <c r="F985" s="5" t="str">
        <f>IFERROR(__xludf.DUMMYFUNCTION("""COMPUTED_VALUE"""),"NÃO")</f>
        <v>NÃO</v>
      </c>
      <c r="G985" s="5" t="str">
        <f>IFERROR(__xludf.DUMMYFUNCTION("""COMPUTED_VALUE"""),"NÃO")</f>
        <v>NÃO</v>
      </c>
      <c r="H985" s="5" t="str">
        <f>IFERROR(__xludf.DUMMYFUNCTION("""COMPUTED_VALUE"""),"PAVIMENTADA")</f>
        <v>PAVIMENTADA</v>
      </c>
      <c r="I985" s="6" t="str">
        <f>IFERROR(__xludf.DUMMYFUNCTION("""COMPUTED_VALUE"""),"-9.587277")</f>
        <v>-9.587277</v>
      </c>
      <c r="J985" s="6" t="str">
        <f>IFERROR(__xludf.DUMMYFUNCTION("""COMPUTED_VALUE"""),"-35.796697")</f>
        <v>-35.796697</v>
      </c>
      <c r="K985" s="5" t="str">
        <f>IFERROR(__xludf.DUMMYFUNCTION("""COMPUTED_VALUE"""),"RUA VEREADOR HERMÍNIO CARDOSO 8011")</f>
        <v>RUA VEREADOR HERMÍNIO CARDOSO 8011</v>
      </c>
      <c r="L985" s="5" t="str">
        <f>IFERROR(__xludf.DUMMYFUNCTION("""COMPUTED_VALUE"""),"LOCAL")</f>
        <v>LOCAL</v>
      </c>
      <c r="M985" s="5" t="str">
        <f>IFERROR(__xludf.DUMMYFUNCTION("""COMPUTED_VALUE"""),"FERNÃO VELHO ")</f>
        <v>FERNÃO VELHO </v>
      </c>
      <c r="N985" s="5" t="str">
        <f>IFERROR(__xludf.DUMMYFUNCTION("""COMPUTED_VALUE"""),"BAIRRO - CENTRO")</f>
        <v>BAIRRO - CENTRO</v>
      </c>
      <c r="O985" s="5" t="str">
        <f>IFERROR(__xludf.DUMMYFUNCTION("""COMPUTED_VALUE"""),"EM FRENTE A CASA 811")</f>
        <v>EM FRENTE A CASA 811</v>
      </c>
      <c r="P985" s="5" t="str">
        <f>IFERROR(__xludf.DUMMYFUNCTION("""COMPUTED_VALUE"""),"PRIORIDADE BAIXA")</f>
        <v>PRIORIDADE BAIXA</v>
      </c>
      <c r="Q985" s="5" t="str">
        <f>IFERROR(__xludf.DUMMYFUNCTION("""COMPUTED_VALUE"""),"READEQUAÇÃO DE CALÇADA COM ACESSIBILIDADE E PINTURA DE BAÍA NO ASFALTO, IMPLANTAR PLACA COM SUPORTE")</f>
        <v>READEQUAÇÃO DE CALÇADA COM ACESSIBILIDADE E PINTURA DE BAÍA NO ASFALTO, IMPLANTAR PLACA COM SUPORTE</v>
      </c>
      <c r="R985" s="5" t="str">
        <f>IFERROR(__xludf.DUMMYFUNCTION("""COMPUTED_VALUE"""),"SUBSTITUIR ABRIGO")</f>
        <v>SUBSTITUIR ABRIGO</v>
      </c>
      <c r="S985" s="7">
        <f>IFERROR(__xludf.DUMMYFUNCTION("""COMPUTED_VALUE"""),44844.0)</f>
        <v>44844</v>
      </c>
      <c r="T985" s="5"/>
      <c r="U985" s="5"/>
      <c r="V985" s="9" t="str">
        <f>IFERROR(__xludf.DUMMYFUNCTION("""COMPUTED_VALUE"""),"https://drive.google.com/uc?id=1T7T1WjXsw2hvng0aXA1Ak-CpSK5zcRpE")</f>
        <v>https://drive.google.com/uc?id=1T7T1WjXsw2hvng0aXA1Ak-CpSK5zcRpE</v>
      </c>
      <c r="W985" s="5" t="str">
        <f>IFERROR(__xludf.DUMMYFUNCTION("""COMPUTED_VALUE"""),"NÃO")</f>
        <v>NÃO</v>
      </c>
      <c r="X985" s="5" t="str">
        <f>IFERROR(__xludf.DUMMYFUNCTION("""COMPUTED_VALUE"""),"NÃO SE APLICA")</f>
        <v>NÃO SE APLICA</v>
      </c>
    </row>
    <row r="986">
      <c r="A986" s="5">
        <f>IFERROR(__xludf.DUMMYFUNCTION("""COMPUTED_VALUE"""),4.0)</f>
        <v>4</v>
      </c>
      <c r="B986" s="5" t="str">
        <f>IFERROR(__xludf.DUMMYFUNCTION("""COMPUTED_VALUE"""),"FV011")</f>
        <v>FV011</v>
      </c>
      <c r="C986" s="5" t="str">
        <f>IFERROR(__xludf.DUMMYFUNCTION("""COMPUTED_VALUE"""),"ABRIGO CONCRETO")</f>
        <v>ABRIGO CONCRETO</v>
      </c>
      <c r="D986" s="5" t="str">
        <f>IFERROR(__xludf.DUMMYFUNCTION("""COMPUTED_VALUE"""),"SEM PLACA")</f>
        <v>SEM PLACA</v>
      </c>
      <c r="E986" s="5" t="str">
        <f>IFERROR(__xludf.DUMMYFUNCTION("""COMPUTED_VALUE"""),"SEM BAIA")</f>
        <v>SEM BAIA</v>
      </c>
      <c r="F986" s="5" t="str">
        <f>IFERROR(__xludf.DUMMYFUNCTION("""COMPUTED_VALUE"""),"NÃO")</f>
        <v>NÃO</v>
      </c>
      <c r="G986" s="5" t="str">
        <f>IFERROR(__xludf.DUMMYFUNCTION("""COMPUTED_VALUE"""),"NÃO")</f>
        <v>NÃO</v>
      </c>
      <c r="H986" s="5" t="str">
        <f>IFERROR(__xludf.DUMMYFUNCTION("""COMPUTED_VALUE"""),"PAVIMENTADA")</f>
        <v>PAVIMENTADA</v>
      </c>
      <c r="I986" s="6" t="str">
        <f>IFERROR(__xludf.DUMMYFUNCTION("""COMPUTED_VALUE"""),"-9.585808")</f>
        <v>-9.585808</v>
      </c>
      <c r="J986" s="6" t="str">
        <f>IFERROR(__xludf.DUMMYFUNCTION("""COMPUTED_VALUE"""),"-35.798150")</f>
        <v>-35.798150</v>
      </c>
      <c r="K986" s="5" t="str">
        <f>IFERROR(__xludf.DUMMYFUNCTION("""COMPUTED_VALUE"""),"RUA VEREADOR HERMÍNIO CARDOSO 8011")</f>
        <v>RUA VEREADOR HERMÍNIO CARDOSO 8011</v>
      </c>
      <c r="L986" s="5" t="str">
        <f>IFERROR(__xludf.DUMMYFUNCTION("""COMPUTED_VALUE"""),"LOCAL")</f>
        <v>LOCAL</v>
      </c>
      <c r="M986" s="5" t="str">
        <f>IFERROR(__xludf.DUMMYFUNCTION("""COMPUTED_VALUE"""),"FERNÃO VELHO ")</f>
        <v>FERNÃO VELHO </v>
      </c>
      <c r="N986" s="5" t="str">
        <f>IFERROR(__xludf.DUMMYFUNCTION("""COMPUTED_VALUE"""),"CENTRO - BAIRRO")</f>
        <v>CENTRO - BAIRRO</v>
      </c>
      <c r="O986" s="5" t="str">
        <f>IFERROR(__xludf.DUMMYFUNCTION("""COMPUTED_VALUE"""),"CABELEREIRO N° 7")</f>
        <v>CABELEREIRO N° 7</v>
      </c>
      <c r="P986" s="5" t="str">
        <f>IFERROR(__xludf.DUMMYFUNCTION("""COMPUTED_VALUE"""),"PRIORIDADE BAIXA")</f>
        <v>PRIORIDADE BAIXA</v>
      </c>
      <c r="Q986" s="5" t="str">
        <f>IFERROR(__xludf.DUMMYFUNCTION("""COMPUTED_VALUE"""),"READEQUAÇÃO DE CALÇADA COM ACESSIBILIDADE E PINTURA DE BAÍA NO ASFALTO. IMPLANTAR PLACA COM SUPORTE")</f>
        <v>READEQUAÇÃO DE CALÇADA COM ACESSIBILIDADE E PINTURA DE BAÍA NO ASFALTO. IMPLANTAR PLACA COM SUPORTE</v>
      </c>
      <c r="R986" s="5" t="str">
        <f>IFERROR(__xludf.DUMMYFUNCTION("""COMPUTED_VALUE"""),"SUBSTITUIR ABRIGO")</f>
        <v>SUBSTITUIR ABRIGO</v>
      </c>
      <c r="S986" s="7">
        <f>IFERROR(__xludf.DUMMYFUNCTION("""COMPUTED_VALUE"""),44845.0)</f>
        <v>44845</v>
      </c>
      <c r="T986" s="5"/>
      <c r="U986" s="5"/>
      <c r="V986" s="9" t="str">
        <f>IFERROR(__xludf.DUMMYFUNCTION("""COMPUTED_VALUE"""),"https://drive.google.com/uc?id=12f9038FnWE5edmnKY0qlqtXa4cMRDEnt")</f>
        <v>https://drive.google.com/uc?id=12f9038FnWE5edmnKY0qlqtXa4cMRDEnt</v>
      </c>
      <c r="W986" s="5" t="str">
        <f>IFERROR(__xludf.DUMMYFUNCTION("""COMPUTED_VALUE"""),"NÃO")</f>
        <v>NÃO</v>
      </c>
      <c r="X986" s="5" t="str">
        <f>IFERROR(__xludf.DUMMYFUNCTION("""COMPUTED_VALUE"""),"NÃO SE APLICA")</f>
        <v>NÃO SE APLICA</v>
      </c>
    </row>
    <row r="987">
      <c r="A987" s="5">
        <f>IFERROR(__xludf.DUMMYFUNCTION("""COMPUTED_VALUE"""),4.0)</f>
        <v>4</v>
      </c>
      <c r="B987" s="5" t="str">
        <f>IFERROR(__xludf.DUMMYFUNCTION("""COMPUTED_VALUE"""),"FV012")</f>
        <v>FV012</v>
      </c>
      <c r="C987" s="5" t="str">
        <f>IFERROR(__xludf.DUMMYFUNCTION("""COMPUTED_VALUE"""),"ABRIGO CONCRETO")</f>
        <v>ABRIGO CONCRETO</v>
      </c>
      <c r="D987" s="5" t="str">
        <f>IFERROR(__xludf.DUMMYFUNCTION("""COMPUTED_VALUE"""),"SEM PLACA")</f>
        <v>SEM PLACA</v>
      </c>
      <c r="E987" s="5" t="str">
        <f>IFERROR(__xludf.DUMMYFUNCTION("""COMPUTED_VALUE"""),"SEM BAIA")</f>
        <v>SEM BAIA</v>
      </c>
      <c r="F987" s="5" t="str">
        <f>IFERROR(__xludf.DUMMYFUNCTION("""COMPUTED_VALUE"""),"NÃO")</f>
        <v>NÃO</v>
      </c>
      <c r="G987" s="5" t="str">
        <f>IFERROR(__xludf.DUMMYFUNCTION("""COMPUTED_VALUE"""),"NÃO")</f>
        <v>NÃO</v>
      </c>
      <c r="H987" s="5" t="str">
        <f>IFERROR(__xludf.DUMMYFUNCTION("""COMPUTED_VALUE"""),"PAVIMENTADA")</f>
        <v>PAVIMENTADA</v>
      </c>
      <c r="I987" s="6" t="str">
        <f>IFERROR(__xludf.DUMMYFUNCTION("""COMPUTED_VALUE"""),"-9.584233")</f>
        <v>-9.584233</v>
      </c>
      <c r="J987" s="6" t="str">
        <f>IFERROR(__xludf.DUMMYFUNCTION("""COMPUTED_VALUE"""),"-35.799182")</f>
        <v>-35.799182</v>
      </c>
      <c r="K987" s="5" t="str">
        <f>IFERROR(__xludf.DUMMYFUNCTION("""COMPUTED_VALUE"""),"RUA VEREADOR HERMÍNIO CARDOSO ")</f>
        <v>RUA VEREADOR HERMÍNIO CARDOSO </v>
      </c>
      <c r="L987" s="5" t="str">
        <f>IFERROR(__xludf.DUMMYFUNCTION("""COMPUTED_VALUE"""),"LOCAL")</f>
        <v>LOCAL</v>
      </c>
      <c r="M987" s="5" t="str">
        <f>IFERROR(__xludf.DUMMYFUNCTION("""COMPUTED_VALUE"""),"FERNÃO VELHO ")</f>
        <v>FERNÃO VELHO </v>
      </c>
      <c r="N987" s="5" t="str">
        <f>IFERROR(__xludf.DUMMYFUNCTION("""COMPUTED_VALUE"""),"BAIRRO - CENTRO")</f>
        <v>BAIRRO - CENTRO</v>
      </c>
      <c r="O987" s="5" t="str">
        <f>IFERROR(__xludf.DUMMYFUNCTION("""COMPUTED_VALUE"""),"PRÓXIMO A CASA 73")</f>
        <v>PRÓXIMO A CASA 73</v>
      </c>
      <c r="P987" s="5" t="str">
        <f>IFERROR(__xludf.DUMMYFUNCTION("""COMPUTED_VALUE"""),"PRIORIDADE BAIXA")</f>
        <v>PRIORIDADE BAIXA</v>
      </c>
      <c r="Q987" s="5" t="str">
        <f>IFERROR(__xludf.DUMMYFUNCTION("""COMPUTED_VALUE"""),"READEQUAÇÃO DE CALÇADA COM ACESSIBILIDADE E PINTURA DE BAÍA NO ASFALTO. INSTALAR PLACA NOVA.")</f>
        <v>READEQUAÇÃO DE CALÇADA COM ACESSIBILIDADE E PINTURA DE BAÍA NO ASFALTO. INSTALAR PLACA NOVA.</v>
      </c>
      <c r="R987" s="5" t="str">
        <f>IFERROR(__xludf.DUMMYFUNCTION("""COMPUTED_VALUE"""),"SUBSTITUIR ABRIGO")</f>
        <v>SUBSTITUIR ABRIGO</v>
      </c>
      <c r="S987" s="7">
        <f>IFERROR(__xludf.DUMMYFUNCTION("""COMPUTED_VALUE"""),44846.0)</f>
        <v>44846</v>
      </c>
      <c r="T987" s="5"/>
      <c r="U987" s="5"/>
      <c r="V987" s="9" t="str">
        <f>IFERROR(__xludf.DUMMYFUNCTION("""COMPUTED_VALUE"""),"https://drive.google.com/uc?id=1WyvJU8PjEZ9f5-VOzVNqHWR2fGXX6sU5")</f>
        <v>https://drive.google.com/uc?id=1WyvJU8PjEZ9f5-VOzVNqHWR2fGXX6sU5</v>
      </c>
      <c r="W987" s="5" t="str">
        <f>IFERROR(__xludf.DUMMYFUNCTION("""COMPUTED_VALUE"""),"NÃO")</f>
        <v>NÃO</v>
      </c>
      <c r="X987" s="5" t="str">
        <f>IFERROR(__xludf.DUMMYFUNCTION("""COMPUTED_VALUE"""),"NÃO SE APLICA")</f>
        <v>NÃO SE APLICA</v>
      </c>
    </row>
    <row r="988" hidden="1">
      <c r="A988" s="5">
        <f>IFERROR(__xludf.DUMMYFUNCTION("""COMPUTED_VALUE"""),4.0)</f>
        <v>4</v>
      </c>
      <c r="B988" s="5" t="str">
        <f>IFERROR(__xludf.DUMMYFUNCTION("""COMPUTED_VALUE"""),"FV013")</f>
        <v>FV013</v>
      </c>
      <c r="C988" s="5" t="str">
        <f>IFERROR(__xludf.DUMMYFUNCTION("""COMPUTED_VALUE"""),"NÃO POSSUI")</f>
        <v>NÃO POSSUI</v>
      </c>
      <c r="D988" s="5" t="str">
        <f>IFERROR(__xludf.DUMMYFUNCTION("""COMPUTED_VALUE"""),"FIXADA EM POSTE")</f>
        <v>FIXADA EM POSTE</v>
      </c>
      <c r="E988" s="5" t="str">
        <f>IFERROR(__xludf.DUMMYFUNCTION("""COMPUTED_VALUE"""),"SEM BAIA")</f>
        <v>SEM BAIA</v>
      </c>
      <c r="F988" s="5" t="str">
        <f>IFERROR(__xludf.DUMMYFUNCTION("""COMPUTED_VALUE"""),"NÃO")</f>
        <v>NÃO</v>
      </c>
      <c r="G988" s="5" t="str">
        <f>IFERROR(__xludf.DUMMYFUNCTION("""COMPUTED_VALUE"""),"NÃO")</f>
        <v>NÃO</v>
      </c>
      <c r="H988" s="5" t="str">
        <f>IFERROR(__xludf.DUMMYFUNCTION("""COMPUTED_VALUE"""),"PAVIMENTADA")</f>
        <v>PAVIMENTADA</v>
      </c>
      <c r="I988" s="6" t="str">
        <f>IFERROR(__xludf.DUMMYFUNCTION("""COMPUTED_VALUE"""),"-9.583978")</f>
        <v>-9.583978</v>
      </c>
      <c r="J988" s="6" t="str">
        <f>IFERROR(__xludf.DUMMYFUNCTION("""COMPUTED_VALUE"""),"-35.799232")</f>
        <v>-35.799232</v>
      </c>
      <c r="K988" s="5" t="str">
        <f>IFERROR(__xludf.DUMMYFUNCTION("""COMPUTED_VALUE"""),"RUA VEREADOR HERMÍNIO CARDOSO 77")</f>
        <v>RUA VEREADOR HERMÍNIO CARDOSO 77</v>
      </c>
      <c r="L988" s="5" t="str">
        <f>IFERROR(__xludf.DUMMYFUNCTION("""COMPUTED_VALUE"""),"LOCAL")</f>
        <v>LOCAL</v>
      </c>
      <c r="M988" s="5" t="str">
        <f>IFERROR(__xludf.DUMMYFUNCTION("""COMPUTED_VALUE"""),"FERNÃO VELHO ")</f>
        <v>FERNÃO VELHO </v>
      </c>
      <c r="N988" s="5" t="str">
        <f>IFERROR(__xludf.DUMMYFUNCTION("""COMPUTED_VALUE"""),"CENTRO - BAIRRO")</f>
        <v>CENTRO - BAIRRO</v>
      </c>
      <c r="O988" s="5" t="str">
        <f>IFERROR(__xludf.DUMMYFUNCTION("""COMPUTED_VALUE"""),"EM FRENTE A CASA 77")</f>
        <v>EM FRENTE A CASA 77</v>
      </c>
      <c r="P988" s="5" t="str">
        <f>IFERROR(__xludf.DUMMYFUNCTION("""COMPUTED_VALUE"""),"PRIORIDADE BAIXA")</f>
        <v>PRIORIDADE BAIXA</v>
      </c>
      <c r="Q988" s="5" t="str">
        <f>IFERROR(__xludf.DUMMYFUNCTION("""COMPUTED_VALUE"""),"READEQUAÇÃO DE CALÇADA COM ACESSIBILIDADE E PINTURA DE BAÍA NO ASFALTO. INSTALAR PLACA NOVA.")</f>
        <v>READEQUAÇÃO DE CALÇADA COM ACESSIBILIDADE E PINTURA DE BAÍA NO ASFALTO. INSTALAR PLACA NOVA.</v>
      </c>
      <c r="R988" s="5" t="str">
        <f>IFERROR(__xludf.DUMMYFUNCTION("""COMPUTED_VALUE"""),"IMPLANTAR ABRIGO")</f>
        <v>IMPLANTAR ABRIGO</v>
      </c>
      <c r="S988" s="7">
        <f>IFERROR(__xludf.DUMMYFUNCTION("""COMPUTED_VALUE"""),44847.0)</f>
        <v>44847</v>
      </c>
      <c r="T988" s="5"/>
      <c r="U988" s="5"/>
      <c r="V988" s="9" t="str">
        <f>IFERROR(__xludf.DUMMYFUNCTION("""COMPUTED_VALUE"""),"https://drive.google.com/uc?id=1GTFid7xWcMPI3jNF3VHVXPliaxuB3ojY")</f>
        <v>https://drive.google.com/uc?id=1GTFid7xWcMPI3jNF3VHVXPliaxuB3ojY</v>
      </c>
      <c r="W988" s="5" t="str">
        <f>IFERROR(__xludf.DUMMYFUNCTION("""COMPUTED_VALUE"""),"NÃO")</f>
        <v>NÃO</v>
      </c>
      <c r="X988" s="5" t="str">
        <f>IFERROR(__xludf.DUMMYFUNCTION("""COMPUTED_VALUE"""),"NÃO SE APLICA")</f>
        <v>NÃO SE APLICA</v>
      </c>
    </row>
    <row r="989" hidden="1">
      <c r="A989" s="5">
        <f>IFERROR(__xludf.DUMMYFUNCTION("""COMPUTED_VALUE"""),4.0)</f>
        <v>4</v>
      </c>
      <c r="B989" s="5" t="str">
        <f>IFERROR(__xludf.DUMMYFUNCTION("""COMPUTED_VALUE"""),"FV014")</f>
        <v>FV014</v>
      </c>
      <c r="C989" s="5" t="str">
        <f>IFERROR(__xludf.DUMMYFUNCTION("""COMPUTED_VALUE"""),"NÃO POSSUI")</f>
        <v>NÃO POSSUI</v>
      </c>
      <c r="D989" s="5" t="str">
        <f>IFERROR(__xludf.DUMMYFUNCTION("""COMPUTED_VALUE"""),"COM SUPORTE")</f>
        <v>COM SUPORTE</v>
      </c>
      <c r="E989" s="5" t="str">
        <f>IFERROR(__xludf.DUMMYFUNCTION("""COMPUTED_VALUE"""),"SEM BAIA")</f>
        <v>SEM BAIA</v>
      </c>
      <c r="F989" s="5" t="str">
        <f>IFERROR(__xludf.DUMMYFUNCTION("""COMPUTED_VALUE"""),"NÃO")</f>
        <v>NÃO</v>
      </c>
      <c r="G989" s="5" t="str">
        <f>IFERROR(__xludf.DUMMYFUNCTION("""COMPUTED_VALUE"""),"NÃO")</f>
        <v>NÃO</v>
      </c>
      <c r="H989" s="5" t="str">
        <f>IFERROR(__xludf.DUMMYFUNCTION("""COMPUTED_VALUE"""),"PAVIMENTADA")</f>
        <v>PAVIMENTADA</v>
      </c>
      <c r="I989" s="6" t="str">
        <f>IFERROR(__xludf.DUMMYFUNCTION("""COMPUTED_VALUE"""),"-9.589334")</f>
        <v>-9.589334</v>
      </c>
      <c r="J989" s="6" t="str">
        <f>IFERROR(__xludf.DUMMYFUNCTION("""COMPUTED_VALUE"""),"-35.789940")</f>
        <v>-35.789940</v>
      </c>
      <c r="K989" s="5" t="str">
        <f>IFERROR(__xludf.DUMMYFUNCTION("""COMPUTED_VALUE"""),"AV. VALDEMAR RUFINO DOS SANTOS 1733")</f>
        <v>AV. VALDEMAR RUFINO DOS SANTOS 1733</v>
      </c>
      <c r="L989" s="5" t="str">
        <f>IFERROR(__xludf.DUMMYFUNCTION("""COMPUTED_VALUE"""),"LOCAL")</f>
        <v>LOCAL</v>
      </c>
      <c r="M989" s="5" t="str">
        <f>IFERROR(__xludf.DUMMYFUNCTION("""COMPUTED_VALUE"""),"FERNÃO VELHO ")</f>
        <v>FERNÃO VELHO </v>
      </c>
      <c r="N989" s="5" t="str">
        <f>IFERROR(__xludf.DUMMYFUNCTION("""COMPUTED_VALUE"""),"BAIRRO - CENTRO")</f>
        <v>BAIRRO - CENTRO</v>
      </c>
      <c r="O989" s="5" t="str">
        <f>IFERROR(__xludf.DUMMYFUNCTION("""COMPUTED_VALUE"""),"CASA 81K")</f>
        <v>CASA 81K</v>
      </c>
      <c r="P989" s="5" t="str">
        <f>IFERROR(__xludf.DUMMYFUNCTION("""COMPUTED_VALUE"""),"PRIORIDADE BAIXA")</f>
        <v>PRIORIDADE BAIXA</v>
      </c>
      <c r="Q989" s="5" t="str">
        <f>IFERROR(__xludf.DUMMYFUNCTION("""COMPUTED_VALUE"""),"READEQUAÇÃO DE CALÇADA COM ACESSIBILIDADE E PINTURA DE BAÍA NO ASFALTO")</f>
        <v>READEQUAÇÃO DE CALÇADA COM ACESSIBILIDADE E PINTURA DE BAÍA NO ASFALTO</v>
      </c>
      <c r="R989" s="5" t="str">
        <f>IFERROR(__xludf.DUMMYFUNCTION("""COMPUTED_VALUE"""),"NENHUMA DAS OPÇÕES")</f>
        <v>NENHUMA DAS OPÇÕES</v>
      </c>
      <c r="S989" s="7">
        <f>IFERROR(__xludf.DUMMYFUNCTION("""COMPUTED_VALUE"""),44848.0)</f>
        <v>44848</v>
      </c>
      <c r="T989" s="5"/>
      <c r="U989" s="5"/>
      <c r="V989" s="9" t="str">
        <f>IFERROR(__xludf.DUMMYFUNCTION("""COMPUTED_VALUE"""),"https://drive.google.com/uc?id=18zc9VfAz143A86SQ6Jzi4TrPudOU1uxb")</f>
        <v>https://drive.google.com/uc?id=18zc9VfAz143A86SQ6Jzi4TrPudOU1uxb</v>
      </c>
      <c r="W989" s="5" t="str">
        <f>IFERROR(__xludf.DUMMYFUNCTION("""COMPUTED_VALUE"""),"NÃO")</f>
        <v>NÃO</v>
      </c>
      <c r="X989" s="5" t="str">
        <f>IFERROR(__xludf.DUMMYFUNCTION("""COMPUTED_VALUE"""),"NÃO SE APLICA")</f>
        <v>NÃO SE APLICA</v>
      </c>
    </row>
    <row r="990" hidden="1">
      <c r="A990" s="5">
        <f>IFERROR(__xludf.DUMMYFUNCTION("IMPORTRANGE(""https://docs.google.com/spreadsheets/d/1zsUaGcapKI8nFhFHzkKqQm76kpV8QjqjUiktsuAdmUw/edit#gid=1148596702"", ""PETRÓPOLIS!A3:X56"")"),4.0)</f>
        <v>4</v>
      </c>
      <c r="B990" s="5" t="str">
        <f>IFERROR(__xludf.DUMMYFUNCTION("""COMPUTED_VALUE"""),"PT001")</f>
        <v>PT001</v>
      </c>
      <c r="C990" s="5" t="str">
        <f>IFERROR(__xludf.DUMMYFUNCTION("""COMPUTED_VALUE"""),"NÃO POSSUI")</f>
        <v>NÃO POSSUI</v>
      </c>
      <c r="D990" s="5" t="str">
        <f>IFERROR(__xludf.DUMMYFUNCTION("""COMPUTED_VALUE"""),"FIXADA EM POSTE")</f>
        <v>FIXADA EM POSTE</v>
      </c>
      <c r="E990" s="5" t="str">
        <f>IFERROR(__xludf.DUMMYFUNCTION("""COMPUTED_VALUE"""),"SEM BAIA")</f>
        <v>SEM BAIA</v>
      </c>
      <c r="F990" s="5" t="str">
        <f>IFERROR(__xludf.DUMMYFUNCTION("""COMPUTED_VALUE"""),"NÃO")</f>
        <v>NÃO</v>
      </c>
      <c r="G990" s="5" t="str">
        <f>IFERROR(__xludf.DUMMYFUNCTION("""COMPUTED_VALUE"""),"NÃO")</f>
        <v>NÃO</v>
      </c>
      <c r="H990" s="5" t="str">
        <f>IFERROR(__xludf.DUMMYFUNCTION("""COMPUTED_VALUE"""),"PAVIMENTADA")</f>
        <v>PAVIMENTADA</v>
      </c>
      <c r="I990" s="6" t="str">
        <f>IFERROR(__xludf.DUMMYFUNCTION("""COMPUTED_VALUE"""),"-9.615007")</f>
        <v>-9.615007</v>
      </c>
      <c r="J990" s="6" t="str">
        <f>IFERROR(__xludf.DUMMYFUNCTION("""COMPUTED_VALUE"""),"-35.756402")</f>
        <v>-35.756402</v>
      </c>
      <c r="K990" s="5" t="str">
        <f>IFERROR(__xludf.DUMMYFUNCTION("""COMPUTED_VALUE"""),"R. MARQUÊS DE ABRANTES, 148 ")</f>
        <v>R. MARQUÊS DE ABRANTES, 148 </v>
      </c>
      <c r="L990" s="5" t="str">
        <f>IFERROR(__xludf.DUMMYFUNCTION("""COMPUTED_VALUE"""),"LOCAL")</f>
        <v>LOCAL</v>
      </c>
      <c r="M990" s="5" t="str">
        <f>IFERROR(__xludf.DUMMYFUNCTION("""COMPUTED_VALUE"""),"PETRÓPOLIS ")</f>
        <v>PETRÓPOLIS </v>
      </c>
      <c r="N990" s="5" t="str">
        <f>IFERROR(__xludf.DUMMYFUNCTION("""COMPUTED_VALUE"""),"BAIRRO - CENTRO")</f>
        <v>BAIRRO - CENTRO</v>
      </c>
      <c r="O990" s="5" t="str">
        <f>IFERROR(__xludf.DUMMYFUNCTION("""COMPUTED_VALUE"""),"NA FRENTE DA ADEPOL E PRÓXIMO A SEMARH")</f>
        <v>NA FRENTE DA ADEPOL E PRÓXIMO A SEMARH</v>
      </c>
      <c r="P990" s="5" t="str">
        <f>IFERROR(__xludf.DUMMYFUNCTION("""COMPUTED_VALUE"""),"PRIORIDADE BAIXA")</f>
        <v>PRIORIDADE BAIXA</v>
      </c>
      <c r="Q990" s="5"/>
      <c r="R990" s="5" t="str">
        <f>IFERROR(__xludf.DUMMYFUNCTION("""COMPUTED_VALUE"""),"IMPLANTAR ABRIGO")</f>
        <v>IMPLANTAR ABRIGO</v>
      </c>
      <c r="S990" s="5"/>
      <c r="T990" s="5" t="str">
        <f>IFERROR(__xludf.DUMMYFUNCTION("""COMPUTED_VALUE"""),"NÃO REALIZADO")</f>
        <v>NÃO REALIZADO</v>
      </c>
      <c r="U990" s="5"/>
      <c r="V990" s="9" t="str">
        <f>IFERROR(__xludf.DUMMYFUNCTION("""COMPUTED_VALUE"""),"https://drive.google.com/uc?id=1U40JTOMVLD5-a2bw1hlIh_7zj9ipvseu")</f>
        <v>https://drive.google.com/uc?id=1U40JTOMVLD5-a2bw1hlIh_7zj9ipvseu</v>
      </c>
      <c r="W990" s="5" t="str">
        <f>IFERROR(__xludf.DUMMYFUNCTION("""COMPUTED_VALUE"""),"NÃO")</f>
        <v>NÃO</v>
      </c>
      <c r="X990" s="5" t="str">
        <f>IFERROR(__xludf.DUMMYFUNCTION("""COMPUTED_VALUE"""),"NÃO SE APLICA")</f>
        <v>NÃO SE APLICA</v>
      </c>
    </row>
    <row r="991" hidden="1">
      <c r="A991" s="5">
        <f>IFERROR(__xludf.DUMMYFUNCTION("""COMPUTED_VALUE"""),4.0)</f>
        <v>4</v>
      </c>
      <c r="B991" s="5" t="str">
        <f>IFERROR(__xludf.DUMMYFUNCTION("""COMPUTED_VALUE"""),"PT002")</f>
        <v>PT002</v>
      </c>
      <c r="C991" s="5" t="str">
        <f>IFERROR(__xludf.DUMMYFUNCTION("""COMPUTED_VALUE"""),"NÃO POSSUI")</f>
        <v>NÃO POSSUI</v>
      </c>
      <c r="D991" s="5" t="str">
        <f>IFERROR(__xludf.DUMMYFUNCTION("""COMPUTED_VALUE"""),"FIXADA EM POSTE")</f>
        <v>FIXADA EM POSTE</v>
      </c>
      <c r="E991" s="5" t="str">
        <f>IFERROR(__xludf.DUMMYFUNCTION("""COMPUTED_VALUE"""),"SEM BAIA")</f>
        <v>SEM BAIA</v>
      </c>
      <c r="F991" s="5" t="str">
        <f>IFERROR(__xludf.DUMMYFUNCTION("""COMPUTED_VALUE"""),"NÃO")</f>
        <v>NÃO</v>
      </c>
      <c r="G991" s="5" t="str">
        <f>IFERROR(__xludf.DUMMYFUNCTION("""COMPUTED_VALUE"""),"NÃO")</f>
        <v>NÃO</v>
      </c>
      <c r="H991" s="5" t="str">
        <f>IFERROR(__xludf.DUMMYFUNCTION("""COMPUTED_VALUE"""),"PAVIMENTADA")</f>
        <v>PAVIMENTADA</v>
      </c>
      <c r="I991" s="6" t="str">
        <f>IFERROR(__xludf.DUMMYFUNCTION("""COMPUTED_VALUE"""),"-9.601800")</f>
        <v>-9.601800</v>
      </c>
      <c r="J991" s="6" t="str">
        <f>IFERROR(__xludf.DUMMYFUNCTION("""COMPUTED_VALUE"""),"-35.758122")</f>
        <v>-35.758122</v>
      </c>
      <c r="K991" s="5" t="str">
        <f>IFERROR(__xludf.DUMMYFUNCTION("""COMPUTED_VALUE"""),"AVENIDA GALBA NOVAES DE CASTRO")</f>
        <v>AVENIDA GALBA NOVAES DE CASTRO</v>
      </c>
      <c r="L991" s="5" t="str">
        <f>IFERROR(__xludf.DUMMYFUNCTION("""COMPUTED_VALUE"""),"COLETORA")</f>
        <v>COLETORA</v>
      </c>
      <c r="M991" s="5" t="str">
        <f>IFERROR(__xludf.DUMMYFUNCTION("""COMPUTED_VALUE"""),"PETRÓPOLIS ")</f>
        <v>PETRÓPOLIS </v>
      </c>
      <c r="N991" s="5" t="str">
        <f>IFERROR(__xludf.DUMMYFUNCTION("""COMPUTED_VALUE"""),"CENTRO - BAIRRO")</f>
        <v>CENTRO - BAIRRO</v>
      </c>
      <c r="O991" s="5" t="str">
        <f>IFERROR(__xludf.DUMMYFUNCTION("""COMPUTED_VALUE"""),"NA FRENTE DA ADEPOL")</f>
        <v>NA FRENTE DA ADEPOL</v>
      </c>
      <c r="P991" s="5" t="str">
        <f>IFERROR(__xludf.DUMMYFUNCTION("""COMPUTED_VALUE"""),"PRIORIDADE BAIXA")</f>
        <v>PRIORIDADE BAIXA</v>
      </c>
      <c r="Q991" s="5"/>
      <c r="R991" s="5" t="str">
        <f>IFERROR(__xludf.DUMMYFUNCTION("""COMPUTED_VALUE"""),"IMPLANTAR ABRIGO")</f>
        <v>IMPLANTAR ABRIGO</v>
      </c>
      <c r="S991" s="5"/>
      <c r="T991" s="5"/>
      <c r="U991" s="5"/>
      <c r="V991" s="9" t="str">
        <f>IFERROR(__xludf.DUMMYFUNCTION("""COMPUTED_VALUE"""),"https://drive.google.com/uc?id=1IP4vycDvWDvXrMc-u9D5iCYjTnAckFO8")</f>
        <v>https://drive.google.com/uc?id=1IP4vycDvWDvXrMc-u9D5iCYjTnAckFO8</v>
      </c>
      <c r="W991" s="5" t="str">
        <f>IFERROR(__xludf.DUMMYFUNCTION("""COMPUTED_VALUE"""),"NÃO")</f>
        <v>NÃO</v>
      </c>
      <c r="X991" s="5" t="str">
        <f>IFERROR(__xludf.DUMMYFUNCTION("""COMPUTED_VALUE"""),"NÃO SE APLICA")</f>
        <v>NÃO SE APLICA</v>
      </c>
    </row>
    <row r="992">
      <c r="A992" s="5">
        <f>IFERROR(__xludf.DUMMYFUNCTION("""COMPUTED_VALUE"""),4.0)</f>
        <v>4</v>
      </c>
      <c r="B992" s="5" t="str">
        <f>IFERROR(__xludf.DUMMYFUNCTION("""COMPUTED_VALUE"""),"PT004")</f>
        <v>PT004</v>
      </c>
      <c r="C992" s="5" t="str">
        <f>IFERROR(__xludf.DUMMYFUNCTION("""COMPUTED_VALUE"""),"ABRIGO METÁLICO PEQUENO PORTE")</f>
        <v>ABRIGO METÁLICO PEQUENO PORTE</v>
      </c>
      <c r="D992" s="5" t="str">
        <f>IFERROR(__xludf.DUMMYFUNCTION("""COMPUTED_VALUE"""),"SEM PLACA")</f>
        <v>SEM PLACA</v>
      </c>
      <c r="E992" s="5" t="str">
        <f>IFERROR(__xludf.DUMMYFUNCTION("""COMPUTED_VALUE"""),"SEM BAIA")</f>
        <v>SEM BAIA</v>
      </c>
      <c r="F992" s="5" t="str">
        <f>IFERROR(__xludf.DUMMYFUNCTION("""COMPUTED_VALUE"""),"NÃO")</f>
        <v>NÃO</v>
      </c>
      <c r="G992" s="5" t="str">
        <f>IFERROR(__xludf.DUMMYFUNCTION("""COMPUTED_VALUE"""),"NÃO")</f>
        <v>NÃO</v>
      </c>
      <c r="H992" s="5" t="str">
        <f>IFERROR(__xludf.DUMMYFUNCTION("""COMPUTED_VALUE"""),"PAVIMENTADA")</f>
        <v>PAVIMENTADA</v>
      </c>
      <c r="I992" s="6" t="str">
        <f>IFERROR(__xludf.DUMMYFUNCTION("""COMPUTED_VALUE"""),"-9.593268")</f>
        <v>-9.593268</v>
      </c>
      <c r="J992" s="6" t="str">
        <f>IFERROR(__xludf.DUMMYFUNCTION("""COMPUTED_VALUE"""),"-35.755212")</f>
        <v>-35.755212</v>
      </c>
      <c r="K992" s="5" t="str">
        <f>IFERROR(__xludf.DUMMYFUNCTION("""COMPUTED_VALUE"""),"AV. DURVAL DE GÓES MONTEIRO")</f>
        <v>AV. DURVAL DE GÓES MONTEIRO</v>
      </c>
      <c r="L992" s="5" t="str">
        <f>IFERROR(__xludf.DUMMYFUNCTION("""COMPUTED_VALUE"""),"ARTERIAL ")</f>
        <v>ARTERIAL </v>
      </c>
      <c r="M992" s="5" t="str">
        <f>IFERROR(__xludf.DUMMYFUNCTION("""COMPUTED_VALUE"""),"PETRÓPOLIS ")</f>
        <v>PETRÓPOLIS </v>
      </c>
      <c r="N992" s="5" t="str">
        <f>IFERROR(__xludf.DUMMYFUNCTION("""COMPUTED_VALUE"""),"BAIRRO - CENTRO")</f>
        <v>BAIRRO - CENTRO</v>
      </c>
      <c r="O992" s="5" t="str">
        <f>IFERROR(__xludf.DUMMYFUNCTION("""COMPUTED_VALUE"""),"NA FRENTE DO CONDOMÍNIO RESIDENCIAL JACARECICA")</f>
        <v>NA FRENTE DO CONDOMÍNIO RESIDENCIAL JACARECICA</v>
      </c>
      <c r="P992" s="5" t="str">
        <f>IFERROR(__xludf.DUMMYFUNCTION("""COMPUTED_VALUE"""),"PRIORIDADE BAIXA")</f>
        <v>PRIORIDADE BAIXA</v>
      </c>
      <c r="Q992" s="5"/>
      <c r="R992" s="5" t="str">
        <f>IFERROR(__xludf.DUMMYFUNCTION("""COMPUTED_VALUE"""),"NENHUMA DAS OPÇÕES")</f>
        <v>NENHUMA DAS OPÇÕES</v>
      </c>
      <c r="S992" s="5"/>
      <c r="T992" s="5"/>
      <c r="U992" s="5"/>
      <c r="V992" s="9" t="str">
        <f>IFERROR(__xludf.DUMMYFUNCTION("""COMPUTED_VALUE"""),"https://drive.google.com/uc?id=1FGZNLTsLXdjtU1OBPpv17PnxrC0zAHI7")</f>
        <v>https://drive.google.com/uc?id=1FGZNLTsLXdjtU1OBPpv17PnxrC0zAHI7</v>
      </c>
      <c r="W992" s="5" t="str">
        <f>IFERROR(__xludf.DUMMYFUNCTION("""COMPUTED_VALUE"""),"NÃO")</f>
        <v>NÃO</v>
      </c>
      <c r="X992" s="5" t="str">
        <f>IFERROR(__xludf.DUMMYFUNCTION("""COMPUTED_VALUE"""),"NÃO")</f>
        <v>NÃO</v>
      </c>
    </row>
    <row r="993">
      <c r="A993" s="5">
        <f>IFERROR(__xludf.DUMMYFUNCTION("""COMPUTED_VALUE"""),4.0)</f>
        <v>4</v>
      </c>
      <c r="B993" s="5" t="str">
        <f>IFERROR(__xludf.DUMMYFUNCTION("""COMPUTED_VALUE"""),"PT005")</f>
        <v>PT005</v>
      </c>
      <c r="C993" s="5" t="str">
        <f>IFERROR(__xludf.DUMMYFUNCTION("""COMPUTED_VALUE"""),"ABRIGO METÁLICO PEQUENO PORTE")</f>
        <v>ABRIGO METÁLICO PEQUENO PORTE</v>
      </c>
      <c r="D993" s="5" t="str">
        <f>IFERROR(__xludf.DUMMYFUNCTION("""COMPUTED_VALUE"""),"COM SUPORTE")</f>
        <v>COM SUPORTE</v>
      </c>
      <c r="E993" s="5" t="str">
        <f>IFERROR(__xludf.DUMMYFUNCTION("""COMPUTED_VALUE"""),"SEM BAIA")</f>
        <v>SEM BAIA</v>
      </c>
      <c r="F993" s="5" t="str">
        <f>IFERROR(__xludf.DUMMYFUNCTION("""COMPUTED_VALUE"""),"NÃO")</f>
        <v>NÃO</v>
      </c>
      <c r="G993" s="5" t="str">
        <f>IFERROR(__xludf.DUMMYFUNCTION("""COMPUTED_VALUE"""),"NÃO")</f>
        <v>NÃO</v>
      </c>
      <c r="H993" s="5" t="str">
        <f>IFERROR(__xludf.DUMMYFUNCTION("""COMPUTED_VALUE"""),"PAVIMENTADA")</f>
        <v>PAVIMENTADA</v>
      </c>
      <c r="I993" s="6" t="str">
        <f>IFERROR(__xludf.DUMMYFUNCTION("""COMPUTED_VALUE"""),"-9.592132")</f>
        <v>-9.592132</v>
      </c>
      <c r="J993" s="6" t="str">
        <f>IFERROR(__xludf.DUMMYFUNCTION("""COMPUTED_VALUE"""),"-35.757107")</f>
        <v>-35.757107</v>
      </c>
      <c r="K993" s="5" t="str">
        <f>IFERROR(__xludf.DUMMYFUNCTION("""COMPUTED_VALUE"""),"AV. DURVAL DE GÓES MONTEIRO")</f>
        <v>AV. DURVAL DE GÓES MONTEIRO</v>
      </c>
      <c r="L993" s="5" t="str">
        <f>IFERROR(__xludf.DUMMYFUNCTION("""COMPUTED_VALUE"""),"ARTERIAL ")</f>
        <v>ARTERIAL </v>
      </c>
      <c r="M993" s="5" t="str">
        <f>IFERROR(__xludf.DUMMYFUNCTION("""COMPUTED_VALUE"""),"PETRÓPOLIS ")</f>
        <v>PETRÓPOLIS </v>
      </c>
      <c r="N993" s="5" t="str">
        <f>IFERROR(__xludf.DUMMYFUNCTION("""COMPUTED_VALUE"""),"BAIRRO - CENTRO")</f>
        <v>BAIRRO - CENTRO</v>
      </c>
      <c r="O993" s="5" t="str">
        <f>IFERROR(__xludf.DUMMYFUNCTION("""COMPUTED_VALUE"""),"NA FRENTE DO CONDOMÍNIO RESIDENCIAL JACARECICA")</f>
        <v>NA FRENTE DO CONDOMÍNIO RESIDENCIAL JACARECICA</v>
      </c>
      <c r="P993" s="5" t="str">
        <f>IFERROR(__xludf.DUMMYFUNCTION("""COMPUTED_VALUE"""),"PRIORIDADE BAIXA")</f>
        <v>PRIORIDADE BAIXA</v>
      </c>
      <c r="Q993" s="5"/>
      <c r="R993" s="5" t="str">
        <f>IFERROR(__xludf.DUMMYFUNCTION("""COMPUTED_VALUE"""),"NENHUMA DAS OPÇÕES")</f>
        <v>NENHUMA DAS OPÇÕES</v>
      </c>
      <c r="S993" s="5"/>
      <c r="T993" s="5"/>
      <c r="U993" s="5"/>
      <c r="V993" s="9" t="str">
        <f>IFERROR(__xludf.DUMMYFUNCTION("""COMPUTED_VALUE"""),"https://drive.google.com/uc?id=1LNweNvGgg802mdmPkqX0isN9BkIoxJ7_")</f>
        <v>https://drive.google.com/uc?id=1LNweNvGgg802mdmPkqX0isN9BkIoxJ7_</v>
      </c>
      <c r="W993" s="5" t="str">
        <f>IFERROR(__xludf.DUMMYFUNCTION("""COMPUTED_VALUE"""),"NÃO")</f>
        <v>NÃO</v>
      </c>
      <c r="X993" s="5" t="str">
        <f>IFERROR(__xludf.DUMMYFUNCTION("""COMPUTED_VALUE"""),"NÃO SE APLICA")</f>
        <v>NÃO SE APLICA</v>
      </c>
    </row>
    <row r="994">
      <c r="A994" s="5">
        <f>IFERROR(__xludf.DUMMYFUNCTION("""COMPUTED_VALUE"""),4.0)</f>
        <v>4</v>
      </c>
      <c r="B994" s="5" t="str">
        <f>IFERROR(__xludf.DUMMYFUNCTION("""COMPUTED_VALUE"""),"PT006")</f>
        <v>PT006</v>
      </c>
      <c r="C994" s="5" t="str">
        <f>IFERROR(__xludf.DUMMYFUNCTION("""COMPUTED_VALUE"""),"ABRIGO METÁLICO PEQUENO PORTE")</f>
        <v>ABRIGO METÁLICO PEQUENO PORTE</v>
      </c>
      <c r="D994" s="5" t="str">
        <f>IFERROR(__xludf.DUMMYFUNCTION("""COMPUTED_VALUE"""),"COM SUPORTE")</f>
        <v>COM SUPORTE</v>
      </c>
      <c r="E994" s="5" t="str">
        <f>IFERROR(__xludf.DUMMYFUNCTION("""COMPUTED_VALUE"""),"SEM BAIA")</f>
        <v>SEM BAIA</v>
      </c>
      <c r="F994" s="5" t="str">
        <f>IFERROR(__xludf.DUMMYFUNCTION("""COMPUTED_VALUE"""),"NÃO")</f>
        <v>NÃO</v>
      </c>
      <c r="G994" s="5" t="str">
        <f>IFERROR(__xludf.DUMMYFUNCTION("""COMPUTED_VALUE"""),"NÃO")</f>
        <v>NÃO</v>
      </c>
      <c r="H994" s="5" t="str">
        <f>IFERROR(__xludf.DUMMYFUNCTION("""COMPUTED_VALUE"""),"PAVIMENTADA")</f>
        <v>PAVIMENTADA</v>
      </c>
      <c r="I994" s="6" t="str">
        <f>IFERROR(__xludf.DUMMYFUNCTION("""COMPUTED_VALUE"""),"-9.59486")</f>
        <v>-9.59486</v>
      </c>
      <c r="J994" s="6" t="str">
        <f>IFERROR(__xludf.DUMMYFUNCTION("""COMPUTED_VALUE"""),"-35.75260")</f>
        <v>-35.75260</v>
      </c>
      <c r="K994" s="5" t="str">
        <f>IFERROR(__xludf.DUMMYFUNCTION("""COMPUTED_VALUE"""),"AV. DURVAL DE GÓES MONTEIRO")</f>
        <v>AV. DURVAL DE GÓES MONTEIRO</v>
      </c>
      <c r="L994" s="5" t="str">
        <f>IFERROR(__xludf.DUMMYFUNCTION("""COMPUTED_VALUE"""),"ARTERIAL ")</f>
        <v>ARTERIAL </v>
      </c>
      <c r="M994" s="5" t="str">
        <f>IFERROR(__xludf.DUMMYFUNCTION("""COMPUTED_VALUE"""),"PETRÓPOLIS ")</f>
        <v>PETRÓPOLIS </v>
      </c>
      <c r="N994" s="5" t="str">
        <f>IFERROR(__xludf.DUMMYFUNCTION("""COMPUTED_VALUE"""),"BAIRRO - CENTRO")</f>
        <v>BAIRRO - CENTRO</v>
      </c>
      <c r="O994" s="5" t="str">
        <f>IFERROR(__xludf.DUMMYFUNCTION("""COMPUTED_VALUE"""),"NA FRENTE DOS PRÉDIOS ANTIGOS DA JACARECICA")</f>
        <v>NA FRENTE DOS PRÉDIOS ANTIGOS DA JACARECICA</v>
      </c>
      <c r="P994" s="5" t="str">
        <f>IFERROR(__xludf.DUMMYFUNCTION("""COMPUTED_VALUE"""),"PRIORIDADE BAIXA")</f>
        <v>PRIORIDADE BAIXA</v>
      </c>
      <c r="Q994" s="5"/>
      <c r="R994" s="5" t="str">
        <f>IFERROR(__xludf.DUMMYFUNCTION("""COMPUTED_VALUE"""),"NENHUMA DAS OPÇÕES")</f>
        <v>NENHUMA DAS OPÇÕES</v>
      </c>
      <c r="S994" s="5"/>
      <c r="T994" s="5"/>
      <c r="U994" s="5"/>
      <c r="V994" s="9" t="str">
        <f>IFERROR(__xludf.DUMMYFUNCTION("""COMPUTED_VALUE"""),"https://drive.google.com/uc?id=1sfDXTUPlIsBc1Vk9icpbfSk6ZhEeTXej")</f>
        <v>https://drive.google.com/uc?id=1sfDXTUPlIsBc1Vk9icpbfSk6ZhEeTXej</v>
      </c>
      <c r="W994" s="5" t="str">
        <f>IFERROR(__xludf.DUMMYFUNCTION("""COMPUTED_VALUE"""),"NÃO")</f>
        <v>NÃO</v>
      </c>
      <c r="X994" s="5" t="str">
        <f>IFERROR(__xludf.DUMMYFUNCTION("""COMPUTED_VALUE"""),"NÃO SE APLICA")</f>
        <v>NÃO SE APLICA</v>
      </c>
    </row>
    <row r="995">
      <c r="A995" s="5">
        <f>IFERROR(__xludf.DUMMYFUNCTION("""COMPUTED_VALUE"""),4.0)</f>
        <v>4</v>
      </c>
      <c r="B995" s="5" t="str">
        <f>IFERROR(__xludf.DUMMYFUNCTION("""COMPUTED_VALUE"""),"PT007")</f>
        <v>PT007</v>
      </c>
      <c r="C995" s="5" t="str">
        <f>IFERROR(__xludf.DUMMYFUNCTION("""COMPUTED_VALUE"""),"ABRIGO CONCRETO")</f>
        <v>ABRIGO CONCRETO</v>
      </c>
      <c r="D995" s="5" t="str">
        <f>IFERROR(__xludf.DUMMYFUNCTION("""COMPUTED_VALUE"""),"SEM PLACA")</f>
        <v>SEM PLACA</v>
      </c>
      <c r="E995" s="5" t="str">
        <f>IFERROR(__xludf.DUMMYFUNCTION("""COMPUTED_VALUE"""),"SEM BAIA")</f>
        <v>SEM BAIA</v>
      </c>
      <c r="F995" s="5" t="str">
        <f>IFERROR(__xludf.DUMMYFUNCTION("""COMPUTED_VALUE"""),"NÃO")</f>
        <v>NÃO</v>
      </c>
      <c r="G995" s="5" t="str">
        <f>IFERROR(__xludf.DUMMYFUNCTION("""COMPUTED_VALUE"""),"NÃO")</f>
        <v>NÃO</v>
      </c>
      <c r="H995" s="5" t="str">
        <f>IFERROR(__xludf.DUMMYFUNCTION("""COMPUTED_VALUE"""),"PAVIMENTADA")</f>
        <v>PAVIMENTADA</v>
      </c>
      <c r="I995" s="6" t="str">
        <f>IFERROR(__xludf.DUMMYFUNCTION("""COMPUTED_VALUE"""),"-9.596158")</f>
        <v>-9.596158</v>
      </c>
      <c r="J995" s="6" t="str">
        <f>IFERROR(__xludf.DUMMYFUNCTION("""COMPUTED_VALUE"""),"-35.752993")</f>
        <v>-35.752993</v>
      </c>
      <c r="K995" s="5" t="str">
        <f>IFERROR(__xludf.DUMMYFUNCTION("""COMPUTED_VALUE"""),"AV. GALBA NOVAES DE CASTRO")</f>
        <v>AV. GALBA NOVAES DE CASTRO</v>
      </c>
      <c r="L995" s="5" t="str">
        <f>IFERROR(__xludf.DUMMYFUNCTION("""COMPUTED_VALUE"""),"COLETORA")</f>
        <v>COLETORA</v>
      </c>
      <c r="M995" s="5" t="str">
        <f>IFERROR(__xludf.DUMMYFUNCTION("""COMPUTED_VALUE"""),"PETRÓPOLIS ")</f>
        <v>PETRÓPOLIS </v>
      </c>
      <c r="N995" s="5" t="str">
        <f>IFERROR(__xludf.DUMMYFUNCTION("""COMPUTED_VALUE"""),"CENTRO - BAIRRO")</f>
        <v>CENTRO - BAIRRO</v>
      </c>
      <c r="O995" s="5" t="str">
        <f>IFERROR(__xludf.DUMMYFUNCTION("""COMPUTED_VALUE"""),"NA FRENTE DO PET SHOP REI DO TRATO")</f>
        <v>NA FRENTE DO PET SHOP REI DO TRATO</v>
      </c>
      <c r="P995" s="5" t="str">
        <f>IFERROR(__xludf.DUMMYFUNCTION("""COMPUTED_VALUE"""),"PRIORIDADE BAIXA")</f>
        <v>PRIORIDADE BAIXA</v>
      </c>
      <c r="Q995" s="5"/>
      <c r="R995" s="5" t="str">
        <f>IFERROR(__xludf.DUMMYFUNCTION("""COMPUTED_VALUE"""),"SUBSTITUIR ABRIGO")</f>
        <v>SUBSTITUIR ABRIGO</v>
      </c>
      <c r="S995" s="5"/>
      <c r="T995" s="5"/>
      <c r="U995" s="5"/>
      <c r="V995" s="9" t="str">
        <f>IFERROR(__xludf.DUMMYFUNCTION("""COMPUTED_VALUE"""),"https://drive.google.com/uc?id=15fUFRFOhIK5l3vJiEwufhJKLsgoUmmwB")</f>
        <v>https://drive.google.com/uc?id=15fUFRFOhIK5l3vJiEwufhJKLsgoUmmwB</v>
      </c>
      <c r="W995" s="5" t="str">
        <f>IFERROR(__xludf.DUMMYFUNCTION("""COMPUTED_VALUE"""),"NÃO")</f>
        <v>NÃO</v>
      </c>
      <c r="X995" s="5" t="str">
        <f>IFERROR(__xludf.DUMMYFUNCTION("""COMPUTED_VALUE"""),"NÃO SE APLICA")</f>
        <v>NÃO SE APLICA</v>
      </c>
    </row>
    <row r="996">
      <c r="A996" s="5">
        <f>IFERROR(__xludf.DUMMYFUNCTION("""COMPUTED_VALUE"""),4.0)</f>
        <v>4</v>
      </c>
      <c r="B996" s="5" t="str">
        <f>IFERROR(__xludf.DUMMYFUNCTION("""COMPUTED_VALUE"""),"PT008")</f>
        <v>PT008</v>
      </c>
      <c r="C996" s="5" t="str">
        <f>IFERROR(__xludf.DUMMYFUNCTION("""COMPUTED_VALUE"""),"ABRIGO METÁLICO PEQUENO PORTE")</f>
        <v>ABRIGO METÁLICO PEQUENO PORTE</v>
      </c>
      <c r="D996" s="5" t="str">
        <f>IFERROR(__xludf.DUMMYFUNCTION("""COMPUTED_VALUE"""),"SEM PLACA")</f>
        <v>SEM PLACA</v>
      </c>
      <c r="E996" s="5" t="str">
        <f>IFERROR(__xludf.DUMMYFUNCTION("""COMPUTED_VALUE"""),"SEM BAIA")</f>
        <v>SEM BAIA</v>
      </c>
      <c r="F996" s="5" t="str">
        <f>IFERROR(__xludf.DUMMYFUNCTION("""COMPUTED_VALUE"""),"NÃO")</f>
        <v>NÃO</v>
      </c>
      <c r="G996" s="5" t="str">
        <f>IFERROR(__xludf.DUMMYFUNCTION("""COMPUTED_VALUE"""),"NÃO")</f>
        <v>NÃO</v>
      </c>
      <c r="H996" s="5" t="str">
        <f>IFERROR(__xludf.DUMMYFUNCTION("""COMPUTED_VALUE"""),"PAVIMENTADA")</f>
        <v>PAVIMENTADA</v>
      </c>
      <c r="I996" s="6" t="str">
        <f>IFERROR(__xludf.DUMMYFUNCTION("""COMPUTED_VALUE"""),"-9.601968")</f>
        <v>-9.601968</v>
      </c>
      <c r="J996" s="6" t="str">
        <f>IFERROR(__xludf.DUMMYFUNCTION("""COMPUTED_VALUE"""),"-35.754247")</f>
        <v>-35.754247</v>
      </c>
      <c r="K996" s="5" t="str">
        <f>IFERROR(__xludf.DUMMYFUNCTION("""COMPUTED_VALUE"""),"RUA SEM NOME")</f>
        <v>RUA SEM NOME</v>
      </c>
      <c r="L996" s="5" t="str">
        <f>IFERROR(__xludf.DUMMYFUNCTION("""COMPUTED_VALUE"""),"LOCAL")</f>
        <v>LOCAL</v>
      </c>
      <c r="M996" s="5" t="str">
        <f>IFERROR(__xludf.DUMMYFUNCTION("""COMPUTED_VALUE"""),"PETRÓPOLIS ")</f>
        <v>PETRÓPOLIS </v>
      </c>
      <c r="N996" s="5" t="str">
        <f>IFERROR(__xludf.DUMMYFUNCTION("""COMPUTED_VALUE"""),"BAIRRO - CENTRO / CENTRO - BAIRRO")</f>
        <v>BAIRRO - CENTRO / CENTRO - BAIRRO</v>
      </c>
      <c r="O996" s="5" t="str">
        <f>IFERROR(__xludf.DUMMYFUNCTION("""COMPUTED_VALUE"""),"NA FRENTE AO MOTEL CEQSABE")</f>
        <v>NA FRENTE AO MOTEL CEQSABE</v>
      </c>
      <c r="P996" s="5" t="str">
        <f>IFERROR(__xludf.DUMMYFUNCTION("""COMPUTED_VALUE"""),"PRIORIDADE BAIXA")</f>
        <v>PRIORIDADE BAIXA</v>
      </c>
      <c r="Q996" s="5"/>
      <c r="R996" s="5" t="str">
        <f>IFERROR(__xludf.DUMMYFUNCTION("""COMPUTED_VALUE"""),"NENHUMA DAS OPÇÕES")</f>
        <v>NENHUMA DAS OPÇÕES</v>
      </c>
      <c r="S996" s="5"/>
      <c r="T996" s="5"/>
      <c r="U996" s="5"/>
      <c r="V996" s="9" t="str">
        <f>IFERROR(__xludf.DUMMYFUNCTION("""COMPUTED_VALUE"""),"https://drive.google.com/uc?id=1g8IyqcPVBdKryoYI2f8pkQ2vJE476yax")</f>
        <v>https://drive.google.com/uc?id=1g8IyqcPVBdKryoYI2f8pkQ2vJE476yax</v>
      </c>
      <c r="W996" s="5" t="str">
        <f>IFERROR(__xludf.DUMMYFUNCTION("""COMPUTED_VALUE"""),"NÃO")</f>
        <v>NÃO</v>
      </c>
      <c r="X996" s="5" t="str">
        <f>IFERROR(__xludf.DUMMYFUNCTION("""COMPUTED_VALUE"""),"NÃO")</f>
        <v>NÃO</v>
      </c>
    </row>
    <row r="997" hidden="1">
      <c r="A997" s="5">
        <f>IFERROR(__xludf.DUMMYFUNCTION("""COMPUTED_VALUE"""),4.0)</f>
        <v>4</v>
      </c>
      <c r="B997" s="5" t="str">
        <f>IFERROR(__xludf.DUMMYFUNCTION("""COMPUTED_VALUE"""),"PT009")</f>
        <v>PT009</v>
      </c>
      <c r="C997" s="5" t="str">
        <f>IFERROR(__xludf.DUMMYFUNCTION("""COMPUTED_VALUE"""),"NÃO POSSUI")</f>
        <v>NÃO POSSUI</v>
      </c>
      <c r="D997" s="5" t="str">
        <f>IFERROR(__xludf.DUMMYFUNCTION("""COMPUTED_VALUE"""),"COM SUPORTE")</f>
        <v>COM SUPORTE</v>
      </c>
      <c r="E997" s="5" t="str">
        <f>IFERROR(__xludf.DUMMYFUNCTION("""COMPUTED_VALUE"""),"SEM BAIA")</f>
        <v>SEM BAIA</v>
      </c>
      <c r="F997" s="5" t="str">
        <f>IFERROR(__xludf.DUMMYFUNCTION("""COMPUTED_VALUE"""),"NÃO")</f>
        <v>NÃO</v>
      </c>
      <c r="G997" s="5" t="str">
        <f>IFERROR(__xludf.DUMMYFUNCTION("""COMPUTED_VALUE"""),"NÃO")</f>
        <v>NÃO</v>
      </c>
      <c r="H997" s="5" t="str">
        <f>IFERROR(__xludf.DUMMYFUNCTION("""COMPUTED_VALUE"""),"PAVIMENTADA")</f>
        <v>PAVIMENTADA</v>
      </c>
      <c r="I997" s="6" t="str">
        <f>IFERROR(__xludf.DUMMYFUNCTION("""COMPUTED_VALUE"""),"-9.604137")</f>
        <v>-9.604137</v>
      </c>
      <c r="J997" s="6" t="str">
        <f>IFERROR(__xludf.DUMMYFUNCTION("""COMPUTED_VALUE"""),"-35.752360")</f>
        <v>-35.752360</v>
      </c>
      <c r="K997" s="5" t="str">
        <f>IFERROR(__xludf.DUMMYFUNCTION("""COMPUTED_VALUE"""),"RUA SEM NOME")</f>
        <v>RUA SEM NOME</v>
      </c>
      <c r="L997" s="5" t="str">
        <f>IFERROR(__xludf.DUMMYFUNCTION("""COMPUTED_VALUE"""),"LOCAL")</f>
        <v>LOCAL</v>
      </c>
      <c r="M997" s="5" t="str">
        <f>IFERROR(__xludf.DUMMYFUNCTION("""COMPUTED_VALUE"""),"PETRÓPOLIS ")</f>
        <v>PETRÓPOLIS </v>
      </c>
      <c r="N997" s="5" t="str">
        <f>IFERROR(__xludf.DUMMYFUNCTION("""COMPUTED_VALUE"""),"BAIRRO - CENTRO / CENTRO - BAIRRO")</f>
        <v>BAIRRO - CENTRO / CENTRO - BAIRRO</v>
      </c>
      <c r="O997" s="5" t="str">
        <f>IFERROR(__xludf.DUMMYFUNCTION("""COMPUTED_VALUE"""),"PRÓXIMO AO VIADUTO")</f>
        <v>PRÓXIMO AO VIADUTO</v>
      </c>
      <c r="P997" s="5" t="str">
        <f>IFERROR(__xludf.DUMMYFUNCTION("""COMPUTED_VALUE"""),"PRIORIDADE BAIXA")</f>
        <v>PRIORIDADE BAIXA</v>
      </c>
      <c r="Q997" s="5"/>
      <c r="R997" s="5" t="str">
        <f>IFERROR(__xludf.DUMMYFUNCTION("""COMPUTED_VALUE"""),"NENHUMA DAS OPÇÕES")</f>
        <v>NENHUMA DAS OPÇÕES</v>
      </c>
      <c r="S997" s="5"/>
      <c r="T997" s="5"/>
      <c r="U997" s="5"/>
      <c r="V997" s="9" t="str">
        <f>IFERROR(__xludf.DUMMYFUNCTION("""COMPUTED_VALUE"""),"https://drive.google.com/uc?id=1R2RBLzKB7DhGWya2oZL97LgealIU63Oc")</f>
        <v>https://drive.google.com/uc?id=1R2RBLzKB7DhGWya2oZL97LgealIU63Oc</v>
      </c>
      <c r="W997" s="5" t="str">
        <f>IFERROR(__xludf.DUMMYFUNCTION("""COMPUTED_VALUE"""),"NÃO")</f>
        <v>NÃO</v>
      </c>
      <c r="X997" s="5" t="str">
        <f>IFERROR(__xludf.DUMMYFUNCTION("""COMPUTED_VALUE"""),"NÃO SE APLICA")</f>
        <v>NÃO SE APLICA</v>
      </c>
    </row>
    <row r="998">
      <c r="A998" s="5">
        <f>IFERROR(__xludf.DUMMYFUNCTION("""COMPUTED_VALUE"""),4.0)</f>
        <v>4</v>
      </c>
      <c r="B998" s="5" t="str">
        <f>IFERROR(__xludf.DUMMYFUNCTION("""COMPUTED_VALUE"""),"PT010")</f>
        <v>PT010</v>
      </c>
      <c r="C998" s="5" t="str">
        <f>IFERROR(__xludf.DUMMYFUNCTION("""COMPUTED_VALUE"""),"ABRIGO METÁLICO PEQUENO PORTE")</f>
        <v>ABRIGO METÁLICO PEQUENO PORTE</v>
      </c>
      <c r="D998" s="5" t="str">
        <f>IFERROR(__xludf.DUMMYFUNCTION("""COMPUTED_VALUE"""),"SEM PLACA")</f>
        <v>SEM PLACA</v>
      </c>
      <c r="E998" s="5" t="str">
        <f>IFERROR(__xludf.DUMMYFUNCTION("""COMPUTED_VALUE"""),"SEM BAIA")</f>
        <v>SEM BAIA</v>
      </c>
      <c r="F998" s="5" t="str">
        <f>IFERROR(__xludf.DUMMYFUNCTION("""COMPUTED_VALUE"""),"NÃO")</f>
        <v>NÃO</v>
      </c>
      <c r="G998" s="5" t="str">
        <f>IFERROR(__xludf.DUMMYFUNCTION("""COMPUTED_VALUE"""),"NÃO")</f>
        <v>NÃO</v>
      </c>
      <c r="H998" s="5" t="str">
        <f>IFERROR(__xludf.DUMMYFUNCTION("""COMPUTED_VALUE"""),"PAVIMENTADA")</f>
        <v>PAVIMENTADA</v>
      </c>
      <c r="I998" s="6" t="str">
        <f>IFERROR(__xludf.DUMMYFUNCTION("""COMPUTED_VALUE"""),"-9.606883")</f>
        <v>-9.606883</v>
      </c>
      <c r="J998" s="6" t="str">
        <f>IFERROR(__xludf.DUMMYFUNCTION("""COMPUTED_VALUE"""),"-35.750638")</f>
        <v>-35.750638</v>
      </c>
      <c r="K998" s="5" t="str">
        <f>IFERROR(__xludf.DUMMYFUNCTION("""COMPUTED_VALUE"""),"RUA SEM NOME")</f>
        <v>RUA SEM NOME</v>
      </c>
      <c r="L998" s="5" t="str">
        <f>IFERROR(__xludf.DUMMYFUNCTION("""COMPUTED_VALUE"""),"LOCAL")</f>
        <v>LOCAL</v>
      </c>
      <c r="M998" s="5" t="str">
        <f>IFERROR(__xludf.DUMMYFUNCTION("""COMPUTED_VALUE"""),"PETRÓPOLIS ")</f>
        <v>PETRÓPOLIS </v>
      </c>
      <c r="N998" s="5" t="str">
        <f>IFERROR(__xludf.DUMMYFUNCTION("""COMPUTED_VALUE"""),"BAIRRO - CENTRO / CENTRO - BAIRRO")</f>
        <v>BAIRRO - CENTRO / CENTRO - BAIRRO</v>
      </c>
      <c r="O998" s="5" t="str">
        <f>IFERROR(__xludf.DUMMYFUNCTION("""COMPUTED_VALUE"""),"DEPOIS DO VIADUTO NO SENTIDO DA LINHA")</f>
        <v>DEPOIS DO VIADUTO NO SENTIDO DA LINHA</v>
      </c>
      <c r="P998" s="5" t="str">
        <f>IFERROR(__xludf.DUMMYFUNCTION("""COMPUTED_VALUE"""),"PRIORIDADE BAIXA")</f>
        <v>PRIORIDADE BAIXA</v>
      </c>
      <c r="Q998" s="5"/>
      <c r="R998" s="5" t="str">
        <f>IFERROR(__xludf.DUMMYFUNCTION("""COMPUTED_VALUE"""),"NENHUMA DAS OPÇÕES")</f>
        <v>NENHUMA DAS OPÇÕES</v>
      </c>
      <c r="S998" s="5"/>
      <c r="T998" s="5"/>
      <c r="U998" s="5"/>
      <c r="V998" s="9" t="str">
        <f>IFERROR(__xludf.DUMMYFUNCTION("""COMPUTED_VALUE"""),"https://drive.google.com/uc?id=1W_VMsanusE-UwMz7ZyAYgF3CieHDR_PM")</f>
        <v>https://drive.google.com/uc?id=1W_VMsanusE-UwMz7ZyAYgF3CieHDR_PM</v>
      </c>
      <c r="W998" s="5" t="str">
        <f>IFERROR(__xludf.DUMMYFUNCTION("""COMPUTED_VALUE"""),"NÃO")</f>
        <v>NÃO</v>
      </c>
      <c r="X998" s="5" t="str">
        <f>IFERROR(__xludf.DUMMYFUNCTION("""COMPUTED_VALUE"""),"NÃO")</f>
        <v>NÃO</v>
      </c>
    </row>
    <row r="999">
      <c r="A999" s="5">
        <f>IFERROR(__xludf.DUMMYFUNCTION("""COMPUTED_VALUE"""),4.0)</f>
        <v>4</v>
      </c>
      <c r="B999" s="5" t="str">
        <f>IFERROR(__xludf.DUMMYFUNCTION("""COMPUTED_VALUE"""),"PT011")</f>
        <v>PT011</v>
      </c>
      <c r="C999" s="5" t="str">
        <f>IFERROR(__xludf.DUMMYFUNCTION("""COMPUTED_VALUE"""),"ABRIGO CONCRETO")</f>
        <v>ABRIGO CONCRETO</v>
      </c>
      <c r="D999" s="5" t="str">
        <f>IFERROR(__xludf.DUMMYFUNCTION("""COMPUTED_VALUE"""),"SEM PLACA")</f>
        <v>SEM PLACA</v>
      </c>
      <c r="E999" s="5" t="str">
        <f>IFERROR(__xludf.DUMMYFUNCTION("""COMPUTED_VALUE"""),"SEM BAIA")</f>
        <v>SEM BAIA</v>
      </c>
      <c r="F999" s="5" t="str">
        <f>IFERROR(__xludf.DUMMYFUNCTION("""COMPUTED_VALUE"""),"NÃO")</f>
        <v>NÃO</v>
      </c>
      <c r="G999" s="5" t="str">
        <f>IFERROR(__xludf.DUMMYFUNCTION("""COMPUTED_VALUE"""),"NÃO")</f>
        <v>NÃO</v>
      </c>
      <c r="H999" s="5" t="str">
        <f>IFERROR(__xludf.DUMMYFUNCTION("""COMPUTED_VALUE"""),"PAVIMENTADA")</f>
        <v>PAVIMENTADA</v>
      </c>
      <c r="I999" s="6" t="str">
        <f>IFERROR(__xludf.DUMMYFUNCTION("""COMPUTED_VALUE"""),"-9.609245")</f>
        <v>-9.609245</v>
      </c>
      <c r="J999" s="6" t="str">
        <f>IFERROR(__xludf.DUMMYFUNCTION("""COMPUTED_VALUE"""),"-35.747100")</f>
        <v>-35.747100</v>
      </c>
      <c r="K999" s="5" t="str">
        <f>IFERROR(__xludf.DUMMYFUNCTION("""COMPUTED_VALUE"""),"RUA SÃO LUIZ")</f>
        <v>RUA SÃO LUIZ</v>
      </c>
      <c r="L999" s="5" t="str">
        <f>IFERROR(__xludf.DUMMYFUNCTION("""COMPUTED_VALUE"""),"COLETORA")</f>
        <v>COLETORA</v>
      </c>
      <c r="M999" s="5" t="str">
        <f>IFERROR(__xludf.DUMMYFUNCTION("""COMPUTED_VALUE"""),"PETRÓPOLIS ")</f>
        <v>PETRÓPOLIS </v>
      </c>
      <c r="N999" s="5" t="str">
        <f>IFERROR(__xludf.DUMMYFUNCTION("""COMPUTED_VALUE"""),"CENTRO - BAIRRO")</f>
        <v>CENTRO - BAIRRO</v>
      </c>
      <c r="O999" s="5" t="str">
        <f>IFERROR(__xludf.DUMMYFUNCTION("""COMPUTED_VALUE"""),"NA FRENTE DO CONDOMÍNIO HORIZONTE FENIX")</f>
        <v>NA FRENTE DO CONDOMÍNIO HORIZONTE FENIX</v>
      </c>
      <c r="P999" s="5" t="str">
        <f>IFERROR(__xludf.DUMMYFUNCTION("""COMPUTED_VALUE"""),"PRIORIDADE BAIXA")</f>
        <v>PRIORIDADE BAIXA</v>
      </c>
      <c r="Q999" s="5"/>
      <c r="R999" s="5" t="str">
        <f>IFERROR(__xludf.DUMMYFUNCTION("""COMPUTED_VALUE"""),"SUBSTITUIR ABRIGO")</f>
        <v>SUBSTITUIR ABRIGO</v>
      </c>
      <c r="S999" s="5"/>
      <c r="T999" s="5"/>
      <c r="U999" s="5"/>
      <c r="V999" s="9" t="str">
        <f>IFERROR(__xludf.DUMMYFUNCTION("""COMPUTED_VALUE"""),"https://drive.google.com/uc?id=1rRHXRp35Om7cexLehzwbnyIp6CyfzFt-")</f>
        <v>https://drive.google.com/uc?id=1rRHXRp35Om7cexLehzwbnyIp6CyfzFt-</v>
      </c>
      <c r="W999" s="5" t="str">
        <f>IFERROR(__xludf.DUMMYFUNCTION("""COMPUTED_VALUE"""),"NÃO")</f>
        <v>NÃO</v>
      </c>
      <c r="X999" s="5" t="str">
        <f>IFERROR(__xludf.DUMMYFUNCTION("""COMPUTED_VALUE"""),"NÃO SE APLICA")</f>
        <v>NÃO SE APLICA</v>
      </c>
    </row>
    <row r="1000">
      <c r="A1000" s="5">
        <f>IFERROR(__xludf.DUMMYFUNCTION("""COMPUTED_VALUE"""),4.0)</f>
        <v>4</v>
      </c>
      <c r="B1000" s="5" t="str">
        <f>IFERROR(__xludf.DUMMYFUNCTION("""COMPUTED_VALUE"""),"PT012")</f>
        <v>PT012</v>
      </c>
      <c r="C1000" s="5" t="str">
        <f>IFERROR(__xludf.DUMMYFUNCTION("""COMPUTED_VALUE"""),"ABRIGO CONCRETO")</f>
        <v>ABRIGO CONCRETO</v>
      </c>
      <c r="D1000" s="5" t="str">
        <f>IFERROR(__xludf.DUMMYFUNCTION("""COMPUTED_VALUE"""),"SEM PLACA")</f>
        <v>SEM PLACA</v>
      </c>
      <c r="E1000" s="5" t="str">
        <f>IFERROR(__xludf.DUMMYFUNCTION("""COMPUTED_VALUE"""),"SEM BAIA")</f>
        <v>SEM BAIA</v>
      </c>
      <c r="F1000" s="5" t="str">
        <f>IFERROR(__xludf.DUMMYFUNCTION("""COMPUTED_VALUE"""),"NÃO")</f>
        <v>NÃO</v>
      </c>
      <c r="G1000" s="5" t="str">
        <f>IFERROR(__xludf.DUMMYFUNCTION("""COMPUTED_VALUE"""),"NÃO")</f>
        <v>NÃO</v>
      </c>
      <c r="H1000" s="5" t="str">
        <f>IFERROR(__xludf.DUMMYFUNCTION("""COMPUTED_VALUE"""),"PAVIMENTADA")</f>
        <v>PAVIMENTADA</v>
      </c>
      <c r="I1000" s="6" t="str">
        <f>IFERROR(__xludf.DUMMYFUNCTION("""COMPUTED_VALUE"""),"-9.609122")</f>
        <v>-9.609122</v>
      </c>
      <c r="J1000" s="6" t="str">
        <f>IFERROR(__xludf.DUMMYFUNCTION("""COMPUTED_VALUE"""),"-35.745293")</f>
        <v>-35.745293</v>
      </c>
      <c r="K1000" s="5" t="str">
        <f>IFERROR(__xludf.DUMMYFUNCTION("""COMPUTED_VALUE"""),"RUA WILSOM PRAXEDES")</f>
        <v>RUA WILSOM PRAXEDES</v>
      </c>
      <c r="L1000" s="5" t="str">
        <f>IFERROR(__xludf.DUMMYFUNCTION("""COMPUTED_VALUE"""),"LOCAL")</f>
        <v>LOCAL</v>
      </c>
      <c r="M1000" s="5" t="str">
        <f>IFERROR(__xludf.DUMMYFUNCTION("""COMPUTED_VALUE"""),"PETRÓPOLIS ")</f>
        <v>PETRÓPOLIS </v>
      </c>
      <c r="N1000" s="5" t="str">
        <f>IFERROR(__xludf.DUMMYFUNCTION("""COMPUTED_VALUE"""),"BAIRRO - CENTRO / CENTRO - BAIRRO")</f>
        <v>BAIRRO - CENTRO / CENTRO - BAIRRO</v>
      </c>
      <c r="O1000" s="5" t="str">
        <f>IFERROR(__xludf.DUMMYFUNCTION("""COMPUTED_VALUE"""),"NA FRENTE DO CONDOMÍNIO HORIZONTE FENIX")</f>
        <v>NA FRENTE DO CONDOMÍNIO HORIZONTE FENIX</v>
      </c>
      <c r="P1000" s="5" t="str">
        <f>IFERROR(__xludf.DUMMYFUNCTION("""COMPUTED_VALUE"""),"PRIORIDADE BAIXA")</f>
        <v>PRIORIDADE BAIXA</v>
      </c>
      <c r="Q1000" s="5"/>
      <c r="R1000" s="5" t="str">
        <f>IFERROR(__xludf.DUMMYFUNCTION("""COMPUTED_VALUE"""),"IMPLANTAR ABRIGO")</f>
        <v>IMPLANTAR ABRIGO</v>
      </c>
      <c r="S1000" s="5"/>
      <c r="T1000" s="5"/>
      <c r="U1000" s="5"/>
      <c r="V1000" s="9" t="str">
        <f>IFERROR(__xludf.DUMMYFUNCTION("""COMPUTED_VALUE"""),"https://drive.google.com/uc?id=1UZHis0I96Zs8GdZquDx-WrnF5Joe3VOD")</f>
        <v>https://drive.google.com/uc?id=1UZHis0I96Zs8GdZquDx-WrnF5Joe3VOD</v>
      </c>
      <c r="W1000" s="5" t="str">
        <f>IFERROR(__xludf.DUMMYFUNCTION("""COMPUTED_VALUE"""),"NÃO")</f>
        <v>NÃO</v>
      </c>
      <c r="X1000" s="5" t="str">
        <f>IFERROR(__xludf.DUMMYFUNCTION("""COMPUTED_VALUE"""),"NÃO SE APLICA")</f>
        <v>NÃO SE APLICA</v>
      </c>
    </row>
    <row r="1001" hidden="1">
      <c r="A1001" s="5">
        <f>IFERROR(__xludf.DUMMYFUNCTION("""COMPUTED_VALUE"""),4.0)</f>
        <v>4</v>
      </c>
      <c r="B1001" s="5" t="str">
        <f>IFERROR(__xludf.DUMMYFUNCTION("""COMPUTED_VALUE"""),"PT013")</f>
        <v>PT013</v>
      </c>
      <c r="C1001" s="5" t="str">
        <f>IFERROR(__xludf.DUMMYFUNCTION("""COMPUTED_VALUE"""),"NÃO POSSUI")</f>
        <v>NÃO POSSUI</v>
      </c>
      <c r="D1001" s="5" t="str">
        <f>IFERROR(__xludf.DUMMYFUNCTION("""COMPUTED_VALUE"""),"COM SUPORTE")</f>
        <v>COM SUPORTE</v>
      </c>
      <c r="E1001" s="5" t="str">
        <f>IFERROR(__xludf.DUMMYFUNCTION("""COMPUTED_VALUE"""),"SEM BAIA")</f>
        <v>SEM BAIA</v>
      </c>
      <c r="F1001" s="5" t="str">
        <f>IFERROR(__xludf.DUMMYFUNCTION("""COMPUTED_VALUE"""),"NÃO")</f>
        <v>NÃO</v>
      </c>
      <c r="G1001" s="5" t="str">
        <f>IFERROR(__xludf.DUMMYFUNCTION("""COMPUTED_VALUE"""),"NÃO")</f>
        <v>NÃO</v>
      </c>
      <c r="H1001" s="5" t="str">
        <f>IFERROR(__xludf.DUMMYFUNCTION("""COMPUTED_VALUE"""),"PAVIMENTADA")</f>
        <v>PAVIMENTADA</v>
      </c>
      <c r="I1001" s="6" t="str">
        <f>IFERROR(__xludf.DUMMYFUNCTION("""COMPUTED_VALUE"""),"-9.608018")</f>
        <v>-9.608018</v>
      </c>
      <c r="J1001" s="6" t="str">
        <f>IFERROR(__xludf.DUMMYFUNCTION("""COMPUTED_VALUE"""),"-35.74531")</f>
        <v>-35.74531</v>
      </c>
      <c r="K1001" s="5" t="str">
        <f>IFERROR(__xludf.DUMMYFUNCTION("""COMPUTED_VALUE"""),"RUA DJALMA FRAGOSO DE ALENÇAR")</f>
        <v>RUA DJALMA FRAGOSO DE ALENÇAR</v>
      </c>
      <c r="L1001" s="5" t="str">
        <f>IFERROR(__xludf.DUMMYFUNCTION("""COMPUTED_VALUE"""),"LOCAL")</f>
        <v>LOCAL</v>
      </c>
      <c r="M1001" s="5" t="str">
        <f>IFERROR(__xludf.DUMMYFUNCTION("""COMPUTED_VALUE"""),"PETRÓPOLIS ")</f>
        <v>PETRÓPOLIS </v>
      </c>
      <c r="N1001" s="5" t="str">
        <f>IFERROR(__xludf.DUMMYFUNCTION("""COMPUTED_VALUE"""),"CENTRO - BAIRRO")</f>
        <v>CENTRO - BAIRRO</v>
      </c>
      <c r="O1001" s="5" t="str">
        <f>IFERROR(__xludf.DUMMYFUNCTION("""COMPUTED_VALUE"""),"EM FRENTE AO CONDOMÍNIO OCEAN VIEW")</f>
        <v>EM FRENTE AO CONDOMÍNIO OCEAN VIEW</v>
      </c>
      <c r="P1001" s="5" t="str">
        <f>IFERROR(__xludf.DUMMYFUNCTION("""COMPUTED_VALUE"""),"PRIORIDADE BAIXA")</f>
        <v>PRIORIDADE BAIXA</v>
      </c>
      <c r="Q1001" s="5"/>
      <c r="R1001" s="5" t="str">
        <f>IFERROR(__xludf.DUMMYFUNCTION("""COMPUTED_VALUE"""),"NENHUMA DAS OPÇÕES")</f>
        <v>NENHUMA DAS OPÇÕES</v>
      </c>
      <c r="S1001" s="5"/>
      <c r="T1001" s="5"/>
      <c r="U1001" s="5"/>
      <c r="V1001" s="9" t="str">
        <f>IFERROR(__xludf.DUMMYFUNCTION("""COMPUTED_VALUE"""),"https://drive.google.com/uc?id=11GsbGfT-lQ1Q6LAo87F8y2FfKxXsBwSW/")</f>
        <v>https://drive.google.com/uc?id=11GsbGfT-lQ1Q6LAo87F8y2FfKxXsBwSW/</v>
      </c>
      <c r="W1001" s="5" t="str">
        <f>IFERROR(__xludf.DUMMYFUNCTION("""COMPUTED_VALUE"""),"NÃO")</f>
        <v>NÃO</v>
      </c>
      <c r="X1001" s="5" t="str">
        <f>IFERROR(__xludf.DUMMYFUNCTION("""COMPUTED_VALUE"""),"NÃO SE APLICA")</f>
        <v>NÃO SE APLICA</v>
      </c>
    </row>
    <row r="1002" hidden="1">
      <c r="A1002" s="5">
        <f>IFERROR(__xludf.DUMMYFUNCTION("""COMPUTED_VALUE"""),4.0)</f>
        <v>4</v>
      </c>
      <c r="B1002" s="5" t="str">
        <f>IFERROR(__xludf.DUMMYFUNCTION("""COMPUTED_VALUE"""),"PT014")</f>
        <v>PT014</v>
      </c>
      <c r="C1002" s="5" t="str">
        <f>IFERROR(__xludf.DUMMYFUNCTION("""COMPUTED_VALUE"""),"NÃO POSSUI")</f>
        <v>NÃO POSSUI</v>
      </c>
      <c r="D1002" s="5" t="str">
        <f>IFERROR(__xludf.DUMMYFUNCTION("""COMPUTED_VALUE"""),"COM SUPORTE")</f>
        <v>COM SUPORTE</v>
      </c>
      <c r="E1002" s="5" t="str">
        <f>IFERROR(__xludf.DUMMYFUNCTION("""COMPUTED_VALUE"""),"SEM BAIA")</f>
        <v>SEM BAIA</v>
      </c>
      <c r="F1002" s="5" t="str">
        <f>IFERROR(__xludf.DUMMYFUNCTION("""COMPUTED_VALUE"""),"NÃO")</f>
        <v>NÃO</v>
      </c>
      <c r="G1002" s="5" t="str">
        <f>IFERROR(__xludf.DUMMYFUNCTION("""COMPUTED_VALUE"""),"NÃO")</f>
        <v>NÃO</v>
      </c>
      <c r="H1002" s="5" t="str">
        <f>IFERROR(__xludf.DUMMYFUNCTION("""COMPUTED_VALUE"""),"PAVIMENTADA")</f>
        <v>PAVIMENTADA</v>
      </c>
      <c r="I1002" s="6" t="str">
        <f>IFERROR(__xludf.DUMMYFUNCTION("""COMPUTED_VALUE"""),"-9.60802")</f>
        <v>-9.60802</v>
      </c>
      <c r="J1002" s="6" t="str">
        <f>IFERROR(__xludf.DUMMYFUNCTION("""COMPUTED_VALUE"""),"-35.74539")</f>
        <v>-35.74539</v>
      </c>
      <c r="K1002" s="5" t="str">
        <f>IFERROR(__xludf.DUMMYFUNCTION("""COMPUTED_VALUE"""),"RUA DJALMA FRAGOSO DE ALENÇAR")</f>
        <v>RUA DJALMA FRAGOSO DE ALENÇAR</v>
      </c>
      <c r="L1002" s="5" t="str">
        <f>IFERROR(__xludf.DUMMYFUNCTION("""COMPUTED_VALUE"""),"LOCAL")</f>
        <v>LOCAL</v>
      </c>
      <c r="M1002" s="5" t="str">
        <f>IFERROR(__xludf.DUMMYFUNCTION("""COMPUTED_VALUE"""),"PETRÓPOLIS ")</f>
        <v>PETRÓPOLIS </v>
      </c>
      <c r="N1002" s="5" t="str">
        <f>IFERROR(__xludf.DUMMYFUNCTION("""COMPUTED_VALUE"""),"BAIRRO - CENTRO")</f>
        <v>BAIRRO - CENTRO</v>
      </c>
      <c r="O1002" s="5" t="str">
        <f>IFERROR(__xludf.DUMMYFUNCTION("""COMPUTED_VALUE"""),"EM FRENTE AO CONDOMÍNIO OCEAN VIEW")</f>
        <v>EM FRENTE AO CONDOMÍNIO OCEAN VIEW</v>
      </c>
      <c r="P1002" s="5" t="str">
        <f>IFERROR(__xludf.DUMMYFUNCTION("""COMPUTED_VALUE"""),"PRIORIDADE BAIXA")</f>
        <v>PRIORIDADE BAIXA</v>
      </c>
      <c r="Q1002" s="5"/>
      <c r="R1002" s="5" t="str">
        <f>IFERROR(__xludf.DUMMYFUNCTION("""COMPUTED_VALUE"""),"NENHUMA DAS OPÇÕES")</f>
        <v>NENHUMA DAS OPÇÕES</v>
      </c>
      <c r="S1002" s="5"/>
      <c r="T1002" s="5"/>
      <c r="U1002" s="5"/>
      <c r="V1002" s="9" t="str">
        <f>IFERROR(__xludf.DUMMYFUNCTION("""COMPUTED_VALUE"""),"https://drive.google.com/uc?id=1-x9n_z9upYyul6RqW2VhKmOcIqj_TIz9/")</f>
        <v>https://drive.google.com/uc?id=1-x9n_z9upYyul6RqW2VhKmOcIqj_TIz9/</v>
      </c>
      <c r="W1002" s="5" t="str">
        <f>IFERROR(__xludf.DUMMYFUNCTION("""COMPUTED_VALUE"""),"NÃO")</f>
        <v>NÃO</v>
      </c>
      <c r="X1002" s="5" t="str">
        <f>IFERROR(__xludf.DUMMYFUNCTION("""COMPUTED_VALUE"""),"NÃO SE APLICA")</f>
        <v>NÃO SE APLICA</v>
      </c>
    </row>
    <row r="1003">
      <c r="A1003" s="5">
        <f>IFERROR(__xludf.DUMMYFUNCTION("""COMPUTED_VALUE"""),4.0)</f>
        <v>4</v>
      </c>
      <c r="B1003" s="5" t="str">
        <f>IFERROR(__xludf.DUMMYFUNCTION("""COMPUTED_VALUE"""),"PT015")</f>
        <v>PT015</v>
      </c>
      <c r="C1003" s="5" t="str">
        <f>IFERROR(__xludf.DUMMYFUNCTION("""COMPUTED_VALUE"""),"ABRIGO CONCRETO")</f>
        <v>ABRIGO CONCRETO</v>
      </c>
      <c r="D1003" s="5" t="str">
        <f>IFERROR(__xludf.DUMMYFUNCTION("""COMPUTED_VALUE"""),"SEM PLACA")</f>
        <v>SEM PLACA</v>
      </c>
      <c r="E1003" s="5" t="str">
        <f>IFERROR(__xludf.DUMMYFUNCTION("""COMPUTED_VALUE"""),"SEM BAIA")</f>
        <v>SEM BAIA</v>
      </c>
      <c r="F1003" s="5" t="str">
        <f>IFERROR(__xludf.DUMMYFUNCTION("""COMPUTED_VALUE"""),"NÃO")</f>
        <v>NÃO</v>
      </c>
      <c r="G1003" s="5" t="str">
        <f>IFERROR(__xludf.DUMMYFUNCTION("""COMPUTED_VALUE"""),"NÃO")</f>
        <v>NÃO</v>
      </c>
      <c r="H1003" s="5" t="str">
        <f>IFERROR(__xludf.DUMMYFUNCTION("""COMPUTED_VALUE"""),"PAVIMENTADA")</f>
        <v>PAVIMENTADA</v>
      </c>
      <c r="I1003" s="6" t="str">
        <f>IFERROR(__xludf.DUMMYFUNCTION("""COMPUTED_VALUE"""),"-9.599610")</f>
        <v>-9.599610</v>
      </c>
      <c r="J1003" s="6" t="str">
        <f>IFERROR(__xludf.DUMMYFUNCTION("""COMPUTED_VALUE"""),"-35.757193")</f>
        <v>-35.757193</v>
      </c>
      <c r="K1003" s="5" t="str">
        <f>IFERROR(__xludf.DUMMYFUNCTION("""COMPUTED_VALUE"""),"AV. GALBA NOVAES DE CASTRO")</f>
        <v>AV. GALBA NOVAES DE CASTRO</v>
      </c>
      <c r="L1003" s="5" t="str">
        <f>IFERROR(__xludf.DUMMYFUNCTION("""COMPUTED_VALUE"""),"COLETORA")</f>
        <v>COLETORA</v>
      </c>
      <c r="M1003" s="5" t="str">
        <f>IFERROR(__xludf.DUMMYFUNCTION("""COMPUTED_VALUE"""),"PETRÓPOLIS ")</f>
        <v>PETRÓPOLIS </v>
      </c>
      <c r="N1003" s="5" t="str">
        <f>IFERROR(__xludf.DUMMYFUNCTION("""COMPUTED_VALUE"""),"CENTRO - BAIRRO")</f>
        <v>CENTRO - BAIRRO</v>
      </c>
      <c r="O1003" s="5" t="str">
        <f>IFERROR(__xludf.DUMMYFUNCTION("""COMPUTED_VALUE"""),"EM FRENTE AO MOTEL OPIUM")</f>
        <v>EM FRENTE AO MOTEL OPIUM</v>
      </c>
      <c r="P1003" s="5" t="str">
        <f>IFERROR(__xludf.DUMMYFUNCTION("""COMPUTED_VALUE"""),"PRIORIDADE BAIXA")</f>
        <v>PRIORIDADE BAIXA</v>
      </c>
      <c r="Q1003" s="5"/>
      <c r="R1003" s="5" t="str">
        <f>IFERROR(__xludf.DUMMYFUNCTION("""COMPUTED_VALUE"""),"SUBSTITUIR ABRIGO")</f>
        <v>SUBSTITUIR ABRIGO</v>
      </c>
      <c r="S1003" s="5"/>
      <c r="T1003" s="5"/>
      <c r="U1003" s="5"/>
      <c r="V1003" s="9" t="str">
        <f>IFERROR(__xludf.DUMMYFUNCTION("""COMPUTED_VALUE"""),"https://drive.google.com/uc?id=1HoHXXUBa3xZvotw14fuOswaue3zsW5TZ")</f>
        <v>https://drive.google.com/uc?id=1HoHXXUBa3xZvotw14fuOswaue3zsW5TZ</v>
      </c>
      <c r="W1003" s="5" t="str">
        <f>IFERROR(__xludf.DUMMYFUNCTION("""COMPUTED_VALUE"""),"NÃO")</f>
        <v>NÃO</v>
      </c>
      <c r="X1003" s="5" t="str">
        <f>IFERROR(__xludf.DUMMYFUNCTION("""COMPUTED_VALUE"""),"NÃO SE APLICA")</f>
        <v>NÃO SE APLICA</v>
      </c>
    </row>
    <row r="1004" hidden="1">
      <c r="A1004" s="5">
        <f>IFERROR(__xludf.DUMMYFUNCTION("""COMPUTED_VALUE"""),4.0)</f>
        <v>4</v>
      </c>
      <c r="B1004" s="5" t="str">
        <f>IFERROR(__xludf.DUMMYFUNCTION("""COMPUTED_VALUE"""),"PT016")</f>
        <v>PT016</v>
      </c>
      <c r="C1004" s="5" t="str">
        <f>IFERROR(__xludf.DUMMYFUNCTION("""COMPUTED_VALUE"""),"NÃO POSSUI")</f>
        <v>NÃO POSSUI</v>
      </c>
      <c r="D1004" s="5" t="str">
        <f>IFERROR(__xludf.DUMMYFUNCTION("""COMPUTED_VALUE"""),"FIXADA EM POSTE")</f>
        <v>FIXADA EM POSTE</v>
      </c>
      <c r="E1004" s="5" t="str">
        <f>IFERROR(__xludf.DUMMYFUNCTION("""COMPUTED_VALUE"""),"SEM BAIA")</f>
        <v>SEM BAIA</v>
      </c>
      <c r="F1004" s="5" t="str">
        <f>IFERROR(__xludf.DUMMYFUNCTION("""COMPUTED_VALUE"""),"NÃO")</f>
        <v>NÃO</v>
      </c>
      <c r="G1004" s="5" t="str">
        <f>IFERROR(__xludf.DUMMYFUNCTION("""COMPUTED_VALUE"""),"NÃO")</f>
        <v>NÃO</v>
      </c>
      <c r="H1004" s="5" t="str">
        <f>IFERROR(__xludf.DUMMYFUNCTION("""COMPUTED_VALUE"""),"PAVIMENTADA")</f>
        <v>PAVIMENTADA</v>
      </c>
      <c r="I1004" s="6" t="str">
        <f>IFERROR(__xludf.DUMMYFUNCTION("""COMPUTED_VALUE"""),"-9.602187")</f>
        <v>-9.602187</v>
      </c>
      <c r="J1004" s="6" t="str">
        <f>IFERROR(__xludf.DUMMYFUNCTION("""COMPUTED_VALUE"""),"-35.758743")</f>
        <v>-35.758743</v>
      </c>
      <c r="K1004" s="5" t="str">
        <f>IFERROR(__xludf.DUMMYFUNCTION("""COMPUTED_VALUE"""),"AV. GALBA NOVAES DE CASTRO")</f>
        <v>AV. GALBA NOVAES DE CASTRO</v>
      </c>
      <c r="L1004" s="5" t="str">
        <f>IFERROR(__xludf.DUMMYFUNCTION("""COMPUTED_VALUE"""),"COLETORA")</f>
        <v>COLETORA</v>
      </c>
      <c r="M1004" s="5" t="str">
        <f>IFERROR(__xludf.DUMMYFUNCTION("""COMPUTED_VALUE"""),"PETRÓPOLIS ")</f>
        <v>PETRÓPOLIS </v>
      </c>
      <c r="N1004" s="5" t="str">
        <f>IFERROR(__xludf.DUMMYFUNCTION("""COMPUTED_VALUE"""),"CENTRO - BAIRRO")</f>
        <v>CENTRO - BAIRRO</v>
      </c>
      <c r="O1004" s="5" t="str">
        <f>IFERROR(__xludf.DUMMYFUNCTION("""COMPUTED_VALUE"""),"EM FRENTE AO MOTEL OPIUM")</f>
        <v>EM FRENTE AO MOTEL OPIUM</v>
      </c>
      <c r="P1004" s="5" t="str">
        <f>IFERROR(__xludf.DUMMYFUNCTION("""COMPUTED_VALUE"""),"PRIORIDADE BAIXA")</f>
        <v>PRIORIDADE BAIXA</v>
      </c>
      <c r="Q1004" s="5"/>
      <c r="R1004" s="5" t="str">
        <f>IFERROR(__xludf.DUMMYFUNCTION("""COMPUTED_VALUE"""),"NENHUMA DAS OPÇÕES")</f>
        <v>NENHUMA DAS OPÇÕES</v>
      </c>
      <c r="S1004" s="5"/>
      <c r="T1004" s="5"/>
      <c r="U1004" s="5"/>
      <c r="V1004" s="9" t="str">
        <f>IFERROR(__xludf.DUMMYFUNCTION("""COMPUTED_VALUE"""),"https://drive.google.com/uc?id=1HoHXXUBa3xZvotw14fuOswaue3zsW5TZ")</f>
        <v>https://drive.google.com/uc?id=1HoHXXUBa3xZvotw14fuOswaue3zsW5TZ</v>
      </c>
      <c r="W1004" s="5" t="str">
        <f>IFERROR(__xludf.DUMMYFUNCTION("""COMPUTED_VALUE"""),"NÃO")</f>
        <v>NÃO</v>
      </c>
      <c r="X1004" s="5" t="str">
        <f>IFERROR(__xludf.DUMMYFUNCTION("""COMPUTED_VALUE"""),"NÃO SE APLICA")</f>
        <v>NÃO SE APLICA</v>
      </c>
    </row>
    <row r="1005" hidden="1">
      <c r="A1005" s="5">
        <f>IFERROR(__xludf.DUMMYFUNCTION("""COMPUTED_VALUE"""),4.0)</f>
        <v>4</v>
      </c>
      <c r="B1005" s="5" t="str">
        <f>IFERROR(__xludf.DUMMYFUNCTION("""COMPUTED_VALUE"""),"PT017")</f>
        <v>PT017</v>
      </c>
      <c r="C1005" s="5" t="str">
        <f>IFERROR(__xludf.DUMMYFUNCTION("""COMPUTED_VALUE"""),"NÃO POSSUI")</f>
        <v>NÃO POSSUI</v>
      </c>
      <c r="D1005" s="5" t="str">
        <f>IFERROR(__xludf.DUMMYFUNCTION("""COMPUTED_VALUE"""),"FIXADA EM POSTE")</f>
        <v>FIXADA EM POSTE</v>
      </c>
      <c r="E1005" s="5" t="str">
        <f>IFERROR(__xludf.DUMMYFUNCTION("""COMPUTED_VALUE"""),"SEM BAIA")</f>
        <v>SEM BAIA</v>
      </c>
      <c r="F1005" s="5" t="str">
        <f>IFERROR(__xludf.DUMMYFUNCTION("""COMPUTED_VALUE"""),"NÃO")</f>
        <v>NÃO</v>
      </c>
      <c r="G1005" s="5" t="str">
        <f>IFERROR(__xludf.DUMMYFUNCTION("""COMPUTED_VALUE"""),"NÃO")</f>
        <v>NÃO</v>
      </c>
      <c r="H1005" s="5" t="str">
        <f>IFERROR(__xludf.DUMMYFUNCTION("""COMPUTED_VALUE"""),"PAVIMENTADA")</f>
        <v>PAVIMENTADA</v>
      </c>
      <c r="I1005" s="6" t="str">
        <f>IFERROR(__xludf.DUMMYFUNCTION("""COMPUTED_VALUE"""),"-9.603703")</f>
        <v>-9.603703</v>
      </c>
      <c r="J1005" s="6" t="str">
        <f>IFERROR(__xludf.DUMMYFUNCTION("""COMPUTED_VALUE"""),"-35.760163")</f>
        <v>-35.760163</v>
      </c>
      <c r="K1005" s="5" t="str">
        <f>IFERROR(__xludf.DUMMYFUNCTION("""COMPUTED_VALUE"""),"RUA PERIMETRAL 3")</f>
        <v>RUA PERIMETRAL 3</v>
      </c>
      <c r="L1005" s="5" t="str">
        <f>IFERROR(__xludf.DUMMYFUNCTION("""COMPUTED_VALUE"""),"LOCAL")</f>
        <v>LOCAL</v>
      </c>
      <c r="M1005" s="5" t="str">
        <f>IFERROR(__xludf.DUMMYFUNCTION("""COMPUTED_VALUE"""),"PETRÓPOLIS ")</f>
        <v>PETRÓPOLIS </v>
      </c>
      <c r="N1005" s="5" t="str">
        <f>IFERROR(__xludf.DUMMYFUNCTION("""COMPUTED_VALUE"""),"CENTRO - BAIRRO")</f>
        <v>CENTRO - BAIRRO</v>
      </c>
      <c r="O1005" s="5"/>
      <c r="P1005" s="5" t="str">
        <f>IFERROR(__xludf.DUMMYFUNCTION("""COMPUTED_VALUE"""),"PRIORIDADE BAIXA")</f>
        <v>PRIORIDADE BAIXA</v>
      </c>
      <c r="Q1005" s="5"/>
      <c r="R1005" s="5" t="str">
        <f>IFERROR(__xludf.DUMMYFUNCTION("""COMPUTED_VALUE"""),"NENHUMA DAS OPÇÕES")</f>
        <v>NENHUMA DAS OPÇÕES</v>
      </c>
      <c r="S1005" s="5"/>
      <c r="T1005" s="5"/>
      <c r="U1005" s="5"/>
      <c r="V1005" s="9" t="str">
        <f>IFERROR(__xludf.DUMMYFUNCTION("""COMPUTED_VALUE"""),"https://drive.google.com/uc?id=1KEVDHkvrjbQ20wFO3kXkR61mUqmTz4l9")</f>
        <v>https://drive.google.com/uc?id=1KEVDHkvrjbQ20wFO3kXkR61mUqmTz4l9</v>
      </c>
      <c r="W1005" s="5" t="str">
        <f>IFERROR(__xludf.DUMMYFUNCTION("""COMPUTED_VALUE"""),"NÃO")</f>
        <v>NÃO</v>
      </c>
      <c r="X1005" s="5" t="str">
        <f>IFERROR(__xludf.DUMMYFUNCTION("""COMPUTED_VALUE"""),"NÃO SE APLICA")</f>
        <v>NÃO SE APLICA</v>
      </c>
    </row>
    <row r="1006" hidden="1">
      <c r="A1006" s="5">
        <f>IFERROR(__xludf.DUMMYFUNCTION("""COMPUTED_VALUE"""),4.0)</f>
        <v>4</v>
      </c>
      <c r="B1006" s="5" t="str">
        <f>IFERROR(__xludf.DUMMYFUNCTION("""COMPUTED_VALUE"""),"PT018")</f>
        <v>PT018</v>
      </c>
      <c r="C1006" s="5" t="str">
        <f>IFERROR(__xludf.DUMMYFUNCTION("""COMPUTED_VALUE"""),"NÃO POSSUI")</f>
        <v>NÃO POSSUI</v>
      </c>
      <c r="D1006" s="5" t="str">
        <f>IFERROR(__xludf.DUMMYFUNCTION("""COMPUTED_VALUE"""),"COM SUPORTE")</f>
        <v>COM SUPORTE</v>
      </c>
      <c r="E1006" s="5" t="str">
        <f>IFERROR(__xludf.DUMMYFUNCTION("""COMPUTED_VALUE"""),"SEM BAIA")</f>
        <v>SEM BAIA</v>
      </c>
      <c r="F1006" s="5" t="str">
        <f>IFERROR(__xludf.DUMMYFUNCTION("""COMPUTED_VALUE"""),"NÃO")</f>
        <v>NÃO</v>
      </c>
      <c r="G1006" s="5" t="str">
        <f>IFERROR(__xludf.DUMMYFUNCTION("""COMPUTED_VALUE"""),"NÃO")</f>
        <v>NÃO</v>
      </c>
      <c r="H1006" s="5" t="str">
        <f>IFERROR(__xludf.DUMMYFUNCTION("""COMPUTED_VALUE"""),"PAVIMENTADA")</f>
        <v>PAVIMENTADA</v>
      </c>
      <c r="I1006" s="6" t="str">
        <f>IFERROR(__xludf.DUMMYFUNCTION("""COMPUTED_VALUE"""),"-9.604342")</f>
        <v>-9.604342</v>
      </c>
      <c r="J1006" s="6" t="str">
        <f>IFERROR(__xludf.DUMMYFUNCTION("""COMPUTED_VALUE"""),"-35.760632")</f>
        <v>-35.760632</v>
      </c>
      <c r="K1006" s="5" t="str">
        <f>IFERROR(__xludf.DUMMYFUNCTION("""COMPUTED_VALUE"""),"RUA PERIMETRAL 3")</f>
        <v>RUA PERIMETRAL 3</v>
      </c>
      <c r="L1006" s="5" t="str">
        <f>IFERROR(__xludf.DUMMYFUNCTION("""COMPUTED_VALUE"""),"LOCAL")</f>
        <v>LOCAL</v>
      </c>
      <c r="M1006" s="5" t="str">
        <f>IFERROR(__xludf.DUMMYFUNCTION("""COMPUTED_VALUE"""),"PETRÓPOLIS ")</f>
        <v>PETRÓPOLIS </v>
      </c>
      <c r="N1006" s="5" t="str">
        <f>IFERROR(__xludf.DUMMYFUNCTION("""COMPUTED_VALUE"""),"CENTRO - BAIRRO")</f>
        <v>CENTRO - BAIRRO</v>
      </c>
      <c r="O1006" s="5" t="str">
        <f>IFERROR(__xludf.DUMMYFUNCTION("""COMPUTED_VALUE"""),"EM FRENTE AO PARQUE SHOPPING")</f>
        <v>EM FRENTE AO PARQUE SHOPPING</v>
      </c>
      <c r="P1006" s="5" t="str">
        <f>IFERROR(__xludf.DUMMYFUNCTION("""COMPUTED_VALUE"""),"PRIORIDADE BAIXA")</f>
        <v>PRIORIDADE BAIXA</v>
      </c>
      <c r="Q1006" s="5"/>
      <c r="R1006" s="5" t="str">
        <f>IFERROR(__xludf.DUMMYFUNCTION("""COMPUTED_VALUE"""),"NENHUMA DAS OPÇÕES")</f>
        <v>NENHUMA DAS OPÇÕES</v>
      </c>
      <c r="S1006" s="5"/>
      <c r="T1006" s="5"/>
      <c r="U1006" s="5"/>
      <c r="V1006" s="9" t="str">
        <f>IFERROR(__xludf.DUMMYFUNCTION("""COMPUTED_VALUE"""),"https://drive.google.com/uc?id=1cSCUc42h7PBPnP1A8ZRIu7ewI8kszzDH")</f>
        <v>https://drive.google.com/uc?id=1cSCUc42h7PBPnP1A8ZRIu7ewI8kszzDH</v>
      </c>
      <c r="W1006" s="5" t="str">
        <f>IFERROR(__xludf.DUMMYFUNCTION("""COMPUTED_VALUE"""),"NÃO")</f>
        <v>NÃO</v>
      </c>
      <c r="X1006" s="5" t="str">
        <f>IFERROR(__xludf.DUMMYFUNCTION("""COMPUTED_VALUE"""),"NÃO SE APLICA")</f>
        <v>NÃO SE APLICA</v>
      </c>
    </row>
    <row r="1007">
      <c r="A1007" s="5">
        <f>IFERROR(__xludf.DUMMYFUNCTION("""COMPUTED_VALUE"""),4.0)</f>
        <v>4</v>
      </c>
      <c r="B1007" s="5" t="str">
        <f>IFERROR(__xludf.DUMMYFUNCTION("""COMPUTED_VALUE"""),"PT019")</f>
        <v>PT019</v>
      </c>
      <c r="C1007" s="5" t="str">
        <f>IFERROR(__xludf.DUMMYFUNCTION("""COMPUTED_VALUE"""),"ABRIGO CONCRETO")</f>
        <v>ABRIGO CONCRETO</v>
      </c>
      <c r="D1007" s="5" t="str">
        <f>IFERROR(__xludf.DUMMYFUNCTION("""COMPUTED_VALUE"""),"SEM PLACA")</f>
        <v>SEM PLACA</v>
      </c>
      <c r="E1007" s="5" t="str">
        <f>IFERROR(__xludf.DUMMYFUNCTION("""COMPUTED_VALUE"""),"SEM BAIA")</f>
        <v>SEM BAIA</v>
      </c>
      <c r="F1007" s="5" t="str">
        <f>IFERROR(__xludf.DUMMYFUNCTION("""COMPUTED_VALUE"""),"NÃO")</f>
        <v>NÃO</v>
      </c>
      <c r="G1007" s="5" t="str">
        <f>IFERROR(__xludf.DUMMYFUNCTION("""COMPUTED_VALUE"""),"NÃO")</f>
        <v>NÃO</v>
      </c>
      <c r="H1007" s="5" t="str">
        <f>IFERROR(__xludf.DUMMYFUNCTION("""COMPUTED_VALUE"""),"PAVIMENTADA")</f>
        <v>PAVIMENTADA</v>
      </c>
      <c r="I1007" s="6" t="str">
        <f>IFERROR(__xludf.DUMMYFUNCTION("""COMPUTED_VALUE"""),"-9.604395")</f>
        <v>-9.604395</v>
      </c>
      <c r="J1007" s="6" t="str">
        <f>IFERROR(__xludf.DUMMYFUNCTION("""COMPUTED_VALUE"""),"-35.760592")</f>
        <v>-35.760592</v>
      </c>
      <c r="K1007" s="5" t="str">
        <f>IFERROR(__xludf.DUMMYFUNCTION("""COMPUTED_VALUE"""),"RUA PERIMETRAL 3")</f>
        <v>RUA PERIMETRAL 3</v>
      </c>
      <c r="L1007" s="5" t="str">
        <f>IFERROR(__xludf.DUMMYFUNCTION("""COMPUTED_VALUE"""),"LOCAL")</f>
        <v>LOCAL</v>
      </c>
      <c r="M1007" s="5" t="str">
        <f>IFERROR(__xludf.DUMMYFUNCTION("""COMPUTED_VALUE"""),"PETRÓPOLIS ")</f>
        <v>PETRÓPOLIS </v>
      </c>
      <c r="N1007" s="5" t="str">
        <f>IFERROR(__xludf.DUMMYFUNCTION("""COMPUTED_VALUE"""),"CENTRO - BAIRRO")</f>
        <v>CENTRO - BAIRRO</v>
      </c>
      <c r="O1007" s="5" t="str">
        <f>IFERROR(__xludf.DUMMYFUNCTION("""COMPUTED_VALUE"""),"LADO OPOSTO AO LAVA JATO")</f>
        <v>LADO OPOSTO AO LAVA JATO</v>
      </c>
      <c r="P1007" s="5" t="str">
        <f>IFERROR(__xludf.DUMMYFUNCTION("""COMPUTED_VALUE"""),"PRIORIDADE BAIXA")</f>
        <v>PRIORIDADE BAIXA</v>
      </c>
      <c r="Q1007" s="5"/>
      <c r="R1007" s="5" t="str">
        <f>IFERROR(__xludf.DUMMYFUNCTION("""COMPUTED_VALUE"""),"SUBSTITUIR ABRIGO")</f>
        <v>SUBSTITUIR ABRIGO</v>
      </c>
      <c r="S1007" s="5"/>
      <c r="T1007" s="5"/>
      <c r="U1007" s="5"/>
      <c r="V1007" s="9" t="str">
        <f>IFERROR(__xludf.DUMMYFUNCTION("""COMPUTED_VALUE"""),"https://drive.google.com/uc?id=1a5UIwVYExmv3I52ACJjCsl7twVXGaT5r")</f>
        <v>https://drive.google.com/uc?id=1a5UIwVYExmv3I52ACJjCsl7twVXGaT5r</v>
      </c>
      <c r="W1007" s="5" t="str">
        <f>IFERROR(__xludf.DUMMYFUNCTION("""COMPUTED_VALUE"""),"NÃO")</f>
        <v>NÃO</v>
      </c>
      <c r="X1007" s="5" t="str">
        <f>IFERROR(__xludf.DUMMYFUNCTION("""COMPUTED_VALUE"""),"NÃO SE APLICA")</f>
        <v>NÃO SE APLICA</v>
      </c>
    </row>
    <row r="1008" hidden="1">
      <c r="A1008" s="5">
        <f>IFERROR(__xludf.DUMMYFUNCTION("""COMPUTED_VALUE"""),4.0)</f>
        <v>4</v>
      </c>
      <c r="B1008" s="5" t="str">
        <f>IFERROR(__xludf.DUMMYFUNCTION("""COMPUTED_VALUE"""),"PT020")</f>
        <v>PT020</v>
      </c>
      <c r="C1008" s="5" t="str">
        <f>IFERROR(__xludf.DUMMYFUNCTION("""COMPUTED_VALUE"""),"NÃO POSSUI")</f>
        <v>NÃO POSSUI</v>
      </c>
      <c r="D1008" s="5" t="str">
        <f>IFERROR(__xludf.DUMMYFUNCTION("""COMPUTED_VALUE"""),"COM SUPORTE")</f>
        <v>COM SUPORTE</v>
      </c>
      <c r="E1008" s="5" t="str">
        <f>IFERROR(__xludf.DUMMYFUNCTION("""COMPUTED_VALUE"""),"SEM BAIA")</f>
        <v>SEM BAIA</v>
      </c>
      <c r="F1008" s="5" t="str">
        <f>IFERROR(__xludf.DUMMYFUNCTION("""COMPUTED_VALUE"""),"NÃO")</f>
        <v>NÃO</v>
      </c>
      <c r="G1008" s="5" t="str">
        <f>IFERROR(__xludf.DUMMYFUNCTION("""COMPUTED_VALUE"""),"NÃO")</f>
        <v>NÃO</v>
      </c>
      <c r="H1008" s="5" t="str">
        <f>IFERROR(__xludf.DUMMYFUNCTION("""COMPUTED_VALUE"""),"PAVIMENTADA")</f>
        <v>PAVIMENTADA</v>
      </c>
      <c r="I1008" s="6" t="str">
        <f>IFERROR(__xludf.DUMMYFUNCTION("""COMPUTED_VALUE"""),"-9.604255")</f>
        <v>-9.604255</v>
      </c>
      <c r="J1008" s="6" t="str">
        <f>IFERROR(__xludf.DUMMYFUNCTION("""COMPUTED_VALUE"""),"-35.759972")</f>
        <v>-35.759972</v>
      </c>
      <c r="K1008" s="5" t="str">
        <f>IFERROR(__xludf.DUMMYFUNCTION("""COMPUTED_VALUE"""),"AV. DENILMA BULHÕES")</f>
        <v>AV. DENILMA BULHÕES</v>
      </c>
      <c r="L1008" s="5" t="str">
        <f>IFERROR(__xludf.DUMMYFUNCTION("""COMPUTED_VALUE"""),"LOCAL")</f>
        <v>LOCAL</v>
      </c>
      <c r="M1008" s="5" t="str">
        <f>IFERROR(__xludf.DUMMYFUNCTION("""COMPUTED_VALUE"""),"PETRÓPOLIS ")</f>
        <v>PETRÓPOLIS </v>
      </c>
      <c r="N1008" s="5" t="str">
        <f>IFERROR(__xludf.DUMMYFUNCTION("""COMPUTED_VALUE"""),"CENTRO - BAIRRO")</f>
        <v>CENTRO - BAIRRO</v>
      </c>
      <c r="O1008" s="5" t="str">
        <f>IFERROR(__xludf.DUMMYFUNCTION("""COMPUTED_VALUE"""),"EM FRENTE A VALDA CABELOS")</f>
        <v>EM FRENTE A VALDA CABELOS</v>
      </c>
      <c r="P1008" s="5" t="str">
        <f>IFERROR(__xludf.DUMMYFUNCTION("""COMPUTED_VALUE"""),"PRIORIDADE BAIXA")</f>
        <v>PRIORIDADE BAIXA</v>
      </c>
      <c r="Q1008" s="5"/>
      <c r="R1008" s="5" t="str">
        <f>IFERROR(__xludf.DUMMYFUNCTION("""COMPUTED_VALUE"""),"SUBSTITUIR ABRIGO")</f>
        <v>SUBSTITUIR ABRIGO</v>
      </c>
      <c r="S1008" s="5"/>
      <c r="T1008" s="5"/>
      <c r="U1008" s="5"/>
      <c r="V1008" s="9" t="str">
        <f>IFERROR(__xludf.DUMMYFUNCTION("""COMPUTED_VALUE"""),"https://drive.google.com/uc?id=1Z4OnXkB4LSoqOEVL3JC5nr3JlLSkwcw3")</f>
        <v>https://drive.google.com/uc?id=1Z4OnXkB4LSoqOEVL3JC5nr3JlLSkwcw3</v>
      </c>
      <c r="W1008" s="5" t="str">
        <f>IFERROR(__xludf.DUMMYFUNCTION("""COMPUTED_VALUE"""),"NÃO")</f>
        <v>NÃO</v>
      </c>
      <c r="X1008" s="5" t="str">
        <f>IFERROR(__xludf.DUMMYFUNCTION("""COMPUTED_VALUE"""),"NÃO SE APLICA")</f>
        <v>NÃO SE APLICA</v>
      </c>
    </row>
    <row r="1009" hidden="1">
      <c r="A1009" s="5">
        <f>IFERROR(__xludf.DUMMYFUNCTION("""COMPUTED_VALUE"""),4.0)</f>
        <v>4</v>
      </c>
      <c r="B1009" s="5" t="str">
        <f>IFERROR(__xludf.DUMMYFUNCTION("""COMPUTED_VALUE"""),"PT021")</f>
        <v>PT021</v>
      </c>
      <c r="C1009" s="5" t="str">
        <f>IFERROR(__xludf.DUMMYFUNCTION("""COMPUTED_VALUE"""),"NÃO POSSUI")</f>
        <v>NÃO POSSUI</v>
      </c>
      <c r="D1009" s="5" t="str">
        <f>IFERROR(__xludf.DUMMYFUNCTION("""COMPUTED_VALUE"""),"COM SUPORTE")</f>
        <v>COM SUPORTE</v>
      </c>
      <c r="E1009" s="5" t="str">
        <f>IFERROR(__xludf.DUMMYFUNCTION("""COMPUTED_VALUE"""),"SEM BAIA")</f>
        <v>SEM BAIA</v>
      </c>
      <c r="F1009" s="5" t="str">
        <f>IFERROR(__xludf.DUMMYFUNCTION("""COMPUTED_VALUE"""),"NÃO")</f>
        <v>NÃO</v>
      </c>
      <c r="G1009" s="5" t="str">
        <f>IFERROR(__xludf.DUMMYFUNCTION("""COMPUTED_VALUE"""),"NÃO")</f>
        <v>NÃO</v>
      </c>
      <c r="H1009" s="5" t="str">
        <f>IFERROR(__xludf.DUMMYFUNCTION("""COMPUTED_VALUE"""),"PAVIMENTADA")</f>
        <v>PAVIMENTADA</v>
      </c>
      <c r="I1009" s="6" t="str">
        <f>IFERROR(__xludf.DUMMYFUNCTION("""COMPUTED_VALUE"""),"-9.606457")</f>
        <v>-9.606457</v>
      </c>
      <c r="J1009" s="6" t="str">
        <f>IFERROR(__xludf.DUMMYFUNCTION("""COMPUTED_VALUE"""),"-35.758840")</f>
        <v>-35.758840</v>
      </c>
      <c r="K1009" s="5" t="str">
        <f>IFERROR(__xludf.DUMMYFUNCTION("""COMPUTED_VALUE"""),"AV. DENILMA BULHÕES")</f>
        <v>AV. DENILMA BULHÕES</v>
      </c>
      <c r="L1009" s="5" t="str">
        <f>IFERROR(__xludf.DUMMYFUNCTION("""COMPUTED_VALUE"""),"LOCAL")</f>
        <v>LOCAL</v>
      </c>
      <c r="M1009" s="5" t="str">
        <f>IFERROR(__xludf.DUMMYFUNCTION("""COMPUTED_VALUE"""),"PETRÓPOLIS ")</f>
        <v>PETRÓPOLIS </v>
      </c>
      <c r="N1009" s="5" t="str">
        <f>IFERROR(__xludf.DUMMYFUNCTION("""COMPUTED_VALUE"""),"CENTRO - BAIRRO")</f>
        <v>CENTRO - BAIRRO</v>
      </c>
      <c r="O1009" s="5" t="str">
        <f>IFERROR(__xludf.DUMMYFUNCTION("""COMPUTED_VALUE"""),"AO LADO DA ESCOLINHA COLORIR")</f>
        <v>AO LADO DA ESCOLINHA COLORIR</v>
      </c>
      <c r="P1009" s="5" t="str">
        <f>IFERROR(__xludf.DUMMYFUNCTION("""COMPUTED_VALUE"""),"PRIORIDADE BAIXA")</f>
        <v>PRIORIDADE BAIXA</v>
      </c>
      <c r="Q1009" s="5"/>
      <c r="R1009" s="5" t="str">
        <f>IFERROR(__xludf.DUMMYFUNCTION("""COMPUTED_VALUE"""),"NENHUMA DAS OPÇÕES")</f>
        <v>NENHUMA DAS OPÇÕES</v>
      </c>
      <c r="S1009" s="5"/>
      <c r="T1009" s="5"/>
      <c r="U1009" s="5"/>
      <c r="V1009" s="9" t="str">
        <f>IFERROR(__xludf.DUMMYFUNCTION("""COMPUTED_VALUE"""),"https://drive.google.com/uc?id=169saVWpg8E-JYldN-FKmwC63xrZm5NJa")</f>
        <v>https://drive.google.com/uc?id=169saVWpg8E-JYldN-FKmwC63xrZm5NJa</v>
      </c>
      <c r="W1009" s="5" t="str">
        <f>IFERROR(__xludf.DUMMYFUNCTION("""COMPUTED_VALUE"""),"NÃO")</f>
        <v>NÃO</v>
      </c>
      <c r="X1009" s="5" t="str">
        <f>IFERROR(__xludf.DUMMYFUNCTION("""COMPUTED_VALUE"""),"NÃO SE APLICA")</f>
        <v>NÃO SE APLICA</v>
      </c>
    </row>
    <row r="1010" hidden="1">
      <c r="A1010" s="5">
        <f>IFERROR(__xludf.DUMMYFUNCTION("""COMPUTED_VALUE"""),4.0)</f>
        <v>4</v>
      </c>
      <c r="B1010" s="5" t="str">
        <f>IFERROR(__xludf.DUMMYFUNCTION("""COMPUTED_VALUE"""),"PT022")</f>
        <v>PT022</v>
      </c>
      <c r="C1010" s="5" t="str">
        <f>IFERROR(__xludf.DUMMYFUNCTION("""COMPUTED_VALUE"""),"NÃO POSSUI")</f>
        <v>NÃO POSSUI</v>
      </c>
      <c r="D1010" s="5" t="str">
        <f>IFERROR(__xludf.DUMMYFUNCTION("""COMPUTED_VALUE"""),"FIXADA EM POSTE")</f>
        <v>FIXADA EM POSTE</v>
      </c>
      <c r="E1010" s="5" t="str">
        <f>IFERROR(__xludf.DUMMYFUNCTION("""COMPUTED_VALUE"""),"SEM BAIA")</f>
        <v>SEM BAIA</v>
      </c>
      <c r="F1010" s="5" t="str">
        <f>IFERROR(__xludf.DUMMYFUNCTION("""COMPUTED_VALUE"""),"NÃO")</f>
        <v>NÃO</v>
      </c>
      <c r="G1010" s="5" t="str">
        <f>IFERROR(__xludf.DUMMYFUNCTION("""COMPUTED_VALUE"""),"NÃO")</f>
        <v>NÃO</v>
      </c>
      <c r="H1010" s="5" t="str">
        <f>IFERROR(__xludf.DUMMYFUNCTION("""COMPUTED_VALUE"""),"PAVIMENTADA")</f>
        <v>PAVIMENTADA</v>
      </c>
      <c r="I1010" s="6" t="str">
        <f>IFERROR(__xludf.DUMMYFUNCTION("""COMPUTED_VALUE"""),"-9.609472")</f>
        <v>-9.609472</v>
      </c>
      <c r="J1010" s="6" t="str">
        <f>IFERROR(__xludf.DUMMYFUNCTION("""COMPUTED_VALUE"""),"-35.758025")</f>
        <v>-35.758025</v>
      </c>
      <c r="K1010" s="5" t="str">
        <f>IFERROR(__xludf.DUMMYFUNCTION("""COMPUTED_VALUE"""),"AV. DENILMA BULHÕES")</f>
        <v>AV. DENILMA BULHÕES</v>
      </c>
      <c r="L1010" s="5" t="str">
        <f>IFERROR(__xludf.DUMMYFUNCTION("""COMPUTED_VALUE"""),"LOCAL")</f>
        <v>LOCAL</v>
      </c>
      <c r="M1010" s="5" t="str">
        <f>IFERROR(__xludf.DUMMYFUNCTION("""COMPUTED_VALUE"""),"PETRÓPOLIS ")</f>
        <v>PETRÓPOLIS </v>
      </c>
      <c r="N1010" s="5" t="str">
        <f>IFERROR(__xludf.DUMMYFUNCTION("""COMPUTED_VALUE"""),"CENTRO - BAIRRO")</f>
        <v>CENTRO - BAIRRO</v>
      </c>
      <c r="O1010" s="5" t="str">
        <f>IFERROR(__xludf.DUMMYFUNCTION("""COMPUTED_VALUE"""),"EM FRENTE A ASSEMBLEIA DE DEUS")</f>
        <v>EM FRENTE A ASSEMBLEIA DE DEUS</v>
      </c>
      <c r="P1010" s="5" t="str">
        <f>IFERROR(__xludf.DUMMYFUNCTION("""COMPUTED_VALUE"""),"PRIORIDADE BAIXA")</f>
        <v>PRIORIDADE BAIXA</v>
      </c>
      <c r="Q1010" s="5"/>
      <c r="R1010" s="5" t="str">
        <f>IFERROR(__xludf.DUMMYFUNCTION("""COMPUTED_VALUE"""),"IMPLANTAR ABRIGO")</f>
        <v>IMPLANTAR ABRIGO</v>
      </c>
      <c r="S1010" s="5"/>
      <c r="T1010" s="5"/>
      <c r="U1010" s="5"/>
      <c r="V1010" s="9" t="str">
        <f>IFERROR(__xludf.DUMMYFUNCTION("""COMPUTED_VALUE"""),"https://drive.google.com/uc?id=1WBvLEvedFx4OeZVTnysPFYP95pw8DTbi")</f>
        <v>https://drive.google.com/uc?id=1WBvLEvedFx4OeZVTnysPFYP95pw8DTbi</v>
      </c>
      <c r="W1010" s="5" t="str">
        <f>IFERROR(__xludf.DUMMYFUNCTION("""COMPUTED_VALUE"""),"NÃO")</f>
        <v>NÃO</v>
      </c>
      <c r="X1010" s="5" t="str">
        <f>IFERROR(__xludf.DUMMYFUNCTION("""COMPUTED_VALUE"""),"NÃO SE APLICA")</f>
        <v>NÃO SE APLICA</v>
      </c>
    </row>
    <row r="1011" hidden="1">
      <c r="A1011" s="5">
        <f>IFERROR(__xludf.DUMMYFUNCTION("""COMPUTED_VALUE"""),4.0)</f>
        <v>4</v>
      </c>
      <c r="B1011" s="5" t="str">
        <f>IFERROR(__xludf.DUMMYFUNCTION("""COMPUTED_VALUE"""),"PT023")</f>
        <v>PT023</v>
      </c>
      <c r="C1011" s="5" t="str">
        <f>IFERROR(__xludf.DUMMYFUNCTION("""COMPUTED_VALUE"""),"NÃO POSSUI")</f>
        <v>NÃO POSSUI</v>
      </c>
      <c r="D1011" s="5" t="str">
        <f>IFERROR(__xludf.DUMMYFUNCTION("""COMPUTED_VALUE"""),"COM SUPORTE")</f>
        <v>COM SUPORTE</v>
      </c>
      <c r="E1011" s="5" t="str">
        <f>IFERROR(__xludf.DUMMYFUNCTION("""COMPUTED_VALUE"""),"SEM BAIA")</f>
        <v>SEM BAIA</v>
      </c>
      <c r="F1011" s="5" t="str">
        <f>IFERROR(__xludf.DUMMYFUNCTION("""COMPUTED_VALUE"""),"NÃO")</f>
        <v>NÃO</v>
      </c>
      <c r="G1011" s="5" t="str">
        <f>IFERROR(__xludf.DUMMYFUNCTION("""COMPUTED_VALUE"""),"NÃO")</f>
        <v>NÃO</v>
      </c>
      <c r="H1011" s="5" t="str">
        <f>IFERROR(__xludf.DUMMYFUNCTION("""COMPUTED_VALUE"""),"PAVIMENTADA")</f>
        <v>PAVIMENTADA</v>
      </c>
      <c r="I1011" s="6" t="str">
        <f>IFERROR(__xludf.DUMMYFUNCTION("""COMPUTED_VALUE"""),"-9.611318")</f>
        <v>-9.611318</v>
      </c>
      <c r="J1011" s="6" t="str">
        <f>IFERROR(__xludf.DUMMYFUNCTION("""COMPUTED_VALUE"""),"-35.757540")</f>
        <v>-35.757540</v>
      </c>
      <c r="K1011" s="5" t="str">
        <f>IFERROR(__xludf.DUMMYFUNCTION("""COMPUTED_VALUE"""),"AV. DENILMA BULHÕES")</f>
        <v>AV. DENILMA BULHÕES</v>
      </c>
      <c r="L1011" s="5" t="str">
        <f>IFERROR(__xludf.DUMMYFUNCTION("""COMPUTED_VALUE"""),"LOCAL")</f>
        <v>LOCAL</v>
      </c>
      <c r="M1011" s="5" t="str">
        <f>IFERROR(__xludf.DUMMYFUNCTION("""COMPUTED_VALUE"""),"PETRÓPOLIS ")</f>
        <v>PETRÓPOLIS </v>
      </c>
      <c r="N1011" s="5" t="str">
        <f>IFERROR(__xludf.DUMMYFUNCTION("""COMPUTED_VALUE"""),"CENTRO - BAIRRO")</f>
        <v>CENTRO - BAIRRO</v>
      </c>
      <c r="O1011" s="5" t="str">
        <f>IFERROR(__xludf.DUMMYFUNCTION("""COMPUTED_VALUE"""),"EM FRENTE A ESCOLA LUIZ PEDRO")</f>
        <v>EM FRENTE A ESCOLA LUIZ PEDRO</v>
      </c>
      <c r="P1011" s="5" t="str">
        <f>IFERROR(__xludf.DUMMYFUNCTION("""COMPUTED_VALUE"""),"PRIORIDADE BAIXA")</f>
        <v>PRIORIDADE BAIXA</v>
      </c>
      <c r="Q1011" s="5"/>
      <c r="R1011" s="5" t="str">
        <f>IFERROR(__xludf.DUMMYFUNCTION("""COMPUTED_VALUE"""),"NENHUMA DAS OPÇÕES")</f>
        <v>NENHUMA DAS OPÇÕES</v>
      </c>
      <c r="S1011" s="5"/>
      <c r="T1011" s="5"/>
      <c r="U1011" s="5"/>
      <c r="V1011" s="9" t="str">
        <f>IFERROR(__xludf.DUMMYFUNCTION("""COMPUTED_VALUE"""),"https://drive.google.com/uc?id=1UmbQmvD8pHhlR3DPZEWeZq9aCDIYe4MV")</f>
        <v>https://drive.google.com/uc?id=1UmbQmvD8pHhlR3DPZEWeZq9aCDIYe4MV</v>
      </c>
      <c r="W1011" s="5" t="str">
        <f>IFERROR(__xludf.DUMMYFUNCTION("""COMPUTED_VALUE"""),"NÃO")</f>
        <v>NÃO</v>
      </c>
      <c r="X1011" s="5" t="str">
        <f>IFERROR(__xludf.DUMMYFUNCTION("""COMPUTED_VALUE"""),"NÃO SE APLICA")</f>
        <v>NÃO SE APLICA</v>
      </c>
    </row>
    <row r="1012">
      <c r="A1012" s="5">
        <f>IFERROR(__xludf.DUMMYFUNCTION("""COMPUTED_VALUE"""),4.0)</f>
        <v>4</v>
      </c>
      <c r="B1012" s="5" t="str">
        <f>IFERROR(__xludf.DUMMYFUNCTION("""COMPUTED_VALUE"""),"PT024")</f>
        <v>PT024</v>
      </c>
      <c r="C1012" s="5" t="str">
        <f>IFERROR(__xludf.DUMMYFUNCTION("""COMPUTED_VALUE"""),"ABRIGO CONCRETO")</f>
        <v>ABRIGO CONCRETO</v>
      </c>
      <c r="D1012" s="5" t="str">
        <f>IFERROR(__xludf.DUMMYFUNCTION("""COMPUTED_VALUE"""),"SEM PLACA")</f>
        <v>SEM PLACA</v>
      </c>
      <c r="E1012" s="5" t="str">
        <f>IFERROR(__xludf.DUMMYFUNCTION("""COMPUTED_VALUE"""),"SEM BAIA")</f>
        <v>SEM BAIA</v>
      </c>
      <c r="F1012" s="5" t="str">
        <f>IFERROR(__xludf.DUMMYFUNCTION("""COMPUTED_VALUE"""),"NÃO")</f>
        <v>NÃO</v>
      </c>
      <c r="G1012" s="5" t="str">
        <f>IFERROR(__xludf.DUMMYFUNCTION("""COMPUTED_VALUE"""),"NÃO")</f>
        <v>NÃO</v>
      </c>
      <c r="H1012" s="5" t="str">
        <f>IFERROR(__xludf.DUMMYFUNCTION("""COMPUTED_VALUE"""),"NÃO PAVIMENTADA")</f>
        <v>NÃO PAVIMENTADA</v>
      </c>
      <c r="I1012" s="6" t="str">
        <f>IFERROR(__xludf.DUMMYFUNCTION("""COMPUTED_VALUE"""),"-9.609303")</f>
        <v>-9.609303</v>
      </c>
      <c r="J1012" s="6" t="str">
        <f>IFERROR(__xludf.DUMMYFUNCTION("""COMPUTED_VALUE"""),"-35.757952")</f>
        <v>-35.757952</v>
      </c>
      <c r="K1012" s="5" t="str">
        <f>IFERROR(__xludf.DUMMYFUNCTION("""COMPUTED_VALUE"""),"AV. DENILMA BULHÕES")</f>
        <v>AV. DENILMA BULHÕES</v>
      </c>
      <c r="L1012" s="5" t="str">
        <f>IFERROR(__xludf.DUMMYFUNCTION("""COMPUTED_VALUE"""),"LOCAL")</f>
        <v>LOCAL</v>
      </c>
      <c r="M1012" s="5" t="str">
        <f>IFERROR(__xludf.DUMMYFUNCTION("""COMPUTED_VALUE"""),"PETRÓPOLIS ")</f>
        <v>PETRÓPOLIS </v>
      </c>
      <c r="N1012" s="5" t="str">
        <f>IFERROR(__xludf.DUMMYFUNCTION("""COMPUTED_VALUE"""),"BAIRRO - CENTRO")</f>
        <v>BAIRRO - CENTRO</v>
      </c>
      <c r="O1012" s="5" t="str">
        <f>IFERROR(__xludf.DUMMYFUNCTION("""COMPUTED_VALUE"""),"LADO OPOSTO A ASSEMBLEIA DE DEUS")</f>
        <v>LADO OPOSTO A ASSEMBLEIA DE DEUS</v>
      </c>
      <c r="P1012" s="5" t="str">
        <f>IFERROR(__xludf.DUMMYFUNCTION("""COMPUTED_VALUE"""),"PRIORIDADE BAIXA")</f>
        <v>PRIORIDADE BAIXA</v>
      </c>
      <c r="Q1012" s="5"/>
      <c r="R1012" s="5" t="str">
        <f>IFERROR(__xludf.DUMMYFUNCTION("""COMPUTED_VALUE"""),"SUBSTITUIR ABRIGO")</f>
        <v>SUBSTITUIR ABRIGO</v>
      </c>
      <c r="S1012" s="5"/>
      <c r="T1012" s="5"/>
      <c r="U1012" s="5"/>
      <c r="V1012" s="9" t="str">
        <f>IFERROR(__xludf.DUMMYFUNCTION("""COMPUTED_VALUE"""),"https://drive.google.com/uc?id=1-WL_kTL1a2sxisfskC-erjlW2-lq4Gqk")</f>
        <v>https://drive.google.com/uc?id=1-WL_kTL1a2sxisfskC-erjlW2-lq4Gqk</v>
      </c>
      <c r="W1012" s="5" t="str">
        <f>IFERROR(__xludf.DUMMYFUNCTION("""COMPUTED_VALUE"""),"NÃO")</f>
        <v>NÃO</v>
      </c>
      <c r="X1012" s="5" t="str">
        <f>IFERROR(__xludf.DUMMYFUNCTION("""COMPUTED_VALUE"""),"NÃO SE APLICA")</f>
        <v>NÃO SE APLICA</v>
      </c>
    </row>
    <row r="1013" hidden="1">
      <c r="A1013" s="5">
        <f>IFERROR(__xludf.DUMMYFUNCTION("""COMPUTED_VALUE"""),4.0)</f>
        <v>4</v>
      </c>
      <c r="B1013" s="5" t="str">
        <f>IFERROR(__xludf.DUMMYFUNCTION("""COMPUTED_VALUE"""),"PT025")</f>
        <v>PT025</v>
      </c>
      <c r="C1013" s="5" t="str">
        <f>IFERROR(__xludf.DUMMYFUNCTION("""COMPUTED_VALUE"""),"NÃO POSSUI")</f>
        <v>NÃO POSSUI</v>
      </c>
      <c r="D1013" s="5" t="str">
        <f>IFERROR(__xludf.DUMMYFUNCTION("""COMPUTED_VALUE"""),"FIXADA EM POSTE")</f>
        <v>FIXADA EM POSTE</v>
      </c>
      <c r="E1013" s="5" t="str">
        <f>IFERROR(__xludf.DUMMYFUNCTION("""COMPUTED_VALUE"""),"SEM BAIA")</f>
        <v>SEM BAIA</v>
      </c>
      <c r="F1013" s="5" t="str">
        <f>IFERROR(__xludf.DUMMYFUNCTION("""COMPUTED_VALUE"""),"NÃO")</f>
        <v>NÃO</v>
      </c>
      <c r="G1013" s="5" t="str">
        <f>IFERROR(__xludf.DUMMYFUNCTION("""COMPUTED_VALUE"""),"NÃO")</f>
        <v>NÃO</v>
      </c>
      <c r="H1013" s="5" t="str">
        <f>IFERROR(__xludf.DUMMYFUNCTION("""COMPUTED_VALUE"""),"PAVIMENTADA COM AVARIAS")</f>
        <v>PAVIMENTADA COM AVARIAS</v>
      </c>
      <c r="I1013" s="6" t="str">
        <f>IFERROR(__xludf.DUMMYFUNCTION("""COMPUTED_VALUE"""),"-9.606555")</f>
        <v>-9.606555</v>
      </c>
      <c r="J1013" s="6" t="str">
        <f>IFERROR(__xludf.DUMMYFUNCTION("""COMPUTED_VALUE"""),"-35.758703")</f>
        <v>-35.758703</v>
      </c>
      <c r="K1013" s="5" t="str">
        <f>IFERROR(__xludf.DUMMYFUNCTION("""COMPUTED_VALUE"""),"AV. DENILMA BULHÕES")</f>
        <v>AV. DENILMA BULHÕES</v>
      </c>
      <c r="L1013" s="5" t="str">
        <f>IFERROR(__xludf.DUMMYFUNCTION("""COMPUTED_VALUE"""),"LOCAL")</f>
        <v>LOCAL</v>
      </c>
      <c r="M1013" s="5" t="str">
        <f>IFERROR(__xludf.DUMMYFUNCTION("""COMPUTED_VALUE"""),"PETRÓPOLIS ")</f>
        <v>PETRÓPOLIS </v>
      </c>
      <c r="N1013" s="5" t="str">
        <f>IFERROR(__xludf.DUMMYFUNCTION("""COMPUTED_VALUE"""),"BAIRRO - CENTRO")</f>
        <v>BAIRRO - CENTRO</v>
      </c>
      <c r="O1013" s="5" t="str">
        <f>IFERROR(__xludf.DUMMYFUNCTION("""COMPUTED_VALUE"""),"LADO OPOSTO A ESCOLINHA COLORIR")</f>
        <v>LADO OPOSTO A ESCOLINHA COLORIR</v>
      </c>
      <c r="P1013" s="5" t="str">
        <f>IFERROR(__xludf.DUMMYFUNCTION("""COMPUTED_VALUE"""),"PRIORIDADE BAIXA")</f>
        <v>PRIORIDADE BAIXA</v>
      </c>
      <c r="Q1013" s="5"/>
      <c r="R1013" s="5" t="str">
        <f>IFERROR(__xludf.DUMMYFUNCTION("""COMPUTED_VALUE"""),"NENHUMA DAS OPÇÕES")</f>
        <v>NENHUMA DAS OPÇÕES</v>
      </c>
      <c r="S1013" s="5"/>
      <c r="T1013" s="5"/>
      <c r="U1013" s="5"/>
      <c r="V1013" s="9" t="str">
        <f>IFERROR(__xludf.DUMMYFUNCTION("""COMPUTED_VALUE"""),"https://drive.google.com/uc?id=1imgoC_Orn-h8cdSp9_E11a9WjVwWh3Fj/")</f>
        <v>https://drive.google.com/uc?id=1imgoC_Orn-h8cdSp9_E11a9WjVwWh3Fj/</v>
      </c>
      <c r="W1013" s="5" t="str">
        <f>IFERROR(__xludf.DUMMYFUNCTION("""COMPUTED_VALUE"""),"NÃO")</f>
        <v>NÃO</v>
      </c>
      <c r="X1013" s="5" t="str">
        <f>IFERROR(__xludf.DUMMYFUNCTION("""COMPUTED_VALUE"""),"NÃO SE APLICA")</f>
        <v>NÃO SE APLICA</v>
      </c>
    </row>
    <row r="1014" hidden="1">
      <c r="A1014" s="5">
        <f>IFERROR(__xludf.DUMMYFUNCTION("""COMPUTED_VALUE"""),4.0)</f>
        <v>4</v>
      </c>
      <c r="B1014" s="5" t="str">
        <f>IFERROR(__xludf.DUMMYFUNCTION("""COMPUTED_VALUE"""),"PT026")</f>
        <v>PT026</v>
      </c>
      <c r="C1014" s="5" t="str">
        <f>IFERROR(__xludf.DUMMYFUNCTION("""COMPUTED_VALUE"""),"NÃO POSSUI")</f>
        <v>NÃO POSSUI</v>
      </c>
      <c r="D1014" s="5" t="str">
        <f>IFERROR(__xludf.DUMMYFUNCTION("""COMPUTED_VALUE"""),"FIXADA EM POSTE")</f>
        <v>FIXADA EM POSTE</v>
      </c>
      <c r="E1014" s="5" t="str">
        <f>IFERROR(__xludf.DUMMYFUNCTION("""COMPUTED_VALUE"""),"SEM BAIA")</f>
        <v>SEM BAIA</v>
      </c>
      <c r="F1014" s="5" t="str">
        <f>IFERROR(__xludf.DUMMYFUNCTION("""COMPUTED_VALUE"""),"NÃO")</f>
        <v>NÃO</v>
      </c>
      <c r="G1014" s="5" t="str">
        <f>IFERROR(__xludf.DUMMYFUNCTION("""COMPUTED_VALUE"""),"NÃO")</f>
        <v>NÃO</v>
      </c>
      <c r="H1014" s="5" t="str">
        <f>IFERROR(__xludf.DUMMYFUNCTION("""COMPUTED_VALUE"""),"PAVIMENTADA")</f>
        <v>PAVIMENTADA</v>
      </c>
      <c r="I1014" s="6" t="str">
        <f>IFERROR(__xludf.DUMMYFUNCTION("""COMPUTED_VALUE"""),"-9.60438")</f>
        <v>-9.60438</v>
      </c>
      <c r="J1014" s="6" t="str">
        <f>IFERROR(__xludf.DUMMYFUNCTION("""COMPUTED_VALUE"""),"-35.75975")</f>
        <v>-35.75975</v>
      </c>
      <c r="K1014" s="5" t="str">
        <f>IFERROR(__xludf.DUMMYFUNCTION("""COMPUTED_VALUE"""),"AV. DENILMA BULHÕES")</f>
        <v>AV. DENILMA BULHÕES</v>
      </c>
      <c r="L1014" s="5" t="str">
        <f>IFERROR(__xludf.DUMMYFUNCTION("""COMPUTED_VALUE"""),"LOCAL")</f>
        <v>LOCAL</v>
      </c>
      <c r="M1014" s="5" t="str">
        <f>IFERROR(__xludf.DUMMYFUNCTION("""COMPUTED_VALUE"""),"PETRÓPOLIS ")</f>
        <v>PETRÓPOLIS </v>
      </c>
      <c r="N1014" s="5" t="str">
        <f>IFERROR(__xludf.DUMMYFUNCTION("""COMPUTED_VALUE"""),"BAIRRO - CENTRO")</f>
        <v>BAIRRO - CENTRO</v>
      </c>
      <c r="O1014" s="5" t="str">
        <f>IFERROR(__xludf.DUMMYFUNCTION("""COMPUTED_VALUE"""),"ALAMEDA JOSÉ LOPES DE ALBUQUERQUE")</f>
        <v>ALAMEDA JOSÉ LOPES DE ALBUQUERQUE</v>
      </c>
      <c r="P1014" s="5" t="str">
        <f>IFERROR(__xludf.DUMMYFUNCTION("""COMPUTED_VALUE"""),"PRIORIDADE BAIXA")</f>
        <v>PRIORIDADE BAIXA</v>
      </c>
      <c r="Q1014" s="5"/>
      <c r="R1014" s="5" t="str">
        <f>IFERROR(__xludf.DUMMYFUNCTION("""COMPUTED_VALUE"""),"NENHUMA DAS OPÇÕES")</f>
        <v>NENHUMA DAS OPÇÕES</v>
      </c>
      <c r="S1014" s="5"/>
      <c r="T1014" s="5"/>
      <c r="U1014" s="5"/>
      <c r="V1014" s="9" t="str">
        <f>IFERROR(__xludf.DUMMYFUNCTION("""COMPUTED_VALUE"""),"https://drive.google.com/uc?id=1ccLf74r3BlL46qEkMb-JndXpxaXl0GaN")</f>
        <v>https://drive.google.com/uc?id=1ccLf74r3BlL46qEkMb-JndXpxaXl0GaN</v>
      </c>
      <c r="W1014" s="5" t="str">
        <f>IFERROR(__xludf.DUMMYFUNCTION("""COMPUTED_VALUE"""),"NÃO")</f>
        <v>NÃO</v>
      </c>
      <c r="X1014" s="5" t="str">
        <f>IFERROR(__xludf.DUMMYFUNCTION("""COMPUTED_VALUE"""),"NÃO SE APLICA")</f>
        <v>NÃO SE APLICA</v>
      </c>
    </row>
    <row r="1015" hidden="1">
      <c r="A1015" s="5">
        <f>IFERROR(__xludf.DUMMYFUNCTION("""COMPUTED_VALUE"""),4.0)</f>
        <v>4</v>
      </c>
      <c r="B1015" s="5" t="str">
        <f>IFERROR(__xludf.DUMMYFUNCTION("""COMPUTED_VALUE"""),"PT027")</f>
        <v>PT027</v>
      </c>
      <c r="C1015" s="5" t="str">
        <f>IFERROR(__xludf.DUMMYFUNCTION("""COMPUTED_VALUE"""),"NÃO POSSUI")</f>
        <v>NÃO POSSUI</v>
      </c>
      <c r="D1015" s="5" t="str">
        <f>IFERROR(__xludf.DUMMYFUNCTION("""COMPUTED_VALUE"""),"COM SUPORTE")</f>
        <v>COM SUPORTE</v>
      </c>
      <c r="E1015" s="5" t="str">
        <f>IFERROR(__xludf.DUMMYFUNCTION("""COMPUTED_VALUE"""),"SEM BAIA")</f>
        <v>SEM BAIA</v>
      </c>
      <c r="F1015" s="5" t="str">
        <f>IFERROR(__xludf.DUMMYFUNCTION("""COMPUTED_VALUE"""),"NÃO")</f>
        <v>NÃO</v>
      </c>
      <c r="G1015" s="5" t="str">
        <f>IFERROR(__xludf.DUMMYFUNCTION("""COMPUTED_VALUE"""),"NÃO")</f>
        <v>NÃO</v>
      </c>
      <c r="H1015" s="5" t="str">
        <f>IFERROR(__xludf.DUMMYFUNCTION("""COMPUTED_VALUE"""),"PAVIMENTADA")</f>
        <v>PAVIMENTADA</v>
      </c>
      <c r="I1015" s="6" t="str">
        <f>IFERROR(__xludf.DUMMYFUNCTION("""COMPUTED_VALUE"""),"-9.603328")</f>
        <v>-9.603328</v>
      </c>
      <c r="J1015" s="6" t="str">
        <f>IFERROR(__xludf.DUMMYFUNCTION("""COMPUTED_VALUE"""),"-35.759460")</f>
        <v>-35.759460</v>
      </c>
      <c r="K1015" s="5" t="str">
        <f>IFERROR(__xludf.DUMMYFUNCTION("""COMPUTED_VALUE"""),"ALAMEDA JOSÉ LOPES DE ALBUQUERQUE")</f>
        <v>ALAMEDA JOSÉ LOPES DE ALBUQUERQUE</v>
      </c>
      <c r="L1015" s="5" t="str">
        <f>IFERROR(__xludf.DUMMYFUNCTION("""COMPUTED_VALUE"""),"LOCAL")</f>
        <v>LOCAL</v>
      </c>
      <c r="M1015" s="5" t="str">
        <f>IFERROR(__xludf.DUMMYFUNCTION("""COMPUTED_VALUE"""),"PETRÓPOLIS ")</f>
        <v>PETRÓPOLIS </v>
      </c>
      <c r="N1015" s="5" t="str">
        <f>IFERROR(__xludf.DUMMYFUNCTION("""COMPUTED_VALUE"""),"BAIRRO - CENTRO")</f>
        <v>BAIRRO - CENTRO</v>
      </c>
      <c r="O1015" s="5" t="str">
        <f>IFERROR(__xludf.DUMMYFUNCTION("""COMPUTED_VALUE"""),"EM FRENTE A HUGO ESTOFADOS")</f>
        <v>EM FRENTE A HUGO ESTOFADOS</v>
      </c>
      <c r="P1015" s="5" t="str">
        <f>IFERROR(__xludf.DUMMYFUNCTION("""COMPUTED_VALUE"""),"PRIORIDADE BAIXA")</f>
        <v>PRIORIDADE BAIXA</v>
      </c>
      <c r="Q1015" s="5"/>
      <c r="R1015" s="5" t="str">
        <f>IFERROR(__xludf.DUMMYFUNCTION("""COMPUTED_VALUE"""),"IMPLANTAR ABRIGO")</f>
        <v>IMPLANTAR ABRIGO</v>
      </c>
      <c r="S1015" s="5"/>
      <c r="T1015" s="5"/>
      <c r="U1015" s="5"/>
      <c r="V1015" s="9" t="str">
        <f>IFERROR(__xludf.DUMMYFUNCTION("""COMPUTED_VALUE"""),"https://drive.google.com/uc?id=1Iu-qVPOAhEC8rAtmtZE2b93pDrTeuY0J")</f>
        <v>https://drive.google.com/uc?id=1Iu-qVPOAhEC8rAtmtZE2b93pDrTeuY0J</v>
      </c>
      <c r="W1015" s="5" t="str">
        <f>IFERROR(__xludf.DUMMYFUNCTION("""COMPUTED_VALUE"""),"NÃO")</f>
        <v>NÃO</v>
      </c>
      <c r="X1015" s="5" t="str">
        <f>IFERROR(__xludf.DUMMYFUNCTION("""COMPUTED_VALUE"""),"NÃO SE APLICA")</f>
        <v>NÃO SE APLICA</v>
      </c>
    </row>
    <row r="1016">
      <c r="A1016" s="5">
        <f>IFERROR(__xludf.DUMMYFUNCTION("""COMPUTED_VALUE"""),4.0)</f>
        <v>4</v>
      </c>
      <c r="B1016" s="5" t="str">
        <f>IFERROR(__xludf.DUMMYFUNCTION("""COMPUTED_VALUE"""),"PT028")</f>
        <v>PT028</v>
      </c>
      <c r="C1016" s="5" t="str">
        <f>IFERROR(__xludf.DUMMYFUNCTION("""COMPUTED_VALUE"""),"ABRIGO CONCRETO")</f>
        <v>ABRIGO CONCRETO</v>
      </c>
      <c r="D1016" s="5" t="str">
        <f>IFERROR(__xludf.DUMMYFUNCTION("""COMPUTED_VALUE"""),"SEM PLACA")</f>
        <v>SEM PLACA</v>
      </c>
      <c r="E1016" s="5" t="str">
        <f>IFERROR(__xludf.DUMMYFUNCTION("""COMPUTED_VALUE"""),"SEM BAIA")</f>
        <v>SEM BAIA</v>
      </c>
      <c r="F1016" s="5" t="str">
        <f>IFERROR(__xludf.DUMMYFUNCTION("""COMPUTED_VALUE"""),"NÃO")</f>
        <v>NÃO</v>
      </c>
      <c r="G1016" s="5" t="str">
        <f>IFERROR(__xludf.DUMMYFUNCTION("""COMPUTED_VALUE"""),"NÃO")</f>
        <v>NÃO</v>
      </c>
      <c r="H1016" s="5" t="str">
        <f>IFERROR(__xludf.DUMMYFUNCTION("""COMPUTED_VALUE"""),"PAVIMENTADA")</f>
        <v>PAVIMENTADA</v>
      </c>
      <c r="I1016" s="6" t="str">
        <f>IFERROR(__xludf.DUMMYFUNCTION("""COMPUTED_VALUE"""),"-9.604412")</f>
        <v>-9.604412</v>
      </c>
      <c r="J1016" s="6" t="str">
        <f>IFERROR(__xludf.DUMMYFUNCTION("""COMPUTED_VALUE"""),"-35.758070")</f>
        <v>-35.758070</v>
      </c>
      <c r="K1016" s="5" t="str">
        <f>IFERROR(__xludf.DUMMYFUNCTION("""COMPUTED_VALUE"""),"AV. EMPRESÁRIO  LOURIVAL LOBO FERREIRA")</f>
        <v>AV. EMPRESÁRIO  LOURIVAL LOBO FERREIRA</v>
      </c>
      <c r="L1016" s="5" t="str">
        <f>IFERROR(__xludf.DUMMYFUNCTION("""COMPUTED_VALUE"""),"COLETORA")</f>
        <v>COLETORA</v>
      </c>
      <c r="M1016" s="5" t="str">
        <f>IFERROR(__xludf.DUMMYFUNCTION("""COMPUTED_VALUE"""),"PETRÓPOLIS ")</f>
        <v>PETRÓPOLIS </v>
      </c>
      <c r="N1016" s="5" t="str">
        <f>IFERROR(__xludf.DUMMYFUNCTION("""COMPUTED_VALUE"""),"BAIRRO - CENTRO")</f>
        <v>BAIRRO - CENTRO</v>
      </c>
      <c r="O1016" s="5"/>
      <c r="P1016" s="5" t="str">
        <f>IFERROR(__xludf.DUMMYFUNCTION("""COMPUTED_VALUE"""),"PRIORIDADE BAIXA")</f>
        <v>PRIORIDADE BAIXA</v>
      </c>
      <c r="Q1016" s="5"/>
      <c r="R1016" s="5" t="str">
        <f>IFERROR(__xludf.DUMMYFUNCTION("""COMPUTED_VALUE"""),"SUBSTITUIR ABRIGO")</f>
        <v>SUBSTITUIR ABRIGO</v>
      </c>
      <c r="S1016" s="5"/>
      <c r="T1016" s="5"/>
      <c r="U1016" s="5"/>
      <c r="V1016" s="9" t="str">
        <f>IFERROR(__xludf.DUMMYFUNCTION("""COMPUTED_VALUE"""),"https://drive.google.com/uc?id=1v9XX1s7VpY7xY1XtUfcogOP4wKh00ZHv")</f>
        <v>https://drive.google.com/uc?id=1v9XX1s7VpY7xY1XtUfcogOP4wKh00ZHv</v>
      </c>
      <c r="W1016" s="5" t="str">
        <f>IFERROR(__xludf.DUMMYFUNCTION("""COMPUTED_VALUE"""),"NÃO")</f>
        <v>NÃO</v>
      </c>
      <c r="X1016" s="5" t="str">
        <f>IFERROR(__xludf.DUMMYFUNCTION("""COMPUTED_VALUE"""),"NÃO SE APLICA")</f>
        <v>NÃO SE APLICA</v>
      </c>
    </row>
    <row r="1017" hidden="1">
      <c r="A1017" s="5">
        <f>IFERROR(__xludf.DUMMYFUNCTION("""COMPUTED_VALUE"""),4.0)</f>
        <v>4</v>
      </c>
      <c r="B1017" s="5" t="str">
        <f>IFERROR(__xludf.DUMMYFUNCTION("""COMPUTED_VALUE"""),"PT029")</f>
        <v>PT029</v>
      </c>
      <c r="C1017" s="5" t="str">
        <f>IFERROR(__xludf.DUMMYFUNCTION("""COMPUTED_VALUE"""),"NÃO POSSUI")</f>
        <v>NÃO POSSUI</v>
      </c>
      <c r="D1017" s="5" t="str">
        <f>IFERROR(__xludf.DUMMYFUNCTION("""COMPUTED_VALUE"""),"FIXADA EM POSTE")</f>
        <v>FIXADA EM POSTE</v>
      </c>
      <c r="E1017" s="5" t="str">
        <f>IFERROR(__xludf.DUMMYFUNCTION("""COMPUTED_VALUE"""),"SEM BAIA")</f>
        <v>SEM BAIA</v>
      </c>
      <c r="F1017" s="5" t="str">
        <f>IFERROR(__xludf.DUMMYFUNCTION("""COMPUTED_VALUE"""),"NÃO")</f>
        <v>NÃO</v>
      </c>
      <c r="G1017" s="5" t="str">
        <f>IFERROR(__xludf.DUMMYFUNCTION("""COMPUTED_VALUE"""),"NÃO")</f>
        <v>NÃO</v>
      </c>
      <c r="H1017" s="5" t="str">
        <f>IFERROR(__xludf.DUMMYFUNCTION("""COMPUTED_VALUE"""),"NÃO PAVIMENTADA")</f>
        <v>NÃO PAVIMENTADA</v>
      </c>
      <c r="I1017" s="6" t="str">
        <f>IFERROR(__xludf.DUMMYFUNCTION("""COMPUTED_VALUE"""),"-9.606188")</f>
        <v>-9.606188</v>
      </c>
      <c r="J1017" s="6" t="str">
        <f>IFERROR(__xludf.DUMMYFUNCTION("""COMPUTED_VALUE"""),"-35.756503")</f>
        <v>-35.756503</v>
      </c>
      <c r="K1017" s="5" t="str">
        <f>IFERROR(__xludf.DUMMYFUNCTION("""COMPUTED_VALUE"""),"AV. EMPRESÁRIO  LOURIVAL LOBO FERREIRA")</f>
        <v>AV. EMPRESÁRIO  LOURIVAL LOBO FERREIRA</v>
      </c>
      <c r="L1017" s="5" t="str">
        <f>IFERROR(__xludf.DUMMYFUNCTION("""COMPUTED_VALUE"""),"COLETORA")</f>
        <v>COLETORA</v>
      </c>
      <c r="M1017" s="5" t="str">
        <f>IFERROR(__xludf.DUMMYFUNCTION("""COMPUTED_VALUE"""),"PETRÓPOLIS ")</f>
        <v>PETRÓPOLIS </v>
      </c>
      <c r="N1017" s="5" t="str">
        <f>IFERROR(__xludf.DUMMYFUNCTION("""COMPUTED_VALUE"""),"BAIRRO - CENTRO")</f>
        <v>BAIRRO - CENTRO</v>
      </c>
      <c r="O1017" s="5" t="str">
        <f>IFERROR(__xludf.DUMMYFUNCTION("""COMPUTED_VALUE"""),"EM FRENTE AO PASSAPORTE DA IRMÃ")</f>
        <v>EM FRENTE AO PASSAPORTE DA IRMÃ</v>
      </c>
      <c r="P1017" s="5" t="str">
        <f>IFERROR(__xludf.DUMMYFUNCTION("""COMPUTED_VALUE"""),"PRIORIDADE BAIXA")</f>
        <v>PRIORIDADE BAIXA</v>
      </c>
      <c r="Q1017" s="5"/>
      <c r="R1017" s="5" t="str">
        <f>IFERROR(__xludf.DUMMYFUNCTION("""COMPUTED_VALUE"""),"NENHUMA DAS OPÇÕES")</f>
        <v>NENHUMA DAS OPÇÕES</v>
      </c>
      <c r="S1017" s="5"/>
      <c r="T1017" s="5"/>
      <c r="U1017" s="5"/>
      <c r="V1017" s="9" t="str">
        <f>IFERROR(__xludf.DUMMYFUNCTION("""COMPUTED_VALUE"""),"https://drive.google.com/uc?id=1nOh8cHXgMkdXySG_enYRMAWGwxKE1jTQ")</f>
        <v>https://drive.google.com/uc?id=1nOh8cHXgMkdXySG_enYRMAWGwxKE1jTQ</v>
      </c>
      <c r="W1017" s="5" t="str">
        <f>IFERROR(__xludf.DUMMYFUNCTION("""COMPUTED_VALUE"""),"NÃO")</f>
        <v>NÃO</v>
      </c>
      <c r="X1017" s="5" t="str">
        <f>IFERROR(__xludf.DUMMYFUNCTION("""COMPUTED_VALUE"""),"NÃO SE APLICA")</f>
        <v>NÃO SE APLICA</v>
      </c>
    </row>
    <row r="1018">
      <c r="A1018" s="5">
        <f>IFERROR(__xludf.DUMMYFUNCTION("""COMPUTED_VALUE"""),4.0)</f>
        <v>4</v>
      </c>
      <c r="B1018" s="5" t="str">
        <f>IFERROR(__xludf.DUMMYFUNCTION("""COMPUTED_VALUE"""),"PT030")</f>
        <v>PT030</v>
      </c>
      <c r="C1018" s="5" t="str">
        <f>IFERROR(__xludf.DUMMYFUNCTION("""COMPUTED_VALUE"""),"ABRIGO CONCRETO")</f>
        <v>ABRIGO CONCRETO</v>
      </c>
      <c r="D1018" s="5" t="str">
        <f>IFERROR(__xludf.DUMMYFUNCTION("""COMPUTED_VALUE"""),"SEM PLACA")</f>
        <v>SEM PLACA</v>
      </c>
      <c r="E1018" s="5" t="str">
        <f>IFERROR(__xludf.DUMMYFUNCTION("""COMPUTED_VALUE"""),"SEM BAIA")</f>
        <v>SEM BAIA</v>
      </c>
      <c r="F1018" s="5" t="str">
        <f>IFERROR(__xludf.DUMMYFUNCTION("""COMPUTED_VALUE"""),"NÃO")</f>
        <v>NÃO</v>
      </c>
      <c r="G1018" s="5" t="str">
        <f>IFERROR(__xludf.DUMMYFUNCTION("""COMPUTED_VALUE"""),"NÃO")</f>
        <v>NÃO</v>
      </c>
      <c r="H1018" s="5" t="str">
        <f>IFERROR(__xludf.DUMMYFUNCTION("""COMPUTED_VALUE"""),"PAVIMENTADA")</f>
        <v>PAVIMENTADA</v>
      </c>
      <c r="I1018" s="6" t="str">
        <f>IFERROR(__xludf.DUMMYFUNCTION("""COMPUTED_VALUE"""),"-9.608445")</f>
        <v>-9.608445</v>
      </c>
      <c r="J1018" s="6" t="str">
        <f>IFERROR(__xludf.DUMMYFUNCTION("""COMPUTED_VALUE"""),"-35.755037")</f>
        <v>-35.755037</v>
      </c>
      <c r="K1018" s="5" t="str">
        <f>IFERROR(__xludf.DUMMYFUNCTION("""COMPUTED_VALUE"""),"AV. EMPRESÁRIO  LOURIVAL LOBO FERREIRA")</f>
        <v>AV. EMPRESÁRIO  LOURIVAL LOBO FERREIRA</v>
      </c>
      <c r="L1018" s="5" t="str">
        <f>IFERROR(__xludf.DUMMYFUNCTION("""COMPUTED_VALUE"""),"COLETORA")</f>
        <v>COLETORA</v>
      </c>
      <c r="M1018" s="5" t="str">
        <f>IFERROR(__xludf.DUMMYFUNCTION("""COMPUTED_VALUE"""),"PETRÓPOLIS ")</f>
        <v>PETRÓPOLIS </v>
      </c>
      <c r="N1018" s="5" t="str">
        <f>IFERROR(__xludf.DUMMYFUNCTION("""COMPUTED_VALUE"""),"BAIRRO - CENTRO")</f>
        <v>BAIRRO - CENTRO</v>
      </c>
      <c r="O1018" s="5" t="str">
        <f>IFERROR(__xludf.DUMMYFUNCTION("""COMPUTED_VALUE"""),"AV. EMPRESÁRIO  LOURIVAL LOBO FERREIRA")</f>
        <v>AV. EMPRESÁRIO  LOURIVAL LOBO FERREIRA</v>
      </c>
      <c r="P1018" s="5" t="str">
        <f>IFERROR(__xludf.DUMMYFUNCTION("""COMPUTED_VALUE"""),"PRIORIDADE BAIXA")</f>
        <v>PRIORIDADE BAIXA</v>
      </c>
      <c r="Q1018" s="5"/>
      <c r="R1018" s="5" t="str">
        <f>IFERROR(__xludf.DUMMYFUNCTION("""COMPUTED_VALUE"""),"SUBSTITUIR ABRIGO")</f>
        <v>SUBSTITUIR ABRIGO</v>
      </c>
      <c r="S1018" s="5"/>
      <c r="T1018" s="5"/>
      <c r="U1018" s="5"/>
      <c r="V1018" s="9" t="str">
        <f>IFERROR(__xludf.DUMMYFUNCTION("""COMPUTED_VALUE"""),"https://drive.google.com/uc?id=1i286mtpoGapH_WN4_sQm0tmjzBjL1NZm")</f>
        <v>https://drive.google.com/uc?id=1i286mtpoGapH_WN4_sQm0tmjzBjL1NZm</v>
      </c>
      <c r="W1018" s="5" t="str">
        <f>IFERROR(__xludf.DUMMYFUNCTION("""COMPUTED_VALUE"""),"NÃO")</f>
        <v>NÃO</v>
      </c>
      <c r="X1018" s="5" t="str">
        <f>IFERROR(__xludf.DUMMYFUNCTION("""COMPUTED_VALUE"""),"NÃO SE APLICA")</f>
        <v>NÃO SE APLICA</v>
      </c>
    </row>
    <row r="1019" hidden="1">
      <c r="A1019" s="5">
        <f>IFERROR(__xludf.DUMMYFUNCTION("""COMPUTED_VALUE"""),4.0)</f>
        <v>4</v>
      </c>
      <c r="B1019" s="5" t="str">
        <f>IFERROR(__xludf.DUMMYFUNCTION("""COMPUTED_VALUE"""),"PT031")</f>
        <v>PT031</v>
      </c>
      <c r="C1019" s="5" t="str">
        <f>IFERROR(__xludf.DUMMYFUNCTION("""COMPUTED_VALUE"""),"NÃO POSSUI")</f>
        <v>NÃO POSSUI</v>
      </c>
      <c r="D1019" s="5" t="str">
        <f>IFERROR(__xludf.DUMMYFUNCTION("""COMPUTED_VALUE"""),"FIXADA EM POSTE")</f>
        <v>FIXADA EM POSTE</v>
      </c>
      <c r="E1019" s="5" t="str">
        <f>IFERROR(__xludf.DUMMYFUNCTION("""COMPUTED_VALUE"""),"SEM BAIA")</f>
        <v>SEM BAIA</v>
      </c>
      <c r="F1019" s="5" t="str">
        <f>IFERROR(__xludf.DUMMYFUNCTION("""COMPUTED_VALUE"""),"NÃO")</f>
        <v>NÃO</v>
      </c>
      <c r="G1019" s="5" t="str">
        <f>IFERROR(__xludf.DUMMYFUNCTION("""COMPUTED_VALUE"""),"NÃO")</f>
        <v>NÃO</v>
      </c>
      <c r="H1019" s="5" t="str">
        <f>IFERROR(__xludf.DUMMYFUNCTION("""COMPUTED_VALUE"""),"PAVIMENTADA")</f>
        <v>PAVIMENTADA</v>
      </c>
      <c r="I1019" s="6" t="str">
        <f>IFERROR(__xludf.DUMMYFUNCTION("""COMPUTED_VALUE"""),"-9.609512")</f>
        <v>-9.609512</v>
      </c>
      <c r="J1019" s="6" t="str">
        <f>IFERROR(__xludf.DUMMYFUNCTION("""COMPUTED_VALUE"""),"-35.754405")</f>
        <v>-35.754405</v>
      </c>
      <c r="K1019" s="5" t="str">
        <f>IFERROR(__xludf.DUMMYFUNCTION("""COMPUTED_VALUE"""),"AV. EMPRESÁRIO  LOURIVAL LOBO FERREIRA")</f>
        <v>AV. EMPRESÁRIO  LOURIVAL LOBO FERREIRA</v>
      </c>
      <c r="L1019" s="5" t="str">
        <f>IFERROR(__xludf.DUMMYFUNCTION("""COMPUTED_VALUE"""),"COLETORA")</f>
        <v>COLETORA</v>
      </c>
      <c r="M1019" s="5" t="str">
        <f>IFERROR(__xludf.DUMMYFUNCTION("""COMPUTED_VALUE"""),"PETRÓPOLIS ")</f>
        <v>PETRÓPOLIS </v>
      </c>
      <c r="N1019" s="5" t="str">
        <f>IFERROR(__xludf.DUMMYFUNCTION("""COMPUTED_VALUE"""),"BAIRRO - CENTRO")</f>
        <v>BAIRRO - CENTRO</v>
      </c>
      <c r="O1019" s="5" t="str">
        <f>IFERROR(__xludf.DUMMYFUNCTION("""COMPUTED_VALUE"""),"EM FRENTE A CASA 01")</f>
        <v>EM FRENTE A CASA 01</v>
      </c>
      <c r="P1019" s="5" t="str">
        <f>IFERROR(__xludf.DUMMYFUNCTION("""COMPUTED_VALUE"""),"PRIORIDADE BAIXA")</f>
        <v>PRIORIDADE BAIXA</v>
      </c>
      <c r="Q1019" s="5"/>
      <c r="R1019" s="5" t="str">
        <f>IFERROR(__xludf.DUMMYFUNCTION("""COMPUTED_VALUE"""),"NENHUMA DAS OPÇÕES")</f>
        <v>NENHUMA DAS OPÇÕES</v>
      </c>
      <c r="S1019" s="5"/>
      <c r="T1019" s="5"/>
      <c r="U1019" s="5"/>
      <c r="V1019" s="9" t="str">
        <f>IFERROR(__xludf.DUMMYFUNCTION("""COMPUTED_VALUE"""),"https://drive.google.com/uc?id=1i0ees5l6D6XaMLQJrtl1S4j-T0LlHPyC")</f>
        <v>https://drive.google.com/uc?id=1i0ees5l6D6XaMLQJrtl1S4j-T0LlHPyC</v>
      </c>
      <c r="W1019" s="5" t="str">
        <f>IFERROR(__xludf.DUMMYFUNCTION("""COMPUTED_VALUE"""),"NÃO")</f>
        <v>NÃO</v>
      </c>
      <c r="X1019" s="5" t="str">
        <f>IFERROR(__xludf.DUMMYFUNCTION("""COMPUTED_VALUE"""),"NÃO SE APLICA")</f>
        <v>NÃO SE APLICA</v>
      </c>
    </row>
    <row r="1020" hidden="1">
      <c r="A1020" s="5">
        <f>IFERROR(__xludf.DUMMYFUNCTION("""COMPUTED_VALUE"""),4.0)</f>
        <v>4</v>
      </c>
      <c r="B1020" s="5" t="str">
        <f>IFERROR(__xludf.DUMMYFUNCTION("""COMPUTED_VALUE"""),"PT032")</f>
        <v>PT032</v>
      </c>
      <c r="C1020" s="5" t="str">
        <f>IFERROR(__xludf.DUMMYFUNCTION("""COMPUTED_VALUE"""),"NÃO POSSUI")</f>
        <v>NÃO POSSUI</v>
      </c>
      <c r="D1020" s="5" t="str">
        <f>IFERROR(__xludf.DUMMYFUNCTION("""COMPUTED_VALUE"""),"COM SUPORTE")</f>
        <v>COM SUPORTE</v>
      </c>
      <c r="E1020" s="5" t="str">
        <f>IFERROR(__xludf.DUMMYFUNCTION("""COMPUTED_VALUE"""),"SEM BAIA")</f>
        <v>SEM BAIA</v>
      </c>
      <c r="F1020" s="5" t="str">
        <f>IFERROR(__xludf.DUMMYFUNCTION("""COMPUTED_VALUE"""),"NÃO")</f>
        <v>NÃO</v>
      </c>
      <c r="G1020" s="5" t="str">
        <f>IFERROR(__xludf.DUMMYFUNCTION("""COMPUTED_VALUE"""),"NÃO")</f>
        <v>NÃO</v>
      </c>
      <c r="H1020" s="5" t="str">
        <f>IFERROR(__xludf.DUMMYFUNCTION("""COMPUTED_VALUE"""),"PAVIMENTADA")</f>
        <v>PAVIMENTADA</v>
      </c>
      <c r="I1020" s="6" t="str">
        <f>IFERROR(__xludf.DUMMYFUNCTION("""COMPUTED_VALUE"""),"-9.611317")</f>
        <v>-9.611317</v>
      </c>
      <c r="J1020" s="6" t="str">
        <f>IFERROR(__xludf.DUMMYFUNCTION("""COMPUTED_VALUE"""),"-35.753643")</f>
        <v>-35.753643</v>
      </c>
      <c r="K1020" s="5" t="str">
        <f>IFERROR(__xludf.DUMMYFUNCTION("""COMPUTED_VALUE"""),"AV. EMPRESÁRIO  LOURIVAL LOBO FERREIRA")</f>
        <v>AV. EMPRESÁRIO  LOURIVAL LOBO FERREIRA</v>
      </c>
      <c r="L1020" s="5" t="str">
        <f>IFERROR(__xludf.DUMMYFUNCTION("""COMPUTED_VALUE"""),"COLETORA")</f>
        <v>COLETORA</v>
      </c>
      <c r="M1020" s="5" t="str">
        <f>IFERROR(__xludf.DUMMYFUNCTION("""COMPUTED_VALUE"""),"PETRÓPOLIS ")</f>
        <v>PETRÓPOLIS </v>
      </c>
      <c r="N1020" s="5" t="str">
        <f>IFERROR(__xludf.DUMMYFUNCTION("""COMPUTED_VALUE"""),"BAIRRO - CENTRO / CENTRO - BAIRRO")</f>
        <v>BAIRRO - CENTRO / CENTRO - BAIRRO</v>
      </c>
      <c r="O1020" s="5" t="str">
        <f>IFERROR(__xludf.DUMMYFUNCTION("""COMPUTED_VALUE"""),"EM FRENTE AO MERCADO")</f>
        <v>EM FRENTE AO MERCADO</v>
      </c>
      <c r="P1020" s="5" t="str">
        <f>IFERROR(__xludf.DUMMYFUNCTION("""COMPUTED_VALUE"""),"PRIORIDADE BAIXA")</f>
        <v>PRIORIDADE BAIXA</v>
      </c>
      <c r="Q1020" s="5"/>
      <c r="R1020" s="5" t="str">
        <f>IFERROR(__xludf.DUMMYFUNCTION("""COMPUTED_VALUE"""),"NENHUMA DAS OPÇÕES")</f>
        <v>NENHUMA DAS OPÇÕES</v>
      </c>
      <c r="S1020" s="5"/>
      <c r="T1020" s="5"/>
      <c r="U1020" s="5"/>
      <c r="V1020" s="9" t="str">
        <f>IFERROR(__xludf.DUMMYFUNCTION("""COMPUTED_VALUE"""),"https://drive.google.com/uc?id=1Y6-qCmJWMRJBaoRKNLxrt28qvSgycx7i")</f>
        <v>https://drive.google.com/uc?id=1Y6-qCmJWMRJBaoRKNLxrt28qvSgycx7i</v>
      </c>
      <c r="W1020" s="5" t="str">
        <f>IFERROR(__xludf.DUMMYFUNCTION("""COMPUTED_VALUE"""),"NÃO")</f>
        <v>NÃO</v>
      </c>
      <c r="X1020" s="5" t="str">
        <f>IFERROR(__xludf.DUMMYFUNCTION("""COMPUTED_VALUE"""),"NÃO SE APLICA")</f>
        <v>NÃO SE APLICA</v>
      </c>
    </row>
    <row r="1021" hidden="1">
      <c r="A1021" s="5">
        <f>IFERROR(__xludf.DUMMYFUNCTION("""COMPUTED_VALUE"""),4.0)</f>
        <v>4</v>
      </c>
      <c r="B1021" s="5" t="str">
        <f>IFERROR(__xludf.DUMMYFUNCTION("""COMPUTED_VALUE"""),"PT033")</f>
        <v>PT033</v>
      </c>
      <c r="C1021" s="5" t="str">
        <f>IFERROR(__xludf.DUMMYFUNCTION("""COMPUTED_VALUE"""),"NÃO POSSUI")</f>
        <v>NÃO POSSUI</v>
      </c>
      <c r="D1021" s="5" t="str">
        <f>IFERROR(__xludf.DUMMYFUNCTION("""COMPUTED_VALUE"""),"FIXADA EM POSTE")</f>
        <v>FIXADA EM POSTE</v>
      </c>
      <c r="E1021" s="5" t="str">
        <f>IFERROR(__xludf.DUMMYFUNCTION("""COMPUTED_VALUE"""),"SEM BAIA")</f>
        <v>SEM BAIA</v>
      </c>
      <c r="F1021" s="5" t="str">
        <f>IFERROR(__xludf.DUMMYFUNCTION("""COMPUTED_VALUE"""),"NÃO")</f>
        <v>NÃO</v>
      </c>
      <c r="G1021" s="5" t="str">
        <f>IFERROR(__xludf.DUMMYFUNCTION("""COMPUTED_VALUE"""),"NÃO")</f>
        <v>NÃO</v>
      </c>
      <c r="H1021" s="5" t="str">
        <f>IFERROR(__xludf.DUMMYFUNCTION("""COMPUTED_VALUE"""),"PAVIMENTADA")</f>
        <v>PAVIMENTADA</v>
      </c>
      <c r="I1021" s="6" t="str">
        <f>IFERROR(__xludf.DUMMYFUNCTION("""COMPUTED_VALUE"""),"-9.613887")</f>
        <v>-9.613887</v>
      </c>
      <c r="J1021" s="6" t="str">
        <f>IFERROR(__xludf.DUMMYFUNCTION("""COMPUTED_VALUE"""),"-35.753085")</f>
        <v>-35.753085</v>
      </c>
      <c r="K1021" s="5" t="str">
        <f>IFERROR(__xludf.DUMMYFUNCTION("""COMPUTED_VALUE"""),"AV. EMPRESÁRIO  LOURIVAL LOBO FERREIRA")</f>
        <v>AV. EMPRESÁRIO  LOURIVAL LOBO FERREIRA</v>
      </c>
      <c r="L1021" s="5" t="str">
        <f>IFERROR(__xludf.DUMMYFUNCTION("""COMPUTED_VALUE"""),"COLETORA")</f>
        <v>COLETORA</v>
      </c>
      <c r="M1021" s="5" t="str">
        <f>IFERROR(__xludf.DUMMYFUNCTION("""COMPUTED_VALUE"""),"PETRÓPOLIS ")</f>
        <v>PETRÓPOLIS </v>
      </c>
      <c r="N1021" s="5" t="str">
        <f>IFERROR(__xludf.DUMMYFUNCTION("""COMPUTED_VALUE"""),"BAIRRO - CENTRO / CENTRO - BAIRRO")</f>
        <v>BAIRRO - CENTRO / CENTRO - BAIRRO</v>
      </c>
      <c r="O1021" s="5" t="str">
        <f>IFERROR(__xludf.DUMMYFUNCTION("""COMPUTED_VALUE"""),"EM FRENTE A IGREJA MÓRMON")</f>
        <v>EM FRENTE A IGREJA MÓRMON</v>
      </c>
      <c r="P1021" s="5" t="str">
        <f>IFERROR(__xludf.DUMMYFUNCTION("""COMPUTED_VALUE"""),"PRIORIDADE BAIXA")</f>
        <v>PRIORIDADE BAIXA</v>
      </c>
      <c r="Q1021" s="5"/>
      <c r="R1021" s="5" t="str">
        <f>IFERROR(__xludf.DUMMYFUNCTION("""COMPUTED_VALUE"""),"IMPLANTAR ABRIGO")</f>
        <v>IMPLANTAR ABRIGO</v>
      </c>
      <c r="S1021" s="5"/>
      <c r="T1021" s="5"/>
      <c r="U1021" s="5"/>
      <c r="V1021" s="9" t="str">
        <f>IFERROR(__xludf.DUMMYFUNCTION("""COMPUTED_VALUE"""),"https://drive.google.com/uc?id=1tPjJbSElXcV2Y-AHN4pREtS_LNsNrCGc")</f>
        <v>https://drive.google.com/uc?id=1tPjJbSElXcV2Y-AHN4pREtS_LNsNrCGc</v>
      </c>
      <c r="W1021" s="5" t="str">
        <f>IFERROR(__xludf.DUMMYFUNCTION("""COMPUTED_VALUE"""),"NÃO")</f>
        <v>NÃO</v>
      </c>
      <c r="X1021" s="5" t="str">
        <f>IFERROR(__xludf.DUMMYFUNCTION("""COMPUTED_VALUE"""),"NÃO SE APLICA")</f>
        <v>NÃO SE APLICA</v>
      </c>
    </row>
    <row r="1022" hidden="1">
      <c r="A1022" s="5">
        <f>IFERROR(__xludf.DUMMYFUNCTION("""COMPUTED_VALUE"""),4.0)</f>
        <v>4</v>
      </c>
      <c r="B1022" s="5" t="str">
        <f>IFERROR(__xludf.DUMMYFUNCTION("""COMPUTED_VALUE"""),"PT034")</f>
        <v>PT034</v>
      </c>
      <c r="C1022" s="5" t="str">
        <f>IFERROR(__xludf.DUMMYFUNCTION("""COMPUTED_VALUE"""),"NÃO POSSUI")</f>
        <v>NÃO POSSUI</v>
      </c>
      <c r="D1022" s="5" t="str">
        <f>IFERROR(__xludf.DUMMYFUNCTION("""COMPUTED_VALUE"""),"COM SUPORTE")</f>
        <v>COM SUPORTE</v>
      </c>
      <c r="E1022" s="5" t="str">
        <f>IFERROR(__xludf.DUMMYFUNCTION("""COMPUTED_VALUE"""),"SEM BAIA")</f>
        <v>SEM BAIA</v>
      </c>
      <c r="F1022" s="5" t="str">
        <f>IFERROR(__xludf.DUMMYFUNCTION("""COMPUTED_VALUE"""),"NÃO")</f>
        <v>NÃO</v>
      </c>
      <c r="G1022" s="5" t="str">
        <f>IFERROR(__xludf.DUMMYFUNCTION("""COMPUTED_VALUE"""),"NÃO")</f>
        <v>NÃO</v>
      </c>
      <c r="H1022" s="5" t="str">
        <f>IFERROR(__xludf.DUMMYFUNCTION("""COMPUTED_VALUE"""),"PAVIMENTADA")</f>
        <v>PAVIMENTADA</v>
      </c>
      <c r="I1022" s="6" t="str">
        <f>IFERROR(__xludf.DUMMYFUNCTION("""COMPUTED_VALUE"""),"-9.594873")</f>
        <v>-9.594873</v>
      </c>
      <c r="J1022" s="6" t="str">
        <f>IFERROR(__xludf.DUMMYFUNCTION("""COMPUTED_VALUE"""),"-35.759632")</f>
        <v>-35.759632</v>
      </c>
      <c r="K1022" s="5" t="str">
        <f>IFERROR(__xludf.DUMMYFUNCTION("""COMPUTED_VALUE"""),"AVENIDA SEBASTIÃO CORREIA  DA ROCHA")</f>
        <v>AVENIDA SEBASTIÃO CORREIA  DA ROCHA</v>
      </c>
      <c r="L1022" s="5" t="str">
        <f>IFERROR(__xludf.DUMMYFUNCTION("""COMPUTED_VALUE"""),"COLETORA")</f>
        <v>COLETORA</v>
      </c>
      <c r="M1022" s="5" t="str">
        <f>IFERROR(__xludf.DUMMYFUNCTION("""COMPUTED_VALUE"""),"PETRÓPOLIS ")</f>
        <v>PETRÓPOLIS </v>
      </c>
      <c r="N1022" s="5"/>
      <c r="O1022" s="5" t="str">
        <f>IFERROR(__xludf.DUMMYFUNCTION("""COMPUTED_VALUE"""),"RESIDENCIAL VILLAGE DO FAROL")</f>
        <v>RESIDENCIAL VILLAGE DO FAROL</v>
      </c>
      <c r="P1022" s="5" t="str">
        <f>IFERROR(__xludf.DUMMYFUNCTION("""COMPUTED_VALUE"""),"PRIORIDADE BAIXA")</f>
        <v>PRIORIDADE BAIXA</v>
      </c>
      <c r="Q1022" s="5"/>
      <c r="R1022" s="5" t="str">
        <f>IFERROR(__xludf.DUMMYFUNCTION("""COMPUTED_VALUE"""),"NENHUMA DAS OPÇÕES")</f>
        <v>NENHUMA DAS OPÇÕES</v>
      </c>
      <c r="S1022" s="5"/>
      <c r="T1022" s="5"/>
      <c r="U1022" s="5"/>
      <c r="V1022" s="9" t="str">
        <f>IFERROR(__xludf.DUMMYFUNCTION("""COMPUTED_VALUE"""),"https://drive.google.com/uc?id=19kJAF7oMYT_SkR192z-9nEdAy4nwVRLa")</f>
        <v>https://drive.google.com/uc?id=19kJAF7oMYT_SkR192z-9nEdAy4nwVRLa</v>
      </c>
      <c r="W1022" s="5" t="str">
        <f>IFERROR(__xludf.DUMMYFUNCTION("""COMPUTED_VALUE"""),"NÃO")</f>
        <v>NÃO</v>
      </c>
      <c r="X1022" s="5" t="str">
        <f>IFERROR(__xludf.DUMMYFUNCTION("""COMPUTED_VALUE"""),"NÃO SE APLICA")</f>
        <v>NÃO SE APLICA</v>
      </c>
    </row>
    <row r="1023" hidden="1">
      <c r="A1023" s="5">
        <f>IFERROR(__xludf.DUMMYFUNCTION("""COMPUTED_VALUE"""),4.0)</f>
        <v>4</v>
      </c>
      <c r="B1023" s="5" t="str">
        <f>IFERROR(__xludf.DUMMYFUNCTION("""COMPUTED_VALUE"""),"PT035")</f>
        <v>PT035</v>
      </c>
      <c r="C1023" s="5" t="str">
        <f>IFERROR(__xludf.DUMMYFUNCTION("""COMPUTED_VALUE"""),"NÃO POSSUI")</f>
        <v>NÃO POSSUI</v>
      </c>
      <c r="D1023" s="5" t="str">
        <f>IFERROR(__xludf.DUMMYFUNCTION("""COMPUTED_VALUE"""),"COM SUPORTE")</f>
        <v>COM SUPORTE</v>
      </c>
      <c r="E1023" s="5" t="str">
        <f>IFERROR(__xludf.DUMMYFUNCTION("""COMPUTED_VALUE"""),"SEM BAIA")</f>
        <v>SEM BAIA</v>
      </c>
      <c r="F1023" s="5" t="str">
        <f>IFERROR(__xludf.DUMMYFUNCTION("""COMPUTED_VALUE"""),"NÃO")</f>
        <v>NÃO</v>
      </c>
      <c r="G1023" s="5" t="str">
        <f>IFERROR(__xludf.DUMMYFUNCTION("""COMPUTED_VALUE"""),"NÃO")</f>
        <v>NÃO</v>
      </c>
      <c r="H1023" s="5" t="str">
        <f>IFERROR(__xludf.DUMMYFUNCTION("""COMPUTED_VALUE"""),"PAVIMENTADA")</f>
        <v>PAVIMENTADA</v>
      </c>
      <c r="I1023" s="6" t="str">
        <f>IFERROR(__xludf.DUMMYFUNCTION("""COMPUTED_VALUE"""),"-9.616265")</f>
        <v>-9.616265</v>
      </c>
      <c r="J1023" s="6" t="str">
        <f>IFERROR(__xludf.DUMMYFUNCTION("""COMPUTED_VALUE"""),"-35.752525")</f>
        <v>-35.752525</v>
      </c>
      <c r="K1023" s="5" t="str">
        <f>IFERROR(__xludf.DUMMYFUNCTION("""COMPUTED_VALUE"""),"AV. EMPRESÁRIO  LOURIVAL LOBO FERREIRA")</f>
        <v>AV. EMPRESÁRIO  LOURIVAL LOBO FERREIRA</v>
      </c>
      <c r="L1023" s="5" t="str">
        <f>IFERROR(__xludf.DUMMYFUNCTION("""COMPUTED_VALUE"""),"COLETORA")</f>
        <v>COLETORA</v>
      </c>
      <c r="M1023" s="5" t="str">
        <f>IFERROR(__xludf.DUMMYFUNCTION("""COMPUTED_VALUE"""),"PETRÓPOLIS ")</f>
        <v>PETRÓPOLIS </v>
      </c>
      <c r="N1023" s="5" t="str">
        <f>IFERROR(__xludf.DUMMYFUNCTION("""COMPUTED_VALUE"""),"BAIRRO - CENTRO / CENTRO - BAIRRO")</f>
        <v>BAIRRO - CENTRO / CENTRO - BAIRRO</v>
      </c>
      <c r="O1023" s="5" t="str">
        <f>IFERROR(__xludf.DUMMYFUNCTION("""COMPUTED_VALUE"""),"EM FRENTE A LANCHONETE IDEAL")</f>
        <v>EM FRENTE A LANCHONETE IDEAL</v>
      </c>
      <c r="P1023" s="5" t="str">
        <f>IFERROR(__xludf.DUMMYFUNCTION("""COMPUTED_VALUE"""),"PRIORIDADE BAIXA")</f>
        <v>PRIORIDADE BAIXA</v>
      </c>
      <c r="Q1023" s="5"/>
      <c r="R1023" s="5" t="str">
        <f>IFERROR(__xludf.DUMMYFUNCTION("""COMPUTED_VALUE"""),"NENHUMA DAS OPÇÕES")</f>
        <v>NENHUMA DAS OPÇÕES</v>
      </c>
      <c r="S1023" s="5"/>
      <c r="T1023" s="5"/>
      <c r="U1023" s="5"/>
      <c r="V1023" s="9" t="str">
        <f>IFERROR(__xludf.DUMMYFUNCTION("""COMPUTED_VALUE"""),"https://drive.google.com/uc?id=1129AfoVXHW_UXDVoCjc1Nh2xkR0e4QKF/")</f>
        <v>https://drive.google.com/uc?id=1129AfoVXHW_UXDVoCjc1Nh2xkR0e4QKF/</v>
      </c>
      <c r="W1023" s="5" t="str">
        <f>IFERROR(__xludf.DUMMYFUNCTION("""COMPUTED_VALUE"""),"NÃO")</f>
        <v>NÃO</v>
      </c>
      <c r="X1023" s="5" t="str">
        <f>IFERROR(__xludf.DUMMYFUNCTION("""COMPUTED_VALUE"""),"NÃO SE APLICA")</f>
        <v>NÃO SE APLICA</v>
      </c>
    </row>
    <row r="1024" hidden="1">
      <c r="A1024" s="5">
        <f>IFERROR(__xludf.DUMMYFUNCTION("""COMPUTED_VALUE"""),4.0)</f>
        <v>4</v>
      </c>
      <c r="B1024" s="5" t="str">
        <f>IFERROR(__xludf.DUMMYFUNCTION("""COMPUTED_VALUE"""),"PT036")</f>
        <v>PT036</v>
      </c>
      <c r="C1024" s="5" t="str">
        <f>IFERROR(__xludf.DUMMYFUNCTION("""COMPUTED_VALUE"""),"NÃO POSSUI")</f>
        <v>NÃO POSSUI</v>
      </c>
      <c r="D1024" s="5" t="str">
        <f>IFERROR(__xludf.DUMMYFUNCTION("""COMPUTED_VALUE"""),"COM SUPORTE")</f>
        <v>COM SUPORTE</v>
      </c>
      <c r="E1024" s="5" t="str">
        <f>IFERROR(__xludf.DUMMYFUNCTION("""COMPUTED_VALUE"""),"SEM BAIA")</f>
        <v>SEM BAIA</v>
      </c>
      <c r="F1024" s="5" t="str">
        <f>IFERROR(__xludf.DUMMYFUNCTION("""COMPUTED_VALUE"""),"NÃO")</f>
        <v>NÃO</v>
      </c>
      <c r="G1024" s="5" t="str">
        <f>IFERROR(__xludf.DUMMYFUNCTION("""COMPUTED_VALUE"""),"NÃO")</f>
        <v>NÃO</v>
      </c>
      <c r="H1024" s="5" t="str">
        <f>IFERROR(__xludf.DUMMYFUNCTION("""COMPUTED_VALUE"""),"PAVIMENTADA")</f>
        <v>PAVIMENTADA</v>
      </c>
      <c r="I1024" s="6" t="str">
        <f>IFERROR(__xludf.DUMMYFUNCTION("""COMPUTED_VALUE"""),"-9.613912")</f>
        <v>-9.613912</v>
      </c>
      <c r="J1024" s="6" t="str">
        <f>IFERROR(__xludf.DUMMYFUNCTION("""COMPUTED_VALUE"""),"-35.752992")</f>
        <v>-35.752992</v>
      </c>
      <c r="K1024" s="5" t="str">
        <f>IFERROR(__xludf.DUMMYFUNCTION("""COMPUTED_VALUE"""),"AV. EMPRESÁRIO  LOURIVAL LOBO FERREIRA")</f>
        <v>AV. EMPRESÁRIO  LOURIVAL LOBO FERREIRA</v>
      </c>
      <c r="L1024" s="5" t="str">
        <f>IFERROR(__xludf.DUMMYFUNCTION("""COMPUTED_VALUE"""),"COLETORA")</f>
        <v>COLETORA</v>
      </c>
      <c r="M1024" s="5" t="str">
        <f>IFERROR(__xludf.DUMMYFUNCTION("""COMPUTED_VALUE"""),"PETRÓPOLIS ")</f>
        <v>PETRÓPOLIS </v>
      </c>
      <c r="N1024" s="5" t="str">
        <f>IFERROR(__xludf.DUMMYFUNCTION("""COMPUTED_VALUE"""),"BAIRRO - CENTRO / CENTRO - BAIRRO")</f>
        <v>BAIRRO - CENTRO / CENTRO - BAIRRO</v>
      </c>
      <c r="O1024" s="5" t="str">
        <f>IFERROR(__xludf.DUMMYFUNCTION("""COMPUTED_VALUE"""),"LADO OPOSTO A IGREJA MÓRMON")</f>
        <v>LADO OPOSTO A IGREJA MÓRMON</v>
      </c>
      <c r="P1024" s="5" t="str">
        <f>IFERROR(__xludf.DUMMYFUNCTION("""COMPUTED_VALUE"""),"PRIORIDADE BAIXA")</f>
        <v>PRIORIDADE BAIXA</v>
      </c>
      <c r="Q1024" s="5"/>
      <c r="R1024" s="5" t="str">
        <f>IFERROR(__xludf.DUMMYFUNCTION("""COMPUTED_VALUE"""),"IMPLANTAR ABRIGO")</f>
        <v>IMPLANTAR ABRIGO</v>
      </c>
      <c r="S1024" s="5"/>
      <c r="T1024" s="5"/>
      <c r="U1024" s="5"/>
      <c r="V1024" s="9" t="str">
        <f>IFERROR(__xludf.DUMMYFUNCTION("""COMPUTED_VALUE"""),"https://drive.google.com/uc?id=1jvwTwm3OK1bt1tfopUqpgVJcNMgRNkP5/")</f>
        <v>https://drive.google.com/uc?id=1jvwTwm3OK1bt1tfopUqpgVJcNMgRNkP5/</v>
      </c>
      <c r="W1024" s="5" t="str">
        <f>IFERROR(__xludf.DUMMYFUNCTION("""COMPUTED_VALUE"""),"NÃO")</f>
        <v>NÃO</v>
      </c>
      <c r="X1024" s="5" t="str">
        <f>IFERROR(__xludf.DUMMYFUNCTION("""COMPUTED_VALUE"""),"NÃO SE APLICA")</f>
        <v>NÃO SE APLICA</v>
      </c>
    </row>
    <row r="1025" hidden="1">
      <c r="A1025" s="5">
        <f>IFERROR(__xludf.DUMMYFUNCTION("""COMPUTED_VALUE"""),4.0)</f>
        <v>4</v>
      </c>
      <c r="B1025" s="5" t="str">
        <f>IFERROR(__xludf.DUMMYFUNCTION("""COMPUTED_VALUE"""),"PT037")</f>
        <v>PT037</v>
      </c>
      <c r="C1025" s="5" t="str">
        <f>IFERROR(__xludf.DUMMYFUNCTION("""COMPUTED_VALUE"""),"NÃO POSSUI")</f>
        <v>NÃO POSSUI</v>
      </c>
      <c r="D1025" s="5" t="str">
        <f>IFERROR(__xludf.DUMMYFUNCTION("""COMPUTED_VALUE"""),"COM SUPORTE")</f>
        <v>COM SUPORTE</v>
      </c>
      <c r="E1025" s="5" t="str">
        <f>IFERROR(__xludf.DUMMYFUNCTION("""COMPUTED_VALUE"""),"SEM BAIA")</f>
        <v>SEM BAIA</v>
      </c>
      <c r="F1025" s="5" t="str">
        <f>IFERROR(__xludf.DUMMYFUNCTION("""COMPUTED_VALUE"""),"NÃO")</f>
        <v>NÃO</v>
      </c>
      <c r="G1025" s="5" t="str">
        <f>IFERROR(__xludf.DUMMYFUNCTION("""COMPUTED_VALUE"""),"NÃO")</f>
        <v>NÃO</v>
      </c>
      <c r="H1025" s="5" t="str">
        <f>IFERROR(__xludf.DUMMYFUNCTION("""COMPUTED_VALUE"""),"PAVIMENTADA")</f>
        <v>PAVIMENTADA</v>
      </c>
      <c r="I1025" s="6" t="str">
        <f>IFERROR(__xludf.DUMMYFUNCTION("""COMPUTED_VALUE"""),"-9.612512")</f>
        <v>-9.612512</v>
      </c>
      <c r="J1025" s="6" t="str">
        <f>IFERROR(__xludf.DUMMYFUNCTION("""COMPUTED_VALUE"""),"-35.753300")</f>
        <v>-35.753300</v>
      </c>
      <c r="K1025" s="5" t="str">
        <f>IFERROR(__xludf.DUMMYFUNCTION("""COMPUTED_VALUE"""),"AV. EMPRESÁRIO  LOURIVAL LOBO FERREIRA")</f>
        <v>AV. EMPRESÁRIO  LOURIVAL LOBO FERREIRA</v>
      </c>
      <c r="L1025" s="5" t="str">
        <f>IFERROR(__xludf.DUMMYFUNCTION("""COMPUTED_VALUE"""),"COLETORA")</f>
        <v>COLETORA</v>
      </c>
      <c r="M1025" s="5" t="str">
        <f>IFERROR(__xludf.DUMMYFUNCTION("""COMPUTED_VALUE"""),"PETRÓPOLIS ")</f>
        <v>PETRÓPOLIS </v>
      </c>
      <c r="N1025" s="5" t="str">
        <f>IFERROR(__xludf.DUMMYFUNCTION("""COMPUTED_VALUE"""),"BAIRRO - CENTRO / CENTRO - BAIRRO")</f>
        <v>BAIRRO - CENTRO / CENTRO - BAIRRO</v>
      </c>
      <c r="O1025" s="5" t="str">
        <f>IFERROR(__xludf.DUMMYFUNCTION("""COMPUTED_VALUE"""),"LADO OPOSTO A IGREJA BATISTA")</f>
        <v>LADO OPOSTO A IGREJA BATISTA</v>
      </c>
      <c r="P1025" s="5" t="str">
        <f>IFERROR(__xludf.DUMMYFUNCTION("""COMPUTED_VALUE"""),"PRIORIDADE BAIXA")</f>
        <v>PRIORIDADE BAIXA</v>
      </c>
      <c r="Q1025" s="5"/>
      <c r="R1025" s="5" t="str">
        <f>IFERROR(__xludf.DUMMYFUNCTION("""COMPUTED_VALUE"""),"IMPLANTAR ABRIGO")</f>
        <v>IMPLANTAR ABRIGO</v>
      </c>
      <c r="S1025" s="5"/>
      <c r="T1025" s="5"/>
      <c r="U1025" s="5"/>
      <c r="V1025" s="9" t="str">
        <f>IFERROR(__xludf.DUMMYFUNCTION("""COMPUTED_VALUE"""),"https://drive.google.com/uc?id=1oL65yqQHT5RiBcgAjOv92B1wX8ec42Tz")</f>
        <v>https://drive.google.com/uc?id=1oL65yqQHT5RiBcgAjOv92B1wX8ec42Tz</v>
      </c>
      <c r="W1025" s="5" t="str">
        <f>IFERROR(__xludf.DUMMYFUNCTION("""COMPUTED_VALUE"""),"NÃO")</f>
        <v>NÃO</v>
      </c>
      <c r="X1025" s="5" t="str">
        <f>IFERROR(__xludf.DUMMYFUNCTION("""COMPUTED_VALUE"""),"NÃO SE APLICA")</f>
        <v>NÃO SE APLICA</v>
      </c>
    </row>
    <row r="1026" hidden="1">
      <c r="A1026" s="5">
        <f>IFERROR(__xludf.DUMMYFUNCTION("""COMPUTED_VALUE"""),4.0)</f>
        <v>4</v>
      </c>
      <c r="B1026" s="5" t="str">
        <f>IFERROR(__xludf.DUMMYFUNCTION("""COMPUTED_VALUE"""),"PT038")</f>
        <v>PT038</v>
      </c>
      <c r="C1026" s="5" t="str">
        <f>IFERROR(__xludf.DUMMYFUNCTION("""COMPUTED_VALUE"""),"NÃO POSSUI")</f>
        <v>NÃO POSSUI</v>
      </c>
      <c r="D1026" s="5" t="str">
        <f>IFERROR(__xludf.DUMMYFUNCTION("""COMPUTED_VALUE"""),"COM SUPORTE")</f>
        <v>COM SUPORTE</v>
      </c>
      <c r="E1026" s="5" t="str">
        <f>IFERROR(__xludf.DUMMYFUNCTION("""COMPUTED_VALUE"""),"SEM BAIA")</f>
        <v>SEM BAIA</v>
      </c>
      <c r="F1026" s="5" t="str">
        <f>IFERROR(__xludf.DUMMYFUNCTION("""COMPUTED_VALUE"""),"NÃO")</f>
        <v>NÃO</v>
      </c>
      <c r="G1026" s="5" t="str">
        <f>IFERROR(__xludf.DUMMYFUNCTION("""COMPUTED_VALUE"""),"NÃO")</f>
        <v>NÃO</v>
      </c>
      <c r="H1026" s="5" t="str">
        <f>IFERROR(__xludf.DUMMYFUNCTION("""COMPUTED_VALUE"""),"PAVIMENTADA")</f>
        <v>PAVIMENTADA</v>
      </c>
      <c r="I1026" s="6" t="str">
        <f>IFERROR(__xludf.DUMMYFUNCTION("""COMPUTED_VALUE"""),"-9.610365")</f>
        <v>-9.610365</v>
      </c>
      <c r="J1026" s="6" t="str">
        <f>IFERROR(__xludf.DUMMYFUNCTION("""COMPUTED_VALUE"""),"-35.753560")</f>
        <v>-35.753560</v>
      </c>
      <c r="K1026" s="5" t="str">
        <f>IFERROR(__xludf.DUMMYFUNCTION("""COMPUTED_VALUE"""),"ALAMEDA C UM")</f>
        <v>ALAMEDA C UM</v>
      </c>
      <c r="L1026" s="5" t="str">
        <f>IFERROR(__xludf.DUMMYFUNCTION("""COMPUTED_VALUE"""),"LOCAL")</f>
        <v>LOCAL</v>
      </c>
      <c r="M1026" s="5" t="str">
        <f>IFERROR(__xludf.DUMMYFUNCTION("""COMPUTED_VALUE"""),"PETRÓPOLIS ")</f>
        <v>PETRÓPOLIS </v>
      </c>
      <c r="N1026" s="5" t="str">
        <f>IFERROR(__xludf.DUMMYFUNCTION("""COMPUTED_VALUE"""),"BAIRRO - CENTRO / CENTRO - BAIRRO")</f>
        <v>BAIRRO - CENTRO / CENTRO - BAIRRO</v>
      </c>
      <c r="O1026" s="5" t="str">
        <f>IFERROR(__xludf.DUMMYFUNCTION("""COMPUTED_VALUE"""),"EM FRENTE A QUADRA DE FUTEBOL")</f>
        <v>EM FRENTE A QUADRA DE FUTEBOL</v>
      </c>
      <c r="P1026" s="5" t="str">
        <f>IFERROR(__xludf.DUMMYFUNCTION("""COMPUTED_VALUE"""),"PRIORIDADE BAIXA")</f>
        <v>PRIORIDADE BAIXA</v>
      </c>
      <c r="Q1026" s="5"/>
      <c r="R1026" s="5" t="str">
        <f>IFERROR(__xludf.DUMMYFUNCTION("""COMPUTED_VALUE"""),"IMPLANTAR ABRIGO")</f>
        <v>IMPLANTAR ABRIGO</v>
      </c>
      <c r="S1026" s="5"/>
      <c r="T1026" s="5"/>
      <c r="U1026" s="5"/>
      <c r="V1026" s="9" t="str">
        <f>IFERROR(__xludf.DUMMYFUNCTION("""COMPUTED_VALUE"""),"https://drive.google.com/uc?id=1jgxcE4mEBGq6aCAiW9BsnjFPttkKzRnv")</f>
        <v>https://drive.google.com/uc?id=1jgxcE4mEBGq6aCAiW9BsnjFPttkKzRnv</v>
      </c>
      <c r="W1026" s="5" t="str">
        <f>IFERROR(__xludf.DUMMYFUNCTION("""COMPUTED_VALUE"""),"NÃO")</f>
        <v>NÃO</v>
      </c>
      <c r="X1026" s="5" t="str">
        <f>IFERROR(__xludf.DUMMYFUNCTION("""COMPUTED_VALUE"""),"NÃO SE APLICA")</f>
        <v>NÃO SE APLICA</v>
      </c>
    </row>
    <row r="1027" hidden="1">
      <c r="A1027" s="5">
        <f>IFERROR(__xludf.DUMMYFUNCTION("""COMPUTED_VALUE"""),4.0)</f>
        <v>4</v>
      </c>
      <c r="B1027" s="5" t="str">
        <f>IFERROR(__xludf.DUMMYFUNCTION("""COMPUTED_VALUE"""),"PT039")</f>
        <v>PT039</v>
      </c>
      <c r="C1027" s="5" t="str">
        <f>IFERROR(__xludf.DUMMYFUNCTION("""COMPUTED_VALUE"""),"NÃO POSSUI")</f>
        <v>NÃO POSSUI</v>
      </c>
      <c r="D1027" s="5" t="str">
        <f>IFERROR(__xludf.DUMMYFUNCTION("""COMPUTED_VALUE"""),"FIXADA EM POSTE")</f>
        <v>FIXADA EM POSTE</v>
      </c>
      <c r="E1027" s="5" t="str">
        <f>IFERROR(__xludf.DUMMYFUNCTION("""COMPUTED_VALUE"""),"SEM BAIA")</f>
        <v>SEM BAIA</v>
      </c>
      <c r="F1027" s="5" t="str">
        <f>IFERROR(__xludf.DUMMYFUNCTION("""COMPUTED_VALUE"""),"NÃO")</f>
        <v>NÃO</v>
      </c>
      <c r="G1027" s="5" t="str">
        <f>IFERROR(__xludf.DUMMYFUNCTION("""COMPUTED_VALUE"""),"NÃO")</f>
        <v>NÃO</v>
      </c>
      <c r="H1027" s="5" t="str">
        <f>IFERROR(__xludf.DUMMYFUNCTION("""COMPUTED_VALUE"""),"PAVIMENTADA")</f>
        <v>PAVIMENTADA</v>
      </c>
      <c r="I1027" s="6" t="str">
        <f>IFERROR(__xludf.DUMMYFUNCTION("""COMPUTED_VALUE"""),"-9.610492")</f>
        <v>-9.610492</v>
      </c>
      <c r="J1027" s="6" t="str">
        <f>IFERROR(__xludf.DUMMYFUNCTION("""COMPUTED_VALUE"""),"-35.751827")</f>
        <v>-35.751827</v>
      </c>
      <c r="K1027" s="5" t="str">
        <f>IFERROR(__xludf.DUMMYFUNCTION("""COMPUTED_VALUE"""),"AV. EMPRESÁRIO LOURIVAL LOBO FERREIRA")</f>
        <v>AV. EMPRESÁRIO LOURIVAL LOBO FERREIRA</v>
      </c>
      <c r="L1027" s="5" t="str">
        <f>IFERROR(__xludf.DUMMYFUNCTION("""COMPUTED_VALUE"""),"COLETORA")</f>
        <v>COLETORA</v>
      </c>
      <c r="M1027" s="5" t="str">
        <f>IFERROR(__xludf.DUMMYFUNCTION("""COMPUTED_VALUE"""),"PETRÓPOLIS ")</f>
        <v>PETRÓPOLIS </v>
      </c>
      <c r="N1027" s="5" t="str">
        <f>IFERROR(__xludf.DUMMYFUNCTION("""COMPUTED_VALUE"""),"BAIRRO - CENTRO")</f>
        <v>BAIRRO - CENTRO</v>
      </c>
      <c r="O1027" s="5" t="str">
        <f>IFERROR(__xludf.DUMMYFUNCTION("""COMPUTED_VALUE"""),"EM FRENTE A BRASILGÁS")</f>
        <v>EM FRENTE A BRASILGÁS</v>
      </c>
      <c r="P1027" s="5" t="str">
        <f>IFERROR(__xludf.DUMMYFUNCTION("""COMPUTED_VALUE"""),"PRIORIDADE BAIXA")</f>
        <v>PRIORIDADE BAIXA</v>
      </c>
      <c r="Q1027" s="5"/>
      <c r="R1027" s="5" t="str">
        <f>IFERROR(__xludf.DUMMYFUNCTION("""COMPUTED_VALUE"""),"NENHUMA DAS OPÇÕES")</f>
        <v>NENHUMA DAS OPÇÕES</v>
      </c>
      <c r="S1027" s="5"/>
      <c r="T1027" s="5"/>
      <c r="U1027" s="5"/>
      <c r="V1027" s="9" t="str">
        <f>IFERROR(__xludf.DUMMYFUNCTION("""COMPUTED_VALUE"""),"https://drive.google.com/uc?id=1WqPRLDUfv9VohfXzJ618tggpKr6Khp1B")</f>
        <v>https://drive.google.com/uc?id=1WqPRLDUfv9VohfXzJ618tggpKr6Khp1B</v>
      </c>
      <c r="W1027" s="5" t="str">
        <f>IFERROR(__xludf.DUMMYFUNCTION("""COMPUTED_VALUE"""),"NÃO")</f>
        <v>NÃO</v>
      </c>
      <c r="X1027" s="5" t="str">
        <f>IFERROR(__xludf.DUMMYFUNCTION("""COMPUTED_VALUE"""),"NÃO SE APLICA")</f>
        <v>NÃO SE APLICA</v>
      </c>
    </row>
    <row r="1028">
      <c r="A1028" s="5">
        <f>IFERROR(__xludf.DUMMYFUNCTION("""COMPUTED_VALUE"""),4.0)</f>
        <v>4</v>
      </c>
      <c r="B1028" s="5" t="str">
        <f>IFERROR(__xludf.DUMMYFUNCTION("""COMPUTED_VALUE"""),"PT040")</f>
        <v>PT040</v>
      </c>
      <c r="C1028" s="5" t="str">
        <f>IFERROR(__xludf.DUMMYFUNCTION("""COMPUTED_VALUE"""),"ABRIGO CONCRETO")</f>
        <v>ABRIGO CONCRETO</v>
      </c>
      <c r="D1028" s="5" t="str">
        <f>IFERROR(__xludf.DUMMYFUNCTION("""COMPUTED_VALUE"""),"SEM PLACA")</f>
        <v>SEM PLACA</v>
      </c>
      <c r="E1028" s="5" t="str">
        <f>IFERROR(__xludf.DUMMYFUNCTION("""COMPUTED_VALUE"""),"SEM BAIA")</f>
        <v>SEM BAIA</v>
      </c>
      <c r="F1028" s="5" t="str">
        <f>IFERROR(__xludf.DUMMYFUNCTION("""COMPUTED_VALUE"""),"NÃO")</f>
        <v>NÃO</v>
      </c>
      <c r="G1028" s="5" t="str">
        <f>IFERROR(__xludf.DUMMYFUNCTION("""COMPUTED_VALUE"""),"NÃO")</f>
        <v>NÃO</v>
      </c>
      <c r="H1028" s="5" t="str">
        <f>IFERROR(__xludf.DUMMYFUNCTION("""COMPUTED_VALUE"""),"PAVIMENTADA")</f>
        <v>PAVIMENTADA</v>
      </c>
      <c r="I1028" s="6" t="str">
        <f>IFERROR(__xludf.DUMMYFUNCTION("""COMPUTED_VALUE"""),"-9.607765")</f>
        <v>-9.607765</v>
      </c>
      <c r="J1028" s="6" t="str">
        <f>IFERROR(__xludf.DUMMYFUNCTION("""COMPUTED_VALUE"""),"-35.755340")</f>
        <v>-35.755340</v>
      </c>
      <c r="K1028" s="5" t="str">
        <f>IFERROR(__xludf.DUMMYFUNCTION("""COMPUTED_VALUE"""),"AV. EMPRESÁRIO LOURIVAL LOBO FERREIRA")</f>
        <v>AV. EMPRESÁRIO LOURIVAL LOBO FERREIRA</v>
      </c>
      <c r="L1028" s="5" t="str">
        <f>IFERROR(__xludf.DUMMYFUNCTION("""COMPUTED_VALUE"""),"COLETORA")</f>
        <v>COLETORA</v>
      </c>
      <c r="M1028" s="5" t="str">
        <f>IFERROR(__xludf.DUMMYFUNCTION("""COMPUTED_VALUE"""),"PETRÓPOLIS ")</f>
        <v>PETRÓPOLIS </v>
      </c>
      <c r="N1028" s="5"/>
      <c r="O1028" s="5" t="str">
        <f>IFERROR(__xludf.DUMMYFUNCTION("""COMPUTED_VALUE"""),"AO LADO DA JPR MÓVEIS")</f>
        <v>AO LADO DA JPR MÓVEIS</v>
      </c>
      <c r="P1028" s="5" t="str">
        <f>IFERROR(__xludf.DUMMYFUNCTION("""COMPUTED_VALUE"""),"PRIORIDADE BAIXA")</f>
        <v>PRIORIDADE BAIXA</v>
      </c>
      <c r="Q1028" s="5"/>
      <c r="R1028" s="5" t="str">
        <f>IFERROR(__xludf.DUMMYFUNCTION("""COMPUTED_VALUE"""),"SUBSTITUIR ABRIGO")</f>
        <v>SUBSTITUIR ABRIGO</v>
      </c>
      <c r="S1028" s="5"/>
      <c r="T1028" s="5"/>
      <c r="U1028" s="5"/>
      <c r="V1028" s="9" t="str">
        <f>IFERROR(__xludf.DUMMYFUNCTION("""COMPUTED_VALUE"""),"https://drive.google.com/uc?id=13LcQRr0f12KgLEJnlHWag3IhW29A7r-3")</f>
        <v>https://drive.google.com/uc?id=13LcQRr0f12KgLEJnlHWag3IhW29A7r-3</v>
      </c>
      <c r="W1028" s="5" t="str">
        <f>IFERROR(__xludf.DUMMYFUNCTION("""COMPUTED_VALUE"""),"NÃO")</f>
        <v>NÃO</v>
      </c>
      <c r="X1028" s="5" t="str">
        <f>IFERROR(__xludf.DUMMYFUNCTION("""COMPUTED_VALUE"""),"NÃO SE APLICA")</f>
        <v>NÃO SE APLICA</v>
      </c>
    </row>
    <row r="1029" hidden="1">
      <c r="A1029" s="5">
        <f>IFERROR(__xludf.DUMMYFUNCTION("""COMPUTED_VALUE"""),4.0)</f>
        <v>4</v>
      </c>
      <c r="B1029" s="5" t="str">
        <f>IFERROR(__xludf.DUMMYFUNCTION("""COMPUTED_VALUE"""),"PT041")</f>
        <v>PT041</v>
      </c>
      <c r="C1029" s="5" t="str">
        <f>IFERROR(__xludf.DUMMYFUNCTION("""COMPUTED_VALUE"""),"NÃO POSSUI")</f>
        <v>NÃO POSSUI</v>
      </c>
      <c r="D1029" s="5" t="str">
        <f>IFERROR(__xludf.DUMMYFUNCTION("""COMPUTED_VALUE"""),"FIXADA EM POSTE")</f>
        <v>FIXADA EM POSTE</v>
      </c>
      <c r="E1029" s="5" t="str">
        <f>IFERROR(__xludf.DUMMYFUNCTION("""COMPUTED_VALUE"""),"SEM BAIA")</f>
        <v>SEM BAIA</v>
      </c>
      <c r="F1029" s="5" t="str">
        <f>IFERROR(__xludf.DUMMYFUNCTION("""COMPUTED_VALUE"""),"NÃO")</f>
        <v>NÃO</v>
      </c>
      <c r="G1029" s="5" t="str">
        <f>IFERROR(__xludf.DUMMYFUNCTION("""COMPUTED_VALUE"""),"NÃO")</f>
        <v>NÃO</v>
      </c>
      <c r="H1029" s="5" t="str">
        <f>IFERROR(__xludf.DUMMYFUNCTION("""COMPUTED_VALUE"""),"PAVIMENTADA")</f>
        <v>PAVIMENTADA</v>
      </c>
      <c r="I1029" s="6" t="str">
        <f>IFERROR(__xludf.DUMMYFUNCTION("""COMPUTED_VALUE"""),"-9.610257")</f>
        <v>-9.610257</v>
      </c>
      <c r="J1029" s="6" t="str">
        <f>IFERROR(__xludf.DUMMYFUNCTION("""COMPUTED_VALUE"""),"-35.752208")</f>
        <v>-35.752208</v>
      </c>
      <c r="K1029" s="5" t="str">
        <f>IFERROR(__xludf.DUMMYFUNCTION("""COMPUTED_VALUE"""),"AV. EMPRESÁRIO LOURIVAL LOBO FERREIRA 15")</f>
        <v>AV. EMPRESÁRIO LOURIVAL LOBO FERREIRA 15</v>
      </c>
      <c r="L1029" s="5" t="str">
        <f>IFERROR(__xludf.DUMMYFUNCTION("""COMPUTED_VALUE"""),"COLETORA")</f>
        <v>COLETORA</v>
      </c>
      <c r="M1029" s="5" t="str">
        <f>IFERROR(__xludf.DUMMYFUNCTION("""COMPUTED_VALUE"""),"PETRÓPOLIS ")</f>
        <v>PETRÓPOLIS </v>
      </c>
      <c r="N1029" s="5"/>
      <c r="O1029" s="5" t="str">
        <f>IFERROR(__xludf.DUMMYFUNCTION("""COMPUTED_VALUE"""),"AO LADO DO PROJETO TALLITA")</f>
        <v>AO LADO DO PROJETO TALLITA</v>
      </c>
      <c r="P1029" s="5" t="str">
        <f>IFERROR(__xludf.DUMMYFUNCTION("""COMPUTED_VALUE"""),"PRIORIDADE BAIXA")</f>
        <v>PRIORIDADE BAIXA</v>
      </c>
      <c r="Q1029" s="5"/>
      <c r="R1029" s="5" t="str">
        <f>IFERROR(__xludf.DUMMYFUNCTION("""COMPUTED_VALUE"""),"NENHUMA DAS OPÇÕES")</f>
        <v>NENHUMA DAS OPÇÕES</v>
      </c>
      <c r="S1029" s="5"/>
      <c r="T1029" s="5"/>
      <c r="U1029" s="5"/>
      <c r="V1029" s="9" t="str">
        <f>IFERROR(__xludf.DUMMYFUNCTION("""COMPUTED_VALUE"""),"https://drive.google.com/uc?id=1WJjSoCGG8NVezr0GgVKXMju44LSqhBss")</f>
        <v>https://drive.google.com/uc?id=1WJjSoCGG8NVezr0GgVKXMju44LSqhBss</v>
      </c>
      <c r="W1029" s="5" t="str">
        <f>IFERROR(__xludf.DUMMYFUNCTION("""COMPUTED_VALUE"""),"NÃO")</f>
        <v>NÃO</v>
      </c>
      <c r="X1029" s="5" t="str">
        <f>IFERROR(__xludf.DUMMYFUNCTION("""COMPUTED_VALUE"""),"NÃO SE APLICA")</f>
        <v>NÃO SE APLICA</v>
      </c>
    </row>
    <row r="1030" hidden="1">
      <c r="A1030" s="5">
        <f>IFERROR(__xludf.DUMMYFUNCTION("""COMPUTED_VALUE"""),4.0)</f>
        <v>4</v>
      </c>
      <c r="B1030" s="5" t="str">
        <f>IFERROR(__xludf.DUMMYFUNCTION("""COMPUTED_VALUE"""),"PT042")</f>
        <v>PT042</v>
      </c>
      <c r="C1030" s="5" t="str">
        <f>IFERROR(__xludf.DUMMYFUNCTION("""COMPUTED_VALUE"""),"NÃO POSSUI")</f>
        <v>NÃO POSSUI</v>
      </c>
      <c r="D1030" s="5" t="str">
        <f>IFERROR(__xludf.DUMMYFUNCTION("""COMPUTED_VALUE"""),"FIXADA EM POSTE")</f>
        <v>FIXADA EM POSTE</v>
      </c>
      <c r="E1030" s="5" t="str">
        <f>IFERROR(__xludf.DUMMYFUNCTION("""COMPUTED_VALUE"""),"SEM BAIA")</f>
        <v>SEM BAIA</v>
      </c>
      <c r="F1030" s="5" t="str">
        <f>IFERROR(__xludf.DUMMYFUNCTION("""COMPUTED_VALUE"""),"NÃO")</f>
        <v>NÃO</v>
      </c>
      <c r="G1030" s="5" t="str">
        <f>IFERROR(__xludf.DUMMYFUNCTION("""COMPUTED_VALUE"""),"NÃO")</f>
        <v>NÃO</v>
      </c>
      <c r="H1030" s="5" t="str">
        <f>IFERROR(__xludf.DUMMYFUNCTION("""COMPUTED_VALUE"""),"PAVIMENTADA")</f>
        <v>PAVIMENTADA</v>
      </c>
      <c r="I1030" s="6" t="str">
        <f>IFERROR(__xludf.DUMMYFUNCTION("""COMPUTED_VALUE"""),"-9.610863")</f>
        <v>-9.610863</v>
      </c>
      <c r="J1030" s="6" t="str">
        <f>IFERROR(__xludf.DUMMYFUNCTION("""COMPUTED_VALUE"""),"-35.750222")</f>
        <v>-35.750222</v>
      </c>
      <c r="K1030" s="5" t="str">
        <f>IFERROR(__xludf.DUMMYFUNCTION("""COMPUTED_VALUE"""),"AV. EMPRESÁRIO LOURIVAL LOBO FERREIRA 4")</f>
        <v>AV. EMPRESÁRIO LOURIVAL LOBO FERREIRA 4</v>
      </c>
      <c r="L1030" s="5" t="str">
        <f>IFERROR(__xludf.DUMMYFUNCTION("""COMPUTED_VALUE"""),"COLETORA")</f>
        <v>COLETORA</v>
      </c>
      <c r="M1030" s="5" t="str">
        <f>IFERROR(__xludf.DUMMYFUNCTION("""COMPUTED_VALUE"""),"PETRÓPOLIS ")</f>
        <v>PETRÓPOLIS </v>
      </c>
      <c r="N1030" s="5"/>
      <c r="O1030" s="5" t="str">
        <f>IFERROR(__xludf.DUMMYFUNCTION("""COMPUTED_VALUE"""),"EM FRENTE A IGREJA NOVA JERUSALÉM")</f>
        <v>EM FRENTE A IGREJA NOVA JERUSALÉM</v>
      </c>
      <c r="P1030" s="5" t="str">
        <f>IFERROR(__xludf.DUMMYFUNCTION("""COMPUTED_VALUE"""),"PRIORIDADE BAIXA")</f>
        <v>PRIORIDADE BAIXA</v>
      </c>
      <c r="Q1030" s="5"/>
      <c r="R1030" s="5" t="str">
        <f>IFERROR(__xludf.DUMMYFUNCTION("""COMPUTED_VALUE"""),"IMPLANTAR ABRIGO")</f>
        <v>IMPLANTAR ABRIGO</v>
      </c>
      <c r="S1030" s="5"/>
      <c r="T1030" s="5"/>
      <c r="U1030" s="5"/>
      <c r="V1030" s="9" t="str">
        <f>IFERROR(__xludf.DUMMYFUNCTION("""COMPUTED_VALUE"""),"https://drive.google.com/uc?id=1ZbNySAgq1jaBxEa8Nkauuro1DEIXej0W/")</f>
        <v>https://drive.google.com/uc?id=1ZbNySAgq1jaBxEa8Nkauuro1DEIXej0W/</v>
      </c>
      <c r="W1030" s="5" t="str">
        <f>IFERROR(__xludf.DUMMYFUNCTION("""COMPUTED_VALUE"""),"NÃO")</f>
        <v>NÃO</v>
      </c>
      <c r="X1030" s="5" t="str">
        <f>IFERROR(__xludf.DUMMYFUNCTION("""COMPUTED_VALUE"""),"NÃO SE APLICA")</f>
        <v>NÃO SE APLICA</v>
      </c>
    </row>
    <row r="1031">
      <c r="A1031" s="5">
        <f>IFERROR(__xludf.DUMMYFUNCTION("""COMPUTED_VALUE"""),4.0)</f>
        <v>4</v>
      </c>
      <c r="B1031" s="5" t="str">
        <f>IFERROR(__xludf.DUMMYFUNCTION("""COMPUTED_VALUE"""),"PT043")</f>
        <v>PT043</v>
      </c>
      <c r="C1031" s="5" t="str">
        <f>IFERROR(__xludf.DUMMYFUNCTION("""COMPUTED_VALUE"""),"ABRIGO CONCRETO")</f>
        <v>ABRIGO CONCRETO</v>
      </c>
      <c r="D1031" s="5" t="str">
        <f>IFERROR(__xludf.DUMMYFUNCTION("""COMPUTED_VALUE"""),"SEM PLACA")</f>
        <v>SEM PLACA</v>
      </c>
      <c r="E1031" s="5" t="str">
        <f>IFERROR(__xludf.DUMMYFUNCTION("""COMPUTED_VALUE"""),"SEM BAIA")</f>
        <v>SEM BAIA</v>
      </c>
      <c r="F1031" s="5" t="str">
        <f>IFERROR(__xludf.DUMMYFUNCTION("""COMPUTED_VALUE"""),"NÃO")</f>
        <v>NÃO</v>
      </c>
      <c r="G1031" s="5" t="str">
        <f>IFERROR(__xludf.DUMMYFUNCTION("""COMPUTED_VALUE"""),"NÃO")</f>
        <v>NÃO</v>
      </c>
      <c r="H1031" s="5" t="str">
        <f>IFERROR(__xludf.DUMMYFUNCTION("""COMPUTED_VALUE"""),"PAVIMENTADA")</f>
        <v>PAVIMENTADA</v>
      </c>
      <c r="I1031" s="6" t="str">
        <f>IFERROR(__xludf.DUMMYFUNCTION("""COMPUTED_VALUE"""),"-9.609077")</f>
        <v>-9.609077</v>
      </c>
      <c r="J1031" s="6" t="str">
        <f>IFERROR(__xludf.DUMMYFUNCTION("""COMPUTED_VALUE"""),"-35.754487")</f>
        <v>-35.754487</v>
      </c>
      <c r="K1031" s="5" t="str">
        <f>IFERROR(__xludf.DUMMYFUNCTION("""COMPUTED_VALUE"""),"AV. EMPRESÁRIO LOURIVAL LOBO FERREIRA")</f>
        <v>AV. EMPRESÁRIO LOURIVAL LOBO FERREIRA</v>
      </c>
      <c r="L1031" s="5" t="str">
        <f>IFERROR(__xludf.DUMMYFUNCTION("""COMPUTED_VALUE"""),"COLETORA")</f>
        <v>COLETORA</v>
      </c>
      <c r="M1031" s="5" t="str">
        <f>IFERROR(__xludf.DUMMYFUNCTION("""COMPUTED_VALUE"""),"PETRÓPOLIS ")</f>
        <v>PETRÓPOLIS </v>
      </c>
      <c r="N1031" s="5"/>
      <c r="O1031" s="5" t="str">
        <f>IFERROR(__xludf.DUMMYFUNCTION("""COMPUTED_VALUE"""),"AO LADO DA IMPERIAL DO BOLO")</f>
        <v>AO LADO DA IMPERIAL DO BOLO</v>
      </c>
      <c r="P1031" s="5" t="str">
        <f>IFERROR(__xludf.DUMMYFUNCTION("""COMPUTED_VALUE"""),"PRIORIDADE BAIXA")</f>
        <v>PRIORIDADE BAIXA</v>
      </c>
      <c r="Q1031" s="5"/>
      <c r="R1031" s="5" t="str">
        <f>IFERROR(__xludf.DUMMYFUNCTION("""COMPUTED_VALUE"""),"SUBSTITUIR ABRIGO")</f>
        <v>SUBSTITUIR ABRIGO</v>
      </c>
      <c r="S1031" s="5"/>
      <c r="T1031" s="5"/>
      <c r="U1031" s="5"/>
      <c r="V1031" s="9" t="str">
        <f>IFERROR(__xludf.DUMMYFUNCTION("""COMPUTED_VALUE"""),"https://drive.google.com/uc?id=1ubx-8YJfSga9UpIuB5ks36TZFoLz0D6q")</f>
        <v>https://drive.google.com/uc?id=1ubx-8YJfSga9UpIuB5ks36TZFoLz0D6q</v>
      </c>
      <c r="W1031" s="5" t="str">
        <f>IFERROR(__xludf.DUMMYFUNCTION("""COMPUTED_VALUE"""),"NÃO")</f>
        <v>NÃO</v>
      </c>
      <c r="X1031" s="5" t="str">
        <f>IFERROR(__xludf.DUMMYFUNCTION("""COMPUTED_VALUE"""),"NÃO SE APLICA")</f>
        <v>NÃO SE APLICA</v>
      </c>
    </row>
    <row r="1032" hidden="1">
      <c r="A1032" s="5">
        <f>IFERROR(__xludf.DUMMYFUNCTION("""COMPUTED_VALUE"""),4.0)</f>
        <v>4</v>
      </c>
      <c r="B1032" s="5" t="str">
        <f>IFERROR(__xludf.DUMMYFUNCTION("""COMPUTED_VALUE"""),"PT044")</f>
        <v>PT044</v>
      </c>
      <c r="C1032" s="5" t="str">
        <f>IFERROR(__xludf.DUMMYFUNCTION("""COMPUTED_VALUE"""),"NÃO POSSUI")</f>
        <v>NÃO POSSUI</v>
      </c>
      <c r="D1032" s="5" t="str">
        <f>IFERROR(__xludf.DUMMYFUNCTION("""COMPUTED_VALUE"""),"FIXADA EM POSTE")</f>
        <v>FIXADA EM POSTE</v>
      </c>
      <c r="E1032" s="5" t="str">
        <f>IFERROR(__xludf.DUMMYFUNCTION("""COMPUTED_VALUE"""),"SEM BAIA")</f>
        <v>SEM BAIA</v>
      </c>
      <c r="F1032" s="5" t="str">
        <f>IFERROR(__xludf.DUMMYFUNCTION("""COMPUTED_VALUE"""),"NÃO")</f>
        <v>NÃO</v>
      </c>
      <c r="G1032" s="5" t="str">
        <f>IFERROR(__xludf.DUMMYFUNCTION("""COMPUTED_VALUE"""),"NÃO")</f>
        <v>NÃO</v>
      </c>
      <c r="H1032" s="5" t="str">
        <f>IFERROR(__xludf.DUMMYFUNCTION("""COMPUTED_VALUE"""),"PAVIMENTADA")</f>
        <v>PAVIMENTADA</v>
      </c>
      <c r="I1032" s="6" t="str">
        <f>IFERROR(__xludf.DUMMYFUNCTION("""COMPUTED_VALUE"""),"-9.603372")</f>
        <v>-9.603372</v>
      </c>
      <c r="J1032" s="6" t="str">
        <f>IFERROR(__xludf.DUMMYFUNCTION("""COMPUTED_VALUE"""),"-35.758820")</f>
        <v>-35.758820</v>
      </c>
      <c r="K1032" s="5" t="str">
        <f>IFERROR(__xludf.DUMMYFUNCTION("""COMPUTED_VALUE"""),"AV. EMPRESÁRIO LOURIVAL LOBO FERREIRA")</f>
        <v>AV. EMPRESÁRIO LOURIVAL LOBO FERREIRA</v>
      </c>
      <c r="L1032" s="5" t="str">
        <f>IFERROR(__xludf.DUMMYFUNCTION("""COMPUTED_VALUE"""),"COLETORA")</f>
        <v>COLETORA</v>
      </c>
      <c r="M1032" s="5" t="str">
        <f>IFERROR(__xludf.DUMMYFUNCTION("""COMPUTED_VALUE"""),"PETRÓPOLIS ")</f>
        <v>PETRÓPOLIS </v>
      </c>
      <c r="N1032" s="5"/>
      <c r="O1032" s="5" t="str">
        <f>IFERROR(__xludf.DUMMYFUNCTION("""COMPUTED_VALUE"""),"EM FRENTE A CASA 14")</f>
        <v>EM FRENTE A CASA 14</v>
      </c>
      <c r="P1032" s="5" t="str">
        <f>IFERROR(__xludf.DUMMYFUNCTION("""COMPUTED_VALUE"""),"PRIORIDADE BAIXA")</f>
        <v>PRIORIDADE BAIXA</v>
      </c>
      <c r="Q1032" s="5"/>
      <c r="R1032" s="5" t="str">
        <f>IFERROR(__xludf.DUMMYFUNCTION("""COMPUTED_VALUE"""),"NENHUMA DAS OPÇÕES")</f>
        <v>NENHUMA DAS OPÇÕES</v>
      </c>
      <c r="S1032" s="5"/>
      <c r="T1032" s="5"/>
      <c r="U1032" s="5"/>
      <c r="V1032" s="9" t="str">
        <f>IFERROR(__xludf.DUMMYFUNCTION("""COMPUTED_VALUE"""),"https://drive.google.com/uc?id=13flkb1as7DrdCANxysr6nRG8EdD-O4Nn
")</f>
        <v>https://drive.google.com/uc?id=13flkb1as7DrdCANxysr6nRG8EdD-O4Nn
</v>
      </c>
      <c r="W1032" s="5" t="str">
        <f>IFERROR(__xludf.DUMMYFUNCTION("""COMPUTED_VALUE"""),"NÃO")</f>
        <v>NÃO</v>
      </c>
      <c r="X1032" s="5" t="str">
        <f>IFERROR(__xludf.DUMMYFUNCTION("""COMPUTED_VALUE"""),"NÃO SE APLICA")</f>
        <v>NÃO SE APLICA</v>
      </c>
    </row>
    <row r="1033" hidden="1">
      <c r="A1033" s="5">
        <f>IFERROR(__xludf.DUMMYFUNCTION("""COMPUTED_VALUE"""),4.0)</f>
        <v>4</v>
      </c>
      <c r="B1033" s="5" t="str">
        <f>IFERROR(__xludf.DUMMYFUNCTION("""COMPUTED_VALUE"""),"PT045")</f>
        <v>PT045</v>
      </c>
      <c r="C1033" s="5" t="str">
        <f>IFERROR(__xludf.DUMMYFUNCTION("""COMPUTED_VALUE"""),"NÃO POSSUI")</f>
        <v>NÃO POSSUI</v>
      </c>
      <c r="D1033" s="5" t="str">
        <f>IFERROR(__xludf.DUMMYFUNCTION("""COMPUTED_VALUE"""),"FIXADA EM POSTE")</f>
        <v>FIXADA EM POSTE</v>
      </c>
      <c r="E1033" s="5" t="str">
        <f>IFERROR(__xludf.DUMMYFUNCTION("""COMPUTED_VALUE"""),"SEM BAIA")</f>
        <v>SEM BAIA</v>
      </c>
      <c r="F1033" s="5" t="str">
        <f>IFERROR(__xludf.DUMMYFUNCTION("""COMPUTED_VALUE"""),"NÃO")</f>
        <v>NÃO</v>
      </c>
      <c r="G1033" s="5" t="str">
        <f>IFERROR(__xludf.DUMMYFUNCTION("""COMPUTED_VALUE"""),"NÃO")</f>
        <v>NÃO</v>
      </c>
      <c r="H1033" s="5" t="str">
        <f>IFERROR(__xludf.DUMMYFUNCTION("""COMPUTED_VALUE"""),"PAVIMENTADA")</f>
        <v>PAVIMENTADA</v>
      </c>
      <c r="I1033" s="6" t="str">
        <f>IFERROR(__xludf.DUMMYFUNCTION("""COMPUTED_VALUE"""),"-9.605810")</f>
        <v>-9.605810</v>
      </c>
      <c r="J1033" s="6" t="str">
        <f>IFERROR(__xludf.DUMMYFUNCTION("""COMPUTED_VALUE"""),"-35.756645")</f>
        <v>-35.756645</v>
      </c>
      <c r="K1033" s="5" t="str">
        <f>IFERROR(__xludf.DUMMYFUNCTION("""COMPUTED_VALUE"""),"AV. EMPRESÁRIO LOURIVAL LOBO FERREIRA")</f>
        <v>AV. EMPRESÁRIO LOURIVAL LOBO FERREIRA</v>
      </c>
      <c r="L1033" s="5" t="str">
        <f>IFERROR(__xludf.DUMMYFUNCTION("""COMPUTED_VALUE"""),"COLETORA")</f>
        <v>COLETORA</v>
      </c>
      <c r="M1033" s="5" t="str">
        <f>IFERROR(__xludf.DUMMYFUNCTION("""COMPUTED_VALUE"""),"PETRÓPOLIS ")</f>
        <v>PETRÓPOLIS </v>
      </c>
      <c r="N1033" s="5"/>
      <c r="O1033" s="5" t="str">
        <f>IFERROR(__xludf.DUMMYFUNCTION("""COMPUTED_VALUE"""),"EM FRENTE A PET SHOP")</f>
        <v>EM FRENTE A PET SHOP</v>
      </c>
      <c r="P1033" s="5" t="str">
        <f>IFERROR(__xludf.DUMMYFUNCTION("""COMPUTED_VALUE"""),"PRIORIDADE BAIXA")</f>
        <v>PRIORIDADE BAIXA</v>
      </c>
      <c r="Q1033" s="5"/>
      <c r="R1033" s="5" t="str">
        <f>IFERROR(__xludf.DUMMYFUNCTION("""COMPUTED_VALUE"""),"NENHUMA DAS OPÇÕES")</f>
        <v>NENHUMA DAS OPÇÕES</v>
      </c>
      <c r="S1033" s="5"/>
      <c r="T1033" s="5"/>
      <c r="U1033" s="5"/>
      <c r="V1033" s="9" t="str">
        <f>IFERROR(__xludf.DUMMYFUNCTION("""COMPUTED_VALUE"""),"https://drive.google.com/uc?id=1pjS74bDaaVoEAQuE6M8aB2UQWJHNw0-J")</f>
        <v>https://drive.google.com/uc?id=1pjS74bDaaVoEAQuE6M8aB2UQWJHNw0-J</v>
      </c>
      <c r="W1033" s="5" t="str">
        <f>IFERROR(__xludf.DUMMYFUNCTION("""COMPUTED_VALUE"""),"NÃO")</f>
        <v>NÃO</v>
      </c>
      <c r="X1033" s="5" t="str">
        <f>IFERROR(__xludf.DUMMYFUNCTION("""COMPUTED_VALUE"""),"NÃO SE APLICA")</f>
        <v>NÃO SE APLICA</v>
      </c>
    </row>
    <row r="1034">
      <c r="A1034" s="5">
        <f>IFERROR(__xludf.DUMMYFUNCTION("""COMPUTED_VALUE"""),4.0)</f>
        <v>4</v>
      </c>
      <c r="B1034" s="5" t="str">
        <f>IFERROR(__xludf.DUMMYFUNCTION("""COMPUTED_VALUE"""),"PT046")</f>
        <v>PT046</v>
      </c>
      <c r="C1034" s="5" t="str">
        <f>IFERROR(__xludf.DUMMYFUNCTION("""COMPUTED_VALUE"""),"ABRIGO CONCRETO")</f>
        <v>ABRIGO CONCRETO</v>
      </c>
      <c r="D1034" s="5" t="str">
        <f>IFERROR(__xludf.DUMMYFUNCTION("""COMPUTED_VALUE"""),"SEM PLACA")</f>
        <v>SEM PLACA</v>
      </c>
      <c r="E1034" s="5" t="str">
        <f>IFERROR(__xludf.DUMMYFUNCTION("""COMPUTED_VALUE"""),"SEM BAIA")</f>
        <v>SEM BAIA</v>
      </c>
      <c r="F1034" s="5" t="str">
        <f>IFERROR(__xludf.DUMMYFUNCTION("""COMPUTED_VALUE"""),"NÃO")</f>
        <v>NÃO</v>
      </c>
      <c r="G1034" s="5" t="str">
        <f>IFERROR(__xludf.DUMMYFUNCTION("""COMPUTED_VALUE"""),"NÃO")</f>
        <v>NÃO</v>
      </c>
      <c r="H1034" s="5" t="str">
        <f>IFERROR(__xludf.DUMMYFUNCTION("""COMPUTED_VALUE"""),"PAVIMENTADA")</f>
        <v>PAVIMENTADA</v>
      </c>
      <c r="I1034" s="6" t="str">
        <f>IFERROR(__xludf.DUMMYFUNCTION("""COMPUTED_VALUE"""),"-9.599813")</f>
        <v>-9.599813</v>
      </c>
      <c r="J1034" s="6" t="str">
        <f>IFERROR(__xludf.DUMMYFUNCTION("""COMPUTED_VALUE"""),"-35.757222")</f>
        <v>-35.757222</v>
      </c>
      <c r="K1034" s="5" t="str">
        <f>IFERROR(__xludf.DUMMYFUNCTION("""COMPUTED_VALUE"""),"AVENIDA GALBA NOVAES DE CASTRO")</f>
        <v>AVENIDA GALBA NOVAES DE CASTRO</v>
      </c>
      <c r="L1034" s="5" t="str">
        <f>IFERROR(__xludf.DUMMYFUNCTION("""COMPUTED_VALUE"""),"COLETORA")</f>
        <v>COLETORA</v>
      </c>
      <c r="M1034" s="5" t="str">
        <f>IFERROR(__xludf.DUMMYFUNCTION("""COMPUTED_VALUE"""),"PETRÓPOLIS ")</f>
        <v>PETRÓPOLIS </v>
      </c>
      <c r="N1034" s="5"/>
      <c r="O1034" s="5" t="str">
        <f>IFERROR(__xludf.DUMMYFUNCTION("""COMPUTED_VALUE"""),"EM FRENTE RESIDENCIAL DOM HELDER")</f>
        <v>EM FRENTE RESIDENCIAL DOM HELDER</v>
      </c>
      <c r="P1034" s="5" t="str">
        <f>IFERROR(__xludf.DUMMYFUNCTION("""COMPUTED_VALUE"""),"PRIORIDADE BAIXA")</f>
        <v>PRIORIDADE BAIXA</v>
      </c>
      <c r="Q1034" s="5"/>
      <c r="R1034" s="5" t="str">
        <f>IFERROR(__xludf.DUMMYFUNCTION("""COMPUTED_VALUE"""),"SUBSTITUIR ABRIGO")</f>
        <v>SUBSTITUIR ABRIGO</v>
      </c>
      <c r="S1034" s="5"/>
      <c r="T1034" s="5"/>
      <c r="U1034" s="5"/>
      <c r="V1034" s="9" t="str">
        <f>IFERROR(__xludf.DUMMYFUNCTION("""COMPUTED_VALUE"""),"https://drive.google.com/uc?id=1lEg2GoYaZPycmnaLjz7EGDwgWyKBZVWV")</f>
        <v>https://drive.google.com/uc?id=1lEg2GoYaZPycmnaLjz7EGDwgWyKBZVWV</v>
      </c>
      <c r="W1034" s="5" t="str">
        <f>IFERROR(__xludf.DUMMYFUNCTION("""COMPUTED_VALUE"""),"NÃO")</f>
        <v>NÃO</v>
      </c>
      <c r="X1034" s="5" t="str">
        <f>IFERROR(__xludf.DUMMYFUNCTION("""COMPUTED_VALUE"""),"NÃO SE APLICA")</f>
        <v>NÃO SE APLICA</v>
      </c>
    </row>
    <row r="1035" hidden="1">
      <c r="A1035" s="5">
        <f>IFERROR(__xludf.DUMMYFUNCTION("""COMPUTED_VALUE"""),4.0)</f>
        <v>4</v>
      </c>
      <c r="B1035" s="5" t="str">
        <f>IFERROR(__xludf.DUMMYFUNCTION("""COMPUTED_VALUE"""),"PT047")</f>
        <v>PT047</v>
      </c>
      <c r="C1035" s="5" t="str">
        <f>IFERROR(__xludf.DUMMYFUNCTION("""COMPUTED_VALUE"""),"NÃO POSSUI")</f>
        <v>NÃO POSSUI</v>
      </c>
      <c r="D1035" s="5" t="str">
        <f>IFERROR(__xludf.DUMMYFUNCTION("""COMPUTED_VALUE"""),"COM SUPORTE")</f>
        <v>COM SUPORTE</v>
      </c>
      <c r="E1035" s="5" t="str">
        <f>IFERROR(__xludf.DUMMYFUNCTION("""COMPUTED_VALUE"""),"SEM BAIA")</f>
        <v>SEM BAIA</v>
      </c>
      <c r="F1035" s="5" t="str">
        <f>IFERROR(__xludf.DUMMYFUNCTION("""COMPUTED_VALUE"""),"NÃO")</f>
        <v>NÃO</v>
      </c>
      <c r="G1035" s="5" t="str">
        <f>IFERROR(__xludf.DUMMYFUNCTION("""COMPUTED_VALUE"""),"NÃO")</f>
        <v>NÃO</v>
      </c>
      <c r="H1035" s="5" t="str">
        <f>IFERROR(__xludf.DUMMYFUNCTION("""COMPUTED_VALUE"""),"PAVIMENTADA")</f>
        <v>PAVIMENTADA</v>
      </c>
      <c r="I1035" s="6" t="str">
        <f>IFERROR(__xludf.DUMMYFUNCTION("""COMPUTED_VALUE"""),"-9.596385")</f>
        <v>-9.596385</v>
      </c>
      <c r="J1035" s="6" t="str">
        <f>IFERROR(__xludf.DUMMYFUNCTION("""COMPUTED_VALUE"""),"-35.758572")</f>
        <v>-35.758572</v>
      </c>
      <c r="K1035" s="5" t="str">
        <f>IFERROR(__xludf.DUMMYFUNCTION("""COMPUTED_VALUE"""),"AVENIDA SEBASTIÃO CORREIA  DA ROCHA")</f>
        <v>AVENIDA SEBASTIÃO CORREIA  DA ROCHA</v>
      </c>
      <c r="L1035" s="5" t="str">
        <f>IFERROR(__xludf.DUMMYFUNCTION("""COMPUTED_VALUE"""),"COLETORA")</f>
        <v>COLETORA</v>
      </c>
      <c r="M1035" s="5" t="str">
        <f>IFERROR(__xludf.DUMMYFUNCTION("""COMPUTED_VALUE"""),"PETRÓPOLIS ")</f>
        <v>PETRÓPOLIS </v>
      </c>
      <c r="N1035" s="5"/>
      <c r="O1035" s="5" t="str">
        <f>IFERROR(__xludf.DUMMYFUNCTION("""COMPUTED_VALUE"""),"EM FRENTE A CASA 385")</f>
        <v>EM FRENTE A CASA 385</v>
      </c>
      <c r="P1035" s="5" t="str">
        <f>IFERROR(__xludf.DUMMYFUNCTION("""COMPUTED_VALUE"""),"PRIORIDADE BAIXA")</f>
        <v>PRIORIDADE BAIXA</v>
      </c>
      <c r="Q1035" s="5"/>
      <c r="R1035" s="5" t="str">
        <f>IFERROR(__xludf.DUMMYFUNCTION("""COMPUTED_VALUE"""),"IMPLANTAR ABRIGO")</f>
        <v>IMPLANTAR ABRIGO</v>
      </c>
      <c r="S1035" s="5"/>
      <c r="T1035" s="5"/>
      <c r="U1035" s="5"/>
      <c r="V1035" s="9" t="str">
        <f>IFERROR(__xludf.DUMMYFUNCTION("""COMPUTED_VALUE"""),"https://drive.google.com/uc?id=1-8gMSHOwWeNx-KBuh4AflCwYzfbL26_n/")</f>
        <v>https://drive.google.com/uc?id=1-8gMSHOwWeNx-KBuh4AflCwYzfbL26_n/</v>
      </c>
      <c r="W1035" s="5" t="str">
        <f>IFERROR(__xludf.DUMMYFUNCTION("""COMPUTED_VALUE"""),"NÃO")</f>
        <v>NÃO</v>
      </c>
      <c r="X1035" s="5" t="str">
        <f>IFERROR(__xludf.DUMMYFUNCTION("""COMPUTED_VALUE"""),"NÃO SE APLICA")</f>
        <v>NÃO SE APLICA</v>
      </c>
    </row>
    <row r="1036">
      <c r="A1036" s="5">
        <f>IFERROR(__xludf.DUMMYFUNCTION("""COMPUTED_VALUE"""),4.0)</f>
        <v>4</v>
      </c>
      <c r="B1036" s="5" t="str">
        <f>IFERROR(__xludf.DUMMYFUNCTION("""COMPUTED_VALUE"""),"PT048")</f>
        <v>PT048</v>
      </c>
      <c r="C1036" s="5" t="str">
        <f>IFERROR(__xludf.DUMMYFUNCTION("""COMPUTED_VALUE"""),"ABRIGO CONCRETO")</f>
        <v>ABRIGO CONCRETO</v>
      </c>
      <c r="D1036" s="5" t="str">
        <f>IFERROR(__xludf.DUMMYFUNCTION("""COMPUTED_VALUE"""),"SEM PLACA")</f>
        <v>SEM PLACA</v>
      </c>
      <c r="E1036" s="5" t="str">
        <f>IFERROR(__xludf.DUMMYFUNCTION("""COMPUTED_VALUE"""),"SEM BAIA")</f>
        <v>SEM BAIA</v>
      </c>
      <c r="F1036" s="5" t="str">
        <f>IFERROR(__xludf.DUMMYFUNCTION("""COMPUTED_VALUE"""),"NÃO")</f>
        <v>NÃO</v>
      </c>
      <c r="G1036" s="5" t="str">
        <f>IFERROR(__xludf.DUMMYFUNCTION("""COMPUTED_VALUE"""),"NÃO")</f>
        <v>NÃO</v>
      </c>
      <c r="H1036" s="5" t="str">
        <f>IFERROR(__xludf.DUMMYFUNCTION("""COMPUTED_VALUE"""),"NÃO PAVIMENTADA")</f>
        <v>NÃO PAVIMENTADA</v>
      </c>
      <c r="I1036" s="6" t="str">
        <f>IFERROR(__xludf.DUMMYFUNCTION("""COMPUTED_VALUE"""),"-9.596322")</f>
        <v>-9.596322</v>
      </c>
      <c r="J1036" s="6" t="str">
        <f>IFERROR(__xludf.DUMMYFUNCTION("""COMPUTED_VALUE"""),"-35.758607")</f>
        <v>-35.758607</v>
      </c>
      <c r="K1036" s="5" t="str">
        <f>IFERROR(__xludf.DUMMYFUNCTION("""COMPUTED_VALUE"""),"AVENIDA SEBASTIÃO CORREIA  DA ROCHA")</f>
        <v>AVENIDA SEBASTIÃO CORREIA  DA ROCHA</v>
      </c>
      <c r="L1036" s="5" t="str">
        <f>IFERROR(__xludf.DUMMYFUNCTION("""COMPUTED_VALUE"""),"COLETORA")</f>
        <v>COLETORA</v>
      </c>
      <c r="M1036" s="5" t="str">
        <f>IFERROR(__xludf.DUMMYFUNCTION("""COMPUTED_VALUE"""),"PETRÓPOLIS ")</f>
        <v>PETRÓPOLIS </v>
      </c>
      <c r="N1036" s="5"/>
      <c r="O1036" s="5" t="str">
        <f>IFERROR(__xludf.DUMMYFUNCTION("""COMPUTED_VALUE"""),"EM FRENTE AO ATELIER CANTINHO DA COSTURA")</f>
        <v>EM FRENTE AO ATELIER CANTINHO DA COSTURA</v>
      </c>
      <c r="P1036" s="5" t="str">
        <f>IFERROR(__xludf.DUMMYFUNCTION("""COMPUTED_VALUE"""),"PRIORIDADE BAIXA")</f>
        <v>PRIORIDADE BAIXA</v>
      </c>
      <c r="Q1036" s="5"/>
      <c r="R1036" s="5" t="str">
        <f>IFERROR(__xludf.DUMMYFUNCTION("""COMPUTED_VALUE"""),"SUBSTITUIR ABRIGO")</f>
        <v>SUBSTITUIR ABRIGO</v>
      </c>
      <c r="S1036" s="5"/>
      <c r="T1036" s="5"/>
      <c r="U1036" s="5"/>
      <c r="V1036" s="9" t="str">
        <f>IFERROR(__xludf.DUMMYFUNCTION("""COMPUTED_VALUE"""),"https://drive.google.com/uc?id=10-xQjE_F0AU7JI7budoVod7r5tkKjzit")</f>
        <v>https://drive.google.com/uc?id=10-xQjE_F0AU7JI7budoVod7r5tkKjzit</v>
      </c>
      <c r="W1036" s="5" t="str">
        <f>IFERROR(__xludf.DUMMYFUNCTION("""COMPUTED_VALUE"""),"NÃO")</f>
        <v>NÃO</v>
      </c>
      <c r="X1036" s="5" t="str">
        <f>IFERROR(__xludf.DUMMYFUNCTION("""COMPUTED_VALUE"""),"NÃO SE APLICA")</f>
        <v>NÃO SE APLICA</v>
      </c>
    </row>
    <row r="1037" hidden="1">
      <c r="A1037" s="5">
        <f>IFERROR(__xludf.DUMMYFUNCTION("""COMPUTED_VALUE"""),4.0)</f>
        <v>4</v>
      </c>
      <c r="B1037" s="5" t="str">
        <f>IFERROR(__xludf.DUMMYFUNCTION("""COMPUTED_VALUE"""),"PT049")</f>
        <v>PT049</v>
      </c>
      <c r="C1037" s="5" t="str">
        <f>IFERROR(__xludf.DUMMYFUNCTION("""COMPUTED_VALUE"""),"NÃO POSSUI")</f>
        <v>NÃO POSSUI</v>
      </c>
      <c r="D1037" s="5" t="str">
        <f>IFERROR(__xludf.DUMMYFUNCTION("""COMPUTED_VALUE"""),"FIXADA EM POSTE")</f>
        <v>FIXADA EM POSTE</v>
      </c>
      <c r="E1037" s="5" t="str">
        <f>IFERROR(__xludf.DUMMYFUNCTION("""COMPUTED_VALUE"""),"SEM BAIA")</f>
        <v>SEM BAIA</v>
      </c>
      <c r="F1037" s="5" t="str">
        <f>IFERROR(__xludf.DUMMYFUNCTION("""COMPUTED_VALUE"""),"NÃO")</f>
        <v>NÃO</v>
      </c>
      <c r="G1037" s="5" t="str">
        <f>IFERROR(__xludf.DUMMYFUNCTION("""COMPUTED_VALUE"""),"NÃO")</f>
        <v>NÃO</v>
      </c>
      <c r="H1037" s="5" t="str">
        <f>IFERROR(__xludf.DUMMYFUNCTION("""COMPUTED_VALUE"""),"PAVIMENTADA")</f>
        <v>PAVIMENTADA</v>
      </c>
      <c r="I1037" s="6" t="str">
        <f>IFERROR(__xludf.DUMMYFUNCTION("""COMPUTED_VALUE"""),"-9.601800")</f>
        <v>-9.601800</v>
      </c>
      <c r="J1037" s="6" t="str">
        <f>IFERROR(__xludf.DUMMYFUNCTION("""COMPUTED_VALUE"""),"-35.758122")</f>
        <v>-35.758122</v>
      </c>
      <c r="K1037" s="5" t="str">
        <f>IFERROR(__xludf.DUMMYFUNCTION("""COMPUTED_VALUE"""),"AVENIDA GALBA NOVAES DE CASTRO")</f>
        <v>AVENIDA GALBA NOVAES DE CASTRO</v>
      </c>
      <c r="L1037" s="5" t="str">
        <f>IFERROR(__xludf.DUMMYFUNCTION("""COMPUTED_VALUE"""),"COLETORA")</f>
        <v>COLETORA</v>
      </c>
      <c r="M1037" s="5" t="str">
        <f>IFERROR(__xludf.DUMMYFUNCTION("""COMPUTED_VALUE"""),"PETRÓPOLIS ")</f>
        <v>PETRÓPOLIS </v>
      </c>
      <c r="N1037" s="5"/>
      <c r="O1037" s="5" t="str">
        <f>IFERROR(__xludf.DUMMYFUNCTION("""COMPUTED_VALUE"""),"EM FRENTE A CARDOSO ELÉTRICO ")</f>
        <v>EM FRENTE A CARDOSO ELÉTRICO </v>
      </c>
      <c r="P1037" s="5" t="str">
        <f>IFERROR(__xludf.DUMMYFUNCTION("""COMPUTED_VALUE"""),"PRIORIDADE BAIXA")</f>
        <v>PRIORIDADE BAIXA</v>
      </c>
      <c r="Q1037" s="5"/>
      <c r="R1037" s="5" t="str">
        <f>IFERROR(__xludf.DUMMYFUNCTION("""COMPUTED_VALUE"""),"NENHUMA DAS OPÇÕES")</f>
        <v>NENHUMA DAS OPÇÕES</v>
      </c>
      <c r="S1037" s="5"/>
      <c r="T1037" s="5"/>
      <c r="U1037" s="5"/>
      <c r="V1037" s="9" t="str">
        <f>IFERROR(__xludf.DUMMYFUNCTION("""COMPUTED_VALUE"""),"https://drive.google.com/uc?id=1enT71Wo8iXlDHVWl2jpZMgEUd7LL6Mkf")</f>
        <v>https://drive.google.com/uc?id=1enT71Wo8iXlDHVWl2jpZMgEUd7LL6Mkf</v>
      </c>
      <c r="W1037" s="5" t="str">
        <f>IFERROR(__xludf.DUMMYFUNCTION("""COMPUTED_VALUE"""),"NÃO")</f>
        <v>NÃO</v>
      </c>
      <c r="X1037" s="5" t="str">
        <f>IFERROR(__xludf.DUMMYFUNCTION("""COMPUTED_VALUE"""),"NÃO SE APLICA")</f>
        <v>NÃO SE APLICA</v>
      </c>
    </row>
    <row r="1038" hidden="1">
      <c r="A1038" s="5">
        <f>IFERROR(__xludf.DUMMYFUNCTION("""COMPUTED_VALUE"""),4.0)</f>
        <v>4</v>
      </c>
      <c r="B1038" s="5" t="str">
        <f>IFERROR(__xludf.DUMMYFUNCTION("""COMPUTED_VALUE"""),"PT050")</f>
        <v>PT050</v>
      </c>
      <c r="C1038" s="5" t="str">
        <f>IFERROR(__xludf.DUMMYFUNCTION("""COMPUTED_VALUE"""),"NÃO POSSUI")</f>
        <v>NÃO POSSUI</v>
      </c>
      <c r="D1038" s="5" t="str">
        <f>IFERROR(__xludf.DUMMYFUNCTION("""COMPUTED_VALUE"""),"COM SUPORTE")</f>
        <v>COM SUPORTE</v>
      </c>
      <c r="E1038" s="5" t="str">
        <f>IFERROR(__xludf.DUMMYFUNCTION("""COMPUTED_VALUE"""),"SEM BAIA")</f>
        <v>SEM BAIA</v>
      </c>
      <c r="F1038" s="5" t="str">
        <f>IFERROR(__xludf.DUMMYFUNCTION("""COMPUTED_VALUE"""),"NÃO")</f>
        <v>NÃO</v>
      </c>
      <c r="G1038" s="5" t="str">
        <f>IFERROR(__xludf.DUMMYFUNCTION("""COMPUTED_VALUE"""),"NÃO")</f>
        <v>NÃO</v>
      </c>
      <c r="H1038" s="5" t="str">
        <f>IFERROR(__xludf.DUMMYFUNCTION("""COMPUTED_VALUE"""),"PAVIMENTADA")</f>
        <v>PAVIMENTADA</v>
      </c>
      <c r="I1038" s="6" t="str">
        <f>IFERROR(__xludf.DUMMYFUNCTION("""COMPUTED_VALUE"""),"-9.594733")</f>
        <v>-9.594733</v>
      </c>
      <c r="J1038" s="6" t="str">
        <f>IFERROR(__xludf.DUMMYFUNCTION("""COMPUTED_VALUE"""),"-35.759765")</f>
        <v>-35.759765</v>
      </c>
      <c r="K1038" s="5" t="str">
        <f>IFERROR(__xludf.DUMMYFUNCTION("""COMPUTED_VALUE"""),"AVENIDA SEBASTIÃO CORREIA  DA ROCHA")</f>
        <v>AVENIDA SEBASTIÃO CORREIA  DA ROCHA</v>
      </c>
      <c r="L1038" s="5" t="str">
        <f>IFERROR(__xludf.DUMMYFUNCTION("""COMPUTED_VALUE"""),"COLETORA")</f>
        <v>COLETORA</v>
      </c>
      <c r="M1038" s="5" t="str">
        <f>IFERROR(__xludf.DUMMYFUNCTION("""COMPUTED_VALUE"""),"PETRÓPOLIS ")</f>
        <v>PETRÓPOLIS </v>
      </c>
      <c r="N1038" s="5"/>
      <c r="O1038" s="5" t="str">
        <f>IFERROR(__xludf.DUMMYFUNCTION("""COMPUTED_VALUE"""),"RESIDENCIAL GERMANO SANTOS")</f>
        <v>RESIDENCIAL GERMANO SANTOS</v>
      </c>
      <c r="P1038" s="5" t="str">
        <f>IFERROR(__xludf.DUMMYFUNCTION("""COMPUTED_VALUE"""),"PRIORIDADE BAIXA")</f>
        <v>PRIORIDADE BAIXA</v>
      </c>
      <c r="Q1038" s="5"/>
      <c r="R1038" s="5" t="str">
        <f>IFERROR(__xludf.DUMMYFUNCTION("""COMPUTED_VALUE"""),"IMPLANTAR ABRIGO")</f>
        <v>IMPLANTAR ABRIGO</v>
      </c>
      <c r="S1038" s="5"/>
      <c r="T1038" s="5"/>
      <c r="U1038" s="5"/>
      <c r="V1038" s="9" t="str">
        <f>IFERROR(__xludf.DUMMYFUNCTION("""COMPUTED_VALUE"""),"https://drive.google.com/uc?id=19kJAF7oMYT_SkR192z-9nEdAy4nwVRLa")</f>
        <v>https://drive.google.com/uc?id=19kJAF7oMYT_SkR192z-9nEdAy4nwVRLa</v>
      </c>
      <c r="W1038" s="5" t="str">
        <f>IFERROR(__xludf.DUMMYFUNCTION("""COMPUTED_VALUE"""),"NÃO")</f>
        <v>NÃO</v>
      </c>
      <c r="X1038" s="5" t="str">
        <f>IFERROR(__xludf.DUMMYFUNCTION("""COMPUTED_VALUE"""),"NÃO SE APLICA")</f>
        <v>NÃO SE APLICA</v>
      </c>
    </row>
    <row r="1039" hidden="1">
      <c r="A1039" s="5">
        <f>IFERROR(__xludf.DUMMYFUNCTION("""COMPUTED_VALUE"""),4.0)</f>
        <v>4</v>
      </c>
      <c r="B1039" s="5" t="str">
        <f>IFERROR(__xludf.DUMMYFUNCTION("""COMPUTED_VALUE"""),"PT051")</f>
        <v>PT051</v>
      </c>
      <c r="C1039" s="5" t="str">
        <f>IFERROR(__xludf.DUMMYFUNCTION("""COMPUTED_VALUE"""),"NÃO POSSUI")</f>
        <v>NÃO POSSUI</v>
      </c>
      <c r="D1039" s="5" t="str">
        <f>IFERROR(__xludf.DUMMYFUNCTION("""COMPUTED_VALUE"""),"COM SUPORTE")</f>
        <v>COM SUPORTE</v>
      </c>
      <c r="E1039" s="5" t="str">
        <f>IFERROR(__xludf.DUMMYFUNCTION("""COMPUTED_VALUE"""),"SEM BAIA")</f>
        <v>SEM BAIA</v>
      </c>
      <c r="F1039" s="5" t="str">
        <f>IFERROR(__xludf.DUMMYFUNCTION("""COMPUTED_VALUE"""),"NÃO")</f>
        <v>NÃO</v>
      </c>
      <c r="G1039" s="5" t="str">
        <f>IFERROR(__xludf.DUMMYFUNCTION("""COMPUTED_VALUE"""),"NÃO")</f>
        <v>NÃO</v>
      </c>
      <c r="H1039" s="5" t="str">
        <f>IFERROR(__xludf.DUMMYFUNCTION("""COMPUTED_VALUE"""),"NÃO PAVIMENTADA")</f>
        <v>NÃO PAVIMENTADA</v>
      </c>
      <c r="I1039" s="6" t="str">
        <f>IFERROR(__xludf.DUMMYFUNCTION("""COMPUTED_VALUE"""),"-9.602009")</f>
        <v>-9.602009</v>
      </c>
      <c r="J1039" s="6" t="str">
        <f>IFERROR(__xludf.DUMMYFUNCTION("""COMPUTED_VALUE"""),"-35.754198")</f>
        <v>-35.754198</v>
      </c>
      <c r="K1039" s="5" t="str">
        <f>IFERROR(__xludf.DUMMYFUNCTION("""COMPUTED_VALUE"""),"VIA DE ACESSO AOS RESIDENCIAIS AOS PARQUE PETRÓPOLIS")</f>
        <v>VIA DE ACESSO AOS RESIDENCIAIS AOS PARQUE PETRÓPOLIS</v>
      </c>
      <c r="L1039" s="5" t="str">
        <f>IFERROR(__xludf.DUMMYFUNCTION("""COMPUTED_VALUE"""),"LOCAL")</f>
        <v>LOCAL</v>
      </c>
      <c r="M1039" s="5" t="str">
        <f>IFERROR(__xludf.DUMMYFUNCTION("""COMPUTED_VALUE"""),"PETRÓPOLIS ")</f>
        <v>PETRÓPOLIS </v>
      </c>
      <c r="N1039" s="5"/>
      <c r="O1039" s="5" t="str">
        <f>IFERROR(__xludf.DUMMYFUNCTION("""COMPUTED_VALUE"""),"RESIDENCIAIS AOS PARQUE PETRÓPOLIS")</f>
        <v>RESIDENCIAIS AOS PARQUE PETRÓPOLIS</v>
      </c>
      <c r="P1039" s="5" t="str">
        <f>IFERROR(__xludf.DUMMYFUNCTION("""COMPUTED_VALUE"""),"PRIORIDADE BAIXA")</f>
        <v>PRIORIDADE BAIXA</v>
      </c>
      <c r="Q1039" s="5"/>
      <c r="R1039" s="5" t="str">
        <f>IFERROR(__xludf.DUMMYFUNCTION("""COMPUTED_VALUE"""),"IMPLANTAR ABRIGO")</f>
        <v>IMPLANTAR ABRIGO</v>
      </c>
      <c r="S1039" s="5"/>
      <c r="T1039" s="5"/>
      <c r="U1039" s="5"/>
      <c r="V1039" s="9" t="str">
        <f>IFERROR(__xludf.DUMMYFUNCTION("""COMPUTED_VALUE"""),"https://drive.google.com/uc?id=1wgyzkgt1z-16SUTZAY_ULxxf8rBalKdH/")</f>
        <v>https://drive.google.com/uc?id=1wgyzkgt1z-16SUTZAY_ULxxf8rBalKdH/</v>
      </c>
      <c r="W1039" s="5" t="str">
        <f>IFERROR(__xludf.DUMMYFUNCTION("""COMPUTED_VALUE"""),"NÃO")</f>
        <v>NÃO</v>
      </c>
      <c r="X1039" s="5" t="str">
        <f>IFERROR(__xludf.DUMMYFUNCTION("""COMPUTED_VALUE"""),"NÃO SE APLICA")</f>
        <v>NÃO SE APLICA</v>
      </c>
    </row>
    <row r="1040" hidden="1">
      <c r="A1040" s="5">
        <f>IFERROR(__xludf.DUMMYFUNCTION("""COMPUTED_VALUE"""),4.0)</f>
        <v>4</v>
      </c>
      <c r="B1040" s="5" t="str">
        <f>IFERROR(__xludf.DUMMYFUNCTION("""COMPUTED_VALUE"""),"PT052")</f>
        <v>PT052</v>
      </c>
      <c r="C1040" s="5" t="str">
        <f>IFERROR(__xludf.DUMMYFUNCTION("""COMPUTED_VALUE"""),"NÃO POSSUI")</f>
        <v>NÃO POSSUI</v>
      </c>
      <c r="D1040" s="5" t="str">
        <f>IFERROR(__xludf.DUMMYFUNCTION("""COMPUTED_VALUE"""),"COM SUPORTE")</f>
        <v>COM SUPORTE</v>
      </c>
      <c r="E1040" s="5" t="str">
        <f>IFERROR(__xludf.DUMMYFUNCTION("""COMPUTED_VALUE"""),"SEM BAIA")</f>
        <v>SEM BAIA</v>
      </c>
      <c r="F1040" s="5" t="str">
        <f>IFERROR(__xludf.DUMMYFUNCTION("""COMPUTED_VALUE"""),"NÃO")</f>
        <v>NÃO</v>
      </c>
      <c r="G1040" s="5" t="str">
        <f>IFERROR(__xludf.DUMMYFUNCTION("""COMPUTED_VALUE"""),"NÃO")</f>
        <v>NÃO</v>
      </c>
      <c r="H1040" s="5" t="str">
        <f>IFERROR(__xludf.DUMMYFUNCTION("""COMPUTED_VALUE"""),"NÃO PAVIMENTADA")</f>
        <v>NÃO PAVIMENTADA</v>
      </c>
      <c r="I1040" s="6" t="str">
        <f>IFERROR(__xludf.DUMMYFUNCTION("""COMPUTED_VALUE"""),"-9.602009")</f>
        <v>-9.602009</v>
      </c>
      <c r="J1040" s="6" t="str">
        <f>IFERROR(__xludf.DUMMYFUNCTION("""COMPUTED_VALUE"""),"-35.754198")</f>
        <v>-35.754198</v>
      </c>
      <c r="K1040" s="5" t="str">
        <f>IFERROR(__xludf.DUMMYFUNCTION("""COMPUTED_VALUE"""),"VIA DE ACESSO AOS RESIDENCIAIS AOS PARQUE PETRÓPOLIS")</f>
        <v>VIA DE ACESSO AOS RESIDENCIAIS AOS PARQUE PETRÓPOLIS</v>
      </c>
      <c r="L1040" s="5" t="str">
        <f>IFERROR(__xludf.DUMMYFUNCTION("""COMPUTED_VALUE"""),"LOCAL")</f>
        <v>LOCAL</v>
      </c>
      <c r="M1040" s="5" t="str">
        <f>IFERROR(__xludf.DUMMYFUNCTION("""COMPUTED_VALUE"""),"PETRÓPOLIS ")</f>
        <v>PETRÓPOLIS </v>
      </c>
      <c r="N1040" s="5"/>
      <c r="O1040" s="5" t="str">
        <f>IFERROR(__xludf.DUMMYFUNCTION("""COMPUTED_VALUE"""),"RESIDENCIAIS AOS PARQUE PETRÓPOLIS")</f>
        <v>RESIDENCIAIS AOS PARQUE PETRÓPOLIS</v>
      </c>
      <c r="P1040" s="5" t="str">
        <f>IFERROR(__xludf.DUMMYFUNCTION("""COMPUTED_VALUE"""),"PRIORIDADE BAIXA")</f>
        <v>PRIORIDADE BAIXA</v>
      </c>
      <c r="Q1040" s="5"/>
      <c r="R1040" s="5" t="str">
        <f>IFERROR(__xludf.DUMMYFUNCTION("""COMPUTED_VALUE"""),"IMPLANTAR ABRIGO")</f>
        <v>IMPLANTAR ABRIGO</v>
      </c>
      <c r="S1040" s="5"/>
      <c r="T1040" s="5"/>
      <c r="U1040" s="5"/>
      <c r="V1040" s="9" t="str">
        <f>IFERROR(__xludf.DUMMYFUNCTION("""COMPUTED_VALUE"""),"https://drive.google.com/uc?id=1I873HBLo9QMjl1b-43n7seWDwNJwBvGB/")</f>
        <v>https://drive.google.com/uc?id=1I873HBLo9QMjl1b-43n7seWDwNJwBvGB/</v>
      </c>
      <c r="W1040" s="5" t="str">
        <f>IFERROR(__xludf.DUMMYFUNCTION("""COMPUTED_VALUE"""),"NÃO")</f>
        <v>NÃO</v>
      </c>
      <c r="X1040" s="5" t="str">
        <f>IFERROR(__xludf.DUMMYFUNCTION("""COMPUTED_VALUE"""),"NÃO SE APLICA")</f>
        <v>NÃO SE APLICA</v>
      </c>
    </row>
    <row r="1041">
      <c r="A1041" s="5">
        <f>IFERROR(__xludf.DUMMYFUNCTION("""COMPUTED_VALUE"""),4.0)</f>
        <v>4</v>
      </c>
      <c r="B1041" s="5" t="str">
        <f>IFERROR(__xludf.DUMMYFUNCTION("""COMPUTED_VALUE"""),"PT053")</f>
        <v>PT053</v>
      </c>
      <c r="C1041" s="5" t="str">
        <f>IFERROR(__xludf.DUMMYFUNCTION("""COMPUTED_VALUE"""),"ABRIGO METÁLICO PEQUENO PORTE")</f>
        <v>ABRIGO METÁLICO PEQUENO PORTE</v>
      </c>
      <c r="D1041" s="5" t="str">
        <f>IFERROR(__xludf.DUMMYFUNCTION("""COMPUTED_VALUE"""),"COM SUPORTE")</f>
        <v>COM SUPORTE</v>
      </c>
      <c r="E1041" s="5" t="str">
        <f>IFERROR(__xludf.DUMMYFUNCTION("""COMPUTED_VALUE"""),"SEM BAIA")</f>
        <v>SEM BAIA</v>
      </c>
      <c r="F1041" s="5" t="str">
        <f>IFERROR(__xludf.DUMMYFUNCTION("""COMPUTED_VALUE"""),"NÃO")</f>
        <v>NÃO</v>
      </c>
      <c r="G1041" s="5" t="str">
        <f>IFERROR(__xludf.DUMMYFUNCTION("""COMPUTED_VALUE"""),"NÃO")</f>
        <v>NÃO</v>
      </c>
      <c r="H1041" s="5" t="str">
        <f>IFERROR(__xludf.DUMMYFUNCTION("""COMPUTED_VALUE"""),"PAVIMENTADA COM AVARIAS")</f>
        <v>PAVIMENTADA COM AVARIAS</v>
      </c>
      <c r="I1041" s="6" t="str">
        <f>IFERROR(__xludf.DUMMYFUNCTION("""COMPUTED_VALUE"""),"-9.601188")</f>
        <v>-9.601188</v>
      </c>
      <c r="J1041" s="6" t="str">
        <f>IFERROR(__xludf.DUMMYFUNCTION("""COMPUTED_VALUE"""),"-35.748591")</f>
        <v>-35.748591</v>
      </c>
      <c r="K1041" s="5" t="str">
        <f>IFERROR(__xludf.DUMMYFUNCTION("""COMPUTED_VALUE"""),"AV. DURVAL DE GÓES MONTEIRO")</f>
        <v>AV. DURVAL DE GÓES MONTEIRO</v>
      </c>
      <c r="L1041" s="5" t="str">
        <f>IFERROR(__xludf.DUMMYFUNCTION("""COMPUTED_VALUE"""),"ARTERIAL ")</f>
        <v>ARTERIAL </v>
      </c>
      <c r="M1041" s="5" t="str">
        <f>IFERROR(__xludf.DUMMYFUNCTION("""COMPUTED_VALUE"""),"PETRÓPOLIS ")</f>
        <v>PETRÓPOLIS </v>
      </c>
      <c r="N1041" s="5"/>
      <c r="O1041" s="5" t="str">
        <f>IFERROR(__xludf.DUMMYFUNCTION("""COMPUTED_VALUE"""),"LADO OPOSTO A FUNASA")</f>
        <v>LADO OPOSTO A FUNASA</v>
      </c>
      <c r="P1041" s="5" t="str">
        <f>IFERROR(__xludf.DUMMYFUNCTION("""COMPUTED_VALUE"""),"PRIORIDADE BAIXA")</f>
        <v>PRIORIDADE BAIXA</v>
      </c>
      <c r="Q1041" s="5"/>
      <c r="R1041" s="5" t="str">
        <f>IFERROR(__xludf.DUMMYFUNCTION("""COMPUTED_VALUE"""),"IMPLANTAR ABRIGO")</f>
        <v>IMPLANTAR ABRIGO</v>
      </c>
      <c r="S1041" s="5"/>
      <c r="T1041" s="5"/>
      <c r="U1041" s="5"/>
      <c r="V1041" s="9" t="str">
        <f>IFERROR(__xludf.DUMMYFUNCTION("""COMPUTED_VALUE"""),"https://drive.google.com/uc?id=1FNVkAbbqBByHPV447xsBLQm-DjpNFYQA")</f>
        <v>https://drive.google.com/uc?id=1FNVkAbbqBByHPV447xsBLQm-DjpNFYQA</v>
      </c>
      <c r="W1041" s="5" t="str">
        <f>IFERROR(__xludf.DUMMYFUNCTION("""COMPUTED_VALUE"""),"NÃO")</f>
        <v>NÃO</v>
      </c>
      <c r="X1041" s="5" t="str">
        <f>IFERROR(__xludf.DUMMYFUNCTION("""COMPUTED_VALUE"""),"NÃO")</f>
        <v>NÃO</v>
      </c>
    </row>
    <row r="1042">
      <c r="A1042" s="5">
        <f>IFERROR(__xludf.DUMMYFUNCTION("""COMPUTED_VALUE"""),4.0)</f>
        <v>4</v>
      </c>
      <c r="B1042" s="5" t="str">
        <f>IFERROR(__xludf.DUMMYFUNCTION("""COMPUTED_VALUE"""),"PT054")</f>
        <v>PT054</v>
      </c>
      <c r="C1042" s="5" t="str">
        <f>IFERROR(__xludf.DUMMYFUNCTION("""COMPUTED_VALUE"""),"ABRIGO METÁLICO PEQUENO PORTE")</f>
        <v>ABRIGO METÁLICO PEQUENO PORTE</v>
      </c>
      <c r="D1042" s="5" t="str">
        <f>IFERROR(__xludf.DUMMYFUNCTION("""COMPUTED_VALUE"""),"SEM PLACA")</f>
        <v>SEM PLACA</v>
      </c>
      <c r="E1042" s="5" t="str">
        <f>IFERROR(__xludf.DUMMYFUNCTION("""COMPUTED_VALUE"""),"SEM BAIA")</f>
        <v>SEM BAIA</v>
      </c>
      <c r="F1042" s="5" t="str">
        <f>IFERROR(__xludf.DUMMYFUNCTION("""COMPUTED_VALUE"""),"NÃO")</f>
        <v>NÃO</v>
      </c>
      <c r="G1042" s="5" t="str">
        <f>IFERROR(__xludf.DUMMYFUNCTION("""COMPUTED_VALUE"""),"NÃO")</f>
        <v>NÃO</v>
      </c>
      <c r="H1042" s="5" t="str">
        <f>IFERROR(__xludf.DUMMYFUNCTION("""COMPUTED_VALUE"""),"PAVIMENTADA")</f>
        <v>PAVIMENTADA</v>
      </c>
      <c r="I1042" s="6" t="str">
        <f>IFERROR(__xludf.DUMMYFUNCTION("""COMPUTED_VALUE"""),"-9.604475")</f>
        <v>-9.604475</v>
      </c>
      <c r="J1042" s="6" t="str">
        <f>IFERROR(__xludf.DUMMYFUNCTION("""COMPUTED_VALUE"""),"-35.743847")</f>
        <v>-35.743847</v>
      </c>
      <c r="K1042" s="5" t="str">
        <f>IFERROR(__xludf.DUMMYFUNCTION("""COMPUTED_VALUE"""),"AV. DURVAL DE GÓES MONTEIRO")</f>
        <v>AV. DURVAL DE GÓES MONTEIRO</v>
      </c>
      <c r="L1042" s="5" t="str">
        <f>IFERROR(__xludf.DUMMYFUNCTION("""COMPUTED_VALUE"""),"ARTERIAL ")</f>
        <v>ARTERIAL </v>
      </c>
      <c r="M1042" s="5" t="str">
        <f>IFERROR(__xludf.DUMMYFUNCTION("""COMPUTED_VALUE"""),"PETRÓPOLIS ")</f>
        <v>PETRÓPOLIS </v>
      </c>
      <c r="N1042" s="5" t="str">
        <f>IFERROR(__xludf.DUMMYFUNCTION("""COMPUTED_VALUE"""),"BAIRRO - CENTRO")</f>
        <v>BAIRRO - CENTRO</v>
      </c>
      <c r="O1042" s="5" t="str">
        <f>IFERROR(__xludf.DUMMYFUNCTION("""COMPUTED_VALUE"""),"LADO OPOSTO A HAVAN")</f>
        <v>LADO OPOSTO A HAVAN</v>
      </c>
      <c r="P1042" s="5" t="str">
        <f>IFERROR(__xludf.DUMMYFUNCTION("""COMPUTED_VALUE"""),"PRIORIDADE BAIXA")</f>
        <v>PRIORIDADE BAIXA</v>
      </c>
      <c r="Q1042" s="5"/>
      <c r="R1042" s="5" t="str">
        <f>IFERROR(__xludf.DUMMYFUNCTION("""COMPUTED_VALUE"""),"IMPLANTAR PLACA COM SUPORTE")</f>
        <v>IMPLANTAR PLACA COM SUPORTE</v>
      </c>
      <c r="S1042" s="5"/>
      <c r="T1042" s="5"/>
      <c r="U1042" s="5"/>
      <c r="V1042" s="9" t="str">
        <f>IFERROR(__xludf.DUMMYFUNCTION("""COMPUTED_VALUE"""),"https://drive.google.com/uc?id=1K7nogTtt5eLWR-RMWBemUEjQBnG-dCm7
")</f>
        <v>https://drive.google.com/uc?id=1K7nogTtt5eLWR-RMWBemUEjQBnG-dCm7
</v>
      </c>
      <c r="W1042" s="5" t="str">
        <f>IFERROR(__xludf.DUMMYFUNCTION("""COMPUTED_VALUE"""),"NÃO")</f>
        <v>NÃO</v>
      </c>
      <c r="X1042" s="5" t="str">
        <f>IFERROR(__xludf.DUMMYFUNCTION("""COMPUTED_VALUE"""),"NÃO")</f>
        <v>NÃO</v>
      </c>
    </row>
    <row r="1043" hidden="1">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row>
    <row r="1044">
      <c r="A1044" s="5">
        <f>IFERROR(__xludf.DUMMYFUNCTION("IMPORTRANGE(""https://docs.google.com/spreadsheets/d/1zsUaGcapKI8nFhFHzkKqQm76kpV8QjqjUiktsuAdmUw/edit#gid=1612802828"", ""RIO NOVO!A3:X16"")"),4.0)</f>
        <v>4</v>
      </c>
      <c r="B1044" s="5" t="str">
        <f>IFERROR(__xludf.DUMMYFUNCTION("""COMPUTED_VALUE"""),"RN001")</f>
        <v>RN001</v>
      </c>
      <c r="C1044" s="5" t="str">
        <f>IFERROR(__xludf.DUMMYFUNCTION("""COMPUTED_VALUE"""),"ABRIGO CONCRETO")</f>
        <v>ABRIGO CONCRETO</v>
      </c>
      <c r="D1044" s="5" t="str">
        <f>IFERROR(__xludf.DUMMYFUNCTION("""COMPUTED_VALUE"""),"SEM PLACA")</f>
        <v>SEM PLACA</v>
      </c>
      <c r="E1044" s="5" t="str">
        <f>IFERROR(__xludf.DUMMYFUNCTION("""COMPUTED_VALUE"""),"SEM BAIA")</f>
        <v>SEM BAIA</v>
      </c>
      <c r="F1044" s="5" t="str">
        <f>IFERROR(__xludf.DUMMYFUNCTION("""COMPUTED_VALUE"""),"NÃO")</f>
        <v>NÃO</v>
      </c>
      <c r="G1044" s="5" t="str">
        <f>IFERROR(__xludf.DUMMYFUNCTION("""COMPUTED_VALUE"""),"NÃO")</f>
        <v>NÃO</v>
      </c>
      <c r="H1044" s="5" t="str">
        <f>IFERROR(__xludf.DUMMYFUNCTION("""COMPUTED_VALUE"""),"PAVIMENTADA")</f>
        <v>PAVIMENTADA</v>
      </c>
      <c r="I1044" s="6" t="str">
        <f>IFERROR(__xludf.DUMMYFUNCTION("""COMPUTED_VALUE"""),"-9.582098")</f>
        <v>-9.582098</v>
      </c>
      <c r="J1044" s="6" t="str">
        <f>IFERROR(__xludf.DUMMYFUNCTION("""COMPUTED_VALUE"""),"-35.801585")</f>
        <v>-35.801585</v>
      </c>
      <c r="K1044" s="5" t="str">
        <f>IFERROR(__xludf.DUMMYFUNCTION("""COMPUTED_VALUE"""),"RUA VEREADOR HERMÍNIO CARDOSO 77")</f>
        <v>RUA VEREADOR HERMÍNIO CARDOSO 77</v>
      </c>
      <c r="L1044" s="5" t="str">
        <f>IFERROR(__xludf.DUMMYFUNCTION("""COMPUTED_VALUE"""),"LOCAL")</f>
        <v>LOCAL</v>
      </c>
      <c r="M1044" s="5" t="str">
        <f>IFERROR(__xludf.DUMMYFUNCTION("""COMPUTED_VALUE"""),"RIO NOVO ")</f>
        <v>RIO NOVO </v>
      </c>
      <c r="N1044" s="5" t="str">
        <f>IFERROR(__xludf.DUMMYFUNCTION("""COMPUTED_VALUE"""),"CENTRO - BAIRRO")</f>
        <v>CENTRO - BAIRRO</v>
      </c>
      <c r="O1044" s="5" t="str">
        <f>IFERROR(__xludf.DUMMYFUNCTION("""COMPUTED_VALUE"""),"EM FRENTE A CASA 50 B ")</f>
        <v>EM FRENTE A CASA 50 B </v>
      </c>
      <c r="P1044" s="5" t="str">
        <f>IFERROR(__xludf.DUMMYFUNCTION("""COMPUTED_VALUE"""),"PRIORIDADE ALTA")</f>
        <v>PRIORIDADE ALTA</v>
      </c>
      <c r="Q1044" s="5" t="str">
        <f>IFERROR(__xludf.DUMMYFUNCTION("""COMPUTED_VALUE"""),"READEQUAÇÃO DE CALÇADA COM ACESSIBILIDADE E PINTURA DE BAÍA NO ASFALTO. ")</f>
        <v>READEQUAÇÃO DE CALÇADA COM ACESSIBILIDADE E PINTURA DE BAÍA NO ASFALTO. </v>
      </c>
      <c r="R1044" s="5" t="str">
        <f>IFERROR(__xludf.DUMMYFUNCTION("""COMPUTED_VALUE"""),"SUBSTITUIR ABRIGO")</f>
        <v>SUBSTITUIR ABRIGO</v>
      </c>
      <c r="S1044" s="7">
        <f>IFERROR(__xludf.DUMMYFUNCTION("""COMPUTED_VALUE"""),44835.0)</f>
        <v>44835</v>
      </c>
      <c r="T1044" s="5" t="str">
        <f>IFERROR(__xludf.DUMMYFUNCTION("""COMPUTED_VALUE"""),"REALIZADO")</f>
        <v>REALIZADO</v>
      </c>
      <c r="U1044" s="7">
        <f>IFERROR(__xludf.DUMMYFUNCTION("""COMPUTED_VALUE"""),44835.0)</f>
        <v>44835</v>
      </c>
      <c r="V1044" s="9" t="str">
        <f>IFERROR(__xludf.DUMMYFUNCTION("""COMPUTED_VALUE"""),"https://drive.google.com/uc?id=1Fe0_bf0Ng4jAkIVfqYgiqaamaN3cN7AB")</f>
        <v>https://drive.google.com/uc?id=1Fe0_bf0Ng4jAkIVfqYgiqaamaN3cN7AB</v>
      </c>
      <c r="W1044" s="5" t="str">
        <f>IFERROR(__xludf.DUMMYFUNCTION("""COMPUTED_VALUE"""),"NÃO")</f>
        <v>NÃO</v>
      </c>
      <c r="X1044" s="5" t="str">
        <f>IFERROR(__xludf.DUMMYFUNCTION("""COMPUTED_VALUE"""),"NÃO SE APLICA")</f>
        <v>NÃO SE APLICA</v>
      </c>
    </row>
    <row r="1045" hidden="1">
      <c r="A1045" s="5">
        <f>IFERROR(__xludf.DUMMYFUNCTION("""COMPUTED_VALUE"""),4.0)</f>
        <v>4</v>
      </c>
      <c r="B1045" s="5" t="str">
        <f>IFERROR(__xludf.DUMMYFUNCTION("""COMPUTED_VALUE"""),"RN002")</f>
        <v>RN002</v>
      </c>
      <c r="C1045" s="5" t="str">
        <f>IFERROR(__xludf.DUMMYFUNCTION("""COMPUTED_VALUE"""),"NÃO POSSUI")</f>
        <v>NÃO POSSUI</v>
      </c>
      <c r="D1045" s="5" t="str">
        <f>IFERROR(__xludf.DUMMYFUNCTION("""COMPUTED_VALUE"""),"COM SUPORTE")</f>
        <v>COM SUPORTE</v>
      </c>
      <c r="E1045" s="5" t="str">
        <f>IFERROR(__xludf.DUMMYFUNCTION("""COMPUTED_VALUE"""),"SEM BAIA")</f>
        <v>SEM BAIA</v>
      </c>
      <c r="F1045" s="5" t="str">
        <f>IFERROR(__xludf.DUMMYFUNCTION("""COMPUTED_VALUE"""),"NÃO")</f>
        <v>NÃO</v>
      </c>
      <c r="G1045" s="5" t="str">
        <f>IFERROR(__xludf.DUMMYFUNCTION("""COMPUTED_VALUE"""),"NÃO")</f>
        <v>NÃO</v>
      </c>
      <c r="H1045" s="5" t="str">
        <f>IFERROR(__xludf.DUMMYFUNCTION("""COMPUTED_VALUE"""),"NÃO PAVIMENTADA")</f>
        <v>NÃO PAVIMENTADA</v>
      </c>
      <c r="I1045" s="6" t="str">
        <f>IFERROR(__xludf.DUMMYFUNCTION("""COMPUTED_VALUE"""),"-9.582132")</f>
        <v>-9.582132</v>
      </c>
      <c r="J1045" s="6" t="str">
        <f>IFERROR(__xludf.DUMMYFUNCTION("""COMPUTED_VALUE"""),"-35.801657")</f>
        <v>-35.801657</v>
      </c>
      <c r="K1045" s="5" t="str">
        <f>IFERROR(__xludf.DUMMYFUNCTION("""COMPUTED_VALUE"""),"AV. VALDEMAR RUFINO DOS SANTOS 242")</f>
        <v>AV. VALDEMAR RUFINO DOS SANTOS 242</v>
      </c>
      <c r="L1045" s="5" t="str">
        <f>IFERROR(__xludf.DUMMYFUNCTION("""COMPUTED_VALUE"""),"LOCAL")</f>
        <v>LOCAL</v>
      </c>
      <c r="M1045" s="5" t="str">
        <f>IFERROR(__xludf.DUMMYFUNCTION("""COMPUTED_VALUE"""),"RIO NOVO ")</f>
        <v>RIO NOVO </v>
      </c>
      <c r="N1045" s="5" t="str">
        <f>IFERROR(__xludf.DUMMYFUNCTION("""COMPUTED_VALUE"""),"BAIRRO - CENTRO")</f>
        <v>BAIRRO - CENTRO</v>
      </c>
      <c r="O1045" s="5" t="str">
        <f>IFERROR(__xludf.DUMMYFUNCTION("""COMPUTED_VALUE"""),"PRÓXIMO AO ABRIGO DE CONCRETO, PRÓXIMO À CASA 50 B")</f>
        <v>PRÓXIMO AO ABRIGO DE CONCRETO, PRÓXIMO À CASA 50 B</v>
      </c>
      <c r="P1045" s="5" t="str">
        <f>IFERROR(__xludf.DUMMYFUNCTION("""COMPUTED_VALUE"""),"PRIORIDADE MÉDIA")</f>
        <v>PRIORIDADE MÉDIA</v>
      </c>
      <c r="Q1045" s="5" t="str">
        <f>IFERROR(__xludf.DUMMYFUNCTION("""COMPUTED_VALUE"""),"READEQUAÇÃO DE CALÇADA COM ACESSIBILIDADE E PINTURA DE BAÍA NO ASFALTO. ")</f>
        <v>READEQUAÇÃO DE CALÇADA COM ACESSIBILIDADE E PINTURA DE BAÍA NO ASFALTO. </v>
      </c>
      <c r="R1045" s="5" t="str">
        <f>IFERROR(__xludf.DUMMYFUNCTION("""COMPUTED_VALUE"""),"NENHUMA DAS OPÇÕES")</f>
        <v>NENHUMA DAS OPÇÕES</v>
      </c>
      <c r="S1045" s="7">
        <f>IFERROR(__xludf.DUMMYFUNCTION("""COMPUTED_VALUE"""),44836.0)</f>
        <v>44836</v>
      </c>
      <c r="T1045" s="5" t="str">
        <f>IFERROR(__xludf.DUMMYFUNCTION("""COMPUTED_VALUE"""),"REALIZADO")</f>
        <v>REALIZADO</v>
      </c>
      <c r="U1045" s="7">
        <f>IFERROR(__xludf.DUMMYFUNCTION("""COMPUTED_VALUE"""),44960.0)</f>
        <v>44960</v>
      </c>
      <c r="V1045" s="9" t="str">
        <f>IFERROR(__xludf.DUMMYFUNCTION("""COMPUTED_VALUE"""),"https://drive.google.com/uc?id=1ZANha_RNvV-T9xoHCk5YCb_2F__D-hOh/")</f>
        <v>https://drive.google.com/uc?id=1ZANha_RNvV-T9xoHCk5YCb_2F__D-hOh/</v>
      </c>
      <c r="W1045" s="5" t="str">
        <f>IFERROR(__xludf.DUMMYFUNCTION("""COMPUTED_VALUE"""),"NÃO")</f>
        <v>NÃO</v>
      </c>
      <c r="X1045" s="5" t="str">
        <f>IFERROR(__xludf.DUMMYFUNCTION("""COMPUTED_VALUE"""),"NÃO SE APLICA")</f>
        <v>NÃO SE APLICA</v>
      </c>
    </row>
    <row r="1046" hidden="1">
      <c r="A1046" s="5">
        <f>IFERROR(__xludf.DUMMYFUNCTION("""COMPUTED_VALUE"""),4.0)</f>
        <v>4</v>
      </c>
      <c r="B1046" s="5" t="str">
        <f>IFERROR(__xludf.DUMMYFUNCTION("""COMPUTED_VALUE"""),"RN003")</f>
        <v>RN003</v>
      </c>
      <c r="C1046" s="5" t="str">
        <f>IFERROR(__xludf.DUMMYFUNCTION("""COMPUTED_VALUE"""),"NÃO POSSUI")</f>
        <v>NÃO POSSUI</v>
      </c>
      <c r="D1046" s="5" t="str">
        <f>IFERROR(__xludf.DUMMYFUNCTION("""COMPUTED_VALUE"""),"COM SUPORTE")</f>
        <v>COM SUPORTE</v>
      </c>
      <c r="E1046" s="5" t="str">
        <f>IFERROR(__xludf.DUMMYFUNCTION("""COMPUTED_VALUE"""),"SEM BAIA")</f>
        <v>SEM BAIA</v>
      </c>
      <c r="F1046" s="5" t="str">
        <f>IFERROR(__xludf.DUMMYFUNCTION("""COMPUTED_VALUE"""),"NÃO")</f>
        <v>NÃO</v>
      </c>
      <c r="G1046" s="5" t="str">
        <f>IFERROR(__xludf.DUMMYFUNCTION("""COMPUTED_VALUE"""),"NÃO")</f>
        <v>NÃO</v>
      </c>
      <c r="H1046" s="5" t="str">
        <f>IFERROR(__xludf.DUMMYFUNCTION("""COMPUTED_VALUE"""),"NÃO PAVIMENTADA")</f>
        <v>NÃO PAVIMENTADA</v>
      </c>
      <c r="I1046" s="6" t="str">
        <f>IFERROR(__xludf.DUMMYFUNCTION("""COMPUTED_VALUE"""),"-9.581380")</f>
        <v>-9.581380</v>
      </c>
      <c r="J1046" s="6" t="str">
        <f>IFERROR(__xludf.DUMMYFUNCTION("""COMPUTED_VALUE"""),"-35.805057")</f>
        <v>-35.805057</v>
      </c>
      <c r="K1046" s="5" t="str">
        <f>IFERROR(__xludf.DUMMYFUNCTION("""COMPUTED_VALUE"""),"RUA VEREADOR HERMÍNIO CARDOSO 77")</f>
        <v>RUA VEREADOR HERMÍNIO CARDOSO 77</v>
      </c>
      <c r="L1046" s="5" t="str">
        <f>IFERROR(__xludf.DUMMYFUNCTION("""COMPUTED_VALUE"""),"LOCAL")</f>
        <v>LOCAL</v>
      </c>
      <c r="M1046" s="5" t="str">
        <f>IFERROR(__xludf.DUMMYFUNCTION("""COMPUTED_VALUE"""),"RIO NOVO ")</f>
        <v>RIO NOVO </v>
      </c>
      <c r="N1046" s="5" t="str">
        <f>IFERROR(__xludf.DUMMYFUNCTION("""COMPUTED_VALUE"""),"BAIRRO - CENTRO")</f>
        <v>BAIRRO - CENTRO</v>
      </c>
      <c r="O1046" s="5" t="str">
        <f>IFERROR(__xludf.DUMMYFUNCTION("""COMPUTED_VALUE"""),"EM FRENTE A RIO NOVO CONSTRUÇÕES")</f>
        <v>EM FRENTE A RIO NOVO CONSTRUÇÕES</v>
      </c>
      <c r="P1046" s="5" t="str">
        <f>IFERROR(__xludf.DUMMYFUNCTION("""COMPUTED_VALUE"""),"PRIORIDADE MÉDIA")</f>
        <v>PRIORIDADE MÉDIA</v>
      </c>
      <c r="Q1046" s="5" t="str">
        <f>IFERROR(__xludf.DUMMYFUNCTION("""COMPUTED_VALUE"""),"READEQUAÇÃO DE CALÇADA COM ACESSIBILIDADE E PINTURA DE BAÍA NO ASFALTO. INSTALAR PLACA COM SUPORTE.")</f>
        <v>READEQUAÇÃO DE CALÇADA COM ACESSIBILIDADE E PINTURA DE BAÍA NO ASFALTO. INSTALAR PLACA COM SUPORTE.</v>
      </c>
      <c r="R1046" s="5" t="str">
        <f>IFERROR(__xludf.DUMMYFUNCTION("""COMPUTED_VALUE"""),"NENHUMA DAS OPÇÕES")</f>
        <v>NENHUMA DAS OPÇÕES</v>
      </c>
      <c r="S1046" s="7">
        <f>IFERROR(__xludf.DUMMYFUNCTION("""COMPUTED_VALUE"""),44837.0)</f>
        <v>44837</v>
      </c>
      <c r="T1046" s="5" t="str">
        <f>IFERROR(__xludf.DUMMYFUNCTION("""COMPUTED_VALUE"""),"REALIZADO")</f>
        <v>REALIZADO</v>
      </c>
      <c r="U1046" s="7">
        <f>IFERROR(__xludf.DUMMYFUNCTION("""COMPUTED_VALUE"""),44960.0)</f>
        <v>44960</v>
      </c>
      <c r="V1046" s="9" t="str">
        <f>IFERROR(__xludf.DUMMYFUNCTION("""COMPUTED_VALUE"""),"https://drive.google.com/uc?id=1PIG-zB2ljT8k8wxWCu53qvx4FSNgfQgU/")</f>
        <v>https://drive.google.com/uc?id=1PIG-zB2ljT8k8wxWCu53qvx4FSNgfQgU/</v>
      </c>
      <c r="W1046" s="5" t="str">
        <f>IFERROR(__xludf.DUMMYFUNCTION("""COMPUTED_VALUE"""),"NÃO")</f>
        <v>NÃO</v>
      </c>
      <c r="X1046" s="5" t="str">
        <f>IFERROR(__xludf.DUMMYFUNCTION("""COMPUTED_VALUE"""),"NÃO SE APLICA")</f>
        <v>NÃO SE APLICA</v>
      </c>
    </row>
    <row r="1047" hidden="1">
      <c r="A1047" s="5">
        <f>IFERROR(__xludf.DUMMYFUNCTION("""COMPUTED_VALUE"""),4.0)</f>
        <v>4</v>
      </c>
      <c r="B1047" s="5" t="str">
        <f>IFERROR(__xludf.DUMMYFUNCTION("""COMPUTED_VALUE"""),"RN004")</f>
        <v>RN004</v>
      </c>
      <c r="C1047" s="5" t="str">
        <f>IFERROR(__xludf.DUMMYFUNCTION("""COMPUTED_VALUE"""),"NÃO POSSUI")</f>
        <v>NÃO POSSUI</v>
      </c>
      <c r="D1047" s="5" t="str">
        <f>IFERROR(__xludf.DUMMYFUNCTION("""COMPUTED_VALUE"""),"COM SUPORTE")</f>
        <v>COM SUPORTE</v>
      </c>
      <c r="E1047" s="5" t="str">
        <f>IFERROR(__xludf.DUMMYFUNCTION("""COMPUTED_VALUE"""),"SEM BAIA")</f>
        <v>SEM BAIA</v>
      </c>
      <c r="F1047" s="5" t="str">
        <f>IFERROR(__xludf.DUMMYFUNCTION("""COMPUTED_VALUE"""),"NÃO")</f>
        <v>NÃO</v>
      </c>
      <c r="G1047" s="5" t="str">
        <f>IFERROR(__xludf.DUMMYFUNCTION("""COMPUTED_VALUE"""),"NÃO")</f>
        <v>NÃO</v>
      </c>
      <c r="H1047" s="5" t="str">
        <f>IFERROR(__xludf.DUMMYFUNCTION("""COMPUTED_VALUE"""),"NÃO PAVIMENTADA")</f>
        <v>NÃO PAVIMENTADA</v>
      </c>
      <c r="I1047" s="6" t="str">
        <f>IFERROR(__xludf.DUMMYFUNCTION("""COMPUTED_VALUE"""),"-9.581435")</f>
        <v>-9.581435</v>
      </c>
      <c r="J1047" s="6" t="str">
        <f>IFERROR(__xludf.DUMMYFUNCTION("""COMPUTED_VALUE"""),"-35.804850")</f>
        <v>-35.804850</v>
      </c>
      <c r="K1047" s="5" t="str">
        <f>IFERROR(__xludf.DUMMYFUNCTION("""COMPUTED_VALUE"""),"RUA VEREADOR HERMÍNIO CARDOSO  2412")</f>
        <v>RUA VEREADOR HERMÍNIO CARDOSO  2412</v>
      </c>
      <c r="L1047" s="5" t="str">
        <f>IFERROR(__xludf.DUMMYFUNCTION("""COMPUTED_VALUE"""),"LOCAL")</f>
        <v>LOCAL</v>
      </c>
      <c r="M1047" s="5" t="str">
        <f>IFERROR(__xludf.DUMMYFUNCTION("""COMPUTED_VALUE"""),"RIO NOVO ")</f>
        <v>RIO NOVO </v>
      </c>
      <c r="N1047" s="5" t="str">
        <f>IFERROR(__xludf.DUMMYFUNCTION("""COMPUTED_VALUE"""),"CENTRO - BAIRRO")</f>
        <v>CENTRO - BAIRRO</v>
      </c>
      <c r="O1047" s="5" t="str">
        <f>IFERROR(__xludf.DUMMYFUNCTION("""COMPUTED_VALUE"""),"EM FRENTE A RIO NOVO CONSTRUÇÕES")</f>
        <v>EM FRENTE A RIO NOVO CONSTRUÇÕES</v>
      </c>
      <c r="P1047" s="5" t="str">
        <f>IFERROR(__xludf.DUMMYFUNCTION("""COMPUTED_VALUE"""),"PRIORIDADE ALTA")</f>
        <v>PRIORIDADE ALTA</v>
      </c>
      <c r="Q1047" s="5" t="str">
        <f>IFERROR(__xludf.DUMMYFUNCTION("""COMPUTED_VALUE"""),"READEQUAÇÃO DE CALÇADA COM ACESSIBILIDADE E PINTURA DE BAÍA NO ASFALTO. ")</f>
        <v>READEQUAÇÃO DE CALÇADA COM ACESSIBILIDADE E PINTURA DE BAÍA NO ASFALTO. </v>
      </c>
      <c r="R1047" s="5" t="str">
        <f>IFERROR(__xludf.DUMMYFUNCTION("""COMPUTED_VALUE"""),"IMPLANTAR ABRIGO")</f>
        <v>IMPLANTAR ABRIGO</v>
      </c>
      <c r="S1047" s="7">
        <f>IFERROR(__xludf.DUMMYFUNCTION("""COMPUTED_VALUE"""),44838.0)</f>
        <v>44838</v>
      </c>
      <c r="T1047" s="5" t="str">
        <f>IFERROR(__xludf.DUMMYFUNCTION("""COMPUTED_VALUE"""),"REALIZADO")</f>
        <v>REALIZADO</v>
      </c>
      <c r="U1047" s="7">
        <f>IFERROR(__xludf.DUMMYFUNCTION("""COMPUTED_VALUE"""),44960.0)</f>
        <v>44960</v>
      </c>
      <c r="V1047" s="9" t="str">
        <f>IFERROR(__xludf.DUMMYFUNCTION("""COMPUTED_VALUE"""),"https://drive.google.com/uc?id=1y7Lnvp3EwWZR9unnzKFepASrg4GAHXdo/")</f>
        <v>https://drive.google.com/uc?id=1y7Lnvp3EwWZR9unnzKFepASrg4GAHXdo/</v>
      </c>
      <c r="W1047" s="5" t="str">
        <f>IFERROR(__xludf.DUMMYFUNCTION("""COMPUTED_VALUE"""),"NÃO")</f>
        <v>NÃO</v>
      </c>
      <c r="X1047" s="5" t="str">
        <f>IFERROR(__xludf.DUMMYFUNCTION("""COMPUTED_VALUE"""),"NÃO SE APLICA")</f>
        <v>NÃO SE APLICA</v>
      </c>
    </row>
    <row r="1048">
      <c r="A1048" s="5">
        <f>IFERROR(__xludf.DUMMYFUNCTION("""COMPUTED_VALUE"""),4.0)</f>
        <v>4</v>
      </c>
      <c r="B1048" s="5" t="str">
        <f>IFERROR(__xludf.DUMMYFUNCTION("""COMPUTED_VALUE"""),"RN005")</f>
        <v>RN005</v>
      </c>
      <c r="C1048" s="5" t="str">
        <f>IFERROR(__xludf.DUMMYFUNCTION("""COMPUTED_VALUE"""),"ABRIGO CONCRETO")</f>
        <v>ABRIGO CONCRETO</v>
      </c>
      <c r="D1048" s="5" t="str">
        <f>IFERROR(__xludf.DUMMYFUNCTION("""COMPUTED_VALUE"""),"SEM PLACA")</f>
        <v>SEM PLACA</v>
      </c>
      <c r="E1048" s="5" t="str">
        <f>IFERROR(__xludf.DUMMYFUNCTION("""COMPUTED_VALUE"""),"SEM BAIA")</f>
        <v>SEM BAIA</v>
      </c>
      <c r="F1048" s="5" t="str">
        <f>IFERROR(__xludf.DUMMYFUNCTION("""COMPUTED_VALUE"""),"NÃO")</f>
        <v>NÃO</v>
      </c>
      <c r="G1048" s="5" t="str">
        <f>IFERROR(__xludf.DUMMYFUNCTION("""COMPUTED_VALUE"""),"NÃO")</f>
        <v>NÃO</v>
      </c>
      <c r="H1048" s="5" t="str">
        <f>IFERROR(__xludf.DUMMYFUNCTION("""COMPUTED_VALUE"""),"PAVIMENTADA")</f>
        <v>PAVIMENTADA</v>
      </c>
      <c r="I1048" s="6" t="str">
        <f>IFERROR(__xludf.DUMMYFUNCTION("""COMPUTED_VALUE"""),"-9.580002")</f>
        <v>-9.580002</v>
      </c>
      <c r="J1048" s="6" t="str">
        <f>IFERROR(__xludf.DUMMYFUNCTION("""COMPUTED_VALUE"""),"-35.806032")</f>
        <v>-35.806032</v>
      </c>
      <c r="K1048" s="5" t="str">
        <f>IFERROR(__xludf.DUMMYFUNCTION("""COMPUTED_VALUE"""),"RUA VEREADOR HERMÍNIO CARDOSO")</f>
        <v>RUA VEREADOR HERMÍNIO CARDOSO</v>
      </c>
      <c r="L1048" s="5" t="str">
        <f>IFERROR(__xludf.DUMMYFUNCTION("""COMPUTED_VALUE"""),"LOCAL")</f>
        <v>LOCAL</v>
      </c>
      <c r="M1048" s="5" t="str">
        <f>IFERROR(__xludf.DUMMYFUNCTION("""COMPUTED_VALUE"""),"RIO NOVO ")</f>
        <v>RIO NOVO </v>
      </c>
      <c r="N1048" s="5" t="str">
        <f>IFERROR(__xludf.DUMMYFUNCTION("""COMPUTED_VALUE"""),"CENTRO - BAIRRO")</f>
        <v>CENTRO - BAIRRO</v>
      </c>
      <c r="O1048" s="5" t="str">
        <f>IFERROR(__xludf.DUMMYFUNCTION("""COMPUTED_VALUE"""),"SÍTIO DO BARBOSA ")</f>
        <v>SÍTIO DO BARBOSA </v>
      </c>
      <c r="P1048" s="5" t="str">
        <f>IFERROR(__xludf.DUMMYFUNCTION("""COMPUTED_VALUE"""),"PRIORIDADE ALTA")</f>
        <v>PRIORIDADE ALTA</v>
      </c>
      <c r="Q1048" s="5" t="str">
        <f>IFERROR(__xludf.DUMMYFUNCTION("""COMPUTED_VALUE"""),"READEQUAÇÃO DE CALÇADA COM ACESSIBILIDADE E PINTURA DE BAÍA NO ASFALTO. INSTALAR PLACA COM SUPORTE.")</f>
        <v>READEQUAÇÃO DE CALÇADA COM ACESSIBILIDADE E PINTURA DE BAÍA NO ASFALTO. INSTALAR PLACA COM SUPORTE.</v>
      </c>
      <c r="R1048" s="5" t="str">
        <f>IFERROR(__xludf.DUMMYFUNCTION("""COMPUTED_VALUE"""),"SUBSTITUIR ABRIGO")</f>
        <v>SUBSTITUIR ABRIGO</v>
      </c>
      <c r="S1048" s="7">
        <f>IFERROR(__xludf.DUMMYFUNCTION("""COMPUTED_VALUE"""),44839.0)</f>
        <v>44839</v>
      </c>
      <c r="T1048" s="5" t="str">
        <f>IFERROR(__xludf.DUMMYFUNCTION("""COMPUTED_VALUE"""),"REALIZADO")</f>
        <v>REALIZADO</v>
      </c>
      <c r="U1048" s="7">
        <f>IFERROR(__xludf.DUMMYFUNCTION("""COMPUTED_VALUE"""),44839.0)</f>
        <v>44839</v>
      </c>
      <c r="V1048" s="9" t="str">
        <f>IFERROR(__xludf.DUMMYFUNCTION("""COMPUTED_VALUE"""),"https://drive.google.com/uc?id=1aZIY5iXyRVVvvQL1HB9TDNQrIzL7ZFSw")</f>
        <v>https://drive.google.com/uc?id=1aZIY5iXyRVVvvQL1HB9TDNQrIzL7ZFSw</v>
      </c>
      <c r="W1048" s="5" t="str">
        <f>IFERROR(__xludf.DUMMYFUNCTION("""COMPUTED_VALUE"""),"NÃO")</f>
        <v>NÃO</v>
      </c>
      <c r="X1048" s="5" t="str">
        <f>IFERROR(__xludf.DUMMYFUNCTION("""COMPUTED_VALUE"""),"NÃO SE APLICA")</f>
        <v>NÃO SE APLICA</v>
      </c>
    </row>
    <row r="1049" hidden="1">
      <c r="A1049" s="5">
        <f>IFERROR(__xludf.DUMMYFUNCTION("""COMPUTED_VALUE"""),4.0)</f>
        <v>4</v>
      </c>
      <c r="B1049" s="5" t="str">
        <f>IFERROR(__xludf.DUMMYFUNCTION("""COMPUTED_VALUE"""),"RN006")</f>
        <v>RN006</v>
      </c>
      <c r="C1049" s="5" t="str">
        <f>IFERROR(__xludf.DUMMYFUNCTION("""COMPUTED_VALUE"""),"NÃO POSSUI")</f>
        <v>NÃO POSSUI</v>
      </c>
      <c r="D1049" s="5" t="str">
        <f>IFERROR(__xludf.DUMMYFUNCTION("""COMPUTED_VALUE"""),"COM SUPORTE")</f>
        <v>COM SUPORTE</v>
      </c>
      <c r="E1049" s="5" t="str">
        <f>IFERROR(__xludf.DUMMYFUNCTION("""COMPUTED_VALUE"""),"SEM BAIA")</f>
        <v>SEM BAIA</v>
      </c>
      <c r="F1049" s="5" t="str">
        <f>IFERROR(__xludf.DUMMYFUNCTION("""COMPUTED_VALUE"""),"NÃO")</f>
        <v>NÃO</v>
      </c>
      <c r="G1049" s="5" t="str">
        <f>IFERROR(__xludf.DUMMYFUNCTION("""COMPUTED_VALUE"""),"NÃO")</f>
        <v>NÃO</v>
      </c>
      <c r="H1049" s="5" t="str">
        <f>IFERROR(__xludf.DUMMYFUNCTION("""COMPUTED_VALUE"""),"NÃO PAVIMENTADA")</f>
        <v>NÃO PAVIMENTADA</v>
      </c>
      <c r="I1049" s="6" t="str">
        <f>IFERROR(__xludf.DUMMYFUNCTION("""COMPUTED_VALUE"""),"-9.579835")</f>
        <v>-9.579835</v>
      </c>
      <c r="J1049" s="6" t="str">
        <f>IFERROR(__xludf.DUMMYFUNCTION("""COMPUTED_VALUE"""),"-35.806078")</f>
        <v>-35.806078</v>
      </c>
      <c r="K1049" s="5" t="str">
        <f>IFERROR(__xludf.DUMMYFUNCTION("""COMPUTED_VALUE"""),"RUA VEREADOR HERMÍNIO CARDOSO")</f>
        <v>RUA VEREADOR HERMÍNIO CARDOSO</v>
      </c>
      <c r="L1049" s="5" t="str">
        <f>IFERROR(__xludf.DUMMYFUNCTION("""COMPUTED_VALUE"""),"LOCAL")</f>
        <v>LOCAL</v>
      </c>
      <c r="M1049" s="5" t="str">
        <f>IFERROR(__xludf.DUMMYFUNCTION("""COMPUTED_VALUE"""),"RIO NOVO ")</f>
        <v>RIO NOVO </v>
      </c>
      <c r="N1049" s="5" t="str">
        <f>IFERROR(__xludf.DUMMYFUNCTION("""COMPUTED_VALUE"""),"BAIRRO - CENTRO")</f>
        <v>BAIRRO - CENTRO</v>
      </c>
      <c r="O1049" s="5" t="str">
        <f>IFERROR(__xludf.DUMMYFUNCTION("""COMPUTED_VALUE"""),"EM FRENTE AO SÍTIO DO BARBOSA")</f>
        <v>EM FRENTE AO SÍTIO DO BARBOSA</v>
      </c>
      <c r="P1049" s="5" t="str">
        <f>IFERROR(__xludf.DUMMYFUNCTION("""COMPUTED_VALUE"""),"PRIORIDADE BAIXA")</f>
        <v>PRIORIDADE BAIXA</v>
      </c>
      <c r="Q1049" s="5" t="str">
        <f>IFERROR(__xludf.DUMMYFUNCTION("""COMPUTED_VALUE"""),"READEQUAÇÃO DE CALÇADA COM ACESSIBILIDADE E PINTURA DE BAÍA NO ASFALTO. ")</f>
        <v>READEQUAÇÃO DE CALÇADA COM ACESSIBILIDADE E PINTURA DE BAÍA NO ASFALTO. </v>
      </c>
      <c r="R1049" s="5" t="str">
        <f>IFERROR(__xludf.DUMMYFUNCTION("""COMPUTED_VALUE"""),"NENHUMA DAS OPÇÕES")</f>
        <v>NENHUMA DAS OPÇÕES</v>
      </c>
      <c r="S1049" s="7">
        <f>IFERROR(__xludf.DUMMYFUNCTION("""COMPUTED_VALUE"""),44840.0)</f>
        <v>44840</v>
      </c>
      <c r="T1049" s="5" t="str">
        <f>IFERROR(__xludf.DUMMYFUNCTION("""COMPUTED_VALUE"""),"REALIZADO")</f>
        <v>REALIZADO</v>
      </c>
      <c r="U1049" s="7">
        <f>IFERROR(__xludf.DUMMYFUNCTION("""COMPUTED_VALUE"""),44960.0)</f>
        <v>44960</v>
      </c>
      <c r="V1049" s="9" t="str">
        <f>IFERROR(__xludf.DUMMYFUNCTION("""COMPUTED_VALUE"""),"https://drive.google.com/uc?id=1xmefOvzLnG8F9qRIfaEeclllIHeY6Wex/")</f>
        <v>https://drive.google.com/uc?id=1xmefOvzLnG8F9qRIfaEeclllIHeY6Wex/</v>
      </c>
      <c r="W1049" s="5" t="str">
        <f>IFERROR(__xludf.DUMMYFUNCTION("""COMPUTED_VALUE"""),"NÃO")</f>
        <v>NÃO</v>
      </c>
      <c r="X1049" s="5" t="str">
        <f>IFERROR(__xludf.DUMMYFUNCTION("""COMPUTED_VALUE"""),"NÃO SE APLICA")</f>
        <v>NÃO SE APLICA</v>
      </c>
    </row>
    <row r="1050" hidden="1">
      <c r="A1050" s="5">
        <f>IFERROR(__xludf.DUMMYFUNCTION("""COMPUTED_VALUE"""),4.0)</f>
        <v>4</v>
      </c>
      <c r="B1050" s="5" t="str">
        <f>IFERROR(__xludf.DUMMYFUNCTION("""COMPUTED_VALUE"""),"RN007")</f>
        <v>RN007</v>
      </c>
      <c r="C1050" s="5" t="str">
        <f>IFERROR(__xludf.DUMMYFUNCTION("""COMPUTED_VALUE"""),"NÃO POSSUI")</f>
        <v>NÃO POSSUI</v>
      </c>
      <c r="D1050" s="5" t="str">
        <f>IFERROR(__xludf.DUMMYFUNCTION("""COMPUTED_VALUE"""),"COM SUPORTE")</f>
        <v>COM SUPORTE</v>
      </c>
      <c r="E1050" s="5" t="str">
        <f>IFERROR(__xludf.DUMMYFUNCTION("""COMPUTED_VALUE"""),"SEM BAIA")</f>
        <v>SEM BAIA</v>
      </c>
      <c r="F1050" s="5" t="str">
        <f>IFERROR(__xludf.DUMMYFUNCTION("""COMPUTED_VALUE"""),"NÃO")</f>
        <v>NÃO</v>
      </c>
      <c r="G1050" s="5" t="str">
        <f>IFERROR(__xludf.DUMMYFUNCTION("""COMPUTED_VALUE"""),"NÃO")</f>
        <v>NÃO</v>
      </c>
      <c r="H1050" s="5" t="str">
        <f>IFERROR(__xludf.DUMMYFUNCTION("""COMPUTED_VALUE"""),"PAVIMENTADA")</f>
        <v>PAVIMENTADA</v>
      </c>
      <c r="I1050" s="6" t="str">
        <f>IFERROR(__xludf.DUMMYFUNCTION("""COMPUTED_VALUE"""),"-9.577688")</f>
        <v>-9.577688</v>
      </c>
      <c r="J1050" s="6" t="str">
        <f>IFERROR(__xludf.DUMMYFUNCTION("""COMPUTED_VALUE"""),"-35.807989")</f>
        <v>-35.807989</v>
      </c>
      <c r="K1050" s="5" t="str">
        <f>IFERROR(__xludf.DUMMYFUNCTION("""COMPUTED_VALUE"""),"RUA VEREADOR HERMÍNIO CARDOSO")</f>
        <v>RUA VEREADOR HERMÍNIO CARDOSO</v>
      </c>
      <c r="L1050" s="5" t="str">
        <f>IFERROR(__xludf.DUMMYFUNCTION("""COMPUTED_VALUE"""),"LOCAL")</f>
        <v>LOCAL</v>
      </c>
      <c r="M1050" s="5" t="str">
        <f>IFERROR(__xludf.DUMMYFUNCTION("""COMPUTED_VALUE"""),"RIO NOVO ")</f>
        <v>RIO NOVO </v>
      </c>
      <c r="N1050" s="5" t="str">
        <f>IFERROR(__xludf.DUMMYFUNCTION("""COMPUTED_VALUE"""),"CENTRO - BAIRRO")</f>
        <v>CENTRO - BAIRRO</v>
      </c>
      <c r="O1050" s="5" t="str">
        <f>IFERROR(__xludf.DUMMYFUNCTION("""COMPUTED_VALUE"""),"ESCOLA MUNICIPAL PEDRO CAFÉ ")</f>
        <v>ESCOLA MUNICIPAL PEDRO CAFÉ </v>
      </c>
      <c r="P1050" s="5" t="str">
        <f>IFERROR(__xludf.DUMMYFUNCTION("""COMPUTED_VALUE"""),"PRIORIDADE BAIXA")</f>
        <v>PRIORIDADE BAIXA</v>
      </c>
      <c r="Q1050" s="5" t="str">
        <f>IFERROR(__xludf.DUMMYFUNCTION("""COMPUTED_VALUE"""),"READEQUAÇÃO DE CALÇADA COM ACESSIBILIDADE E PINTURA DE BAÍA NO ASFALTO.")</f>
        <v>READEQUAÇÃO DE CALÇADA COM ACESSIBILIDADE E PINTURA DE BAÍA NO ASFALTO.</v>
      </c>
      <c r="R1050" s="5" t="str">
        <f>IFERROR(__xludf.DUMMYFUNCTION("""COMPUTED_VALUE"""),"IMPLANTAR ABRIGO")</f>
        <v>IMPLANTAR ABRIGO</v>
      </c>
      <c r="S1050" s="7">
        <f>IFERROR(__xludf.DUMMYFUNCTION("""COMPUTED_VALUE"""),44841.0)</f>
        <v>44841</v>
      </c>
      <c r="T1050" s="5" t="str">
        <f>IFERROR(__xludf.DUMMYFUNCTION("""COMPUTED_VALUE"""),"REALIZADO")</f>
        <v>REALIZADO</v>
      </c>
      <c r="U1050" s="7">
        <f>IFERROR(__xludf.DUMMYFUNCTION("""COMPUTED_VALUE"""),44960.0)</f>
        <v>44960</v>
      </c>
      <c r="V1050" s="9" t="str">
        <f>IFERROR(__xludf.DUMMYFUNCTION("""COMPUTED_VALUE"""),"https://drive.google.com/uc?id=1059ixBhwzxe27nH2Yren-XL0sAGvbS8m/")</f>
        <v>https://drive.google.com/uc?id=1059ixBhwzxe27nH2Yren-XL0sAGvbS8m/</v>
      </c>
      <c r="W1050" s="5" t="str">
        <f>IFERROR(__xludf.DUMMYFUNCTION("""COMPUTED_VALUE"""),"NÃO")</f>
        <v>NÃO</v>
      </c>
      <c r="X1050" s="5" t="str">
        <f>IFERROR(__xludf.DUMMYFUNCTION("""COMPUTED_VALUE"""),"NÃO SE APLICA")</f>
        <v>NÃO SE APLICA</v>
      </c>
    </row>
    <row r="1051">
      <c r="A1051" s="5">
        <f>IFERROR(__xludf.DUMMYFUNCTION("""COMPUTED_VALUE"""),4.0)</f>
        <v>4</v>
      </c>
      <c r="B1051" s="5" t="str">
        <f>IFERROR(__xludf.DUMMYFUNCTION("""COMPUTED_VALUE"""),"RN008")</f>
        <v>RN008</v>
      </c>
      <c r="C1051" s="5" t="str">
        <f>IFERROR(__xludf.DUMMYFUNCTION("""COMPUTED_VALUE"""),"ABRIGO METÁLICO PEQUENO PORTE")</f>
        <v>ABRIGO METÁLICO PEQUENO PORTE</v>
      </c>
      <c r="D1051" s="5" t="str">
        <f>IFERROR(__xludf.DUMMYFUNCTION("""COMPUTED_VALUE"""),"SEM PLACA")</f>
        <v>SEM PLACA</v>
      </c>
      <c r="E1051" s="5" t="str">
        <f>IFERROR(__xludf.DUMMYFUNCTION("""COMPUTED_VALUE"""),"SEM BAIA")</f>
        <v>SEM BAIA</v>
      </c>
      <c r="F1051" s="5" t="str">
        <f>IFERROR(__xludf.DUMMYFUNCTION("""COMPUTED_VALUE"""),"NÃO")</f>
        <v>NÃO</v>
      </c>
      <c r="G1051" s="5" t="str">
        <f>IFERROR(__xludf.DUMMYFUNCTION("""COMPUTED_VALUE"""),"NÃO")</f>
        <v>NÃO</v>
      </c>
      <c r="H1051" s="5" t="str">
        <f>IFERROR(__xludf.DUMMYFUNCTION("""COMPUTED_VALUE"""),"PAVIMENTADA")</f>
        <v>PAVIMENTADA</v>
      </c>
      <c r="I1051" s="6" t="str">
        <f>IFERROR(__xludf.DUMMYFUNCTION("""COMPUTED_VALUE"""),"-9.577755")</f>
        <v>-9.577755</v>
      </c>
      <c r="J1051" s="6" t="str">
        <f>IFERROR(__xludf.DUMMYFUNCTION("""COMPUTED_VALUE"""),"-35.808322")</f>
        <v>-35.808322</v>
      </c>
      <c r="K1051" s="5" t="str">
        <f>IFERROR(__xludf.DUMMYFUNCTION("""COMPUTED_VALUE"""),"RUA VEREADOR HERMÍNIO CARDOSO 30A")</f>
        <v>RUA VEREADOR HERMÍNIO CARDOSO 30A</v>
      </c>
      <c r="L1051" s="5" t="str">
        <f>IFERROR(__xludf.DUMMYFUNCTION("""COMPUTED_VALUE"""),"LOCAL")</f>
        <v>LOCAL</v>
      </c>
      <c r="M1051" s="5" t="str">
        <f>IFERROR(__xludf.DUMMYFUNCTION("""COMPUTED_VALUE"""),"RIO NOVO ")</f>
        <v>RIO NOVO </v>
      </c>
      <c r="N1051" s="5" t="str">
        <f>IFERROR(__xludf.DUMMYFUNCTION("""COMPUTED_VALUE"""),"BAIRRO - CENTRO")</f>
        <v>BAIRRO - CENTRO</v>
      </c>
      <c r="O1051" s="5" t="str">
        <f>IFERROR(__xludf.DUMMYFUNCTION("""COMPUTED_VALUE"""),"PRÓXIMO A ESCOLA MUNICIPAL PEDRO CAFÉ.")</f>
        <v>PRÓXIMO A ESCOLA MUNICIPAL PEDRO CAFÉ.</v>
      </c>
      <c r="P1051" s="5" t="str">
        <f>IFERROR(__xludf.DUMMYFUNCTION("""COMPUTED_VALUE"""),"PRIORIDADE MÉDIA")</f>
        <v>PRIORIDADE MÉDIA</v>
      </c>
      <c r="Q1051" s="5" t="str">
        <f>IFERROR(__xludf.DUMMYFUNCTION("""COMPUTED_VALUE"""),"READEQUAÇÃO DE CALÇADA COM ACESSIBILIDADE E PINTURA DE BAÍA NO ASFALTO. INSTALAR PLACA COM SUPORTE.")</f>
        <v>READEQUAÇÃO DE CALÇADA COM ACESSIBILIDADE E PINTURA DE BAÍA NO ASFALTO. INSTALAR PLACA COM SUPORTE.</v>
      </c>
      <c r="R1051" s="5" t="str">
        <f>IFERROR(__xludf.DUMMYFUNCTION("""COMPUTED_VALUE"""),"NENHUMA DAS OPÇÕES")</f>
        <v>NENHUMA DAS OPÇÕES</v>
      </c>
      <c r="S1051" s="7">
        <f>IFERROR(__xludf.DUMMYFUNCTION("""COMPUTED_VALUE"""),44842.0)</f>
        <v>44842</v>
      </c>
      <c r="T1051" s="5" t="str">
        <f>IFERROR(__xludf.DUMMYFUNCTION("""COMPUTED_VALUE"""),"REALIZADO")</f>
        <v>REALIZADO</v>
      </c>
      <c r="U1051" s="7">
        <f>IFERROR(__xludf.DUMMYFUNCTION("""COMPUTED_VALUE"""),44842.0)</f>
        <v>44842</v>
      </c>
      <c r="V1051" s="9" t="str">
        <f>IFERROR(__xludf.DUMMYFUNCTION("""COMPUTED_VALUE"""),"https://drive.google.com/uc?id=1OU1NzOqLz_05CnMMevzVhUcBOFIa8IDW")</f>
        <v>https://drive.google.com/uc?id=1OU1NzOqLz_05CnMMevzVhUcBOFIa8IDW</v>
      </c>
      <c r="W1051" s="5" t="str">
        <f>IFERROR(__xludf.DUMMYFUNCTION("""COMPUTED_VALUE"""),"NÃO")</f>
        <v>NÃO</v>
      </c>
      <c r="X1051" s="5" t="str">
        <f>IFERROR(__xludf.DUMMYFUNCTION("""COMPUTED_VALUE"""),"NÃO")</f>
        <v>NÃO</v>
      </c>
    </row>
    <row r="1052" hidden="1">
      <c r="A1052" s="5">
        <f>IFERROR(__xludf.DUMMYFUNCTION("""COMPUTED_VALUE"""),4.0)</f>
        <v>4</v>
      </c>
      <c r="B1052" s="5" t="str">
        <f>IFERROR(__xludf.DUMMYFUNCTION("""COMPUTED_VALUE"""),"RN009")</f>
        <v>RN009</v>
      </c>
      <c r="C1052" s="5" t="str">
        <f>IFERROR(__xludf.DUMMYFUNCTION("""COMPUTED_VALUE"""),"NÃO POSSUI")</f>
        <v>NÃO POSSUI</v>
      </c>
      <c r="D1052" s="5" t="str">
        <f>IFERROR(__xludf.DUMMYFUNCTION("""COMPUTED_VALUE"""),"FIXADA EM POSTE")</f>
        <v>FIXADA EM POSTE</v>
      </c>
      <c r="E1052" s="5" t="str">
        <f>IFERROR(__xludf.DUMMYFUNCTION("""COMPUTED_VALUE"""),"SEM BAIA")</f>
        <v>SEM BAIA</v>
      </c>
      <c r="F1052" s="5" t="str">
        <f>IFERROR(__xludf.DUMMYFUNCTION("""COMPUTED_VALUE"""),"NÃO")</f>
        <v>NÃO</v>
      </c>
      <c r="G1052" s="5" t="str">
        <f>IFERROR(__xludf.DUMMYFUNCTION("""COMPUTED_VALUE"""),"NÃO")</f>
        <v>NÃO</v>
      </c>
      <c r="H1052" s="5" t="str">
        <f>IFERROR(__xludf.DUMMYFUNCTION("""COMPUTED_VALUE"""),"PAVIMENTADA")</f>
        <v>PAVIMENTADA</v>
      </c>
      <c r="I1052" s="6" t="str">
        <f>IFERROR(__xludf.DUMMYFUNCTION("""COMPUTED_VALUE"""),"-9.575568")</f>
        <v>-9.575568</v>
      </c>
      <c r="J1052" s="6" t="str">
        <f>IFERROR(__xludf.DUMMYFUNCTION("""COMPUTED_VALUE"""),"-35.810102")</f>
        <v>-35.810102</v>
      </c>
      <c r="K1052" s="5" t="str">
        <f>IFERROR(__xludf.DUMMYFUNCTION("""COMPUTED_VALUE"""),"RUA DO ALECRIM 270")</f>
        <v>RUA DO ALECRIM 270</v>
      </c>
      <c r="L1052" s="5" t="str">
        <f>IFERROR(__xludf.DUMMYFUNCTION("""COMPUTED_VALUE"""),"LOCAL")</f>
        <v>LOCAL</v>
      </c>
      <c r="M1052" s="5" t="str">
        <f>IFERROR(__xludf.DUMMYFUNCTION("""COMPUTED_VALUE"""),"RIO NOVO ")</f>
        <v>RIO NOVO </v>
      </c>
      <c r="N1052" s="5" t="str">
        <f>IFERROR(__xludf.DUMMYFUNCTION("""COMPUTED_VALUE"""),"CENTRO - BAIRRO")</f>
        <v>CENTRO - BAIRRO</v>
      </c>
      <c r="O1052" s="5" t="str">
        <f>IFERROR(__xludf.DUMMYFUNCTION("""COMPUTED_VALUE"""),"MERCADINHO EDUARDA")</f>
        <v>MERCADINHO EDUARDA</v>
      </c>
      <c r="P1052" s="5" t="str">
        <f>IFERROR(__xludf.DUMMYFUNCTION("""COMPUTED_VALUE"""),"PRIORIDADE MÉDIA")</f>
        <v>PRIORIDADE MÉDIA</v>
      </c>
      <c r="Q1052" s="5" t="str">
        <f>IFERROR(__xludf.DUMMYFUNCTION("""COMPUTED_VALUE"""),"READEQUAÇÃO DE CALÇADA COM ACESSIBILIDADE E PINTURA DE BAÍA NO ASFALTO. ")</f>
        <v>READEQUAÇÃO DE CALÇADA COM ACESSIBILIDADE E PINTURA DE BAÍA NO ASFALTO. </v>
      </c>
      <c r="R1052" s="5" t="str">
        <f>IFERROR(__xludf.DUMMYFUNCTION("""COMPUTED_VALUE"""),"NENHUMA DAS OPÇÕES")</f>
        <v>NENHUMA DAS OPÇÕES</v>
      </c>
      <c r="S1052" s="7">
        <f>IFERROR(__xludf.DUMMYFUNCTION("""COMPUTED_VALUE"""),44843.0)</f>
        <v>44843</v>
      </c>
      <c r="T1052" s="5" t="str">
        <f>IFERROR(__xludf.DUMMYFUNCTION("""COMPUTED_VALUE"""),"REALIZADO")</f>
        <v>REALIZADO</v>
      </c>
      <c r="U1052" s="7">
        <f>IFERROR(__xludf.DUMMYFUNCTION("""COMPUTED_VALUE"""),44960.0)</f>
        <v>44960</v>
      </c>
      <c r="V1052" s="9" t="str">
        <f>IFERROR(__xludf.DUMMYFUNCTION("""COMPUTED_VALUE"""),"https://drive.google.com/uc?id=1PStSYl7LASQiHpkWcrb55AkENEzs-J_Y/")</f>
        <v>https://drive.google.com/uc?id=1PStSYl7LASQiHpkWcrb55AkENEzs-J_Y/</v>
      </c>
      <c r="W1052" s="5" t="str">
        <f>IFERROR(__xludf.DUMMYFUNCTION("""COMPUTED_VALUE"""),"NÃO")</f>
        <v>NÃO</v>
      </c>
      <c r="X1052" s="5" t="str">
        <f>IFERROR(__xludf.DUMMYFUNCTION("""COMPUTED_VALUE"""),"NÃO SE APLICA")</f>
        <v>NÃO SE APLICA</v>
      </c>
    </row>
    <row r="1053" hidden="1">
      <c r="A1053" s="5">
        <f>IFERROR(__xludf.DUMMYFUNCTION("""COMPUTED_VALUE"""),4.0)</f>
        <v>4</v>
      </c>
      <c r="B1053" s="5" t="str">
        <f>IFERROR(__xludf.DUMMYFUNCTION("""COMPUTED_VALUE"""),"RN010")</f>
        <v>RN010</v>
      </c>
      <c r="C1053" s="5" t="str">
        <f>IFERROR(__xludf.DUMMYFUNCTION("""COMPUTED_VALUE"""),"NÃO POSSUI")</f>
        <v>NÃO POSSUI</v>
      </c>
      <c r="D1053" s="5" t="str">
        <f>IFERROR(__xludf.DUMMYFUNCTION("""COMPUTED_VALUE"""),"SEM PLACA")</f>
        <v>SEM PLACA</v>
      </c>
      <c r="E1053" s="5" t="str">
        <f>IFERROR(__xludf.DUMMYFUNCTION("""COMPUTED_VALUE"""),"SEM BAIA")</f>
        <v>SEM BAIA</v>
      </c>
      <c r="F1053" s="5" t="str">
        <f>IFERROR(__xludf.DUMMYFUNCTION("""COMPUTED_VALUE"""),"NÃO")</f>
        <v>NÃO</v>
      </c>
      <c r="G1053" s="5" t="str">
        <f>IFERROR(__xludf.DUMMYFUNCTION("""COMPUTED_VALUE"""),"NÃO")</f>
        <v>NÃO</v>
      </c>
      <c r="H1053" s="5" t="str">
        <f>IFERROR(__xludf.DUMMYFUNCTION("""COMPUTED_VALUE"""),"PAVIMENTADA")</f>
        <v>PAVIMENTADA</v>
      </c>
      <c r="I1053" s="6" t="str">
        <f>IFERROR(__xludf.DUMMYFUNCTION("""COMPUTED_VALUE"""),"-9.574712")</f>
        <v>-9.574712</v>
      </c>
      <c r="J1053" s="6" t="str">
        <f>IFERROR(__xludf.DUMMYFUNCTION("""COMPUTED_VALUE"""),"-35.807913")</f>
        <v>-35.807913</v>
      </c>
      <c r="K1053" s="5" t="str">
        <f>IFERROR(__xludf.DUMMYFUNCTION("""COMPUTED_VALUE"""),"RUA DA AREIA 231")</f>
        <v>RUA DA AREIA 231</v>
      </c>
      <c r="L1053" s="5" t="str">
        <f>IFERROR(__xludf.DUMMYFUNCTION("""COMPUTED_VALUE"""),"LOCAL")</f>
        <v>LOCAL</v>
      </c>
      <c r="M1053" s="5" t="str">
        <f>IFERROR(__xludf.DUMMYFUNCTION("""COMPUTED_VALUE"""),"RIO NOVO ")</f>
        <v>RIO NOVO </v>
      </c>
      <c r="N1053" s="5" t="str">
        <f>IFERROR(__xludf.DUMMYFUNCTION("""COMPUTED_VALUE"""),"CENTRO - BAIRRO")</f>
        <v>CENTRO - BAIRRO</v>
      </c>
      <c r="O1053" s="5" t="str">
        <f>IFERROR(__xludf.DUMMYFUNCTION("""COMPUTED_VALUE"""),"...")</f>
        <v>...</v>
      </c>
      <c r="P1053" s="5" t="str">
        <f>IFERROR(__xludf.DUMMYFUNCTION("""COMPUTED_VALUE"""),"PRIORIDADE ALTA")</f>
        <v>PRIORIDADE ALTA</v>
      </c>
      <c r="Q1053" s="5" t="str">
        <f>IFERROR(__xludf.DUMMYFUNCTION("""COMPUTED_VALUE"""),"READEQUAÇÃO DE CALÇADA COM ACESSIBILIDADE E PINTURA DE BAÍA NO ASFALTO. INSTALAR PLACA EM POSTE.")</f>
        <v>READEQUAÇÃO DE CALÇADA COM ACESSIBILIDADE E PINTURA DE BAÍA NO ASFALTO. INSTALAR PLACA EM POSTE.</v>
      </c>
      <c r="R1053" s="5" t="str">
        <f>IFERROR(__xludf.DUMMYFUNCTION("""COMPUTED_VALUE"""),"NENHUMA DAS OPÇÕES")</f>
        <v>NENHUMA DAS OPÇÕES</v>
      </c>
      <c r="S1053" s="7">
        <f>IFERROR(__xludf.DUMMYFUNCTION("""COMPUTED_VALUE"""),44844.0)</f>
        <v>44844</v>
      </c>
      <c r="T1053" s="5" t="str">
        <f>IFERROR(__xludf.DUMMYFUNCTION("""COMPUTED_VALUE"""),"REALIZADO")</f>
        <v>REALIZADO</v>
      </c>
      <c r="U1053" s="7">
        <f>IFERROR(__xludf.DUMMYFUNCTION("""COMPUTED_VALUE"""),44960.0)</f>
        <v>44960</v>
      </c>
      <c r="V1053" s="9" t="str">
        <f>IFERROR(__xludf.DUMMYFUNCTION("""COMPUTED_VALUE"""),"https://drive.google.com/uc?id=153QL5p0D0YmL53XBaFoxgg_LsHbJ_hKi/")</f>
        <v>https://drive.google.com/uc?id=153QL5p0D0YmL53XBaFoxgg_LsHbJ_hKi/</v>
      </c>
      <c r="W1053" s="5" t="str">
        <f>IFERROR(__xludf.DUMMYFUNCTION("""COMPUTED_VALUE"""),"NÃO")</f>
        <v>NÃO</v>
      </c>
      <c r="X1053" s="5" t="str">
        <f>IFERROR(__xludf.DUMMYFUNCTION("""COMPUTED_VALUE"""),"NÃO SE APLICA")</f>
        <v>NÃO SE APLICA</v>
      </c>
    </row>
    <row r="1054" hidden="1">
      <c r="A1054" s="5">
        <f>IFERROR(__xludf.DUMMYFUNCTION("""COMPUTED_VALUE"""),4.0)</f>
        <v>4</v>
      </c>
      <c r="B1054" s="5" t="str">
        <f>IFERROR(__xludf.DUMMYFUNCTION("""COMPUTED_VALUE"""),"RN011")</f>
        <v>RN011</v>
      </c>
      <c r="C1054" s="5" t="str">
        <f>IFERROR(__xludf.DUMMYFUNCTION("""COMPUTED_VALUE"""),"NÃO POSSUI")</f>
        <v>NÃO POSSUI</v>
      </c>
      <c r="D1054" s="5" t="str">
        <f>IFERROR(__xludf.DUMMYFUNCTION("""COMPUTED_VALUE"""),"FIXADA EM POSTE")</f>
        <v>FIXADA EM POSTE</v>
      </c>
      <c r="E1054" s="5" t="str">
        <f>IFERROR(__xludf.DUMMYFUNCTION("""COMPUTED_VALUE"""),"SEM BAIA")</f>
        <v>SEM BAIA</v>
      </c>
      <c r="F1054" s="5" t="str">
        <f>IFERROR(__xludf.DUMMYFUNCTION("""COMPUTED_VALUE"""),"NÃO")</f>
        <v>NÃO</v>
      </c>
      <c r="G1054" s="5" t="str">
        <f>IFERROR(__xludf.DUMMYFUNCTION("""COMPUTED_VALUE"""),"NÃO")</f>
        <v>NÃO</v>
      </c>
      <c r="H1054" s="5" t="str">
        <f>IFERROR(__xludf.DUMMYFUNCTION("""COMPUTED_VALUE"""),"PAVIMENTADA")</f>
        <v>PAVIMENTADA</v>
      </c>
      <c r="I1054" s="6" t="str">
        <f>IFERROR(__xludf.DUMMYFUNCTION("""COMPUTED_VALUE"""),"-9.572415")</f>
        <v>-9.572415</v>
      </c>
      <c r="J1054" s="6" t="str">
        <f>IFERROR(__xludf.DUMMYFUNCTION("""COMPUTED_VALUE"""),"-35.807980")</f>
        <v>-35.807980</v>
      </c>
      <c r="K1054" s="5" t="str">
        <f>IFERROR(__xludf.DUMMYFUNCTION("""COMPUTED_VALUE"""),"RUA DA AREIA 378")</f>
        <v>RUA DA AREIA 378</v>
      </c>
      <c r="L1054" s="5" t="str">
        <f>IFERROR(__xludf.DUMMYFUNCTION("""COMPUTED_VALUE"""),"LOCAL")</f>
        <v>LOCAL</v>
      </c>
      <c r="M1054" s="5" t="str">
        <f>IFERROR(__xludf.DUMMYFUNCTION("""COMPUTED_VALUE"""),"RIO NOVO ")</f>
        <v>RIO NOVO </v>
      </c>
      <c r="N1054" s="5" t="str">
        <f>IFERROR(__xludf.DUMMYFUNCTION("""COMPUTED_VALUE"""),"CENTRO - BAIRRO")</f>
        <v>CENTRO - BAIRRO</v>
      </c>
      <c r="O1054" s="5" t="str">
        <f>IFERROR(__xludf.DUMMYFUNCTION("""COMPUTED_VALUE"""),"PRIMEIRAS ENTRADA DO RESIDENCIAL VALE DO TOCANTINS")</f>
        <v>PRIMEIRAS ENTRADA DO RESIDENCIAL VALE DO TOCANTINS</v>
      </c>
      <c r="P1054" s="5" t="str">
        <f>IFERROR(__xludf.DUMMYFUNCTION("""COMPUTED_VALUE"""),"PRIORIDADE ALTA")</f>
        <v>PRIORIDADE ALTA</v>
      </c>
      <c r="Q1054" s="5" t="str">
        <f>IFERROR(__xludf.DUMMYFUNCTION("""COMPUTED_VALUE"""),"PINTURA DE BAÍA NO ASFALTO. ")</f>
        <v>PINTURA DE BAÍA NO ASFALTO. </v>
      </c>
      <c r="R1054" s="5" t="str">
        <f>IFERROR(__xludf.DUMMYFUNCTION("""COMPUTED_VALUE"""),"NENHUMA DAS OPÇÕES")</f>
        <v>NENHUMA DAS OPÇÕES</v>
      </c>
      <c r="S1054" s="7">
        <f>IFERROR(__xludf.DUMMYFUNCTION("""COMPUTED_VALUE"""),44845.0)</f>
        <v>44845</v>
      </c>
      <c r="T1054" s="5" t="str">
        <f>IFERROR(__xludf.DUMMYFUNCTION("""COMPUTED_VALUE"""),"REALIZADO")</f>
        <v>REALIZADO</v>
      </c>
      <c r="U1054" s="7">
        <f>IFERROR(__xludf.DUMMYFUNCTION("""COMPUTED_VALUE"""),44845.0)</f>
        <v>44845</v>
      </c>
      <c r="V1054" s="9" t="str">
        <f>IFERROR(__xludf.DUMMYFUNCTION("""COMPUTED_VALUE"""),"https://drive.google.com/uc?id=1WvuS8eHep_Qo0JguvYQF1zSIZRMSP7lY")</f>
        <v>https://drive.google.com/uc?id=1WvuS8eHep_Qo0JguvYQF1zSIZRMSP7lY</v>
      </c>
      <c r="W1054" s="5" t="str">
        <f>IFERROR(__xludf.DUMMYFUNCTION("""COMPUTED_VALUE"""),"NÃO")</f>
        <v>NÃO</v>
      </c>
      <c r="X1054" s="5" t="str">
        <f>IFERROR(__xludf.DUMMYFUNCTION("""COMPUTED_VALUE"""),"NÃO SE APLICA")</f>
        <v>NÃO SE APLICA</v>
      </c>
    </row>
    <row r="1055" ht="17.25" hidden="1" customHeight="1">
      <c r="A1055" s="5">
        <f>IFERROR(__xludf.DUMMYFUNCTION("""COMPUTED_VALUE"""),4.0)</f>
        <v>4</v>
      </c>
      <c r="B1055" s="5" t="str">
        <f>IFERROR(__xludf.DUMMYFUNCTION("""COMPUTED_VALUE"""),"RN012")</f>
        <v>RN012</v>
      </c>
      <c r="C1055" s="5" t="str">
        <f>IFERROR(__xludf.DUMMYFUNCTION("""COMPUTED_VALUE"""),"NÃO POSSUI")</f>
        <v>NÃO POSSUI</v>
      </c>
      <c r="D1055" s="5" t="str">
        <f>IFERROR(__xludf.DUMMYFUNCTION("""COMPUTED_VALUE"""),"FIXADA EM POSTE")</f>
        <v>FIXADA EM POSTE</v>
      </c>
      <c r="E1055" s="5" t="str">
        <f>IFERROR(__xludf.DUMMYFUNCTION("""COMPUTED_VALUE"""),"SEM BAIA")</f>
        <v>SEM BAIA</v>
      </c>
      <c r="F1055" s="5" t="str">
        <f>IFERROR(__xludf.DUMMYFUNCTION("""COMPUTED_VALUE"""),"NÃO")</f>
        <v>NÃO</v>
      </c>
      <c r="G1055" s="5" t="str">
        <f>IFERROR(__xludf.DUMMYFUNCTION("""COMPUTED_VALUE"""),"NÃO")</f>
        <v>NÃO</v>
      </c>
      <c r="H1055" s="5" t="str">
        <f>IFERROR(__xludf.DUMMYFUNCTION("""COMPUTED_VALUE"""),"PAVIMENTADA")</f>
        <v>PAVIMENTADA</v>
      </c>
      <c r="I1055" s="6" t="str">
        <f>IFERROR(__xludf.DUMMYFUNCTION("""COMPUTED_VALUE"""),"-9.571453")</f>
        <v>-9.571453</v>
      </c>
      <c r="J1055" s="6" t="str">
        <f>IFERROR(__xludf.DUMMYFUNCTION("""COMPUTED_VALUE"""),"-35.809137")</f>
        <v>-35.809137</v>
      </c>
      <c r="K1055" s="5" t="str">
        <f>IFERROR(__xludf.DUMMYFUNCTION("""COMPUTED_VALUE"""),"RUA BOA VISTA")</f>
        <v>RUA BOA VISTA</v>
      </c>
      <c r="L1055" s="5" t="str">
        <f>IFERROR(__xludf.DUMMYFUNCTION("""COMPUTED_VALUE"""),"LOCAL")</f>
        <v>LOCAL</v>
      </c>
      <c r="M1055" s="5" t="str">
        <f>IFERROR(__xludf.DUMMYFUNCTION("""COMPUTED_VALUE"""),"RIO NOVO ")</f>
        <v>RIO NOVO </v>
      </c>
      <c r="N1055" s="5" t="str">
        <f>IFERROR(__xludf.DUMMYFUNCTION("""COMPUTED_VALUE"""),"CENTRO - BAIRRO")</f>
        <v>CENTRO - BAIRRO</v>
      </c>
      <c r="O1055" s="5" t="str">
        <f>IFERROR(__xludf.DUMMYFUNCTION("""COMPUTED_VALUE"""),"PRÓXIMO A CASA A47")</f>
        <v>PRÓXIMO A CASA A47</v>
      </c>
      <c r="P1055" s="5" t="str">
        <f>IFERROR(__xludf.DUMMYFUNCTION("""COMPUTED_VALUE"""),"PRIORIDADE ALTA")</f>
        <v>PRIORIDADE ALTA</v>
      </c>
      <c r="Q1055" s="5" t="str">
        <f>IFERROR(__xludf.DUMMYFUNCTION("""COMPUTED_VALUE"""),"READEQUAÇÃO DE CALÇADA COM ACESSIBILIDADE E PINTURA DE BAÍA NO ASFALTO. INSTALAR PLACA EM POSTE..")</f>
        <v>READEQUAÇÃO DE CALÇADA COM ACESSIBILIDADE E PINTURA DE BAÍA NO ASFALTO. INSTALAR PLACA EM POSTE..</v>
      </c>
      <c r="R1055" s="5" t="str">
        <f>IFERROR(__xludf.DUMMYFUNCTION("""COMPUTED_VALUE"""),"NENHUMA DAS OPÇÕES")</f>
        <v>NENHUMA DAS OPÇÕES</v>
      </c>
      <c r="S1055" s="7">
        <f>IFERROR(__xludf.DUMMYFUNCTION("""COMPUTED_VALUE"""),44846.0)</f>
        <v>44846</v>
      </c>
      <c r="T1055" s="5" t="str">
        <f>IFERROR(__xludf.DUMMYFUNCTION("""COMPUTED_VALUE"""),"REALIZADO")</f>
        <v>REALIZADO</v>
      </c>
      <c r="U1055" s="7">
        <f>IFERROR(__xludf.DUMMYFUNCTION("""COMPUTED_VALUE"""),44846.0)</f>
        <v>44846</v>
      </c>
      <c r="V1055" s="9" t="str">
        <f>IFERROR(__xludf.DUMMYFUNCTION("""COMPUTED_VALUE"""),"https://drive.google.com/uc?id=1Emzra0kMtFoQ7eekEO-eWzDrExauBBvI")</f>
        <v>https://drive.google.com/uc?id=1Emzra0kMtFoQ7eekEO-eWzDrExauBBvI</v>
      </c>
      <c r="W1055" s="5" t="str">
        <f>IFERROR(__xludf.DUMMYFUNCTION("""COMPUTED_VALUE"""),"NÃO")</f>
        <v>NÃO</v>
      </c>
      <c r="X1055" s="5" t="str">
        <f>IFERROR(__xludf.DUMMYFUNCTION("""COMPUTED_VALUE"""),"NÃO SE APLICA")</f>
        <v>NÃO SE APLICA</v>
      </c>
    </row>
    <row r="1056" ht="18.75" hidden="1" customHeight="1">
      <c r="A1056" s="5">
        <f>IFERROR(__xludf.DUMMYFUNCTION("""COMPUTED_VALUE"""),4.0)</f>
        <v>4</v>
      </c>
      <c r="B1056" s="5" t="str">
        <f>IFERROR(__xludf.DUMMYFUNCTION("""COMPUTED_VALUE"""),"RN013")</f>
        <v>RN013</v>
      </c>
      <c r="C1056" s="5" t="str">
        <f>IFERROR(__xludf.DUMMYFUNCTION("""COMPUTED_VALUE"""),"NÃO POSSUI")</f>
        <v>NÃO POSSUI</v>
      </c>
      <c r="D1056" s="5" t="str">
        <f>IFERROR(__xludf.DUMMYFUNCTION("""COMPUTED_VALUE"""),"FIXADA EM POSTE")</f>
        <v>FIXADA EM POSTE</v>
      </c>
      <c r="E1056" s="5" t="str">
        <f>IFERROR(__xludf.DUMMYFUNCTION("""COMPUTED_VALUE"""),"SEM BAIA")</f>
        <v>SEM BAIA</v>
      </c>
      <c r="F1056" s="5" t="str">
        <f>IFERROR(__xludf.DUMMYFUNCTION("""COMPUTED_VALUE"""),"NÃO")</f>
        <v>NÃO</v>
      </c>
      <c r="G1056" s="5" t="str">
        <f>IFERROR(__xludf.DUMMYFUNCTION("""COMPUTED_VALUE"""),"NÃO")</f>
        <v>NÃO</v>
      </c>
      <c r="H1056" s="5" t="str">
        <f>IFERROR(__xludf.DUMMYFUNCTION("""COMPUTED_VALUE"""),"PAVIMENTADA")</f>
        <v>PAVIMENTADA</v>
      </c>
      <c r="I1056" s="6" t="str">
        <f>IFERROR(__xludf.DUMMYFUNCTION("""COMPUTED_VALUE"""),"-9.571450")</f>
        <v>-9.571450</v>
      </c>
      <c r="J1056" s="6" t="str">
        <f>IFERROR(__xludf.DUMMYFUNCTION("""COMPUTED_VALUE"""),"-35.807737")</f>
        <v>-35.807737</v>
      </c>
      <c r="K1056" s="5" t="str">
        <f>IFERROR(__xludf.DUMMYFUNCTION("""COMPUTED_VALUE"""),"RUA DA AREIA ")</f>
        <v>RUA DA AREIA </v>
      </c>
      <c r="L1056" s="5" t="str">
        <f>IFERROR(__xludf.DUMMYFUNCTION("""COMPUTED_VALUE"""),"LOCAL")</f>
        <v>LOCAL</v>
      </c>
      <c r="M1056" s="5" t="str">
        <f>IFERROR(__xludf.DUMMYFUNCTION("""COMPUTED_VALUE"""),"RIO NOVO ")</f>
        <v>RIO NOVO </v>
      </c>
      <c r="N1056" s="5" t="str">
        <f>IFERROR(__xludf.DUMMYFUNCTION("""COMPUTED_VALUE"""),"CENTRO - BAIRRO")</f>
        <v>CENTRO - BAIRRO</v>
      </c>
      <c r="O1056" s="5" t="str">
        <f>IFERROR(__xludf.DUMMYFUNCTION("""COMPUTED_VALUE"""),"EM FRENTE AO BLOCO 66")</f>
        <v>EM FRENTE AO BLOCO 66</v>
      </c>
      <c r="P1056" s="5" t="str">
        <f>IFERROR(__xludf.DUMMYFUNCTION("""COMPUTED_VALUE"""),"PRIORIDADE ALTA")</f>
        <v>PRIORIDADE ALTA</v>
      </c>
      <c r="Q1056" s="5" t="str">
        <f>IFERROR(__xludf.DUMMYFUNCTION("""COMPUTED_VALUE"""),"INSTALAR PLACA NOVA, PINTURA DE BAIA NO ASFALTO.")</f>
        <v>INSTALAR PLACA NOVA, PINTURA DE BAIA NO ASFALTO.</v>
      </c>
      <c r="R1056" s="5" t="str">
        <f>IFERROR(__xludf.DUMMYFUNCTION("""COMPUTED_VALUE"""),"NENHUMA DAS OPÇÕES")</f>
        <v>NENHUMA DAS OPÇÕES</v>
      </c>
      <c r="S1056" s="7">
        <f>IFERROR(__xludf.DUMMYFUNCTION("""COMPUTED_VALUE"""),44847.0)</f>
        <v>44847</v>
      </c>
      <c r="T1056" s="5" t="str">
        <f>IFERROR(__xludf.DUMMYFUNCTION("""COMPUTED_VALUE"""),"REALIZADO")</f>
        <v>REALIZADO</v>
      </c>
      <c r="U1056" s="7">
        <f>IFERROR(__xludf.DUMMYFUNCTION("""COMPUTED_VALUE"""),44847.0)</f>
        <v>44847</v>
      </c>
      <c r="V1056" s="9" t="str">
        <f>IFERROR(__xludf.DUMMYFUNCTION("""COMPUTED_VALUE"""),"https://drive.google.com/uc?id=12Y1iYDDmcmfCWnwWcEbni3OjMXcsXVup")</f>
        <v>https://drive.google.com/uc?id=12Y1iYDDmcmfCWnwWcEbni3OjMXcsXVup</v>
      </c>
      <c r="W1056" s="5" t="str">
        <f>IFERROR(__xludf.DUMMYFUNCTION("""COMPUTED_VALUE"""),"NÃO")</f>
        <v>NÃO</v>
      </c>
      <c r="X1056" s="5" t="str">
        <f>IFERROR(__xludf.DUMMYFUNCTION("""COMPUTED_VALUE"""),"NÃO SE APLICA")</f>
        <v>NÃO SE APLICA</v>
      </c>
    </row>
    <row r="1057" ht="16.5" hidden="1" customHeight="1">
      <c r="A1057" s="5">
        <f>IFERROR(__xludf.DUMMYFUNCTION("""COMPUTED_VALUE"""),4.0)</f>
        <v>4</v>
      </c>
      <c r="B1057" s="5" t="str">
        <f>IFERROR(__xludf.DUMMYFUNCTION("""COMPUTED_VALUE"""),"RN014")</f>
        <v>RN014</v>
      </c>
      <c r="C1057" s="5" t="str">
        <f>IFERROR(__xludf.DUMMYFUNCTION("""COMPUTED_VALUE"""),"NÃO POSSUI")</f>
        <v>NÃO POSSUI</v>
      </c>
      <c r="D1057" s="5" t="str">
        <f>IFERROR(__xludf.DUMMYFUNCTION("""COMPUTED_VALUE"""),"COM SUPORTE")</f>
        <v>COM SUPORTE</v>
      </c>
      <c r="E1057" s="5" t="str">
        <f>IFERROR(__xludf.DUMMYFUNCTION("""COMPUTED_VALUE"""),"SEM BAIA")</f>
        <v>SEM BAIA</v>
      </c>
      <c r="F1057" s="5" t="str">
        <f>IFERROR(__xludf.DUMMYFUNCTION("""COMPUTED_VALUE"""),"NÃO")</f>
        <v>NÃO</v>
      </c>
      <c r="G1057" s="5" t="str">
        <f>IFERROR(__xludf.DUMMYFUNCTION("""COMPUTED_VALUE"""),"NÃO")</f>
        <v>NÃO</v>
      </c>
      <c r="H1057" s="5" t="str">
        <f>IFERROR(__xludf.DUMMYFUNCTION("""COMPUTED_VALUE"""),"PAVIMENTADA")</f>
        <v>PAVIMENTADA</v>
      </c>
      <c r="I1057" s="6" t="str">
        <f>IFERROR(__xludf.DUMMYFUNCTION("""COMPUTED_VALUE"""),"-9.570833")</f>
        <v>-9.570833</v>
      </c>
      <c r="J1057" s="6" t="str">
        <f>IFERROR(__xludf.DUMMYFUNCTION("""COMPUTED_VALUE"""),"-35.809020")</f>
        <v>-35.809020</v>
      </c>
      <c r="K1057" s="5" t="str">
        <f>IFERROR(__xludf.DUMMYFUNCTION("""COMPUTED_VALUE"""),"SEM NOME ")</f>
        <v>SEM NOME </v>
      </c>
      <c r="L1057" s="5" t="str">
        <f>IFERROR(__xludf.DUMMYFUNCTION("""COMPUTED_VALUE"""),"LOCAL")</f>
        <v>LOCAL</v>
      </c>
      <c r="M1057" s="5" t="str">
        <f>IFERROR(__xludf.DUMMYFUNCTION("""COMPUTED_VALUE"""),"RIO NOVO ")</f>
        <v>RIO NOVO </v>
      </c>
      <c r="N1057" s="5" t="str">
        <f>IFERROR(__xludf.DUMMYFUNCTION("""COMPUTED_VALUE"""),"CENTRO - BAIRRO")</f>
        <v>CENTRO - BAIRRO</v>
      </c>
      <c r="O1057" s="5" t="str">
        <f>IFERROR(__xludf.DUMMYFUNCTION("""COMPUTED_VALUE"""),"CASA 149 - BLOCO 79")</f>
        <v>CASA 149 - BLOCO 79</v>
      </c>
      <c r="P1057" s="5" t="str">
        <f>IFERROR(__xludf.DUMMYFUNCTION("""COMPUTED_VALUE"""),"URGENTE")</f>
        <v>URGENTE</v>
      </c>
      <c r="Q1057" s="5" t="str">
        <f>IFERROR(__xludf.DUMMYFUNCTION("""COMPUTED_VALUE"""),"INSTALAR PLACA NOVA, LIMPAR VEGETAÇÃO, FAZER PINTURA DA BAIA NO ASFALTO.")</f>
        <v>INSTALAR PLACA NOVA, LIMPAR VEGETAÇÃO, FAZER PINTURA DA BAIA NO ASFALTO.</v>
      </c>
      <c r="R1057" s="5" t="str">
        <f>IFERROR(__xludf.DUMMYFUNCTION("""COMPUTED_VALUE"""),"NENHUMA DAS OPÇÕES")</f>
        <v>NENHUMA DAS OPÇÕES</v>
      </c>
      <c r="S1057" s="7">
        <f>IFERROR(__xludf.DUMMYFUNCTION("""COMPUTED_VALUE"""),44848.0)</f>
        <v>44848</v>
      </c>
      <c r="T1057" s="5" t="str">
        <f>IFERROR(__xludf.DUMMYFUNCTION("""COMPUTED_VALUE"""),"REALIZADO")</f>
        <v>REALIZADO</v>
      </c>
      <c r="U1057" s="7">
        <f>IFERROR(__xludf.DUMMYFUNCTION("""COMPUTED_VALUE"""),44848.0)</f>
        <v>44848</v>
      </c>
      <c r="V1057" s="9" t="str">
        <f>IFERROR(__xludf.DUMMYFUNCTION("""COMPUTED_VALUE"""),"https://drive.google.com/uc?id=1FQHi4vT0s9mC5DoTHWNzA5_3CbDvwd_R")</f>
        <v>https://drive.google.com/uc?id=1FQHi4vT0s9mC5DoTHWNzA5_3CbDvwd_R</v>
      </c>
      <c r="W1057" s="5" t="str">
        <f>IFERROR(__xludf.DUMMYFUNCTION("""COMPUTED_VALUE"""),"NÃO")</f>
        <v>NÃO</v>
      </c>
      <c r="X1057" s="5" t="str">
        <f>IFERROR(__xludf.DUMMYFUNCTION("""COMPUTED_VALUE"""),"NÃO SE APLICA")</f>
        <v>NÃO SE APLICA</v>
      </c>
    </row>
    <row r="1058" hidden="1">
      <c r="A1058" s="5">
        <f>IFERROR(__xludf.DUMMYFUNCTION("IMPORTRANGE(""https://docs.google.com/spreadsheets/d/1zsUaGcapKI8nFhFHzkKqQm76kpV8QjqjUiktsuAdmUw/edit#gid=1694784875"", ""SANTA AMÉLIA!A3:X25"")"),4.0)</f>
        <v>4</v>
      </c>
      <c r="B1058" s="5" t="str">
        <f>IFERROR(__xludf.DUMMYFUNCTION("""COMPUTED_VALUE"""),"SA001")</f>
        <v>SA001</v>
      </c>
      <c r="C1058" s="5" t="str">
        <f>IFERROR(__xludf.DUMMYFUNCTION("""COMPUTED_VALUE"""),"NÃO POSSUI")</f>
        <v>NÃO POSSUI</v>
      </c>
      <c r="D1058" s="5" t="str">
        <f>IFERROR(__xludf.DUMMYFUNCTION("""COMPUTED_VALUE"""),"FIXADA EM POSTE")</f>
        <v>FIXADA EM POSTE</v>
      </c>
      <c r="E1058" s="5" t="str">
        <f>IFERROR(__xludf.DUMMYFUNCTION("""COMPUTED_VALUE"""),"SEM BAIA")</f>
        <v>SEM BAIA</v>
      </c>
      <c r="F1058" s="5" t="str">
        <f>IFERROR(__xludf.DUMMYFUNCTION("""COMPUTED_VALUE"""),"NÃO")</f>
        <v>NÃO</v>
      </c>
      <c r="G1058" s="5" t="str">
        <f>IFERROR(__xludf.DUMMYFUNCTION("""COMPUTED_VALUE"""),"NÃO")</f>
        <v>NÃO</v>
      </c>
      <c r="H1058" s="5" t="str">
        <f>IFERROR(__xludf.DUMMYFUNCTION("""COMPUTED_VALUE"""),"NÃO PAVIMENTADA")</f>
        <v>NÃO PAVIMENTADA</v>
      </c>
      <c r="I1058" s="6" t="str">
        <f>IFERROR(__xludf.DUMMYFUNCTION("""COMPUTED_VALUE"""),"-9.584792")</f>
        <v>-9.584792</v>
      </c>
      <c r="J1058" s="6" t="str">
        <f>IFERROR(__xludf.DUMMYFUNCTION("""COMPUTED_VALUE"""),"-35.777563")</f>
        <v>-35.777563</v>
      </c>
      <c r="K1058" s="5" t="str">
        <f>IFERROR(__xludf.DUMMYFUNCTION("""COMPUTED_VALUE"""),"RUA ERMANI ROCHA CAVALCANTE PASSOS")</f>
        <v>RUA ERMANI ROCHA CAVALCANTE PASSOS</v>
      </c>
      <c r="L1058" s="5" t="str">
        <f>IFERROR(__xludf.DUMMYFUNCTION("""COMPUTED_VALUE"""),"LOCAL")</f>
        <v>LOCAL</v>
      </c>
      <c r="M1058" s="5" t="str">
        <f>IFERROR(__xludf.DUMMYFUNCTION("""COMPUTED_VALUE"""),"SANTA AMÉLIA")</f>
        <v>SANTA AMÉLIA</v>
      </c>
      <c r="N1058" s="5" t="str">
        <f>IFERROR(__xludf.DUMMYFUNCTION("""COMPUTED_VALUE"""),"BAIRRO - CENTRO")</f>
        <v>BAIRRO - CENTRO</v>
      </c>
      <c r="O1058" s="5" t="str">
        <f>IFERROR(__xludf.DUMMYFUNCTION("""COMPUTED_VALUE"""),"EM FRENTE A G7 COMUNICAÇÃO VISUAL")</f>
        <v>EM FRENTE A G7 COMUNICAÇÃO VISUAL</v>
      </c>
      <c r="P1058" s="5" t="str">
        <f>IFERROR(__xludf.DUMMYFUNCTION("""COMPUTED_VALUE"""),"PRIORIDADE MÉDIA")</f>
        <v>PRIORIDADE MÉDIA</v>
      </c>
      <c r="Q1058" s="5" t="str">
        <f>IFERROR(__xludf.DUMMYFUNCTION("""COMPUTED_VALUE"""),"READEQUAÇÃO DE CALÇADA COM ACESSIBILIDADE E LIMPEZA DE VEGETAÇÃO SELVAGEM CRESCENTE.")</f>
        <v>READEQUAÇÃO DE CALÇADA COM ACESSIBILIDADE E LIMPEZA DE VEGETAÇÃO SELVAGEM CRESCENTE.</v>
      </c>
      <c r="R1058" s="5" t="str">
        <f>IFERROR(__xludf.DUMMYFUNCTION("""COMPUTED_VALUE"""),"NENHUMA DAS OPÇÕES")</f>
        <v>NENHUMA DAS OPÇÕES</v>
      </c>
      <c r="S1058" s="5"/>
      <c r="T1058" s="5"/>
      <c r="U1058" s="5"/>
      <c r="V1058" s="9" t="str">
        <f>IFERROR(__xludf.DUMMYFUNCTION("""COMPUTED_VALUE"""),"https://drive.google.com/uc?id=1aLyLXAAUlLGoxbT98VobPnrqken_aX4Q")</f>
        <v>https://drive.google.com/uc?id=1aLyLXAAUlLGoxbT98VobPnrqken_aX4Q</v>
      </c>
      <c r="W1058" s="5" t="str">
        <f>IFERROR(__xludf.DUMMYFUNCTION("""COMPUTED_VALUE"""),"NÃO")</f>
        <v>NÃO</v>
      </c>
      <c r="X1058" s="5" t="str">
        <f>IFERROR(__xludf.DUMMYFUNCTION("""COMPUTED_VALUE"""),"NÃO")</f>
        <v>NÃO</v>
      </c>
    </row>
    <row r="1059" ht="15.75" hidden="1" customHeight="1">
      <c r="A1059" s="5">
        <f>IFERROR(__xludf.DUMMYFUNCTION("""COMPUTED_VALUE"""),4.0)</f>
        <v>4</v>
      </c>
      <c r="B1059" s="5" t="str">
        <f>IFERROR(__xludf.DUMMYFUNCTION("""COMPUTED_VALUE"""),"SA002")</f>
        <v>SA002</v>
      </c>
      <c r="C1059" s="5" t="str">
        <f>IFERROR(__xludf.DUMMYFUNCTION("""COMPUTED_VALUE"""),"NÃO POSSUI")</f>
        <v>NÃO POSSUI</v>
      </c>
      <c r="D1059" s="5" t="str">
        <f>IFERROR(__xludf.DUMMYFUNCTION("""COMPUTED_VALUE"""),"FIXADA EM POSTE")</f>
        <v>FIXADA EM POSTE</v>
      </c>
      <c r="E1059" s="5" t="str">
        <f>IFERROR(__xludf.DUMMYFUNCTION("""COMPUTED_VALUE"""),"SEM BAIA")</f>
        <v>SEM BAIA</v>
      </c>
      <c r="F1059" s="5" t="str">
        <f>IFERROR(__xludf.DUMMYFUNCTION("""COMPUTED_VALUE"""),"NÃO")</f>
        <v>NÃO</v>
      </c>
      <c r="G1059" s="5" t="str">
        <f>IFERROR(__xludf.DUMMYFUNCTION("""COMPUTED_VALUE"""),"NÃO")</f>
        <v>NÃO</v>
      </c>
      <c r="H1059" s="5" t="str">
        <f>IFERROR(__xludf.DUMMYFUNCTION("""COMPUTED_VALUE"""),"PAVIMENTADA")</f>
        <v>PAVIMENTADA</v>
      </c>
      <c r="I1059" s="6" t="str">
        <f>IFERROR(__xludf.DUMMYFUNCTION("""COMPUTED_VALUE"""),"-9.586598")</f>
        <v>-9.586598</v>
      </c>
      <c r="J1059" s="6" t="str">
        <f>IFERROR(__xludf.DUMMYFUNCTION("""COMPUTED_VALUE"""),"-35.778337")</f>
        <v>-35.778337</v>
      </c>
      <c r="K1059" s="5" t="str">
        <f>IFERROR(__xludf.DUMMYFUNCTION("""COMPUTED_VALUE"""),"AVENIDA JORGE MONTENEGRO BARROS")</f>
        <v>AVENIDA JORGE MONTENEGRO BARROS</v>
      </c>
      <c r="L1059" s="5" t="str">
        <f>IFERROR(__xludf.DUMMYFUNCTION("""COMPUTED_VALUE"""),"ARTERIAL ")</f>
        <v>ARTERIAL </v>
      </c>
      <c r="M1059" s="5" t="str">
        <f>IFERROR(__xludf.DUMMYFUNCTION("""COMPUTED_VALUE"""),"SANTA AMÉLIA")</f>
        <v>SANTA AMÉLIA</v>
      </c>
      <c r="N1059" s="5" t="str">
        <f>IFERROR(__xludf.DUMMYFUNCTION("""COMPUTED_VALUE"""),"BAIRRO - CENTRO")</f>
        <v>BAIRRO - CENTRO</v>
      </c>
      <c r="O1059" s="5" t="str">
        <f>IFERROR(__xludf.DUMMYFUNCTION("""COMPUTED_VALUE"""),"EM FRENTE AO GINÁSIO DO COLÉGIO DINÂMICO")</f>
        <v>EM FRENTE AO GINÁSIO DO COLÉGIO DINÂMICO</v>
      </c>
      <c r="P1059" s="5" t="str">
        <f>IFERROR(__xludf.DUMMYFUNCTION("""COMPUTED_VALUE"""),"PRIORIDADE MÉDIA")</f>
        <v>PRIORIDADE MÉDIA</v>
      </c>
      <c r="Q1059" s="5" t="str">
        <f>IFERROR(__xludf.DUMMYFUNCTION("""COMPUTED_VALUE"""),"READEQUAÇÃO DE CALÇADA COM ACESSIBILIDADE .")</f>
        <v>READEQUAÇÃO DE CALÇADA COM ACESSIBILIDADE .</v>
      </c>
      <c r="R1059" s="5" t="str">
        <f>IFERROR(__xludf.DUMMYFUNCTION("""COMPUTED_VALUE"""),"NENHUMA DAS OPÇÕES")</f>
        <v>NENHUMA DAS OPÇÕES</v>
      </c>
      <c r="S1059" s="5"/>
      <c r="T1059" s="5"/>
      <c r="U1059" s="5"/>
      <c r="V1059" s="9" t="str">
        <f>IFERROR(__xludf.DUMMYFUNCTION("""COMPUTED_VALUE"""),"https://drive.google.com/uc?id=1FsYwcjCrp_gB1o2ImCZKXc2dLqN4yPNf")</f>
        <v>https://drive.google.com/uc?id=1FsYwcjCrp_gB1o2ImCZKXc2dLqN4yPNf</v>
      </c>
      <c r="W1059" s="5" t="str">
        <f>IFERROR(__xludf.DUMMYFUNCTION("""COMPUTED_VALUE"""),"NÃO")</f>
        <v>NÃO</v>
      </c>
      <c r="X1059" s="5" t="str">
        <f>IFERROR(__xludf.DUMMYFUNCTION("""COMPUTED_VALUE"""),"NÃO")</f>
        <v>NÃO</v>
      </c>
    </row>
    <row r="1060" ht="21.0" customHeight="1">
      <c r="A1060" s="5">
        <f>IFERROR(__xludf.DUMMYFUNCTION("""COMPUTED_VALUE"""),4.0)</f>
        <v>4</v>
      </c>
      <c r="B1060" s="5" t="str">
        <f>IFERROR(__xludf.DUMMYFUNCTION("""COMPUTED_VALUE"""),"SA003")</f>
        <v>SA003</v>
      </c>
      <c r="C1060" s="5" t="str">
        <f>IFERROR(__xludf.DUMMYFUNCTION("""COMPUTED_VALUE"""),"ABRIGO CONCRETO")</f>
        <v>ABRIGO CONCRETO</v>
      </c>
      <c r="D1060" s="5" t="str">
        <f>IFERROR(__xludf.DUMMYFUNCTION("""COMPUTED_VALUE"""),"SEM PLACA")</f>
        <v>SEM PLACA</v>
      </c>
      <c r="E1060" s="5" t="str">
        <f>IFERROR(__xludf.DUMMYFUNCTION("""COMPUTED_VALUE"""),"SEM BAIA")</f>
        <v>SEM BAIA</v>
      </c>
      <c r="F1060" s="5" t="str">
        <f>IFERROR(__xludf.DUMMYFUNCTION("""COMPUTED_VALUE"""),"NÃO")</f>
        <v>NÃO</v>
      </c>
      <c r="G1060" s="5" t="str">
        <f>IFERROR(__xludf.DUMMYFUNCTION("""COMPUTED_VALUE"""),"NÃO")</f>
        <v>NÃO</v>
      </c>
      <c r="H1060" s="5" t="str">
        <f>IFERROR(__xludf.DUMMYFUNCTION("""COMPUTED_VALUE"""),"PAVIMENTADA")</f>
        <v>PAVIMENTADA</v>
      </c>
      <c r="I1060" s="6" t="str">
        <f>IFERROR(__xludf.DUMMYFUNCTION("""COMPUTED_VALUE"""),"-9.589773")</f>
        <v>-9.589773</v>
      </c>
      <c r="J1060" s="6" t="str">
        <f>IFERROR(__xludf.DUMMYFUNCTION("""COMPUTED_VALUE"""),"-35.776210")</f>
        <v>-35.776210</v>
      </c>
      <c r="K1060" s="5" t="str">
        <f>IFERROR(__xludf.DUMMYFUNCTION("""COMPUTED_VALUE"""),"AVENIDA JORGE MONTENEGRO BARROS")</f>
        <v>AVENIDA JORGE MONTENEGRO BARROS</v>
      </c>
      <c r="L1060" s="5" t="str">
        <f>IFERROR(__xludf.DUMMYFUNCTION("""COMPUTED_VALUE"""),"ARTERIAL ")</f>
        <v>ARTERIAL </v>
      </c>
      <c r="M1060" s="5" t="str">
        <f>IFERROR(__xludf.DUMMYFUNCTION("""COMPUTED_VALUE"""),"SANTA AMÉLIA")</f>
        <v>SANTA AMÉLIA</v>
      </c>
      <c r="N1060" s="5" t="str">
        <f>IFERROR(__xludf.DUMMYFUNCTION("""COMPUTED_VALUE"""),"BAIRRO - CENTRO")</f>
        <v>BAIRRO - CENTRO</v>
      </c>
      <c r="O1060" s="5" t="str">
        <f>IFERROR(__xludf.DUMMYFUNCTION("""COMPUTED_VALUE"""),"AO LADO DA ESTRELA SANDUBARIA")</f>
        <v>AO LADO DA ESTRELA SANDUBARIA</v>
      </c>
      <c r="P1060" s="5" t="str">
        <f>IFERROR(__xludf.DUMMYFUNCTION("""COMPUTED_VALUE"""),"PRIORIDADE MÉDIA")</f>
        <v>PRIORIDADE MÉDIA</v>
      </c>
      <c r="Q1060" s="5" t="str">
        <f>IFERROR(__xludf.DUMMYFUNCTION("""COMPUTED_VALUE"""),"READEQUAÇÃO DE CALÇADA COM ACESSIBILIDADE .")</f>
        <v>READEQUAÇÃO DE CALÇADA COM ACESSIBILIDADE .</v>
      </c>
      <c r="R1060" s="5" t="str">
        <f>IFERROR(__xludf.DUMMYFUNCTION("""COMPUTED_VALUE"""),"SUBSTITUIR ABRIGO")</f>
        <v>SUBSTITUIR ABRIGO</v>
      </c>
      <c r="S1060" s="5"/>
      <c r="T1060" s="5"/>
      <c r="U1060" s="5"/>
      <c r="V1060" s="9" t="str">
        <f>IFERROR(__xludf.DUMMYFUNCTION("""COMPUTED_VALUE"""),"https://drive.google.com/uc?id=1oH6Mr4Q0rQzGlVunA7vsyGdn3JHUo-yv")</f>
        <v>https://drive.google.com/uc?id=1oH6Mr4Q0rQzGlVunA7vsyGdn3JHUo-yv</v>
      </c>
      <c r="W1060" s="5" t="str">
        <f>IFERROR(__xludf.DUMMYFUNCTION("""COMPUTED_VALUE"""),"NÃO")</f>
        <v>NÃO</v>
      </c>
      <c r="X1060" s="5" t="str">
        <f>IFERROR(__xludf.DUMMYFUNCTION("""COMPUTED_VALUE"""),"NÃO")</f>
        <v>NÃO</v>
      </c>
    </row>
    <row r="1061" ht="19.5" hidden="1" customHeight="1">
      <c r="A1061" s="5">
        <f>IFERROR(__xludf.DUMMYFUNCTION("""COMPUTED_VALUE"""),4.0)</f>
        <v>4</v>
      </c>
      <c r="B1061" s="5" t="str">
        <f>IFERROR(__xludf.DUMMYFUNCTION("""COMPUTED_VALUE"""),"SA004")</f>
        <v>SA004</v>
      </c>
      <c r="C1061" s="5" t="str">
        <f>IFERROR(__xludf.DUMMYFUNCTION("""COMPUTED_VALUE"""),"NÃO POSSUI")</f>
        <v>NÃO POSSUI</v>
      </c>
      <c r="D1061" s="5" t="str">
        <f>IFERROR(__xludf.DUMMYFUNCTION("""COMPUTED_VALUE"""),"SEM PLACA")</f>
        <v>SEM PLACA</v>
      </c>
      <c r="E1061" s="5" t="str">
        <f>IFERROR(__xludf.DUMMYFUNCTION("""COMPUTED_VALUE"""),"SEM BAIA")</f>
        <v>SEM BAIA</v>
      </c>
      <c r="F1061" s="5" t="str">
        <f>IFERROR(__xludf.DUMMYFUNCTION("""COMPUTED_VALUE"""),"NÃO")</f>
        <v>NÃO</v>
      </c>
      <c r="G1061" s="5" t="str">
        <f>IFERROR(__xludf.DUMMYFUNCTION("""COMPUTED_VALUE"""),"NÃO")</f>
        <v>NÃO</v>
      </c>
      <c r="H1061" s="5" t="str">
        <f>IFERROR(__xludf.DUMMYFUNCTION("""COMPUTED_VALUE"""),"PAVIMENTADA")</f>
        <v>PAVIMENTADA</v>
      </c>
      <c r="I1061" s="6" t="str">
        <f>IFERROR(__xludf.DUMMYFUNCTION("""COMPUTED_VALUE"""),"-9.589702")</f>
        <v>-9.589702</v>
      </c>
      <c r="J1061" s="6" t="str">
        <f>IFERROR(__xludf.DUMMYFUNCTION("""COMPUTED_VALUE"""),"-35.776145")</f>
        <v>-35.776145</v>
      </c>
      <c r="K1061" s="5" t="str">
        <f>IFERROR(__xludf.DUMMYFUNCTION("""COMPUTED_VALUE"""),"AVENIDA JORGE MONTENEGRO BARROS")</f>
        <v>AVENIDA JORGE MONTENEGRO BARROS</v>
      </c>
      <c r="L1061" s="5" t="str">
        <f>IFERROR(__xludf.DUMMYFUNCTION("""COMPUTED_VALUE"""),"ARTERIAL ")</f>
        <v>ARTERIAL </v>
      </c>
      <c r="M1061" s="5" t="str">
        <f>IFERROR(__xludf.DUMMYFUNCTION("""COMPUTED_VALUE"""),"SANTA AMÉLIA")</f>
        <v>SANTA AMÉLIA</v>
      </c>
      <c r="N1061" s="5" t="str">
        <f>IFERROR(__xludf.DUMMYFUNCTION("""COMPUTED_VALUE"""),"CENTRO - BAIRRO")</f>
        <v>CENTRO - BAIRRO</v>
      </c>
      <c r="O1061" s="5" t="str">
        <f>IFERROR(__xludf.DUMMYFUNCTION("""COMPUTED_VALUE"""),"LADO OPOSTO A ESTRELA SANDUBARIA")</f>
        <v>LADO OPOSTO A ESTRELA SANDUBARIA</v>
      </c>
      <c r="P1061" s="5" t="str">
        <f>IFERROR(__xludf.DUMMYFUNCTION("""COMPUTED_VALUE"""),"PRIORIDADE MÉDIA")</f>
        <v>PRIORIDADE MÉDIA</v>
      </c>
      <c r="Q1061" s="5" t="str">
        <f>IFERROR(__xludf.DUMMYFUNCTION("""COMPUTED_VALUE"""),"READEQUAÇÃO DE CALÇADA COM ACESSIBILIDADE .")</f>
        <v>READEQUAÇÃO DE CALÇADA COM ACESSIBILIDADE .</v>
      </c>
      <c r="R1061" s="5" t="str">
        <f>IFERROR(__xludf.DUMMYFUNCTION("""COMPUTED_VALUE"""),"NENHUMA DAS OPÇÕES")</f>
        <v>NENHUMA DAS OPÇÕES</v>
      </c>
      <c r="S1061" s="5"/>
      <c r="T1061" s="5"/>
      <c r="U1061" s="5"/>
      <c r="V1061" s="9" t="str">
        <f>IFERROR(__xludf.DUMMYFUNCTION("""COMPUTED_VALUE"""),"https://drive.google.com/uc?id=1YnR78KphU908sjLXzcFvz-MTDbE8Lmgw")</f>
        <v>https://drive.google.com/uc?id=1YnR78KphU908sjLXzcFvz-MTDbE8Lmgw</v>
      </c>
      <c r="W1061" s="5" t="str">
        <f>IFERROR(__xludf.DUMMYFUNCTION("""COMPUTED_VALUE"""),"NÃO")</f>
        <v>NÃO</v>
      </c>
      <c r="X1061" s="5" t="str">
        <f>IFERROR(__xludf.DUMMYFUNCTION("""COMPUTED_VALUE"""),"NÃO")</f>
        <v>NÃO</v>
      </c>
    </row>
    <row r="1062">
      <c r="A1062" s="5">
        <f>IFERROR(__xludf.DUMMYFUNCTION("""COMPUTED_VALUE"""),4.0)</f>
        <v>4</v>
      </c>
      <c r="B1062" s="5" t="str">
        <f>IFERROR(__xludf.DUMMYFUNCTION("""COMPUTED_VALUE"""),"SA005")</f>
        <v>SA005</v>
      </c>
      <c r="C1062" s="5" t="str">
        <f>IFERROR(__xludf.DUMMYFUNCTION("""COMPUTED_VALUE"""),"ABRIGO CONCRETO")</f>
        <v>ABRIGO CONCRETO</v>
      </c>
      <c r="D1062" s="5" t="str">
        <f>IFERROR(__xludf.DUMMYFUNCTION("""COMPUTED_VALUE"""),"SEM PLACA")</f>
        <v>SEM PLACA</v>
      </c>
      <c r="E1062" s="5" t="str">
        <f>IFERROR(__xludf.DUMMYFUNCTION("""COMPUTED_VALUE"""),"SEM BAIA")</f>
        <v>SEM BAIA</v>
      </c>
      <c r="F1062" s="5" t="str">
        <f>IFERROR(__xludf.DUMMYFUNCTION("""COMPUTED_VALUE"""),"NÃO")</f>
        <v>NÃO</v>
      </c>
      <c r="G1062" s="5" t="str">
        <f>IFERROR(__xludf.DUMMYFUNCTION("""COMPUTED_VALUE"""),"NÃO")</f>
        <v>NÃO</v>
      </c>
      <c r="H1062" s="5" t="str">
        <f>IFERROR(__xludf.DUMMYFUNCTION("""COMPUTED_VALUE"""),"PAVIMENTADA")</f>
        <v>PAVIMENTADA</v>
      </c>
      <c r="I1062" s="6" t="str">
        <f>IFERROR(__xludf.DUMMYFUNCTION("""COMPUTED_VALUE"""),"-9.592737")</f>
        <v>-9.592737</v>
      </c>
      <c r="J1062" s="6" t="str">
        <f>IFERROR(__xludf.DUMMYFUNCTION("""COMPUTED_VALUE"""),"-35.773458")</f>
        <v>-35.773458</v>
      </c>
      <c r="K1062" s="5" t="str">
        <f>IFERROR(__xludf.DUMMYFUNCTION("""COMPUTED_VALUE"""),"AVENIDA JORGE MONTENEGRO BARROS")</f>
        <v>AVENIDA JORGE MONTENEGRO BARROS</v>
      </c>
      <c r="L1062" s="5" t="str">
        <f>IFERROR(__xludf.DUMMYFUNCTION("""COMPUTED_VALUE"""),"ARTERIAL ")</f>
        <v>ARTERIAL </v>
      </c>
      <c r="M1062" s="5" t="str">
        <f>IFERROR(__xludf.DUMMYFUNCTION("""COMPUTED_VALUE"""),"SANTA AMÉLIA")</f>
        <v>SANTA AMÉLIA</v>
      </c>
      <c r="N1062" s="5" t="str">
        <f>IFERROR(__xludf.DUMMYFUNCTION("""COMPUTED_VALUE"""),"BAIRRO - CENTRO")</f>
        <v>BAIRRO - CENTRO</v>
      </c>
      <c r="O1062" s="5" t="str">
        <f>IFERROR(__xludf.DUMMYFUNCTION("""COMPUTED_VALUE"""),"AO LADO DO AUTO POSTO TOTAL GIRO")</f>
        <v>AO LADO DO AUTO POSTO TOTAL GIRO</v>
      </c>
      <c r="P1062" s="5" t="str">
        <f>IFERROR(__xludf.DUMMYFUNCTION("""COMPUTED_VALUE"""),"PRIORIDADE MÉDIA")</f>
        <v>PRIORIDADE MÉDIA</v>
      </c>
      <c r="Q1062" s="5" t="str">
        <f>IFERROR(__xludf.DUMMYFUNCTION("""COMPUTED_VALUE"""),"ABRIGO DANIFICADO - REBOCO, PINTURA E ASSENTO DANIFICADO,  NECESSÁRIO FAZER LIMPEZA DA COBERTA. PINTURA DA SINALIZAÇÃO DA BAÍA NO ASFALTO, READEQUAÇÃO DE CALÇADA COM ACESSIBILIDADE")</f>
        <v>ABRIGO DANIFICADO - REBOCO, PINTURA E ASSENTO DANIFICADO,  NECESSÁRIO FAZER LIMPEZA DA COBERTA. PINTURA DA SINALIZAÇÃO DA BAÍA NO ASFALTO, READEQUAÇÃO DE CALÇADA COM ACESSIBILIDADE</v>
      </c>
      <c r="R1062" s="5" t="str">
        <f>IFERROR(__xludf.DUMMYFUNCTION("""COMPUTED_VALUE"""),"SUBSTITUIR ABRIGO")</f>
        <v>SUBSTITUIR ABRIGO</v>
      </c>
      <c r="S1062" s="5"/>
      <c r="T1062" s="5"/>
      <c r="U1062" s="5"/>
      <c r="V1062" s="9" t="str">
        <f>IFERROR(__xludf.DUMMYFUNCTION("""COMPUTED_VALUE"""),"https://drive.google.com/uc?id=1alRZLVWA7D6Z-EWO_sCR4AmT40hsQ2i7")</f>
        <v>https://drive.google.com/uc?id=1alRZLVWA7D6Z-EWO_sCR4AmT40hsQ2i7</v>
      </c>
      <c r="W1062" s="5" t="str">
        <f>IFERROR(__xludf.DUMMYFUNCTION("""COMPUTED_VALUE"""),"NÃO")</f>
        <v>NÃO</v>
      </c>
      <c r="X1062" s="5" t="str">
        <f>IFERROR(__xludf.DUMMYFUNCTION("""COMPUTED_VALUE"""),"NÃO")</f>
        <v>NÃO</v>
      </c>
    </row>
    <row r="1063" ht="20.25" hidden="1" customHeight="1">
      <c r="A1063" s="5">
        <f>IFERROR(__xludf.DUMMYFUNCTION("""COMPUTED_VALUE"""),4.0)</f>
        <v>4</v>
      </c>
      <c r="B1063" s="5" t="str">
        <f>IFERROR(__xludf.DUMMYFUNCTION("""COMPUTED_VALUE"""),"SA006")</f>
        <v>SA006</v>
      </c>
      <c r="C1063" s="5" t="str">
        <f>IFERROR(__xludf.DUMMYFUNCTION("""COMPUTED_VALUE"""),"NÃO POSSUI")</f>
        <v>NÃO POSSUI</v>
      </c>
      <c r="D1063" s="5" t="str">
        <f>IFERROR(__xludf.DUMMYFUNCTION("""COMPUTED_VALUE"""),"FIXADA EM POSTE")</f>
        <v>FIXADA EM POSTE</v>
      </c>
      <c r="E1063" s="5" t="str">
        <f>IFERROR(__xludf.DUMMYFUNCTION("""COMPUTED_VALUE"""),"SEM BAIA")</f>
        <v>SEM BAIA</v>
      </c>
      <c r="F1063" s="5" t="str">
        <f>IFERROR(__xludf.DUMMYFUNCTION("""COMPUTED_VALUE"""),"NÃO")</f>
        <v>NÃO</v>
      </c>
      <c r="G1063" s="5" t="str">
        <f>IFERROR(__xludf.DUMMYFUNCTION("""COMPUTED_VALUE"""),"NÃO")</f>
        <v>NÃO</v>
      </c>
      <c r="H1063" s="5" t="str">
        <f>IFERROR(__xludf.DUMMYFUNCTION("""COMPUTED_VALUE"""),"PAVIMENTADA")</f>
        <v>PAVIMENTADA</v>
      </c>
      <c r="I1063" s="6" t="str">
        <f>IFERROR(__xludf.DUMMYFUNCTION("""COMPUTED_VALUE"""),"-9.592225")</f>
        <v>-9.592225</v>
      </c>
      <c r="J1063" s="6" t="str">
        <f>IFERROR(__xludf.DUMMYFUNCTION("""COMPUTED_VALUE"""),"-35.772743")</f>
        <v>-35.772743</v>
      </c>
      <c r="K1063" s="5" t="str">
        <f>IFERROR(__xludf.DUMMYFUNCTION("""COMPUTED_VALUE"""),"CONJ. MEDEIROS NETO")</f>
        <v>CONJ. MEDEIROS NETO</v>
      </c>
      <c r="L1063" s="5" t="str">
        <f>IFERROR(__xludf.DUMMYFUNCTION("""COMPUTED_VALUE"""),"LOCAL")</f>
        <v>LOCAL</v>
      </c>
      <c r="M1063" s="5" t="str">
        <f>IFERROR(__xludf.DUMMYFUNCTION("""COMPUTED_VALUE"""),"SANTA AMÉLIA")</f>
        <v>SANTA AMÉLIA</v>
      </c>
      <c r="N1063" s="5" t="str">
        <f>IFERROR(__xludf.DUMMYFUNCTION("""COMPUTED_VALUE"""),"BAIRRO - CENTRO / CENTRO - BAIRRO")</f>
        <v>BAIRRO - CENTRO / CENTRO - BAIRRO</v>
      </c>
      <c r="O1063" s="5" t="str">
        <f>IFERROR(__xludf.DUMMYFUNCTION("""COMPUTED_VALUE"""),"EM FRENTE AO BLOCO 1A")</f>
        <v>EM FRENTE AO BLOCO 1A</v>
      </c>
      <c r="P1063" s="5" t="str">
        <f>IFERROR(__xludf.DUMMYFUNCTION("""COMPUTED_VALUE"""),"PRIORIDADE BAIXA")</f>
        <v>PRIORIDADE BAIXA</v>
      </c>
      <c r="Q1063" s="5" t="str">
        <f>IFERROR(__xludf.DUMMYFUNCTION("""COMPUTED_VALUE"""),"READEQUAÇÃO DE CALÇADA COM ACESSIBILIDADE E PINTURA DE BAÍA NO ASFALTO")</f>
        <v>READEQUAÇÃO DE CALÇADA COM ACESSIBILIDADE E PINTURA DE BAÍA NO ASFALTO</v>
      </c>
      <c r="R1063" s="5" t="str">
        <f>IFERROR(__xludf.DUMMYFUNCTION("""COMPUTED_VALUE"""),"IMPLANTAR ABRIGO")</f>
        <v>IMPLANTAR ABRIGO</v>
      </c>
      <c r="S1063" s="5"/>
      <c r="T1063" s="5"/>
      <c r="U1063" s="7">
        <f>IFERROR(__xludf.DUMMYFUNCTION("""COMPUTED_VALUE"""),44960.0)</f>
        <v>44960</v>
      </c>
      <c r="V1063" s="9" t="str">
        <f>IFERROR(__xludf.DUMMYFUNCTION("""COMPUTED_VALUE"""),"https://drive.google.com/uc?id=19pm2cSYM8V0-9iEhawaLs25mlk5RGKAY/")</f>
        <v>https://drive.google.com/uc?id=19pm2cSYM8V0-9iEhawaLs25mlk5RGKAY/</v>
      </c>
      <c r="W1063" s="5" t="str">
        <f>IFERROR(__xludf.DUMMYFUNCTION("""COMPUTED_VALUE"""),"NÃO")</f>
        <v>NÃO</v>
      </c>
      <c r="X1063" s="5" t="str">
        <f>IFERROR(__xludf.DUMMYFUNCTION("""COMPUTED_VALUE"""),"NÃO")</f>
        <v>NÃO</v>
      </c>
    </row>
    <row r="1064" ht="17.25" customHeight="1">
      <c r="A1064" s="5">
        <f>IFERROR(__xludf.DUMMYFUNCTION("""COMPUTED_VALUE"""),4.0)</f>
        <v>4</v>
      </c>
      <c r="B1064" s="5" t="str">
        <f>IFERROR(__xludf.DUMMYFUNCTION("""COMPUTED_VALUE"""),"SA007")</f>
        <v>SA007</v>
      </c>
      <c r="C1064" s="5" t="str">
        <f>IFERROR(__xludf.DUMMYFUNCTION("""COMPUTED_VALUE"""),"ABRIGO CONCRETO")</f>
        <v>ABRIGO CONCRETO</v>
      </c>
      <c r="D1064" s="5" t="str">
        <f>IFERROR(__xludf.DUMMYFUNCTION("""COMPUTED_VALUE"""),"SEM PLACA")</f>
        <v>SEM PLACA</v>
      </c>
      <c r="E1064" s="5" t="str">
        <f>IFERROR(__xludf.DUMMYFUNCTION("""COMPUTED_VALUE"""),"SEM BAIA")</f>
        <v>SEM BAIA</v>
      </c>
      <c r="F1064" s="5" t="str">
        <f>IFERROR(__xludf.DUMMYFUNCTION("""COMPUTED_VALUE"""),"NÃO")</f>
        <v>NÃO</v>
      </c>
      <c r="G1064" s="5" t="str">
        <f>IFERROR(__xludf.DUMMYFUNCTION("""COMPUTED_VALUE"""),"NÃO")</f>
        <v>NÃO</v>
      </c>
      <c r="H1064" s="5" t="str">
        <f>IFERROR(__xludf.DUMMYFUNCTION("""COMPUTED_VALUE"""),"PAVIMENTADA")</f>
        <v>PAVIMENTADA</v>
      </c>
      <c r="I1064" s="6" t="str">
        <f>IFERROR(__xludf.DUMMYFUNCTION("""COMPUTED_VALUE"""),"-9.593020")</f>
        <v>-9.593020</v>
      </c>
      <c r="J1064" s="6" t="str">
        <f>IFERROR(__xludf.DUMMYFUNCTION("""COMPUTED_VALUE"""),"-35.772947")</f>
        <v>-35.772947</v>
      </c>
      <c r="K1064" s="5" t="str">
        <f>IFERROR(__xludf.DUMMYFUNCTION("""COMPUTED_VALUE"""),"AVENIDA JORGE MONTENEGRO BARROS")</f>
        <v>AVENIDA JORGE MONTENEGRO BARROS</v>
      </c>
      <c r="L1064" s="5" t="str">
        <f>IFERROR(__xludf.DUMMYFUNCTION("""COMPUTED_VALUE"""),"ARTERIAL ")</f>
        <v>ARTERIAL </v>
      </c>
      <c r="M1064" s="5" t="str">
        <f>IFERROR(__xludf.DUMMYFUNCTION("""COMPUTED_VALUE"""),"SANTA AMÉLIA")</f>
        <v>SANTA AMÉLIA</v>
      </c>
      <c r="N1064" s="5" t="str">
        <f>IFERROR(__xludf.DUMMYFUNCTION("""COMPUTED_VALUE"""),"CENTRO - BAIRRO")</f>
        <v>CENTRO - BAIRRO</v>
      </c>
      <c r="O1064" s="5" t="str">
        <f>IFERROR(__xludf.DUMMYFUNCTION("""COMPUTED_VALUE"""),"EM FRENTE AO AUTO POSTO TOTAL GIRO")</f>
        <v>EM FRENTE AO AUTO POSTO TOTAL GIRO</v>
      </c>
      <c r="P1064" s="5" t="str">
        <f>IFERROR(__xludf.DUMMYFUNCTION("""COMPUTED_VALUE"""),"PRIORIDADE MÉDIA")</f>
        <v>PRIORIDADE MÉDIA</v>
      </c>
      <c r="Q1064" s="5" t="str">
        <f>IFERROR(__xludf.DUMMYFUNCTION("""COMPUTED_VALUE"""),"ABRIGO DANIFICADO - REBOCO, PINTURA E ASSENTO DANIFICADO,  NECESSÁRIO FAZER LIMPEZA DA COBERTA.
PINTURA DA SINALIZAÇÃO DA BAÍA NO ASFALTO, READEQUAÇÃO DE CALÇADA COM ACESSIBILIDADE.
")</f>
        <v>ABRIGO DANIFICADO - REBOCO, PINTURA E ASSENTO DANIFICADO,  NECESSÁRIO FAZER LIMPEZA DA COBERTA.
PINTURA DA SINALIZAÇÃO DA BAÍA NO ASFALTO, READEQUAÇÃO DE CALÇADA COM ACESSIBILIDADE.
</v>
      </c>
      <c r="R1064" s="5" t="str">
        <f>IFERROR(__xludf.DUMMYFUNCTION("""COMPUTED_VALUE"""),"SUBSTITUIR ABRIGO")</f>
        <v>SUBSTITUIR ABRIGO</v>
      </c>
      <c r="S1064" s="5"/>
      <c r="T1064" s="5"/>
      <c r="U1064" s="5"/>
      <c r="V1064" s="9" t="str">
        <f>IFERROR(__xludf.DUMMYFUNCTION("""COMPUTED_VALUE"""),"https://drive.google.com/uc?id=1sQQEXFYpzZFpE8gf2g4ajwYvbTZp-oZQ")</f>
        <v>https://drive.google.com/uc?id=1sQQEXFYpzZFpE8gf2g4ajwYvbTZp-oZQ</v>
      </c>
      <c r="W1064" s="5" t="str">
        <f>IFERROR(__xludf.DUMMYFUNCTION("""COMPUTED_VALUE"""),"NÃO")</f>
        <v>NÃO</v>
      </c>
      <c r="X1064" s="5" t="str">
        <f>IFERROR(__xludf.DUMMYFUNCTION("""COMPUTED_VALUE"""),"NÃO")</f>
        <v>NÃO</v>
      </c>
    </row>
    <row r="1065" ht="16.5" customHeight="1">
      <c r="A1065" s="5">
        <f>IFERROR(__xludf.DUMMYFUNCTION("""COMPUTED_VALUE"""),4.0)</f>
        <v>4</v>
      </c>
      <c r="B1065" s="5" t="str">
        <f>IFERROR(__xludf.DUMMYFUNCTION("""COMPUTED_VALUE"""),"SA008")</f>
        <v>SA008</v>
      </c>
      <c r="C1065" s="5" t="str">
        <f>IFERROR(__xludf.DUMMYFUNCTION("""COMPUTED_VALUE"""),"ABRIGO CONCRETO")</f>
        <v>ABRIGO CONCRETO</v>
      </c>
      <c r="D1065" s="5" t="str">
        <f>IFERROR(__xludf.DUMMYFUNCTION("""COMPUTED_VALUE"""),"SEM PLACA")</f>
        <v>SEM PLACA</v>
      </c>
      <c r="E1065" s="5" t="str">
        <f>IFERROR(__xludf.DUMMYFUNCTION("""COMPUTED_VALUE"""),"SEM BAIA")</f>
        <v>SEM BAIA</v>
      </c>
      <c r="F1065" s="5" t="str">
        <f>IFERROR(__xludf.DUMMYFUNCTION("""COMPUTED_VALUE"""),"NÃO")</f>
        <v>NÃO</v>
      </c>
      <c r="G1065" s="5" t="str">
        <f>IFERROR(__xludf.DUMMYFUNCTION("""COMPUTED_VALUE"""),"NÃO")</f>
        <v>NÃO</v>
      </c>
      <c r="H1065" s="5" t="str">
        <f>IFERROR(__xludf.DUMMYFUNCTION("""COMPUTED_VALUE"""),"NÃO PAVIMENTADA")</f>
        <v>NÃO PAVIMENTADA</v>
      </c>
      <c r="I1065" s="6" t="str">
        <f>IFERROR(__xludf.DUMMYFUNCTION("""COMPUTED_VALUE"""),"-9.595815")</f>
        <v>-9.595815</v>
      </c>
      <c r="J1065" s="6" t="str">
        <f>IFERROR(__xludf.DUMMYFUNCTION("""COMPUTED_VALUE"""),"-35.771608
")</f>
        <v>-35.771608
</v>
      </c>
      <c r="K1065" s="5" t="str">
        <f>IFERROR(__xludf.DUMMYFUNCTION("""COMPUTED_VALUE"""),"AVENIDA JORGE MONTENEGRO BARROS")</f>
        <v>AVENIDA JORGE MONTENEGRO BARROS</v>
      </c>
      <c r="L1065" s="5" t="str">
        <f>IFERROR(__xludf.DUMMYFUNCTION("""COMPUTED_VALUE"""),"ARTERIAL ")</f>
        <v>ARTERIAL </v>
      </c>
      <c r="M1065" s="5" t="str">
        <f>IFERROR(__xludf.DUMMYFUNCTION("""COMPUTED_VALUE"""),"SANTA AMÉLIA")</f>
        <v>SANTA AMÉLIA</v>
      </c>
      <c r="N1065" s="5" t="str">
        <f>IFERROR(__xludf.DUMMYFUNCTION("""COMPUTED_VALUE"""),"CENTRO - BAIRRO")</f>
        <v>CENTRO - BAIRRO</v>
      </c>
      <c r="O1065" s="5" t="str">
        <f>IFERROR(__xludf.DUMMYFUNCTION("""COMPUTED_VALUE"""),"EM FRENTE AO RESIDENCIAL MIRANTE DA LAGOA")</f>
        <v>EM FRENTE AO RESIDENCIAL MIRANTE DA LAGOA</v>
      </c>
      <c r="P1065" s="5" t="str">
        <f>IFERROR(__xludf.DUMMYFUNCTION("""COMPUTED_VALUE"""),"PRIORIDADE MÉDIA")</f>
        <v>PRIORIDADE MÉDIA</v>
      </c>
      <c r="Q1065" s="5" t="str">
        <f>IFERROR(__xludf.DUMMYFUNCTION("""COMPUTED_VALUE"""),"ABRIGO DANIFICADO - REBOCO, PINTURA E ASSENTO DANIFICADO,  NECESSÁRIO FAZER LIMPEZA DA COBERTA.
PINTURA DA SINALIZAÇÃO DA BAÍA NO ASFALTO, READEQUAÇÃO DE CALÇADA COM ACESSIBILIDADE.
")</f>
        <v>ABRIGO DANIFICADO - REBOCO, PINTURA E ASSENTO DANIFICADO,  NECESSÁRIO FAZER LIMPEZA DA COBERTA.
PINTURA DA SINALIZAÇÃO DA BAÍA NO ASFALTO, READEQUAÇÃO DE CALÇADA COM ACESSIBILIDADE.
</v>
      </c>
      <c r="R1065" s="5" t="str">
        <f>IFERROR(__xludf.DUMMYFUNCTION("""COMPUTED_VALUE"""),"SUBSTITUIR ABRIGO")</f>
        <v>SUBSTITUIR ABRIGO</v>
      </c>
      <c r="S1065" s="5"/>
      <c r="T1065" s="5"/>
      <c r="U1065" s="5"/>
      <c r="V1065" s="9" t="str">
        <f>IFERROR(__xludf.DUMMYFUNCTION("""COMPUTED_VALUE"""),"https://drive.google.com/uc?id=1Ao2uxb6X0ZQH4-rUa0k1rB_Ea5ixl6XS")</f>
        <v>https://drive.google.com/uc?id=1Ao2uxb6X0ZQH4-rUa0k1rB_Ea5ixl6XS</v>
      </c>
      <c r="W1065" s="5" t="str">
        <f>IFERROR(__xludf.DUMMYFUNCTION("""COMPUTED_VALUE"""),"NÃO")</f>
        <v>NÃO</v>
      </c>
      <c r="X1065" s="5" t="str">
        <f>IFERROR(__xludf.DUMMYFUNCTION("""COMPUTED_VALUE"""),"NÃO")</f>
        <v>NÃO</v>
      </c>
    </row>
    <row r="1066" ht="16.5" customHeight="1">
      <c r="A1066" s="5">
        <f>IFERROR(__xludf.DUMMYFUNCTION("""COMPUTED_VALUE"""),4.0)</f>
        <v>4</v>
      </c>
      <c r="B1066" s="5" t="str">
        <f>IFERROR(__xludf.DUMMYFUNCTION("""COMPUTED_VALUE"""),"SA009")</f>
        <v>SA009</v>
      </c>
      <c r="C1066" s="5" t="str">
        <f>IFERROR(__xludf.DUMMYFUNCTION("""COMPUTED_VALUE"""),"ABRIGO CONCRETO")</f>
        <v>ABRIGO CONCRETO</v>
      </c>
      <c r="D1066" s="5" t="str">
        <f>IFERROR(__xludf.DUMMYFUNCTION("""COMPUTED_VALUE"""),"SEM PLACA")</f>
        <v>SEM PLACA</v>
      </c>
      <c r="E1066" s="5" t="str">
        <f>IFERROR(__xludf.DUMMYFUNCTION("""COMPUTED_VALUE"""),"SEM BAIA")</f>
        <v>SEM BAIA</v>
      </c>
      <c r="F1066" s="5" t="str">
        <f>IFERROR(__xludf.DUMMYFUNCTION("""COMPUTED_VALUE"""),"NÃO")</f>
        <v>NÃO</v>
      </c>
      <c r="G1066" s="5" t="str">
        <f>IFERROR(__xludf.DUMMYFUNCTION("""COMPUTED_VALUE"""),"NÃO")</f>
        <v>NÃO</v>
      </c>
      <c r="H1066" s="5" t="str">
        <f>IFERROR(__xludf.DUMMYFUNCTION("""COMPUTED_VALUE"""),"NÃO PAVIMENTADA")</f>
        <v>NÃO PAVIMENTADA</v>
      </c>
      <c r="I1066" s="6" t="str">
        <f>IFERROR(__xludf.DUMMYFUNCTION("""COMPUTED_VALUE"""),"-9.596475")</f>
        <v>-9.596475</v>
      </c>
      <c r="J1066" s="6" t="str">
        <f>IFERROR(__xludf.DUMMYFUNCTION("""COMPUTED_VALUE"""),"-35.771630
")</f>
        <v>-35.771630
</v>
      </c>
      <c r="K1066" s="5" t="str">
        <f>IFERROR(__xludf.DUMMYFUNCTION("""COMPUTED_VALUE"""),"AVENIDA JORGE MONTENEGRO BARROS")</f>
        <v>AVENIDA JORGE MONTENEGRO BARROS</v>
      </c>
      <c r="L1066" s="5" t="str">
        <f>IFERROR(__xludf.DUMMYFUNCTION("""COMPUTED_VALUE"""),"ARTERIAL ")</f>
        <v>ARTERIAL </v>
      </c>
      <c r="M1066" s="5" t="str">
        <f>IFERROR(__xludf.DUMMYFUNCTION("""COMPUTED_VALUE"""),"SANTA AMÉLIA")</f>
        <v>SANTA AMÉLIA</v>
      </c>
      <c r="N1066" s="5" t="str">
        <f>IFERROR(__xludf.DUMMYFUNCTION("""COMPUTED_VALUE"""),"BAIRRO - CENTRO")</f>
        <v>BAIRRO - CENTRO</v>
      </c>
      <c r="O1066" s="5" t="str">
        <f>IFERROR(__xludf.DUMMYFUNCTION("""COMPUTED_VALUE"""),"EM FRENTE A GARAGEM DA SÃO FRANCISCO")</f>
        <v>EM FRENTE A GARAGEM DA SÃO FRANCISCO</v>
      </c>
      <c r="P1066" s="5" t="str">
        <f>IFERROR(__xludf.DUMMYFUNCTION("""COMPUTED_VALUE"""),"PRIORIDADE MÉDIA")</f>
        <v>PRIORIDADE MÉDIA</v>
      </c>
      <c r="Q1066" s="5" t="str">
        <f>IFERROR(__xludf.DUMMYFUNCTION("""COMPUTED_VALUE"""),"ABRIGO DANIFICADO - REBOCO, PINTURA E ASSENTO DANIFICADO,  NECESSÁRIO FAZER LIMPEZA DA COBERTA.
PINTURA DA SINALIZAÇÃO DA BAÍA NO ASFALTO, READEQUAÇÃO DE CALÇADA COM ACESSIBILIDADE.
")</f>
        <v>ABRIGO DANIFICADO - REBOCO, PINTURA E ASSENTO DANIFICADO,  NECESSÁRIO FAZER LIMPEZA DA COBERTA.
PINTURA DA SINALIZAÇÃO DA BAÍA NO ASFALTO, READEQUAÇÃO DE CALÇADA COM ACESSIBILIDADE.
</v>
      </c>
      <c r="R1066" s="5" t="str">
        <f>IFERROR(__xludf.DUMMYFUNCTION("""COMPUTED_VALUE"""),"SUBSTITUIR ABRIGO")</f>
        <v>SUBSTITUIR ABRIGO</v>
      </c>
      <c r="S1066" s="5"/>
      <c r="T1066" s="5"/>
      <c r="U1066" s="5"/>
      <c r="V1066" s="9" t="str">
        <f>IFERROR(__xludf.DUMMYFUNCTION("""COMPUTED_VALUE"""),"https://drive.google.com/uc?id=1HCFp3CTDSI18OpDGJDtNY5yDihmVxdmp")</f>
        <v>https://drive.google.com/uc?id=1HCFp3CTDSI18OpDGJDtNY5yDihmVxdmp</v>
      </c>
      <c r="W1066" s="5" t="str">
        <f>IFERROR(__xludf.DUMMYFUNCTION("""COMPUTED_VALUE"""),"NÃO")</f>
        <v>NÃO</v>
      </c>
      <c r="X1066" s="5" t="str">
        <f>IFERROR(__xludf.DUMMYFUNCTION("""COMPUTED_VALUE"""),"NÃO")</f>
        <v>NÃO</v>
      </c>
    </row>
    <row r="1067" hidden="1">
      <c r="A1067" s="5">
        <f>IFERROR(__xludf.DUMMYFUNCTION("""COMPUTED_VALUE"""),4.0)</f>
        <v>4</v>
      </c>
      <c r="B1067" s="5" t="str">
        <f>IFERROR(__xludf.DUMMYFUNCTION("""COMPUTED_VALUE"""),"SA010")</f>
        <v>SA010</v>
      </c>
      <c r="C1067" s="5" t="str">
        <f>IFERROR(__xludf.DUMMYFUNCTION("""COMPUTED_VALUE"""),"NÃO POSSUI")</f>
        <v>NÃO POSSUI</v>
      </c>
      <c r="D1067" s="5" t="str">
        <f>IFERROR(__xludf.DUMMYFUNCTION("""COMPUTED_VALUE"""),"FIXADA EM POSTE")</f>
        <v>FIXADA EM POSTE</v>
      </c>
      <c r="E1067" s="5" t="str">
        <f>IFERROR(__xludf.DUMMYFUNCTION("""COMPUTED_VALUE"""),"SEM BAIA")</f>
        <v>SEM BAIA</v>
      </c>
      <c r="F1067" s="5" t="str">
        <f>IFERROR(__xludf.DUMMYFUNCTION("""COMPUTED_VALUE"""),"NÃO")</f>
        <v>NÃO</v>
      </c>
      <c r="G1067" s="5" t="str">
        <f>IFERROR(__xludf.DUMMYFUNCTION("""COMPUTED_VALUE"""),"NÃO")</f>
        <v>NÃO</v>
      </c>
      <c r="H1067" s="5" t="str">
        <f>IFERROR(__xludf.DUMMYFUNCTION("""COMPUTED_VALUE"""),"NÃO PAVIMENTADA")</f>
        <v>NÃO PAVIMENTADA</v>
      </c>
      <c r="I1067" s="6" t="str">
        <f>IFERROR(__xludf.DUMMYFUNCTION("""COMPUTED_VALUE"""),"-9.592225")</f>
        <v>-9.592225</v>
      </c>
      <c r="J1067" s="6" t="str">
        <f>IFERROR(__xludf.DUMMYFUNCTION("""COMPUTED_VALUE"""),"-35.772743
")</f>
        <v>-35.772743
</v>
      </c>
      <c r="K1067" s="5" t="str">
        <f>IFERROR(__xludf.DUMMYFUNCTION("""COMPUTED_VALUE"""),"AVENIDA JORGE MONTENEGRO BARROS")</f>
        <v>AVENIDA JORGE MONTENEGRO BARROS</v>
      </c>
      <c r="L1067" s="5" t="str">
        <f>IFERROR(__xludf.DUMMYFUNCTION("""COMPUTED_VALUE"""),"ARTERIAL ")</f>
        <v>ARTERIAL </v>
      </c>
      <c r="M1067" s="5" t="str">
        <f>IFERROR(__xludf.DUMMYFUNCTION("""COMPUTED_VALUE"""),"SANTA AMÉLIA")</f>
        <v>SANTA AMÉLIA</v>
      </c>
      <c r="N1067" s="5" t="str">
        <f>IFERROR(__xludf.DUMMYFUNCTION("""COMPUTED_VALUE"""),"CENTRO - BAIRRO")</f>
        <v>CENTRO - BAIRRO</v>
      </c>
      <c r="O1067" s="5" t="str">
        <f>IFERROR(__xludf.DUMMYFUNCTION("""COMPUTED_VALUE"""),"EM FRENTE AO REI DA LANTERNAGEM")</f>
        <v>EM FRENTE AO REI DA LANTERNAGEM</v>
      </c>
      <c r="P1067" s="5" t="str">
        <f>IFERROR(__xludf.DUMMYFUNCTION("""COMPUTED_VALUE"""),"PRIORIDADE MÉDIA")</f>
        <v>PRIORIDADE MÉDIA</v>
      </c>
      <c r="Q1067" s="5" t="str">
        <f>IFERROR(__xludf.DUMMYFUNCTION("""COMPUTED_VALUE"""),"READEQUAÇÃO DE CALÇADA COM ACESSIBILIDADE")</f>
        <v>READEQUAÇÃO DE CALÇADA COM ACESSIBILIDADE</v>
      </c>
      <c r="R1067" s="5" t="str">
        <f>IFERROR(__xludf.DUMMYFUNCTION("""COMPUTED_VALUE"""),"NENHUMA DAS OPÇÕES")</f>
        <v>NENHUMA DAS OPÇÕES</v>
      </c>
      <c r="S1067" s="5"/>
      <c r="T1067" s="5"/>
      <c r="U1067" s="5"/>
      <c r="V1067" s="9" t="str">
        <f>IFERROR(__xludf.DUMMYFUNCTION("""COMPUTED_VALUE"""),"https://drive.google.com/uc?id=1y1N5SPIaZWxVd0HR6FAcEz3a9yIFDE13")</f>
        <v>https://drive.google.com/uc?id=1y1N5SPIaZWxVd0HR6FAcEz3a9yIFDE13</v>
      </c>
      <c r="W1067" s="5" t="str">
        <f>IFERROR(__xludf.DUMMYFUNCTION("""COMPUTED_VALUE"""),"NÃO")</f>
        <v>NÃO</v>
      </c>
      <c r="X1067" s="5" t="str">
        <f>IFERROR(__xludf.DUMMYFUNCTION("""COMPUTED_VALUE"""),"NÃO")</f>
        <v>NÃO</v>
      </c>
    </row>
    <row r="1068" ht="18.0" customHeight="1">
      <c r="A1068" s="5">
        <f>IFERROR(__xludf.DUMMYFUNCTION("""COMPUTED_VALUE"""),4.0)</f>
        <v>4</v>
      </c>
      <c r="B1068" s="5" t="str">
        <f>IFERROR(__xludf.DUMMYFUNCTION("""COMPUTED_VALUE"""),"SA011")</f>
        <v>SA011</v>
      </c>
      <c r="C1068" s="5" t="str">
        <f>IFERROR(__xludf.DUMMYFUNCTION("""COMPUTED_VALUE"""),"ABRIGO CONCRETO")</f>
        <v>ABRIGO CONCRETO</v>
      </c>
      <c r="D1068" s="5" t="str">
        <f>IFERROR(__xludf.DUMMYFUNCTION("""COMPUTED_VALUE"""),"SEM PLACA")</f>
        <v>SEM PLACA</v>
      </c>
      <c r="E1068" s="5" t="str">
        <f>IFERROR(__xludf.DUMMYFUNCTION("""COMPUTED_VALUE"""),"SEM BAIA")</f>
        <v>SEM BAIA</v>
      </c>
      <c r="F1068" s="5" t="str">
        <f>IFERROR(__xludf.DUMMYFUNCTION("""COMPUTED_VALUE"""),"NÃO")</f>
        <v>NÃO</v>
      </c>
      <c r="G1068" s="5" t="str">
        <f>IFERROR(__xludf.DUMMYFUNCTION("""COMPUTED_VALUE"""),"NÃO")</f>
        <v>NÃO</v>
      </c>
      <c r="H1068" s="5" t="str">
        <f>IFERROR(__xludf.DUMMYFUNCTION("""COMPUTED_VALUE"""),"NÃO PAVIMENTADA")</f>
        <v>NÃO PAVIMENTADA</v>
      </c>
      <c r="I1068" s="6" t="str">
        <f>IFERROR(__xludf.DUMMYFUNCTION("""COMPUTED_VALUE"""),"-9.598975 ")</f>
        <v>-9.598975 </v>
      </c>
      <c r="J1068" s="6" t="str">
        <f>IFERROR(__xludf.DUMMYFUNCTION("""COMPUTED_VALUE"""),"-35.771055
")</f>
        <v>-35.771055
</v>
      </c>
      <c r="K1068" s="5" t="str">
        <f>IFERROR(__xludf.DUMMYFUNCTION("""COMPUTED_VALUE"""),"AVENIDA JORGE MONTENEGRO BARROS")</f>
        <v>AVENIDA JORGE MONTENEGRO BARROS</v>
      </c>
      <c r="L1068" s="5" t="str">
        <f>IFERROR(__xludf.DUMMYFUNCTION("""COMPUTED_VALUE"""),"ARTERIAL ")</f>
        <v>ARTERIAL </v>
      </c>
      <c r="M1068" s="5" t="str">
        <f>IFERROR(__xludf.DUMMYFUNCTION("""COMPUTED_VALUE"""),"SANTA AMÉLIA")</f>
        <v>SANTA AMÉLIA</v>
      </c>
      <c r="N1068" s="5" t="str">
        <f>IFERROR(__xludf.DUMMYFUNCTION("""COMPUTED_VALUE"""),"BAIRRO - CENTRO")</f>
        <v>BAIRRO - CENTRO</v>
      </c>
      <c r="O1068" s="5" t="str">
        <f>IFERROR(__xludf.DUMMYFUNCTION("""COMPUTED_VALUE"""),"ANTES DO RESIDENCIAL ALTO DA LAGO")</f>
        <v>ANTES DO RESIDENCIAL ALTO DA LAGO</v>
      </c>
      <c r="P1068" s="5" t="str">
        <f>IFERROR(__xludf.DUMMYFUNCTION("""COMPUTED_VALUE"""),"PRIORIDADE MÉDIA")</f>
        <v>PRIORIDADE MÉDIA</v>
      </c>
      <c r="Q1068" s="5" t="str">
        <f>IFERROR(__xludf.DUMMYFUNCTION("""COMPUTED_VALUE"""),"ABRIGO DANIFICADO - REBOCO, PINTURA E ASSENTO DANIFICADO,  NECESSÁRIO FAZER LIMPEZA DA COBERTA.
PINTURA DA SINALIZAÇÃO DA BAÍA NO ASFALTO, READEQUAÇÃO DE CALÇADA COM ACESSIBILIDADE.
")</f>
        <v>ABRIGO DANIFICADO - REBOCO, PINTURA E ASSENTO DANIFICADO,  NECESSÁRIO FAZER LIMPEZA DA COBERTA.
PINTURA DA SINALIZAÇÃO DA BAÍA NO ASFALTO, READEQUAÇÃO DE CALÇADA COM ACESSIBILIDADE.
</v>
      </c>
      <c r="R1068" s="5" t="str">
        <f>IFERROR(__xludf.DUMMYFUNCTION("""COMPUTED_VALUE"""),"SUBSTITUIR ABRIGO")</f>
        <v>SUBSTITUIR ABRIGO</v>
      </c>
      <c r="S1068" s="5"/>
      <c r="T1068" s="5"/>
      <c r="U1068" s="5"/>
      <c r="V1068" s="9" t="str">
        <f>IFERROR(__xludf.DUMMYFUNCTION("""COMPUTED_VALUE"""),"https://drive.google.com/uc?id=1kEnJFWDx3iz433Z7G3WyMBHNy7ZGDWhO")</f>
        <v>https://drive.google.com/uc?id=1kEnJFWDx3iz433Z7G3WyMBHNy7ZGDWhO</v>
      </c>
      <c r="W1068" s="5" t="str">
        <f>IFERROR(__xludf.DUMMYFUNCTION("""COMPUTED_VALUE"""),"NÃO")</f>
        <v>NÃO</v>
      </c>
      <c r="X1068" s="5" t="str">
        <f>IFERROR(__xludf.DUMMYFUNCTION("""COMPUTED_VALUE"""),"NÃO")</f>
        <v>NÃO</v>
      </c>
    </row>
    <row r="1069" ht="18.0" customHeight="1">
      <c r="A1069" s="5">
        <f>IFERROR(__xludf.DUMMYFUNCTION("""COMPUTED_VALUE"""),4.0)</f>
        <v>4</v>
      </c>
      <c r="B1069" s="5" t="str">
        <f>IFERROR(__xludf.DUMMYFUNCTION("""COMPUTED_VALUE"""),"SA012")</f>
        <v>SA012</v>
      </c>
      <c r="C1069" s="5" t="str">
        <f>IFERROR(__xludf.DUMMYFUNCTION("""COMPUTED_VALUE"""),"ABRIGO CONCRETO")</f>
        <v>ABRIGO CONCRETO</v>
      </c>
      <c r="D1069" s="5" t="str">
        <f>IFERROR(__xludf.DUMMYFUNCTION("""COMPUTED_VALUE"""),"SEM PLACA")</f>
        <v>SEM PLACA</v>
      </c>
      <c r="E1069" s="5" t="str">
        <f>IFERROR(__xludf.DUMMYFUNCTION("""COMPUTED_VALUE"""),"SEM BAIA")</f>
        <v>SEM BAIA</v>
      </c>
      <c r="F1069" s="5" t="str">
        <f>IFERROR(__xludf.DUMMYFUNCTION("""COMPUTED_VALUE"""),"NÃO")</f>
        <v>NÃO</v>
      </c>
      <c r="G1069" s="5" t="str">
        <f>IFERROR(__xludf.DUMMYFUNCTION("""COMPUTED_VALUE"""),"NÃO")</f>
        <v>NÃO</v>
      </c>
      <c r="H1069" s="5" t="str">
        <f>IFERROR(__xludf.DUMMYFUNCTION("""COMPUTED_VALUE"""),"PAVIMENTADA COM AVARIAS")</f>
        <v>PAVIMENTADA COM AVARIAS</v>
      </c>
      <c r="I1069" s="6" t="str">
        <f>IFERROR(__xludf.DUMMYFUNCTION("""COMPUTED_VALUE"""),"-9.600491")</f>
        <v>-9.600491</v>
      </c>
      <c r="J1069" s="6" t="str">
        <f>IFERROR(__xludf.DUMMYFUNCTION("""COMPUTED_VALUE"""),"-35.770611
")</f>
        <v>-35.770611
</v>
      </c>
      <c r="K1069" s="5" t="str">
        <f>IFERROR(__xludf.DUMMYFUNCTION("""COMPUTED_VALUE"""),"AVENIDA JORGE MONTENEGRO BARROS")</f>
        <v>AVENIDA JORGE MONTENEGRO BARROS</v>
      </c>
      <c r="L1069" s="5" t="str">
        <f>IFERROR(__xludf.DUMMYFUNCTION("""COMPUTED_VALUE"""),"ARTERIAL ")</f>
        <v>ARTERIAL </v>
      </c>
      <c r="M1069" s="5" t="str">
        <f>IFERROR(__xludf.DUMMYFUNCTION("""COMPUTED_VALUE"""),"SANTA AMÉLIA")</f>
        <v>SANTA AMÉLIA</v>
      </c>
      <c r="N1069" s="5" t="str">
        <f>IFERROR(__xludf.DUMMYFUNCTION("""COMPUTED_VALUE"""),"CENTRO - BAIRRO")</f>
        <v>CENTRO - BAIRRO</v>
      </c>
      <c r="O1069" s="5" t="str">
        <f>IFERROR(__xludf.DUMMYFUNCTION("""COMPUTED_VALUE"""),"EM FRENTE A PANIFICAÇÃO ALVORADA")</f>
        <v>EM FRENTE A PANIFICAÇÃO ALVORADA</v>
      </c>
      <c r="P1069" s="5" t="str">
        <f>IFERROR(__xludf.DUMMYFUNCTION("""COMPUTED_VALUE"""),"PRIORIDADE MÉDIA")</f>
        <v>PRIORIDADE MÉDIA</v>
      </c>
      <c r="Q1069" s="5" t="str">
        <f>IFERROR(__xludf.DUMMYFUNCTION("""COMPUTED_VALUE"""),"ABRIGO DANIFICADO - REBOCO, PINTURA E ASSENTO DANIFICADO,  NECESSÁRIO FAZER LIMPEZA DA COBERTA.
PINTURA DA SINALIZAÇÃO DA BAÍA NO ASFALTO, READEQUAÇÃO DE CALÇADA COM ACESSIBILIDADE.
")</f>
        <v>ABRIGO DANIFICADO - REBOCO, PINTURA E ASSENTO DANIFICADO,  NECESSÁRIO FAZER LIMPEZA DA COBERTA.
PINTURA DA SINALIZAÇÃO DA BAÍA NO ASFALTO, READEQUAÇÃO DE CALÇADA COM ACESSIBILIDADE.
</v>
      </c>
      <c r="R1069" s="5" t="str">
        <f>IFERROR(__xludf.DUMMYFUNCTION("""COMPUTED_VALUE"""),"SUBSTITUIR ABRIGO")</f>
        <v>SUBSTITUIR ABRIGO</v>
      </c>
      <c r="S1069" s="5"/>
      <c r="T1069" s="5"/>
      <c r="U1069" s="5"/>
      <c r="V1069" s="9" t="str">
        <f>IFERROR(__xludf.DUMMYFUNCTION("""COMPUTED_VALUE"""),"https://drive.google.com/uc?id=1BIoiErkBsNyp1fbzIEd3s2wL908OJK2h")</f>
        <v>https://drive.google.com/uc?id=1BIoiErkBsNyp1fbzIEd3s2wL908OJK2h</v>
      </c>
      <c r="W1069" s="5" t="str">
        <f>IFERROR(__xludf.DUMMYFUNCTION("""COMPUTED_VALUE"""),"NÃO")</f>
        <v>NÃO</v>
      </c>
      <c r="X1069" s="5" t="str">
        <f>IFERROR(__xludf.DUMMYFUNCTION("""COMPUTED_VALUE"""),"NÃO")</f>
        <v>NÃO</v>
      </c>
    </row>
    <row r="1070" ht="16.5" customHeight="1">
      <c r="A1070" s="5">
        <f>IFERROR(__xludf.DUMMYFUNCTION("""COMPUTED_VALUE"""),4.0)</f>
        <v>4</v>
      </c>
      <c r="B1070" s="5" t="str">
        <f>IFERROR(__xludf.DUMMYFUNCTION("""COMPUTED_VALUE"""),"SA013")</f>
        <v>SA013</v>
      </c>
      <c r="C1070" s="5" t="str">
        <f>IFERROR(__xludf.DUMMYFUNCTION("""COMPUTED_VALUE"""),"ABRIGO CONCRETO")</f>
        <v>ABRIGO CONCRETO</v>
      </c>
      <c r="D1070" s="5" t="str">
        <f>IFERROR(__xludf.DUMMYFUNCTION("""COMPUTED_VALUE"""),"SEM PLACA")</f>
        <v>SEM PLACA</v>
      </c>
      <c r="E1070" s="5" t="str">
        <f>IFERROR(__xludf.DUMMYFUNCTION("""COMPUTED_VALUE"""),"SEM BAIA")</f>
        <v>SEM BAIA</v>
      </c>
      <c r="F1070" s="5" t="str">
        <f>IFERROR(__xludf.DUMMYFUNCTION("""COMPUTED_VALUE"""),"NÃO")</f>
        <v>NÃO</v>
      </c>
      <c r="G1070" s="5" t="str">
        <f>IFERROR(__xludf.DUMMYFUNCTION("""COMPUTED_VALUE"""),"NÃO")</f>
        <v>NÃO</v>
      </c>
      <c r="H1070" s="5" t="str">
        <f>IFERROR(__xludf.DUMMYFUNCTION("""COMPUTED_VALUE"""),"NÃO PAVIMENTADA")</f>
        <v>NÃO PAVIMENTADA</v>
      </c>
      <c r="I1070" s="6" t="str">
        <f>IFERROR(__xludf.DUMMYFUNCTION("""COMPUTED_VALUE"""),"-9.601413")</f>
        <v>-9.601413</v>
      </c>
      <c r="J1070" s="6" t="str">
        <f>IFERROR(__xludf.DUMMYFUNCTION("""COMPUTED_VALUE""")," -35.770533
")</f>
        <v> -35.770533
</v>
      </c>
      <c r="K1070" s="5" t="str">
        <f>IFERROR(__xludf.DUMMYFUNCTION("""COMPUTED_VALUE"""),"AVENIDA JORGE MONTENEGRO BARROS")</f>
        <v>AVENIDA JORGE MONTENEGRO BARROS</v>
      </c>
      <c r="L1070" s="5" t="str">
        <f>IFERROR(__xludf.DUMMYFUNCTION("""COMPUTED_VALUE"""),"ARTERIAL ")</f>
        <v>ARTERIAL </v>
      </c>
      <c r="M1070" s="5" t="str">
        <f>IFERROR(__xludf.DUMMYFUNCTION("""COMPUTED_VALUE"""),"SANTA AMÉLIA")</f>
        <v>SANTA AMÉLIA</v>
      </c>
      <c r="N1070" s="5" t="str">
        <f>IFERROR(__xludf.DUMMYFUNCTION("""COMPUTED_VALUE"""),"BAIRRO - CENTRO")</f>
        <v>BAIRRO - CENTRO</v>
      </c>
      <c r="O1070" s="5" t="str">
        <f>IFERROR(__xludf.DUMMYFUNCTION("""COMPUTED_VALUE"""),"LADO OPOSTO AO RESIDENCIAL VILAS DA LAGOA")</f>
        <v>LADO OPOSTO AO RESIDENCIAL VILAS DA LAGOA</v>
      </c>
      <c r="P1070" s="5" t="str">
        <f>IFERROR(__xludf.DUMMYFUNCTION("""COMPUTED_VALUE"""),"PRIORIDADE MÉDIA")</f>
        <v>PRIORIDADE MÉDIA</v>
      </c>
      <c r="Q1070" s="5" t="str">
        <f>IFERROR(__xludf.DUMMYFUNCTION("""COMPUTED_VALUE"""),"ABRIGO DANIFICADO - REBOCO, PINTURA E ASSENTO DANIFICADO,  NECESSÁRIO FAZER LIMPEZA DA COBERTA.
PINTURA DA SINALIZAÇÃO DA BAÍA NO ASFALTO, READEQUAÇÃO DE CALÇADA COM ACESSIBILIDADE.
")</f>
        <v>ABRIGO DANIFICADO - REBOCO, PINTURA E ASSENTO DANIFICADO,  NECESSÁRIO FAZER LIMPEZA DA COBERTA.
PINTURA DA SINALIZAÇÃO DA BAÍA NO ASFALTO, READEQUAÇÃO DE CALÇADA COM ACESSIBILIDADE.
</v>
      </c>
      <c r="R1070" s="5" t="str">
        <f>IFERROR(__xludf.DUMMYFUNCTION("""COMPUTED_VALUE"""),"SUBSTITUIR ABRIGO")</f>
        <v>SUBSTITUIR ABRIGO</v>
      </c>
      <c r="S1070" s="5"/>
      <c r="T1070" s="5"/>
      <c r="U1070" s="5"/>
      <c r="V1070" s="9" t="str">
        <f>IFERROR(__xludf.DUMMYFUNCTION("""COMPUTED_VALUE"""),"https://drive.google.com/uc?id=1klm4FLgLp2ng1LK4oPLDcVPKydTpX47D")</f>
        <v>https://drive.google.com/uc?id=1klm4FLgLp2ng1LK4oPLDcVPKydTpX47D</v>
      </c>
      <c r="W1070" s="5" t="str">
        <f>IFERROR(__xludf.DUMMYFUNCTION("""COMPUTED_VALUE"""),"NÃO")</f>
        <v>NÃO</v>
      </c>
      <c r="X1070" s="5" t="str">
        <f>IFERROR(__xludf.DUMMYFUNCTION("""COMPUTED_VALUE"""),"NÃO")</f>
        <v>NÃO</v>
      </c>
    </row>
    <row r="1071" hidden="1">
      <c r="A1071" s="5">
        <f>IFERROR(__xludf.DUMMYFUNCTION("""COMPUTED_VALUE"""),4.0)</f>
        <v>4</v>
      </c>
      <c r="B1071" s="5" t="str">
        <f>IFERROR(__xludf.DUMMYFUNCTION("""COMPUTED_VALUE"""),"SA014")</f>
        <v>SA014</v>
      </c>
      <c r="C1071" s="5" t="str">
        <f>IFERROR(__xludf.DUMMYFUNCTION("""COMPUTED_VALUE"""),"NÃO POSSUI")</f>
        <v>NÃO POSSUI</v>
      </c>
      <c r="D1071" s="5" t="str">
        <f>IFERROR(__xludf.DUMMYFUNCTION("""COMPUTED_VALUE"""),"FIXADA EM POSTE")</f>
        <v>FIXADA EM POSTE</v>
      </c>
      <c r="E1071" s="5" t="str">
        <f>IFERROR(__xludf.DUMMYFUNCTION("""COMPUTED_VALUE"""),"SEM BAIA")</f>
        <v>SEM BAIA</v>
      </c>
      <c r="F1071" s="5" t="str">
        <f>IFERROR(__xludf.DUMMYFUNCTION("""COMPUTED_VALUE"""),"NÃO")</f>
        <v>NÃO</v>
      </c>
      <c r="G1071" s="5" t="str">
        <f>IFERROR(__xludf.DUMMYFUNCTION("""COMPUTED_VALUE"""),"NÃO")</f>
        <v>NÃO</v>
      </c>
      <c r="H1071" s="5" t="str">
        <f>IFERROR(__xludf.DUMMYFUNCTION("""COMPUTED_VALUE"""),"PAVIMENTADA")</f>
        <v>PAVIMENTADA</v>
      </c>
      <c r="I1071" s="6" t="str">
        <f>IFERROR(__xludf.DUMMYFUNCTION("""COMPUTED_VALUE"""),"-9.603520")</f>
        <v>-9.603520</v>
      </c>
      <c r="J1071" s="6" t="str">
        <f>IFERROR(__xludf.DUMMYFUNCTION("""COMPUTED_VALUE"""),"-35.770077")</f>
        <v>-35.770077</v>
      </c>
      <c r="K1071" s="5" t="str">
        <f>IFERROR(__xludf.DUMMYFUNCTION("""COMPUTED_VALUE"""),"AVENIDA JORGE MONTENEGRO BARROS")</f>
        <v>AVENIDA JORGE MONTENEGRO BARROS</v>
      </c>
      <c r="L1071" s="5" t="str">
        <f>IFERROR(__xludf.DUMMYFUNCTION("""COMPUTED_VALUE"""),"ARTERIAL ")</f>
        <v>ARTERIAL </v>
      </c>
      <c r="M1071" s="5" t="str">
        <f>IFERROR(__xludf.DUMMYFUNCTION("""COMPUTED_VALUE"""),"SANTA AMÉLIA")</f>
        <v>SANTA AMÉLIA</v>
      </c>
      <c r="N1071" s="5" t="str">
        <f>IFERROR(__xludf.DUMMYFUNCTION("""COMPUTED_VALUE"""),"BAIRRO - CENTRO")</f>
        <v>BAIRRO - CENTRO</v>
      </c>
      <c r="O1071" s="5" t="str">
        <f>IFERROR(__xludf.DUMMYFUNCTION("""COMPUTED_VALUE"""),"LADO AO RESIDENCIAL PORTAL DA LAGOA")</f>
        <v>LADO AO RESIDENCIAL PORTAL DA LAGOA</v>
      </c>
      <c r="P1071" s="5" t="str">
        <f>IFERROR(__xludf.DUMMYFUNCTION("""COMPUTED_VALUE"""),"PRIORIDADE BAIXA")</f>
        <v>PRIORIDADE BAIXA</v>
      </c>
      <c r="Q1071" s="5" t="str">
        <f>IFERROR(__xludf.DUMMYFUNCTION("""COMPUTED_VALUE"""),"READEQUAÇÃO DE CALÇADA COM ACESSIBILIDADE")</f>
        <v>READEQUAÇÃO DE CALÇADA COM ACESSIBILIDADE</v>
      </c>
      <c r="R1071" s="5" t="str">
        <f>IFERROR(__xludf.DUMMYFUNCTION("""COMPUTED_VALUE"""),"NENHUMA DAS OPÇÕES")</f>
        <v>NENHUMA DAS OPÇÕES</v>
      </c>
      <c r="S1071" s="5"/>
      <c r="T1071" s="5"/>
      <c r="U1071" s="5"/>
      <c r="V1071" s="9" t="str">
        <f>IFERROR(__xludf.DUMMYFUNCTION("""COMPUTED_VALUE"""),"https://drive.google.com/uc?id=1e7-WKOQGlkftTXQeAot1M_KeHAUTRG7i")</f>
        <v>https://drive.google.com/uc?id=1e7-WKOQGlkftTXQeAot1M_KeHAUTRG7i</v>
      </c>
      <c r="W1071" s="5" t="str">
        <f>IFERROR(__xludf.DUMMYFUNCTION("""COMPUTED_VALUE"""),"NÃO")</f>
        <v>NÃO</v>
      </c>
      <c r="X1071" s="5" t="str">
        <f>IFERROR(__xludf.DUMMYFUNCTION("""COMPUTED_VALUE"""),"NÃO")</f>
        <v>NÃO</v>
      </c>
    </row>
    <row r="1072" ht="17.25" customHeight="1">
      <c r="A1072" s="5">
        <f>IFERROR(__xludf.DUMMYFUNCTION("""COMPUTED_VALUE"""),4.0)</f>
        <v>4</v>
      </c>
      <c r="B1072" s="5" t="str">
        <f>IFERROR(__xludf.DUMMYFUNCTION("""COMPUTED_VALUE"""),"SA015")</f>
        <v>SA015</v>
      </c>
      <c r="C1072" s="5" t="str">
        <f>IFERROR(__xludf.DUMMYFUNCTION("""COMPUTED_VALUE"""),"ABRIGO CONCRETO")</f>
        <v>ABRIGO CONCRETO</v>
      </c>
      <c r="D1072" s="5" t="str">
        <f>IFERROR(__xludf.DUMMYFUNCTION("""COMPUTED_VALUE"""),"SEM PLACA")</f>
        <v>SEM PLACA</v>
      </c>
      <c r="E1072" s="5" t="str">
        <f>IFERROR(__xludf.DUMMYFUNCTION("""COMPUTED_VALUE"""),"SEM BAIA")</f>
        <v>SEM BAIA</v>
      </c>
      <c r="F1072" s="5" t="str">
        <f>IFERROR(__xludf.DUMMYFUNCTION("""COMPUTED_VALUE"""),"NÃO")</f>
        <v>NÃO</v>
      </c>
      <c r="G1072" s="5" t="str">
        <f>IFERROR(__xludf.DUMMYFUNCTION("""COMPUTED_VALUE"""),"NÃO")</f>
        <v>NÃO</v>
      </c>
      <c r="H1072" s="5" t="str">
        <f>IFERROR(__xludf.DUMMYFUNCTION("""COMPUTED_VALUE"""),"NÃO PAVIMENTADA")</f>
        <v>NÃO PAVIMENTADA</v>
      </c>
      <c r="I1072" s="6" t="str">
        <f>IFERROR(__xludf.DUMMYFUNCTION("""COMPUTED_VALUE"""),"-9.603903")</f>
        <v>-9.603903</v>
      </c>
      <c r="J1072" s="6" t="str">
        <f>IFERROR(__xludf.DUMMYFUNCTION("""COMPUTED_VALUE"""),"-35.769900
")</f>
        <v>-35.769900
</v>
      </c>
      <c r="K1072" s="5" t="str">
        <f>IFERROR(__xludf.DUMMYFUNCTION("""COMPUTED_VALUE"""),"AVENIDA JORGE MONTENEGRO BARROS")</f>
        <v>AVENIDA JORGE MONTENEGRO BARROS</v>
      </c>
      <c r="L1072" s="5" t="str">
        <f>IFERROR(__xludf.DUMMYFUNCTION("""COMPUTED_VALUE"""),"ARTERIAL ")</f>
        <v>ARTERIAL </v>
      </c>
      <c r="M1072" s="5" t="str">
        <f>IFERROR(__xludf.DUMMYFUNCTION("""COMPUTED_VALUE"""),"SANTA AMÉLIA")</f>
        <v>SANTA AMÉLIA</v>
      </c>
      <c r="N1072" s="5" t="str">
        <f>IFERROR(__xludf.DUMMYFUNCTION("""COMPUTED_VALUE"""),"CENTRO - BAIRRO")</f>
        <v>CENTRO - BAIRRO</v>
      </c>
      <c r="O1072" s="5" t="str">
        <f>IFERROR(__xludf.DUMMYFUNCTION("""COMPUTED_VALUE"""),"LADO OPOSTO AO RESIDENCIAL VILAS DA LAGOA")</f>
        <v>LADO OPOSTO AO RESIDENCIAL VILAS DA LAGOA</v>
      </c>
      <c r="P1072" s="5" t="str">
        <f>IFERROR(__xludf.DUMMYFUNCTION("""COMPUTED_VALUE"""),"PRIORIDADE MÉDIA")</f>
        <v>PRIORIDADE MÉDIA</v>
      </c>
      <c r="Q1072" s="5" t="str">
        <f>IFERROR(__xludf.DUMMYFUNCTION("""COMPUTED_VALUE"""),"ABRIGO DANIFICADO - REBOCO, PINTURA E ASSENTO DANIFICADO,  NECESSÁRIO FAZER LIMPEZA DA COBERTA.
PINTURA DA SINALIZAÇÃO DA BAÍA NO ASFALTO, READEQUAÇÃO DE CALÇADA COM ACESSIBILIDADE.
")</f>
        <v>ABRIGO DANIFICADO - REBOCO, PINTURA E ASSENTO DANIFICADO,  NECESSÁRIO FAZER LIMPEZA DA COBERTA.
PINTURA DA SINALIZAÇÃO DA BAÍA NO ASFALTO, READEQUAÇÃO DE CALÇADA COM ACESSIBILIDADE.
</v>
      </c>
      <c r="R1072" s="5" t="str">
        <f>IFERROR(__xludf.DUMMYFUNCTION("""COMPUTED_VALUE"""),"SUBSTITUIR ABRIGO")</f>
        <v>SUBSTITUIR ABRIGO</v>
      </c>
      <c r="S1072" s="5"/>
      <c r="T1072" s="5"/>
      <c r="U1072" s="5"/>
      <c r="V1072" s="9" t="str">
        <f>IFERROR(__xludf.DUMMYFUNCTION("""COMPUTED_VALUE"""),"https://drive.google.com/uc?id=19Ip0jiK6qS7tMKNrOGybpl4q9hFZFXLD")</f>
        <v>https://drive.google.com/uc?id=19Ip0jiK6qS7tMKNrOGybpl4q9hFZFXLD</v>
      </c>
      <c r="W1072" s="5" t="str">
        <f>IFERROR(__xludf.DUMMYFUNCTION("""COMPUTED_VALUE"""),"NÃO")</f>
        <v>NÃO</v>
      </c>
      <c r="X1072" s="5" t="str">
        <f>IFERROR(__xludf.DUMMYFUNCTION("""COMPUTED_VALUE"""),"NÃO")</f>
        <v>NÃO</v>
      </c>
    </row>
    <row r="1073" ht="19.5" customHeight="1">
      <c r="A1073" s="5">
        <f>IFERROR(__xludf.DUMMYFUNCTION("""COMPUTED_VALUE"""),4.0)</f>
        <v>4</v>
      </c>
      <c r="B1073" s="5" t="str">
        <f>IFERROR(__xludf.DUMMYFUNCTION("""COMPUTED_VALUE"""),"SA016")</f>
        <v>SA016</v>
      </c>
      <c r="C1073" s="5" t="str">
        <f>IFERROR(__xludf.DUMMYFUNCTION("""COMPUTED_VALUE"""),"ABRIGO CONCRETO")</f>
        <v>ABRIGO CONCRETO</v>
      </c>
      <c r="D1073" s="5" t="str">
        <f>IFERROR(__xludf.DUMMYFUNCTION("""COMPUTED_VALUE"""),"SEM PLACA")</f>
        <v>SEM PLACA</v>
      </c>
      <c r="E1073" s="5" t="str">
        <f>IFERROR(__xludf.DUMMYFUNCTION("""COMPUTED_VALUE"""),"SEM BAIA")</f>
        <v>SEM BAIA</v>
      </c>
      <c r="F1073" s="5" t="str">
        <f>IFERROR(__xludf.DUMMYFUNCTION("""COMPUTED_VALUE"""),"NÃO")</f>
        <v>NÃO</v>
      </c>
      <c r="G1073" s="5" t="str">
        <f>IFERROR(__xludf.DUMMYFUNCTION("""COMPUTED_VALUE"""),"NÃO")</f>
        <v>NÃO</v>
      </c>
      <c r="H1073" s="5" t="str">
        <f>IFERROR(__xludf.DUMMYFUNCTION("""COMPUTED_VALUE"""),"NÃO PAVIMENTADA")</f>
        <v>NÃO PAVIMENTADA</v>
      </c>
      <c r="I1073" s="6" t="str">
        <f>IFERROR(__xludf.DUMMYFUNCTION("""COMPUTED_VALUE"""),"-9.610391")</f>
        <v>-9.610391</v>
      </c>
      <c r="J1073" s="6" t="str">
        <f>IFERROR(__xludf.DUMMYFUNCTION("""COMPUTED_VALUE"""),"-35.768552")</f>
        <v>-35.768552</v>
      </c>
      <c r="K1073" s="5" t="str">
        <f>IFERROR(__xludf.DUMMYFUNCTION("""COMPUTED_VALUE"""),"AVENIDA JORGE MONTENEGRO BARROS")</f>
        <v>AVENIDA JORGE MONTENEGRO BARROS</v>
      </c>
      <c r="L1073" s="5" t="str">
        <f>IFERROR(__xludf.DUMMYFUNCTION("""COMPUTED_VALUE"""),"ARTERIAL ")</f>
        <v>ARTERIAL </v>
      </c>
      <c r="M1073" s="5" t="str">
        <f>IFERROR(__xludf.DUMMYFUNCTION("""COMPUTED_VALUE"""),"SANTA AMÉLIA")</f>
        <v>SANTA AMÉLIA</v>
      </c>
      <c r="N1073" s="5" t="str">
        <f>IFERROR(__xludf.DUMMYFUNCTION("""COMPUTED_VALUE"""),"BAIRRO - CENTRO")</f>
        <v>BAIRRO - CENTRO</v>
      </c>
      <c r="O1073" s="5" t="str">
        <f>IFERROR(__xludf.DUMMYFUNCTION("""COMPUTED_VALUE"""),"ANTES DO AUTO POSTO SANTA AMÉLIA")</f>
        <v>ANTES DO AUTO POSTO SANTA AMÉLIA</v>
      </c>
      <c r="P1073" s="5" t="str">
        <f>IFERROR(__xludf.DUMMYFUNCTION("""COMPUTED_VALUE"""),"PRIORIDADE MÉDIA")</f>
        <v>PRIORIDADE MÉDIA</v>
      </c>
      <c r="Q1073" s="5" t="str">
        <f>IFERROR(__xludf.DUMMYFUNCTION("""COMPUTED_VALUE"""),"ABRIGO DANIFICADO - REBOCO, PINTURA E ASSENTO DANIFICADO,  NECESSÁRIO FAZER LIMPEZA DA COBERTA.
PINTURA DA SINALIZAÇÃO DA BAÍA NO ASFALTO, READEQUAÇÃO DE CALÇADA COM ACESSIBILIDADE.
")</f>
        <v>ABRIGO DANIFICADO - REBOCO, PINTURA E ASSENTO DANIFICADO,  NECESSÁRIO FAZER LIMPEZA DA COBERTA.
PINTURA DA SINALIZAÇÃO DA BAÍA NO ASFALTO, READEQUAÇÃO DE CALÇADA COM ACESSIBILIDADE.
</v>
      </c>
      <c r="R1073" s="5" t="str">
        <f>IFERROR(__xludf.DUMMYFUNCTION("""COMPUTED_VALUE"""),"SUBSTITUIR ABRIGO")</f>
        <v>SUBSTITUIR ABRIGO</v>
      </c>
      <c r="S1073" s="5"/>
      <c r="T1073" s="5"/>
      <c r="U1073" s="5"/>
      <c r="V1073" s="9" t="str">
        <f>IFERROR(__xludf.DUMMYFUNCTION("""COMPUTED_VALUE"""),"https://drive.google.com/uc?id=1tUYsuHUkbq21oZXFerBMilsyiAhS2V2b")</f>
        <v>https://drive.google.com/uc?id=1tUYsuHUkbq21oZXFerBMilsyiAhS2V2b</v>
      </c>
      <c r="W1073" s="5" t="str">
        <f>IFERROR(__xludf.DUMMYFUNCTION("""COMPUTED_VALUE"""),"NÃO")</f>
        <v>NÃO</v>
      </c>
      <c r="X1073" s="5" t="str">
        <f>IFERROR(__xludf.DUMMYFUNCTION("""COMPUTED_VALUE"""),"NÃO")</f>
        <v>NÃO</v>
      </c>
    </row>
    <row r="1074" hidden="1">
      <c r="A1074" s="5">
        <f>IFERROR(__xludf.DUMMYFUNCTION("""COMPUTED_VALUE"""),4.0)</f>
        <v>4</v>
      </c>
      <c r="B1074" s="5" t="str">
        <f>IFERROR(__xludf.DUMMYFUNCTION("""COMPUTED_VALUE"""),"SA017")</f>
        <v>SA017</v>
      </c>
      <c r="C1074" s="5" t="str">
        <f>IFERROR(__xludf.DUMMYFUNCTION("""COMPUTED_VALUE"""),"NÃO POSSUI")</f>
        <v>NÃO POSSUI</v>
      </c>
      <c r="D1074" s="5" t="str">
        <f>IFERROR(__xludf.DUMMYFUNCTION("""COMPUTED_VALUE"""),"FIXADA EM POSTE")</f>
        <v>FIXADA EM POSTE</v>
      </c>
      <c r="E1074" s="5" t="str">
        <f>IFERROR(__xludf.DUMMYFUNCTION("""COMPUTED_VALUE"""),"SEM BAIA")</f>
        <v>SEM BAIA</v>
      </c>
      <c r="F1074" s="5" t="str">
        <f>IFERROR(__xludf.DUMMYFUNCTION("""COMPUTED_VALUE"""),"NÃO")</f>
        <v>NÃO</v>
      </c>
      <c r="G1074" s="5" t="str">
        <f>IFERROR(__xludf.DUMMYFUNCTION("""COMPUTED_VALUE"""),"NÃO")</f>
        <v>NÃO</v>
      </c>
      <c r="H1074" s="5" t="str">
        <f>IFERROR(__xludf.DUMMYFUNCTION("""COMPUTED_VALUE"""),"PAVIMENTADA COM AVARIAS")</f>
        <v>PAVIMENTADA COM AVARIAS</v>
      </c>
      <c r="I1074" s="6" t="str">
        <f>IFERROR(__xludf.DUMMYFUNCTION("""COMPUTED_VALUE"""),"-9.614162")</f>
        <v>-9.614162</v>
      </c>
      <c r="J1074" s="6" t="str">
        <f>IFERROR(__xludf.DUMMYFUNCTION("""COMPUTED_VALUE"""),"-35.765590
")</f>
        <v>-35.765590
</v>
      </c>
      <c r="K1074" s="5" t="str">
        <f>IFERROR(__xludf.DUMMYFUNCTION("""COMPUTED_VALUE"""),"AVENIDA JORGE MONTENEGRO BARROS")</f>
        <v>AVENIDA JORGE MONTENEGRO BARROS</v>
      </c>
      <c r="L1074" s="5" t="str">
        <f>IFERROR(__xludf.DUMMYFUNCTION("""COMPUTED_VALUE"""),"ARTERIAL ")</f>
        <v>ARTERIAL </v>
      </c>
      <c r="M1074" s="5" t="str">
        <f>IFERROR(__xludf.DUMMYFUNCTION("""COMPUTED_VALUE"""),"SANTA AMÉLIA")</f>
        <v>SANTA AMÉLIA</v>
      </c>
      <c r="N1074" s="5" t="str">
        <f>IFERROR(__xludf.DUMMYFUNCTION("""COMPUTED_VALUE"""),"BAIRRO - CENTRO")</f>
        <v>BAIRRO - CENTRO</v>
      </c>
      <c r="O1074" s="5" t="str">
        <f>IFERROR(__xludf.DUMMYFUNCTION("""COMPUTED_VALUE"""),"EM FRENTE A AUTO AR")</f>
        <v>EM FRENTE A AUTO AR</v>
      </c>
      <c r="P1074" s="5" t="str">
        <f>IFERROR(__xludf.DUMMYFUNCTION("""COMPUTED_VALUE"""),"PRIORIDADE BAIXA")</f>
        <v>PRIORIDADE BAIXA</v>
      </c>
      <c r="Q1074" s="5" t="str">
        <f>IFERROR(__xludf.DUMMYFUNCTION("""COMPUTED_VALUE"""),"READEQUAÇÃO DE CALÇADA COM ACESSIBILIDADE")</f>
        <v>READEQUAÇÃO DE CALÇADA COM ACESSIBILIDADE</v>
      </c>
      <c r="R1074" s="5" t="str">
        <f>IFERROR(__xludf.DUMMYFUNCTION("""COMPUTED_VALUE"""),"NENHUMA DAS OPÇÕES")</f>
        <v>NENHUMA DAS OPÇÕES</v>
      </c>
      <c r="S1074" s="5"/>
      <c r="T1074" s="5"/>
      <c r="U1074" s="5"/>
      <c r="V1074" s="9" t="str">
        <f>IFERROR(__xludf.DUMMYFUNCTION("""COMPUTED_VALUE"""),"https://drive.google.com/uc?id=1Mll-Mef4NKRkZRek37MXRzfpZVC63daZ")</f>
        <v>https://drive.google.com/uc?id=1Mll-Mef4NKRkZRek37MXRzfpZVC63daZ</v>
      </c>
      <c r="W1074" s="5" t="str">
        <f>IFERROR(__xludf.DUMMYFUNCTION("""COMPUTED_VALUE"""),"NÃO")</f>
        <v>NÃO</v>
      </c>
      <c r="X1074" s="5" t="str">
        <f>IFERROR(__xludf.DUMMYFUNCTION("""COMPUTED_VALUE"""),"NÃO")</f>
        <v>NÃO</v>
      </c>
    </row>
    <row r="1075" ht="15.75" customHeight="1">
      <c r="A1075" s="5">
        <f>IFERROR(__xludf.DUMMYFUNCTION("""COMPUTED_VALUE"""),4.0)</f>
        <v>4</v>
      </c>
      <c r="B1075" s="5" t="str">
        <f>IFERROR(__xludf.DUMMYFUNCTION("""COMPUTED_VALUE"""),"SA018")</f>
        <v>SA018</v>
      </c>
      <c r="C1075" s="5" t="str">
        <f>IFERROR(__xludf.DUMMYFUNCTION("""COMPUTED_VALUE"""),"ABRIGO CONCRETO")</f>
        <v>ABRIGO CONCRETO</v>
      </c>
      <c r="D1075" s="5" t="str">
        <f>IFERROR(__xludf.DUMMYFUNCTION("""COMPUTED_VALUE"""),"SEM PLACA")</f>
        <v>SEM PLACA</v>
      </c>
      <c r="E1075" s="5" t="str">
        <f>IFERROR(__xludf.DUMMYFUNCTION("""COMPUTED_VALUE"""),"SEM BAIA")</f>
        <v>SEM BAIA</v>
      </c>
      <c r="F1075" s="5" t="str">
        <f>IFERROR(__xludf.DUMMYFUNCTION("""COMPUTED_VALUE"""),"NÃO")</f>
        <v>NÃO</v>
      </c>
      <c r="G1075" s="5" t="str">
        <f>IFERROR(__xludf.DUMMYFUNCTION("""COMPUTED_VALUE"""),"NÃO")</f>
        <v>NÃO</v>
      </c>
      <c r="H1075" s="5" t="str">
        <f>IFERROR(__xludf.DUMMYFUNCTION("""COMPUTED_VALUE"""),"PAVIMENTADA")</f>
        <v>PAVIMENTADA</v>
      </c>
      <c r="I1075" s="6" t="str">
        <f>IFERROR(__xludf.DUMMYFUNCTION("""COMPUTED_VALUE"""),"-9.610401")</f>
        <v>-9.610401</v>
      </c>
      <c r="J1075" s="6" t="str">
        <f>IFERROR(__xludf.DUMMYFUNCTION("""COMPUTED_VALUE"""),"-35.768387")</f>
        <v>-35.768387</v>
      </c>
      <c r="K1075" s="5" t="str">
        <f>IFERROR(__xludf.DUMMYFUNCTION("""COMPUTED_VALUE"""),"AVENIDA JORGE MONTENEGRO BARROS")</f>
        <v>AVENIDA JORGE MONTENEGRO BARROS</v>
      </c>
      <c r="L1075" s="5" t="str">
        <f>IFERROR(__xludf.DUMMYFUNCTION("""COMPUTED_VALUE"""),"ARTERIAL ")</f>
        <v>ARTERIAL </v>
      </c>
      <c r="M1075" s="5" t="str">
        <f>IFERROR(__xludf.DUMMYFUNCTION("""COMPUTED_VALUE"""),"SANTA AMÉLIA")</f>
        <v>SANTA AMÉLIA</v>
      </c>
      <c r="N1075" s="5" t="str">
        <f>IFERROR(__xludf.DUMMYFUNCTION("""COMPUTED_VALUE"""),"BAIRRO - CENTRO")</f>
        <v>BAIRRO - CENTRO</v>
      </c>
      <c r="O1075" s="5" t="str">
        <f>IFERROR(__xludf.DUMMYFUNCTION("""COMPUTED_VALUE"""),"EM FRENTE AO LAGOA MANGUABA CONDOMÍNIO CLUBE")</f>
        <v>EM FRENTE AO LAGOA MANGUABA CONDOMÍNIO CLUBE</v>
      </c>
      <c r="P1075" s="5" t="str">
        <f>IFERROR(__xludf.DUMMYFUNCTION("""COMPUTED_VALUE"""),"PRIORIDADE BAIXA")</f>
        <v>PRIORIDADE BAIXA</v>
      </c>
      <c r="Q1075" s="5" t="str">
        <f>IFERROR(__xludf.DUMMYFUNCTION("""COMPUTED_VALUE"""),"ABRIGO DANIFICADO - REBOCO, PINTURA E ASSENTO DANIFICADO,  NECESSÁRIO FAZER LIMPEZA DA COBERTA.
PINTURA DA SINALIZAÇÃO DA BAÍA NO ASFALTO, READEQUAÇÃO DE CALÇADA COM ACESSIBILIDADE.
")</f>
        <v>ABRIGO DANIFICADO - REBOCO, PINTURA E ASSENTO DANIFICADO,  NECESSÁRIO FAZER LIMPEZA DA COBERTA.
PINTURA DA SINALIZAÇÃO DA BAÍA NO ASFALTO, READEQUAÇÃO DE CALÇADA COM ACESSIBILIDADE.
</v>
      </c>
      <c r="R1075" s="5" t="str">
        <f>IFERROR(__xludf.DUMMYFUNCTION("""COMPUTED_VALUE"""),"SUBSTITUIR ABRIGO")</f>
        <v>SUBSTITUIR ABRIGO</v>
      </c>
      <c r="S1075" s="5"/>
      <c r="T1075" s="5"/>
      <c r="U1075" s="5"/>
      <c r="V1075" s="9" t="str">
        <f>IFERROR(__xludf.DUMMYFUNCTION("""COMPUTED_VALUE"""),"https://drive.google.com/uc?id=1y6-Kq_SDAZ5mruIGKR8EcAnwdlU5eFnj")</f>
        <v>https://drive.google.com/uc?id=1y6-Kq_SDAZ5mruIGKR8EcAnwdlU5eFnj</v>
      </c>
      <c r="W1075" s="5" t="str">
        <f>IFERROR(__xludf.DUMMYFUNCTION("""COMPUTED_VALUE"""),"NÃO")</f>
        <v>NÃO</v>
      </c>
      <c r="X1075" s="5" t="str">
        <f>IFERROR(__xludf.DUMMYFUNCTION("""COMPUTED_VALUE"""),"NÃO")</f>
        <v>NÃO</v>
      </c>
    </row>
    <row r="1076" hidden="1">
      <c r="A1076" s="5">
        <f>IFERROR(__xludf.DUMMYFUNCTION("""COMPUTED_VALUE"""),4.0)</f>
        <v>4</v>
      </c>
      <c r="B1076" s="5" t="str">
        <f>IFERROR(__xludf.DUMMYFUNCTION("""COMPUTED_VALUE"""),"SA019")</f>
        <v>SA019</v>
      </c>
      <c r="C1076" s="5" t="str">
        <f>IFERROR(__xludf.DUMMYFUNCTION("""COMPUTED_VALUE"""),"NÃO POSSUI")</f>
        <v>NÃO POSSUI</v>
      </c>
      <c r="D1076" s="5" t="str">
        <f>IFERROR(__xludf.DUMMYFUNCTION("""COMPUTED_VALUE"""),"COM SUPORTE")</f>
        <v>COM SUPORTE</v>
      </c>
      <c r="E1076" s="5" t="str">
        <f>IFERROR(__xludf.DUMMYFUNCTION("""COMPUTED_VALUE"""),"SEM BAIA")</f>
        <v>SEM BAIA</v>
      </c>
      <c r="F1076" s="5" t="str">
        <f>IFERROR(__xludf.DUMMYFUNCTION("""COMPUTED_VALUE"""),"NÃO")</f>
        <v>NÃO</v>
      </c>
      <c r="G1076" s="5" t="str">
        <f>IFERROR(__xludf.DUMMYFUNCTION("""COMPUTED_VALUE"""),"NÃO")</f>
        <v>NÃO</v>
      </c>
      <c r="H1076" s="5" t="str">
        <f>IFERROR(__xludf.DUMMYFUNCTION("""COMPUTED_VALUE"""),"NÃO PAVIMENTADA")</f>
        <v>NÃO PAVIMENTADA</v>
      </c>
      <c r="I1076" s="6" t="str">
        <f>IFERROR(__xludf.DUMMYFUNCTION("""COMPUTED_VALUE"""),"-9.613800")</f>
        <v>-9.613800</v>
      </c>
      <c r="J1076" s="6" t="str">
        <f>IFERROR(__xludf.DUMMYFUNCTION("""COMPUTED_VALUE"""),"-35.765716")</f>
        <v>-35.765716</v>
      </c>
      <c r="K1076" s="5" t="str">
        <f>IFERROR(__xludf.DUMMYFUNCTION("""COMPUTED_VALUE"""),"AVENIDA JORGE MONTENEGRO BARROS")</f>
        <v>AVENIDA JORGE MONTENEGRO BARROS</v>
      </c>
      <c r="L1076" s="5" t="str">
        <f>IFERROR(__xludf.DUMMYFUNCTION("""COMPUTED_VALUE"""),"ARTERIAL ")</f>
        <v>ARTERIAL </v>
      </c>
      <c r="M1076" s="5" t="str">
        <f>IFERROR(__xludf.DUMMYFUNCTION("""COMPUTED_VALUE"""),"SANTA AMÉLIA")</f>
        <v>SANTA AMÉLIA</v>
      </c>
      <c r="N1076" s="5" t="str">
        <f>IFERROR(__xludf.DUMMYFUNCTION("""COMPUTED_VALUE"""),"CENTRO - BAIRRO")</f>
        <v>CENTRO - BAIRRO</v>
      </c>
      <c r="O1076" s="5" t="str">
        <f>IFERROR(__xludf.DUMMYFUNCTION("""COMPUTED_VALUE"""),"EM FRENTE A KINWAY")</f>
        <v>EM FRENTE A KINWAY</v>
      </c>
      <c r="P1076" s="5" t="str">
        <f>IFERROR(__xludf.DUMMYFUNCTION("""COMPUTED_VALUE"""),"PRIORIDADE BAIXA")</f>
        <v>PRIORIDADE BAIXA</v>
      </c>
      <c r="Q1076" s="5" t="str">
        <f>IFERROR(__xludf.DUMMYFUNCTION("""COMPUTED_VALUE"""),"READEQUAÇÃO DE CALÇADA COM ACESSIBILIDADE")</f>
        <v>READEQUAÇÃO DE CALÇADA COM ACESSIBILIDADE</v>
      </c>
      <c r="R1076" s="5" t="str">
        <f>IFERROR(__xludf.DUMMYFUNCTION("""COMPUTED_VALUE"""),"NENHUMA DAS OPÇÕES")</f>
        <v>NENHUMA DAS OPÇÕES</v>
      </c>
      <c r="S1076" s="5"/>
      <c r="T1076" s="5"/>
      <c r="U1076" s="7">
        <f>IFERROR(__xludf.DUMMYFUNCTION("""COMPUTED_VALUE"""),44960.0)</f>
        <v>44960</v>
      </c>
      <c r="V1076" s="9" t="str">
        <f>IFERROR(__xludf.DUMMYFUNCTION("""COMPUTED_VALUE"""),"https://drive.google.com/uc?id=1j2cN-XOWJhLf8ORjMitS50lDBfKLdGH7/")</f>
        <v>https://drive.google.com/uc?id=1j2cN-XOWJhLf8ORjMitS50lDBfKLdGH7/</v>
      </c>
      <c r="W1076" s="5" t="str">
        <f>IFERROR(__xludf.DUMMYFUNCTION("""COMPUTED_VALUE"""),"NÃO")</f>
        <v>NÃO</v>
      </c>
      <c r="X1076" s="5" t="str">
        <f>IFERROR(__xludf.DUMMYFUNCTION("""COMPUTED_VALUE"""),"NÃO")</f>
        <v>NÃO</v>
      </c>
    </row>
    <row r="1077" hidden="1">
      <c r="A1077" s="5">
        <f>IFERROR(__xludf.DUMMYFUNCTION("""COMPUTED_VALUE"""),4.0)</f>
        <v>4</v>
      </c>
      <c r="B1077" s="5" t="str">
        <f>IFERROR(__xludf.DUMMYFUNCTION("""COMPUTED_VALUE"""),"SA020")</f>
        <v>SA020</v>
      </c>
      <c r="C1077" s="5" t="str">
        <f>IFERROR(__xludf.DUMMYFUNCTION("""COMPUTED_VALUE"""),"NÃO POSSUI")</f>
        <v>NÃO POSSUI</v>
      </c>
      <c r="D1077" s="5" t="str">
        <f>IFERROR(__xludf.DUMMYFUNCTION("""COMPUTED_VALUE"""),"FIXADA EM POSTE")</f>
        <v>FIXADA EM POSTE</v>
      </c>
      <c r="E1077" s="5" t="str">
        <f>IFERROR(__xludf.DUMMYFUNCTION("""COMPUTED_VALUE"""),"SEM BAIA")</f>
        <v>SEM BAIA</v>
      </c>
      <c r="F1077" s="5" t="str">
        <f>IFERROR(__xludf.DUMMYFUNCTION("""COMPUTED_VALUE"""),"NÃO")</f>
        <v>NÃO</v>
      </c>
      <c r="G1077" s="5" t="str">
        <f>IFERROR(__xludf.DUMMYFUNCTION("""COMPUTED_VALUE"""),"NÃO")</f>
        <v>NÃO</v>
      </c>
      <c r="H1077" s="5" t="str">
        <f>IFERROR(__xludf.DUMMYFUNCTION("""COMPUTED_VALUE"""),"PAVIMENTADA")</f>
        <v>PAVIMENTADA</v>
      </c>
      <c r="I1077" s="6" t="str">
        <f>IFERROR(__xludf.DUMMYFUNCTION("""COMPUTED_VALUE"""),"-9.617368")</f>
        <v>-9.617368</v>
      </c>
      <c r="J1077" s="6" t="str">
        <f>IFERROR(__xludf.DUMMYFUNCTION("""COMPUTED_VALUE"""),"-35.763000")</f>
        <v>-35.763000</v>
      </c>
      <c r="K1077" s="5" t="str">
        <f>IFERROR(__xludf.DUMMYFUNCTION("""COMPUTED_VALUE"""),"AVENIDA JORGE MONTENEGRO BARROS")</f>
        <v>AVENIDA JORGE MONTENEGRO BARROS</v>
      </c>
      <c r="L1077" s="5" t="str">
        <f>IFERROR(__xludf.DUMMYFUNCTION("""COMPUTED_VALUE"""),"ARTERIAL ")</f>
        <v>ARTERIAL </v>
      </c>
      <c r="M1077" s="5" t="str">
        <f>IFERROR(__xludf.DUMMYFUNCTION("""COMPUTED_VALUE"""),"SANTA AMÉLIA")</f>
        <v>SANTA AMÉLIA</v>
      </c>
      <c r="N1077" s="5" t="str">
        <f>IFERROR(__xludf.DUMMYFUNCTION("""COMPUTED_VALUE"""),"BAIRRO - CENTRO")</f>
        <v>BAIRRO - CENTRO</v>
      </c>
      <c r="O1077" s="5" t="str">
        <f>IFERROR(__xludf.DUMMYFUNCTION("""COMPUTED_VALUE"""),"EM FRENTE A MACEIÓ AUTO POSTO")</f>
        <v>EM FRENTE A MACEIÓ AUTO POSTO</v>
      </c>
      <c r="P1077" s="5" t="str">
        <f>IFERROR(__xludf.DUMMYFUNCTION("""COMPUTED_VALUE"""),"PRIORIDADE BAIXA")</f>
        <v>PRIORIDADE BAIXA</v>
      </c>
      <c r="Q1077" s="5" t="str">
        <f>IFERROR(__xludf.DUMMYFUNCTION("""COMPUTED_VALUE"""),"READEQUAÇÃO DE CALÇADA COM ACESSIBILIDADE")</f>
        <v>READEQUAÇÃO DE CALÇADA COM ACESSIBILIDADE</v>
      </c>
      <c r="R1077" s="5" t="str">
        <f>IFERROR(__xludf.DUMMYFUNCTION("""COMPUTED_VALUE"""),"NENHUMA DAS OPÇÕES")</f>
        <v>NENHUMA DAS OPÇÕES</v>
      </c>
      <c r="S1077" s="5"/>
      <c r="T1077" s="5"/>
      <c r="U1077" s="5"/>
      <c r="V1077" s="9" t="str">
        <f>IFERROR(__xludf.DUMMYFUNCTION("""COMPUTED_VALUE"""),"https://drive.google.com/uc?id=1VUeIJirYXPzWxlfa-MB3j-4GDrWd7RV5")</f>
        <v>https://drive.google.com/uc?id=1VUeIJirYXPzWxlfa-MB3j-4GDrWd7RV5</v>
      </c>
      <c r="W1077" s="5" t="str">
        <f>IFERROR(__xludf.DUMMYFUNCTION("""COMPUTED_VALUE"""),"NÃO")</f>
        <v>NÃO</v>
      </c>
      <c r="X1077" s="5" t="str">
        <f>IFERROR(__xludf.DUMMYFUNCTION("""COMPUTED_VALUE"""),"NÃO")</f>
        <v>NÃO</v>
      </c>
    </row>
    <row r="1078" hidden="1">
      <c r="A1078" s="5">
        <f>IFERROR(__xludf.DUMMYFUNCTION("""COMPUTED_VALUE"""),4.0)</f>
        <v>4</v>
      </c>
      <c r="B1078" s="5" t="str">
        <f>IFERROR(__xludf.DUMMYFUNCTION("""COMPUTED_VALUE"""),"SA021")</f>
        <v>SA021</v>
      </c>
      <c r="C1078" s="5" t="str">
        <f>IFERROR(__xludf.DUMMYFUNCTION("""COMPUTED_VALUE"""),"NÃO POSSUI")</f>
        <v>NÃO POSSUI</v>
      </c>
      <c r="D1078" s="5" t="str">
        <f>IFERROR(__xludf.DUMMYFUNCTION("""COMPUTED_VALUE"""),"COM SUPORTE")</f>
        <v>COM SUPORTE</v>
      </c>
      <c r="E1078" s="5" t="str">
        <f>IFERROR(__xludf.DUMMYFUNCTION("""COMPUTED_VALUE"""),"SEM BAIA")</f>
        <v>SEM BAIA</v>
      </c>
      <c r="F1078" s="5" t="str">
        <f>IFERROR(__xludf.DUMMYFUNCTION("""COMPUTED_VALUE"""),"NÃO")</f>
        <v>NÃO</v>
      </c>
      <c r="G1078" s="5" t="str">
        <f>IFERROR(__xludf.DUMMYFUNCTION("""COMPUTED_VALUE"""),"NÃO")</f>
        <v>NÃO</v>
      </c>
      <c r="H1078" s="5" t="str">
        <f>IFERROR(__xludf.DUMMYFUNCTION("""COMPUTED_VALUE"""),"NÃO PAVIMENTADA")</f>
        <v>NÃO PAVIMENTADA</v>
      </c>
      <c r="I1078" s="6" t="str">
        <f>IFERROR(__xludf.DUMMYFUNCTION("""COMPUTED_VALUE"""),"-9.617356")</f>
        <v>-9.617356</v>
      </c>
      <c r="J1078" s="6" t="str">
        <f>IFERROR(__xludf.DUMMYFUNCTION("""COMPUTED_VALUE"""),"-35.762872")</f>
        <v>-35.762872</v>
      </c>
      <c r="K1078" s="5" t="str">
        <f>IFERROR(__xludf.DUMMYFUNCTION("""COMPUTED_VALUE"""),"AVENIDA JORGE MONTENEGRO BARROS")</f>
        <v>AVENIDA JORGE MONTENEGRO BARROS</v>
      </c>
      <c r="L1078" s="5" t="str">
        <f>IFERROR(__xludf.DUMMYFUNCTION("""COMPUTED_VALUE"""),"ARTERIAL ")</f>
        <v>ARTERIAL </v>
      </c>
      <c r="M1078" s="5" t="str">
        <f>IFERROR(__xludf.DUMMYFUNCTION("""COMPUTED_VALUE"""),"SANTA AMÉLIA")</f>
        <v>SANTA AMÉLIA</v>
      </c>
      <c r="N1078" s="5" t="str">
        <f>IFERROR(__xludf.DUMMYFUNCTION("""COMPUTED_VALUE"""),"CENTRO - BAIRRO")</f>
        <v>CENTRO - BAIRRO</v>
      </c>
      <c r="O1078" s="5" t="str">
        <f>IFERROR(__xludf.DUMMYFUNCTION("""COMPUTED_VALUE"""),"LADO OPOSTO  A MACEIÓ AUTO POSTO")</f>
        <v>LADO OPOSTO  A MACEIÓ AUTO POSTO</v>
      </c>
      <c r="P1078" s="5" t="str">
        <f>IFERROR(__xludf.DUMMYFUNCTION("""COMPUTED_VALUE"""),"PRIORIDADE BAIXA")</f>
        <v>PRIORIDADE BAIXA</v>
      </c>
      <c r="Q1078" s="5" t="str">
        <f>IFERROR(__xludf.DUMMYFUNCTION("""COMPUTED_VALUE"""),"READEQUAÇÃO DE CALÇADA COM ACESSIBILIDADE")</f>
        <v>READEQUAÇÃO DE CALÇADA COM ACESSIBILIDADE</v>
      </c>
      <c r="R1078" s="5" t="str">
        <f>IFERROR(__xludf.DUMMYFUNCTION("""COMPUTED_VALUE"""),"NENHUMA DAS OPÇÕES")</f>
        <v>NENHUMA DAS OPÇÕES</v>
      </c>
      <c r="S1078" s="5"/>
      <c r="T1078" s="5"/>
      <c r="U1078" s="5"/>
      <c r="V1078" s="9" t="str">
        <f>IFERROR(__xludf.DUMMYFUNCTION("""COMPUTED_VALUE"""),"https://drive.google.com/uc?id=1AseksFgimEoalZG4pGRYbjDHbguEsVKI")</f>
        <v>https://drive.google.com/uc?id=1AseksFgimEoalZG4pGRYbjDHbguEsVKI</v>
      </c>
      <c r="W1078" s="5" t="str">
        <f>IFERROR(__xludf.DUMMYFUNCTION("""COMPUTED_VALUE"""),"NÃO")</f>
        <v>NÃO</v>
      </c>
      <c r="X1078" s="5" t="str">
        <f>IFERROR(__xludf.DUMMYFUNCTION("""COMPUTED_VALUE"""),"NÃO")</f>
        <v>NÃO</v>
      </c>
    </row>
    <row r="1079">
      <c r="A1079" s="5">
        <f>IFERROR(__xludf.DUMMYFUNCTION("""COMPUTED_VALUE"""),4.0)</f>
        <v>4</v>
      </c>
      <c r="B1079" s="5" t="str">
        <f>IFERROR(__xludf.DUMMYFUNCTION("""COMPUTED_VALUE"""),"SA022")</f>
        <v>SA022</v>
      </c>
      <c r="C1079" s="5" t="str">
        <f>IFERROR(__xludf.DUMMYFUNCTION("""COMPUTED_VALUE"""),"ABRIGO CONCRETO")</f>
        <v>ABRIGO CONCRETO</v>
      </c>
      <c r="D1079" s="5" t="str">
        <f>IFERROR(__xludf.DUMMYFUNCTION("""COMPUTED_VALUE"""),"SEM PLACA")</f>
        <v>SEM PLACA</v>
      </c>
      <c r="E1079" s="5" t="str">
        <f>IFERROR(__xludf.DUMMYFUNCTION("""COMPUTED_VALUE"""),"SEM BAIA")</f>
        <v>SEM BAIA</v>
      </c>
      <c r="F1079" s="5" t="str">
        <f>IFERROR(__xludf.DUMMYFUNCTION("""COMPUTED_VALUE"""),"NÃO")</f>
        <v>NÃO</v>
      </c>
      <c r="G1079" s="5" t="str">
        <f>IFERROR(__xludf.DUMMYFUNCTION("""COMPUTED_VALUE"""),"NÃO")</f>
        <v>NÃO</v>
      </c>
      <c r="H1079" s="5" t="str">
        <f>IFERROR(__xludf.DUMMYFUNCTION("""COMPUTED_VALUE"""),"PAVIMENTADA")</f>
        <v>PAVIMENTADA</v>
      </c>
      <c r="I1079" s="6" t="str">
        <f>IFERROR(__xludf.DUMMYFUNCTION("""COMPUTED_VALUE"""),"-9.598970")</f>
        <v>-9.598970</v>
      </c>
      <c r="J1079" s="6" t="str">
        <f>IFERROR(__xludf.DUMMYFUNCTION("""COMPUTED_VALUE"""),"-35.770180")</f>
        <v>-35.770180</v>
      </c>
      <c r="K1079" s="5" t="str">
        <f>IFERROR(__xludf.DUMMYFUNCTION("""COMPUTED_VALUE"""),"RUA GILBERTO VIEIRA LEITE")</f>
        <v>RUA GILBERTO VIEIRA LEITE</v>
      </c>
      <c r="L1079" s="5" t="str">
        <f>IFERROR(__xludf.DUMMYFUNCTION("""COMPUTED_VALUE"""),"LOCAL")</f>
        <v>LOCAL</v>
      </c>
      <c r="M1079" s="5" t="str">
        <f>IFERROR(__xludf.DUMMYFUNCTION("""COMPUTED_VALUE"""),"SANTA AMÉLIA")</f>
        <v>SANTA AMÉLIA</v>
      </c>
      <c r="N1079" s="5" t="str">
        <f>IFERROR(__xludf.DUMMYFUNCTION("""COMPUTED_VALUE"""),"BAIRRO - CENTRO")</f>
        <v>BAIRRO - CENTRO</v>
      </c>
      <c r="O1079" s="5" t="str">
        <f>IFERROR(__xludf.DUMMYFUNCTION("""COMPUTED_VALUE"""),"EM FRENTE A PORANGABA MÓVEIS")</f>
        <v>EM FRENTE A PORANGABA MÓVEIS</v>
      </c>
      <c r="P1079" s="5" t="str">
        <f>IFERROR(__xludf.DUMMYFUNCTION("""COMPUTED_VALUE"""),"PRIORIDADE BAIXA")</f>
        <v>PRIORIDADE BAIXA</v>
      </c>
      <c r="Q1079" s="5" t="str">
        <f>IFERROR(__xludf.DUMMYFUNCTION("""COMPUTED_VALUE"""),"READEQUAÇÃO DE CALÇADA COM ACESSIBILIDADE")</f>
        <v>READEQUAÇÃO DE CALÇADA COM ACESSIBILIDADE</v>
      </c>
      <c r="R1079" s="5" t="str">
        <f>IFERROR(__xludf.DUMMYFUNCTION("""COMPUTED_VALUE"""),"SUBSTITUIR ABRIGO")</f>
        <v>SUBSTITUIR ABRIGO</v>
      </c>
      <c r="S1079" s="5"/>
      <c r="T1079" s="5"/>
      <c r="U1079" s="5"/>
      <c r="V1079" s="9" t="str">
        <f>IFERROR(__xludf.DUMMYFUNCTION("""COMPUTED_VALUE"""),"https://drive.google.com/uc?id=1Pgbe_kXEmG0HbYfdJaGkn9iOBN9rLayN")</f>
        <v>https://drive.google.com/uc?id=1Pgbe_kXEmG0HbYfdJaGkn9iOBN9rLayN</v>
      </c>
      <c r="W1079" s="5" t="str">
        <f>IFERROR(__xludf.DUMMYFUNCTION("""COMPUTED_VALUE"""),"NÃO")</f>
        <v>NÃO</v>
      </c>
      <c r="X1079" s="5" t="str">
        <f>IFERROR(__xludf.DUMMYFUNCTION("""COMPUTED_VALUE"""),"NÃO")</f>
        <v>NÃO</v>
      </c>
    </row>
    <row r="1080" hidden="1">
      <c r="A1080" s="5">
        <f>IFERROR(__xludf.DUMMYFUNCTION("""COMPUTED_VALUE"""),4.0)</f>
        <v>4</v>
      </c>
      <c r="B1080" s="5" t="str">
        <f>IFERROR(__xludf.DUMMYFUNCTION("""COMPUTED_VALUE"""),"SA023")</f>
        <v>SA023</v>
      </c>
      <c r="C1080" s="5" t="str">
        <f>IFERROR(__xludf.DUMMYFUNCTION("""COMPUTED_VALUE"""),"NÃO POSSUI")</f>
        <v>NÃO POSSUI</v>
      </c>
      <c r="D1080" s="5" t="str">
        <f>IFERROR(__xludf.DUMMYFUNCTION("""COMPUTED_VALUE"""),"FIXADA EM POSTE")</f>
        <v>FIXADA EM POSTE</v>
      </c>
      <c r="E1080" s="5" t="str">
        <f>IFERROR(__xludf.DUMMYFUNCTION("""COMPUTED_VALUE"""),"SEM BAIA")</f>
        <v>SEM BAIA</v>
      </c>
      <c r="F1080" s="5" t="str">
        <f>IFERROR(__xludf.DUMMYFUNCTION("""COMPUTED_VALUE"""),"NÃO")</f>
        <v>NÃO</v>
      </c>
      <c r="G1080" s="5" t="str">
        <f>IFERROR(__xludf.DUMMYFUNCTION("""COMPUTED_VALUE"""),"NÃO")</f>
        <v>NÃO</v>
      </c>
      <c r="H1080" s="5" t="str">
        <f>IFERROR(__xludf.DUMMYFUNCTION("""COMPUTED_VALUE"""),"PAVIMENTADA COM AVARIAS")</f>
        <v>PAVIMENTADA COM AVARIAS</v>
      </c>
      <c r="I1080" s="6" t="str">
        <f>IFERROR(__xludf.DUMMYFUNCTION("""COMPUTED_VALUE"""),"-9.598785")</f>
        <v>-9.598785</v>
      </c>
      <c r="J1080" s="6" t="str">
        <f>IFERROR(__xludf.DUMMYFUNCTION("""COMPUTED_VALUE"""),"-35.770043  ")</f>
        <v>-35.770043  </v>
      </c>
      <c r="K1080" s="5" t="str">
        <f>IFERROR(__xludf.DUMMYFUNCTION("""COMPUTED_VALUE"""),"RUA GILBERTO VIEIRA LEITE")</f>
        <v>RUA GILBERTO VIEIRA LEITE</v>
      </c>
      <c r="L1080" s="5" t="str">
        <f>IFERROR(__xludf.DUMMYFUNCTION("""COMPUTED_VALUE"""),"LOCAL")</f>
        <v>LOCAL</v>
      </c>
      <c r="M1080" s="5" t="str">
        <f>IFERROR(__xludf.DUMMYFUNCTION("""COMPUTED_VALUE"""),"SANTA AMÉLIA")</f>
        <v>SANTA AMÉLIA</v>
      </c>
      <c r="N1080" s="5" t="str">
        <f>IFERROR(__xludf.DUMMYFUNCTION("""COMPUTED_VALUE"""),"CENTRO - BAIRRO")</f>
        <v>CENTRO - BAIRRO</v>
      </c>
      <c r="O1080" s="5" t="str">
        <f>IFERROR(__xludf.DUMMYFUNCTION("""COMPUTED_VALUE"""),"AO LADO DA PORANGABA MÓVEIS")</f>
        <v>AO LADO DA PORANGABA MÓVEIS</v>
      </c>
      <c r="P1080" s="5" t="str">
        <f>IFERROR(__xludf.DUMMYFUNCTION("""COMPUTED_VALUE"""),"PRIORIDADE BAIXA")</f>
        <v>PRIORIDADE BAIXA</v>
      </c>
      <c r="Q1080" s="5" t="str">
        <f>IFERROR(__xludf.DUMMYFUNCTION("""COMPUTED_VALUE"""),"READEQUAÇÃO DE CALÇADA COM ACESSIBILIDADE")</f>
        <v>READEQUAÇÃO DE CALÇADA COM ACESSIBILIDADE</v>
      </c>
      <c r="R1080" s="5" t="str">
        <f>IFERROR(__xludf.DUMMYFUNCTION("""COMPUTED_VALUE"""),"NENHUMA DAS OPÇÕES")</f>
        <v>NENHUMA DAS OPÇÕES</v>
      </c>
      <c r="S1080" s="5"/>
      <c r="T1080" s="5"/>
      <c r="U1080" s="5"/>
      <c r="V1080" s="9" t="str">
        <f>IFERROR(__xludf.DUMMYFUNCTION("""COMPUTED_VALUE"""),"https://drive.google.com/uc?id=1moZh3RWSQCIgkGVO5_3OZd9vwE_Y2e8J")</f>
        <v>https://drive.google.com/uc?id=1moZh3RWSQCIgkGVO5_3OZd9vwE_Y2e8J</v>
      </c>
      <c r="W1080" s="5" t="str">
        <f>IFERROR(__xludf.DUMMYFUNCTION("""COMPUTED_VALUE"""),"NÃO")</f>
        <v>NÃO</v>
      </c>
      <c r="X1080" s="5" t="str">
        <f>IFERROR(__xludf.DUMMYFUNCTION("""COMPUTED_VALUE"""),"NÃO")</f>
        <v>NÃO</v>
      </c>
    </row>
    <row r="1081">
      <c r="A1081" s="5">
        <f>IFERROR(__xludf.DUMMYFUNCTION("IMPORTRANGE(""https://docs.google.com/spreadsheets/d/1KuoP8JmuiBMv_nZH41Qskz4TwgYIvev8RVYXLU3j10c/edit#gid=1945605910"", ""CENTRO!A3:X50"")"),2.0)</f>
        <v>2</v>
      </c>
      <c r="B1081" s="5" t="str">
        <f>IFERROR(__xludf.DUMMYFUNCTION("""COMPUTED_VALUE"""),"CT001")</f>
        <v>CT001</v>
      </c>
      <c r="C1081" s="5" t="str">
        <f>IFERROR(__xludf.DUMMYFUNCTION("""COMPUTED_VALUE"""),"ABRIGO CONCRETO")</f>
        <v>ABRIGO CONCRETO</v>
      </c>
      <c r="D1081" s="5" t="str">
        <f>IFERROR(__xludf.DUMMYFUNCTION("""COMPUTED_VALUE"""),"SEM PLACA")</f>
        <v>SEM PLACA</v>
      </c>
      <c r="E1081" s="5" t="str">
        <f>IFERROR(__xludf.DUMMYFUNCTION("""COMPUTED_VALUE"""),"SEM BAIA")</f>
        <v>SEM BAIA</v>
      </c>
      <c r="F1081" s="5" t="str">
        <f>IFERROR(__xludf.DUMMYFUNCTION("""COMPUTED_VALUE"""),"NÃO")</f>
        <v>NÃO</v>
      </c>
      <c r="G1081" s="5" t="str">
        <f>IFERROR(__xludf.DUMMYFUNCTION("""COMPUTED_VALUE"""),"NÃO")</f>
        <v>NÃO</v>
      </c>
      <c r="H1081" s="5" t="str">
        <f>IFERROR(__xludf.DUMMYFUNCTION("""COMPUTED_VALUE"""),"PAVIMENTADA")</f>
        <v>PAVIMENTADA</v>
      </c>
      <c r="I1081" s="6" t="str">
        <f>IFERROR(__xludf.DUMMYFUNCTION("""COMPUTED_VALUE"""),"-9.653906")</f>
        <v>-9.653906</v>
      </c>
      <c r="J1081" s="6" t="str">
        <f>IFERROR(__xludf.DUMMYFUNCTION("""COMPUTED_VALUE"""),"-35.740289")</f>
        <v>-35.740289</v>
      </c>
      <c r="K1081" s="5" t="str">
        <f>IFERROR(__xludf.DUMMYFUNCTION("""COMPUTED_VALUE"""),"AV. GOV. AFRÂNIO LAGES, S/N")</f>
        <v>AV. GOV. AFRÂNIO LAGES, S/N</v>
      </c>
      <c r="L1081" s="5" t="str">
        <f>IFERROR(__xludf.DUMMYFUNCTION("""COMPUTED_VALUE"""),"ARTERIAL ")</f>
        <v>ARTERIAL </v>
      </c>
      <c r="M1081" s="5" t="str">
        <f>IFERROR(__xludf.DUMMYFUNCTION("""COMPUTED_VALUE"""),"CENTRO")</f>
        <v>CENTRO</v>
      </c>
      <c r="N1081" s="5" t="str">
        <f>IFERROR(__xludf.DUMMYFUNCTION("""COMPUTED_VALUE"""),"CENTRO - BAIRRO")</f>
        <v>CENTRO - BAIRRO</v>
      </c>
      <c r="O1081" s="5" t="str">
        <f>IFERROR(__xludf.DUMMYFUNCTION("""COMPUTED_VALUE"""),"EM FRENTE AO SUPERMERCADO UNICOMPRAS DA CAMBONA")</f>
        <v>EM FRENTE AO SUPERMERCADO UNICOMPRAS DA CAMBONA</v>
      </c>
      <c r="P1081" s="5" t="str">
        <f>IFERROR(__xludf.DUMMYFUNCTION("""COMPUTED_VALUE"""),"PRIORIDADE BAIXA")</f>
        <v>PRIORIDADE BAIXA</v>
      </c>
      <c r="Q1081" s="5" t="str">
        <f>IFERROR(__xludf.DUMMYFUNCTION("""COMPUTED_VALUE"""),"LIMPEZA DA COBERTA DO ABRIGO; LIXAR E FAZER NOVA PINTURA; PINTURA DA BAIA NO ASFALTO; ADEQUAÇÃO DA CALÇADA (RAMPA DE ACESSIBILIDADE E PISO TÁTIL).")</f>
        <v>LIMPEZA DA COBERTA DO ABRIGO; LIXAR E FAZER NOVA PINTURA; PINTURA DA BAIA NO ASFALTO; ADEQUAÇÃO DA CALÇADA (RAMPA DE ACESSIBILIDADE E PISO TÁTIL).</v>
      </c>
      <c r="R1081" s="5" t="str">
        <f>IFERROR(__xludf.DUMMYFUNCTION("""COMPUTED_VALUE"""),"SUBSTITUIR ABRIGO")</f>
        <v>SUBSTITUIR ABRIGO</v>
      </c>
      <c r="S1081" s="7">
        <f>IFERROR(__xludf.DUMMYFUNCTION("""COMPUTED_VALUE"""),44562.0)</f>
        <v>44562</v>
      </c>
      <c r="T1081" s="5"/>
      <c r="U1081" s="7">
        <f>IFERROR(__xludf.DUMMYFUNCTION("""COMPUTED_VALUE"""),44562.0)</f>
        <v>44562</v>
      </c>
      <c r="V1081" s="9" t="str">
        <f>IFERROR(__xludf.DUMMYFUNCTION("""COMPUTED_VALUE"""),"https://drive.google.com/uc?id=12Sgu33aHdeP7E8fxMHCMn3lBMdrqrDYe")</f>
        <v>https://drive.google.com/uc?id=12Sgu33aHdeP7E8fxMHCMn3lBMdrqrDYe</v>
      </c>
      <c r="W1081" s="5" t="str">
        <f>IFERROR(__xludf.DUMMYFUNCTION("""COMPUTED_VALUE"""),"JUNTOS")</f>
        <v>JUNTOS</v>
      </c>
      <c r="X1081" s="5" t="str">
        <f>IFERROR(__xludf.DUMMYFUNCTION("""COMPUTED_VALUE"""),"SIM")</f>
        <v>SIM</v>
      </c>
    </row>
    <row r="1082" hidden="1">
      <c r="A1082" s="5">
        <f>IFERROR(__xludf.DUMMYFUNCTION("""COMPUTED_VALUE"""),2.0)</f>
        <v>2</v>
      </c>
      <c r="B1082" s="5" t="str">
        <f>IFERROR(__xludf.DUMMYFUNCTION("""COMPUTED_VALUE"""),"CT002")</f>
        <v>CT002</v>
      </c>
      <c r="C1082" s="5" t="str">
        <f>IFERROR(__xludf.DUMMYFUNCTION("""COMPUTED_VALUE"""),"NÃO POSSUI")</f>
        <v>NÃO POSSUI</v>
      </c>
      <c r="D1082" s="5" t="str">
        <f>IFERROR(__xludf.DUMMYFUNCTION("""COMPUTED_VALUE"""),"COM SUPORTE")</f>
        <v>COM SUPORTE</v>
      </c>
      <c r="E1082" s="5" t="str">
        <f>IFERROR(__xludf.DUMMYFUNCTION("""COMPUTED_VALUE"""),"SEM BAIA")</f>
        <v>SEM BAIA</v>
      </c>
      <c r="F1082" s="5" t="str">
        <f>IFERROR(__xludf.DUMMYFUNCTION("""COMPUTED_VALUE"""),"SIM")</f>
        <v>SIM</v>
      </c>
      <c r="G1082" s="5" t="str">
        <f>IFERROR(__xludf.DUMMYFUNCTION("""COMPUTED_VALUE"""),"NÃO")</f>
        <v>NÃO</v>
      </c>
      <c r="H1082" s="5" t="str">
        <f>IFERROR(__xludf.DUMMYFUNCTION("""COMPUTED_VALUE"""),"PAVIMENTADA")</f>
        <v>PAVIMENTADA</v>
      </c>
      <c r="I1082" s="6" t="str">
        <f>IFERROR(__xludf.DUMMYFUNCTION("""COMPUTED_VALUE"""),"-9.654766")</f>
        <v>-9.654766</v>
      </c>
      <c r="J1082" s="6" t="str">
        <f>IFERROR(__xludf.DUMMYFUNCTION("""COMPUTED_VALUE"""),"-35.740223")</f>
        <v>-35.740223</v>
      </c>
      <c r="K1082" s="5" t="str">
        <f>IFERROR(__xludf.DUMMYFUNCTION("""COMPUTED_VALUE"""),"RUA GENERAL HERMES, 558")</f>
        <v>RUA GENERAL HERMES, 558</v>
      </c>
      <c r="L1082" s="5" t="str">
        <f>IFERROR(__xludf.DUMMYFUNCTION("""COMPUTED_VALUE"""),"COLETORA")</f>
        <v>COLETORA</v>
      </c>
      <c r="M1082" s="5" t="str">
        <f>IFERROR(__xludf.DUMMYFUNCTION("""COMPUTED_VALUE"""),"CENTRO")</f>
        <v>CENTRO</v>
      </c>
      <c r="N1082" s="5" t="str">
        <f>IFERROR(__xludf.DUMMYFUNCTION("""COMPUTED_VALUE"""),"CENTRO - BAIRRO")</f>
        <v>CENTRO - BAIRRO</v>
      </c>
      <c r="O1082" s="5" t="str">
        <f>IFERROR(__xludf.DUMMYFUNCTION("""COMPUTED_VALUE"""),"EM FRENTE A ESCOLA SESI")</f>
        <v>EM FRENTE A ESCOLA SESI</v>
      </c>
      <c r="P1082" s="5" t="str">
        <f>IFERROR(__xludf.DUMMYFUNCTION("""COMPUTED_VALUE"""),"PRIORIDADE BAIXA")</f>
        <v>PRIORIDADE BAIXA</v>
      </c>
      <c r="Q1082" s="5" t="str">
        <f>IFERROR(__xludf.DUMMYFUNCTION("""COMPUTED_VALUE"""),"PINTURA DA BAIA NO ASFALTO; ADEQUAÇÃO DA CALÇADA (RAMPA DE ACESSIBILIDADE E PISO TÁTIL).")</f>
        <v>PINTURA DA BAIA NO ASFALTO; ADEQUAÇÃO DA CALÇADA (RAMPA DE ACESSIBILIDADE E PISO TÁTIL).</v>
      </c>
      <c r="R1082" s="5" t="str">
        <f>IFERROR(__xludf.DUMMYFUNCTION("""COMPUTED_VALUE"""),"NENHUMA DAS OPÇÕES")</f>
        <v>NENHUMA DAS OPÇÕES</v>
      </c>
      <c r="S1082" s="7">
        <f>IFERROR(__xludf.DUMMYFUNCTION("""COMPUTED_VALUE"""),44563.0)</f>
        <v>44563</v>
      </c>
      <c r="T1082" s="5"/>
      <c r="U1082" s="7">
        <f>IFERROR(__xludf.DUMMYFUNCTION("""COMPUTED_VALUE"""),44563.0)</f>
        <v>44563</v>
      </c>
      <c r="V1082" s="9" t="str">
        <f>IFERROR(__xludf.DUMMYFUNCTION("""COMPUTED_VALUE"""),"https://drive.google.com/uc?id=1__apc55jo_3hIi_4bNePIlLKawACywGr")</f>
        <v>https://drive.google.com/uc?id=1__apc55jo_3hIi_4bNePIlLKawACywGr</v>
      </c>
      <c r="W1082" s="5" t="str">
        <f>IFERROR(__xludf.DUMMYFUNCTION("""COMPUTED_VALUE"""),"NÃO")</f>
        <v>NÃO</v>
      </c>
      <c r="X1082" s="5" t="str">
        <f>IFERROR(__xludf.DUMMYFUNCTION("""COMPUTED_VALUE"""),"NÃO SE APLICA")</f>
        <v>NÃO SE APLICA</v>
      </c>
    </row>
    <row r="1083">
      <c r="A1083" s="5">
        <f>IFERROR(__xludf.DUMMYFUNCTION("""COMPUTED_VALUE"""),2.0)</f>
        <v>2</v>
      </c>
      <c r="B1083" s="5" t="str">
        <f>IFERROR(__xludf.DUMMYFUNCTION("""COMPUTED_VALUE"""),"CT003")</f>
        <v>CT003</v>
      </c>
      <c r="C1083" s="5" t="str">
        <f>IFERROR(__xludf.DUMMYFUNCTION("""COMPUTED_VALUE"""),"ABRIGO CONCRETO")</f>
        <v>ABRIGO CONCRETO</v>
      </c>
      <c r="D1083" s="5" t="str">
        <f>IFERROR(__xludf.DUMMYFUNCTION("""COMPUTED_VALUE"""),"SEM PLACA")</f>
        <v>SEM PLACA</v>
      </c>
      <c r="E1083" s="5" t="str">
        <f>IFERROR(__xludf.DUMMYFUNCTION("""COMPUTED_VALUE"""),"SEM BAIA")</f>
        <v>SEM BAIA</v>
      </c>
      <c r="F1083" s="5" t="str">
        <f>IFERROR(__xludf.DUMMYFUNCTION("""COMPUTED_VALUE"""),"SIM")</f>
        <v>SIM</v>
      </c>
      <c r="G1083" s="5" t="str">
        <f>IFERROR(__xludf.DUMMYFUNCTION("""COMPUTED_VALUE"""),"NÃO")</f>
        <v>NÃO</v>
      </c>
      <c r="H1083" s="5" t="str">
        <f>IFERROR(__xludf.DUMMYFUNCTION("""COMPUTED_VALUE"""),"PAVIMENTADA")</f>
        <v>PAVIMENTADA</v>
      </c>
      <c r="I1083" s="6" t="str">
        <f>IFERROR(__xludf.DUMMYFUNCTION("""COMPUTED_VALUE"""),"-9.657424")</f>
        <v>-9.657424</v>
      </c>
      <c r="J1083" s="6" t="str">
        <f>IFERROR(__xludf.DUMMYFUNCTION("""COMPUTED_VALUE"""),"-35.739198")</f>
        <v>-35.739198</v>
      </c>
      <c r="K1083" s="5" t="str">
        <f>IFERROR(__xludf.DUMMYFUNCTION("""COMPUTED_VALUE"""),"RUA GENERAL HERMES, 237")</f>
        <v>RUA GENERAL HERMES, 237</v>
      </c>
      <c r="L1083" s="5" t="str">
        <f>IFERROR(__xludf.DUMMYFUNCTION("""COMPUTED_VALUE"""),"COLETORA")</f>
        <v>COLETORA</v>
      </c>
      <c r="M1083" s="5" t="str">
        <f>IFERROR(__xludf.DUMMYFUNCTION("""COMPUTED_VALUE"""),"CENTRO")</f>
        <v>CENTRO</v>
      </c>
      <c r="N1083" s="5" t="str">
        <f>IFERROR(__xludf.DUMMYFUNCTION("""COMPUTED_VALUE"""),"CENTRO - BAIRRO")</f>
        <v>CENTRO - BAIRRO</v>
      </c>
      <c r="O1083" s="5" t="str">
        <f>IFERROR(__xludf.DUMMYFUNCTION("""COMPUTED_VALUE"""),"PRÓXIMO COMARPH")</f>
        <v>PRÓXIMO COMARPH</v>
      </c>
      <c r="P1083" s="5" t="str">
        <f>IFERROR(__xludf.DUMMYFUNCTION("""COMPUTED_VALUE"""),"PRIORIDADE BAIXA")</f>
        <v>PRIORIDADE BAIXA</v>
      </c>
      <c r="Q1083" s="5" t="str">
        <f>IFERROR(__xludf.DUMMYFUNCTION("""COMPUTED_VALUE"""),"LIMPEZA DA COBERTA DO ABRIGO; LIXAR E FAZER NOVA PINTURA; PINTURA DA BAIA NO ASFALTO; ADEQUAÇÃO DA CALÇADA (RAMPA DE ACESSIBILIDADE E PISO TÁTIL).")</f>
        <v>LIMPEZA DA COBERTA DO ABRIGO; LIXAR E FAZER NOVA PINTURA; PINTURA DA BAIA NO ASFALTO; ADEQUAÇÃO DA CALÇADA (RAMPA DE ACESSIBILIDADE E PISO TÁTIL).</v>
      </c>
      <c r="R1083" s="5" t="str">
        <f>IFERROR(__xludf.DUMMYFUNCTION("""COMPUTED_VALUE"""),"SUBSTITUIR ABRIGO")</f>
        <v>SUBSTITUIR ABRIGO</v>
      </c>
      <c r="S1083" s="7">
        <f>IFERROR(__xludf.DUMMYFUNCTION("""COMPUTED_VALUE"""),44564.0)</f>
        <v>44564</v>
      </c>
      <c r="T1083" s="5"/>
      <c r="U1083" s="7">
        <f>IFERROR(__xludf.DUMMYFUNCTION("""COMPUTED_VALUE"""),44564.0)</f>
        <v>44564</v>
      </c>
      <c r="V1083" s="9" t="str">
        <f>IFERROR(__xludf.DUMMYFUNCTION("""COMPUTED_VALUE"""),"https://drive.google.com/uc?id=1D1nuWkKqFz6bokqPvtaBzzvLWEVtMPml")</f>
        <v>https://drive.google.com/uc?id=1D1nuWkKqFz6bokqPvtaBzzvLWEVtMPml</v>
      </c>
      <c r="W1083" s="5" t="str">
        <f>IFERROR(__xludf.DUMMYFUNCTION("""COMPUTED_VALUE"""),"NÃO")</f>
        <v>NÃO</v>
      </c>
      <c r="X1083" s="5" t="str">
        <f>IFERROR(__xludf.DUMMYFUNCTION("""COMPUTED_VALUE"""),"NÃO SE APLICA")</f>
        <v>NÃO SE APLICA</v>
      </c>
    </row>
    <row r="1084">
      <c r="A1084" s="5">
        <f>IFERROR(__xludf.DUMMYFUNCTION("""COMPUTED_VALUE"""),2.0)</f>
        <v>2</v>
      </c>
      <c r="B1084" s="5" t="str">
        <f>IFERROR(__xludf.DUMMYFUNCTION("""COMPUTED_VALUE"""),"CT004")</f>
        <v>CT004</v>
      </c>
      <c r="C1084" s="5" t="str">
        <f>IFERROR(__xludf.DUMMYFUNCTION("""COMPUTED_VALUE"""),"ABRIGO METÁLICO GRANDE PORTE")</f>
        <v>ABRIGO METÁLICO GRANDE PORTE</v>
      </c>
      <c r="D1084" s="5" t="str">
        <f>IFERROR(__xludf.DUMMYFUNCTION("""COMPUTED_VALUE"""),"COM SUPORTE")</f>
        <v>COM SUPORTE</v>
      </c>
      <c r="E1084" s="5" t="str">
        <f>IFERROR(__xludf.DUMMYFUNCTION("""COMPUTED_VALUE"""),"BAIA CONSTRUÍDA")</f>
        <v>BAIA CONSTRUÍDA</v>
      </c>
      <c r="F1084" s="5" t="str">
        <f>IFERROR(__xludf.DUMMYFUNCTION("""COMPUTED_VALUE"""),"SIM")</f>
        <v>SIM</v>
      </c>
      <c r="G1084" s="5" t="str">
        <f>IFERROR(__xludf.DUMMYFUNCTION("""COMPUTED_VALUE"""),"SIM")</f>
        <v>SIM</v>
      </c>
      <c r="H1084" s="5" t="str">
        <f>IFERROR(__xludf.DUMMYFUNCTION("""COMPUTED_VALUE"""),"PAVIMENTADA")</f>
        <v>PAVIMENTADA</v>
      </c>
      <c r="I1084" s="6" t="str">
        <f>IFERROR(__xludf.DUMMYFUNCTION("""COMPUTED_VALUE"""),"-9.660359")</f>
        <v>-9.660359</v>
      </c>
      <c r="J1084" s="6" t="str">
        <f>IFERROR(__xludf.DUMMYFUNCTION("""COMPUTED_VALUE"""),"-35.739053")</f>
        <v>-35.739053</v>
      </c>
      <c r="K1084" s="5" t="str">
        <f>IFERROR(__xludf.DUMMYFUNCTION("""COMPUTED_VALUE"""),"RUA MELO MORAIS, S/N")</f>
        <v>RUA MELO MORAIS, S/N</v>
      </c>
      <c r="L1084" s="5" t="str">
        <f>IFERROR(__xludf.DUMMYFUNCTION("""COMPUTED_VALUE"""),"COLETORA")</f>
        <v>COLETORA</v>
      </c>
      <c r="M1084" s="5" t="str">
        <f>IFERROR(__xludf.DUMMYFUNCTION("""COMPUTED_VALUE"""),"CENTRO")</f>
        <v>CENTRO</v>
      </c>
      <c r="N1084" s="5" t="str">
        <f>IFERROR(__xludf.DUMMYFUNCTION("""COMPUTED_VALUE"""),"BAIRRO - CENTRO")</f>
        <v>BAIRRO - CENTRO</v>
      </c>
      <c r="O1084" s="5" t="str">
        <f>IFERROR(__xludf.DUMMYFUNCTION("""COMPUTED_VALUE"""),"NA PRAÇA DOS MARTÍRIOS")</f>
        <v>NA PRAÇA DOS MARTÍRIOS</v>
      </c>
      <c r="P1084" s="5" t="str">
        <f>IFERROR(__xludf.DUMMYFUNCTION("""COMPUTED_VALUE"""),"PRIORIDADE BAIXA")</f>
        <v>PRIORIDADE BAIXA</v>
      </c>
      <c r="Q1084" s="5" t="str">
        <f>IFERROR(__xludf.DUMMYFUNCTION("""COMPUTED_VALUE"""),"REFAZER COBERTA; LIXAR E FAZER NOVA PINTURA NOS PILARES; PINTURA DA BAIA NO ASFALTO")</f>
        <v>REFAZER COBERTA; LIXAR E FAZER NOVA PINTURA NOS PILARES; PINTURA DA BAIA NO ASFALTO</v>
      </c>
      <c r="R1084" s="5" t="str">
        <f>IFERROR(__xludf.DUMMYFUNCTION("""COMPUTED_VALUE"""),"NENHUMA DAS OPÇÕES")</f>
        <v>NENHUMA DAS OPÇÕES</v>
      </c>
      <c r="S1084" s="7">
        <f>IFERROR(__xludf.DUMMYFUNCTION("""COMPUTED_VALUE"""),44565.0)</f>
        <v>44565</v>
      </c>
      <c r="T1084" s="5"/>
      <c r="U1084" s="7">
        <f>IFERROR(__xludf.DUMMYFUNCTION("""COMPUTED_VALUE"""),44565.0)</f>
        <v>44565</v>
      </c>
      <c r="V1084" s="9" t="str">
        <f>IFERROR(__xludf.DUMMYFUNCTION("""COMPUTED_VALUE"""),"https://drive.google.com/uc?id=1ohpv1sVNw075T31cyiwEDd1BZK4KM6eu")</f>
        <v>https://drive.google.com/uc?id=1ohpv1sVNw075T31cyiwEDd1BZK4KM6eu</v>
      </c>
      <c r="W1084" s="5" t="str">
        <f>IFERROR(__xludf.DUMMYFUNCTION("""COMPUTED_VALUE"""),"JUNTOS")</f>
        <v>JUNTOS</v>
      </c>
      <c r="X1084" s="5" t="str">
        <f>IFERROR(__xludf.DUMMYFUNCTION("""COMPUTED_VALUE"""),"NÃO SE APLICA")</f>
        <v>NÃO SE APLICA</v>
      </c>
    </row>
    <row r="1085" hidden="1">
      <c r="A1085" s="5">
        <f>IFERROR(__xludf.DUMMYFUNCTION("""COMPUTED_VALUE"""),2.0)</f>
        <v>2</v>
      </c>
      <c r="B1085" s="5" t="str">
        <f>IFERROR(__xludf.DUMMYFUNCTION("""COMPUTED_VALUE"""),"CT005")</f>
        <v>CT005</v>
      </c>
      <c r="C1085" s="5" t="str">
        <f>IFERROR(__xludf.DUMMYFUNCTION("""COMPUTED_VALUE"""),"NÃO POSSUI")</f>
        <v>NÃO POSSUI</v>
      </c>
      <c r="D1085" s="5" t="str">
        <f>IFERROR(__xludf.DUMMYFUNCTION("""COMPUTED_VALUE"""),"FIXADA EM POSTE")</f>
        <v>FIXADA EM POSTE</v>
      </c>
      <c r="E1085" s="5" t="str">
        <f>IFERROR(__xludf.DUMMYFUNCTION("""COMPUTED_VALUE"""),"SEM BAIA")</f>
        <v>SEM BAIA</v>
      </c>
      <c r="F1085" s="5" t="str">
        <f>IFERROR(__xludf.DUMMYFUNCTION("""COMPUTED_VALUE"""),"NÃO")</f>
        <v>NÃO</v>
      </c>
      <c r="G1085" s="5" t="str">
        <f>IFERROR(__xludf.DUMMYFUNCTION("""COMPUTED_VALUE"""),"NÃO")</f>
        <v>NÃO</v>
      </c>
      <c r="H1085" s="5" t="str">
        <f>IFERROR(__xludf.DUMMYFUNCTION("""COMPUTED_VALUE"""),"PAVIMENTADA")</f>
        <v>PAVIMENTADA</v>
      </c>
      <c r="I1085" s="6" t="str">
        <f>IFERROR(__xludf.DUMMYFUNCTION("""COMPUTED_VALUE"""),"-9.661253")</f>
        <v>-9.661253</v>
      </c>
      <c r="J1085" s="6" t="str">
        <f>IFERROR(__xludf.DUMMYFUNCTION("""COMPUTED_VALUE"""),"-35.741612")</f>
        <v>-35.741612</v>
      </c>
      <c r="K1085" s="5" t="str">
        <f>IFERROR(__xludf.DUMMYFUNCTION("""COMPUTED_VALUE"""),"RUA MELO MORAIS, 354")</f>
        <v>RUA MELO MORAIS, 354</v>
      </c>
      <c r="L1085" s="5" t="str">
        <f>IFERROR(__xludf.DUMMYFUNCTION("""COMPUTED_VALUE"""),"COLETORA")</f>
        <v>COLETORA</v>
      </c>
      <c r="M1085" s="5" t="str">
        <f>IFERROR(__xludf.DUMMYFUNCTION("""COMPUTED_VALUE"""),"CENTRO")</f>
        <v>CENTRO</v>
      </c>
      <c r="N1085" s="5" t="str">
        <f>IFERROR(__xludf.DUMMYFUNCTION("""COMPUTED_VALUE"""),"CENTRO - BAIRRO")</f>
        <v>CENTRO - BAIRRO</v>
      </c>
      <c r="O1085" s="5" t="str">
        <f>IFERROR(__xludf.DUMMYFUNCTION("""COMPUTED_VALUE"""),"RUA MELO MORAIS, 354")</f>
        <v>RUA MELO MORAIS, 354</v>
      </c>
      <c r="P1085" s="5" t="str">
        <f>IFERROR(__xludf.DUMMYFUNCTION("""COMPUTED_VALUE"""),"PRIORIDADE ALTA")</f>
        <v>PRIORIDADE ALTA</v>
      </c>
      <c r="Q1085" s="5" t="str">
        <f>IFERROR(__xludf.DUMMYFUNCTION("""COMPUTED_VALUE"""),"SUBSTITUIÇÃO DA PLACA NO POSTE; PINTURA DA BAIA NO ASFALTO, ADEQUAÇÃO DA CALÇADA (RAMPA DE ACESSIBILIDADE E PISO TÁTIL)")</f>
        <v>SUBSTITUIÇÃO DA PLACA NO POSTE; PINTURA DA BAIA NO ASFALTO, ADEQUAÇÃO DA CALÇADA (RAMPA DE ACESSIBILIDADE E PISO TÁTIL)</v>
      </c>
      <c r="R1085" s="5" t="str">
        <f>IFERROR(__xludf.DUMMYFUNCTION("""COMPUTED_VALUE"""),"SUBSTITUIR PLACA")</f>
        <v>SUBSTITUIR PLACA</v>
      </c>
      <c r="S1085" s="7">
        <f>IFERROR(__xludf.DUMMYFUNCTION("""COMPUTED_VALUE"""),44566.0)</f>
        <v>44566</v>
      </c>
      <c r="T1085" s="5"/>
      <c r="U1085" s="7">
        <f>IFERROR(__xludf.DUMMYFUNCTION("""COMPUTED_VALUE"""),45406.0)</f>
        <v>45406</v>
      </c>
      <c r="V1085" s="9" t="str">
        <f>IFERROR(__xludf.DUMMYFUNCTION("""COMPUTED_VALUE"""),"https://drive.google.com/uc?id=1LQy9WaBMiqfdAsdlOzDHZjhbRS5kN-qy")</f>
        <v>https://drive.google.com/uc?id=1LQy9WaBMiqfdAsdlOzDHZjhbRS5kN-qy</v>
      </c>
      <c r="W1085" s="5" t="str">
        <f>IFERROR(__xludf.DUMMYFUNCTION("""COMPUTED_VALUE"""),"NÃO")</f>
        <v>NÃO</v>
      </c>
      <c r="X1085" s="5" t="str">
        <f>IFERROR(__xludf.DUMMYFUNCTION("""COMPUTED_VALUE"""),"NÃO")</f>
        <v>NÃO</v>
      </c>
    </row>
    <row r="1086" hidden="1">
      <c r="A1086" s="5">
        <f>IFERROR(__xludf.DUMMYFUNCTION("""COMPUTED_VALUE"""),2.0)</f>
        <v>2</v>
      </c>
      <c r="B1086" s="5" t="str">
        <f>IFERROR(__xludf.DUMMYFUNCTION("""COMPUTED_VALUE"""),"CT006")</f>
        <v>CT006</v>
      </c>
      <c r="C1086" s="5" t="str">
        <f>IFERROR(__xludf.DUMMYFUNCTION("""COMPUTED_VALUE"""),"NÃO POSSUI")</f>
        <v>NÃO POSSUI</v>
      </c>
      <c r="D1086" s="5" t="str">
        <f>IFERROR(__xludf.DUMMYFUNCTION("""COMPUTED_VALUE"""),"COM SUPORTE")</f>
        <v>COM SUPORTE</v>
      </c>
      <c r="E1086" s="5" t="str">
        <f>IFERROR(__xludf.DUMMYFUNCTION("""COMPUTED_VALUE"""),"BAIA PINTADA")</f>
        <v>BAIA PINTADA</v>
      </c>
      <c r="F1086" s="5" t="str">
        <f>IFERROR(__xludf.DUMMYFUNCTION("""COMPUTED_VALUE"""),"NÃO")</f>
        <v>NÃO</v>
      </c>
      <c r="G1086" s="5" t="str">
        <f>IFERROR(__xludf.DUMMYFUNCTION("""COMPUTED_VALUE"""),"NÃO")</f>
        <v>NÃO</v>
      </c>
      <c r="H1086" s="5" t="str">
        <f>IFERROR(__xludf.DUMMYFUNCTION("""COMPUTED_VALUE"""),"PAVIMENTADA")</f>
        <v>PAVIMENTADA</v>
      </c>
      <c r="I1086" s="6" t="str">
        <f>IFERROR(__xludf.DUMMYFUNCTION("""COMPUTED_VALUE"""),"-9.660756")</f>
        <v>-9.660756</v>
      </c>
      <c r="J1086" s="6" t="str">
        <f>IFERROR(__xludf.DUMMYFUNCTION("""COMPUTED_VALUE"""),"-35.738817")</f>
        <v>-35.738817</v>
      </c>
      <c r="K1086" s="5" t="str">
        <f>IFERROR(__xludf.DUMMYFUNCTION("""COMPUTED_VALUE"""),"RUA DO COMÉRCIO, 679")</f>
        <v>RUA DO COMÉRCIO, 679</v>
      </c>
      <c r="L1086" s="5" t="str">
        <f>IFERROR(__xludf.DUMMYFUNCTION("""COMPUTED_VALUE"""),"LOCAL")</f>
        <v>LOCAL</v>
      </c>
      <c r="M1086" s="5" t="str">
        <f>IFERROR(__xludf.DUMMYFUNCTION("""COMPUTED_VALUE"""),"CENTRO")</f>
        <v>CENTRO</v>
      </c>
      <c r="N1086" s="5" t="str">
        <f>IFERROR(__xludf.DUMMYFUNCTION("""COMPUTED_VALUE"""),"CENTRO - BAIRRO")</f>
        <v>CENTRO - BAIRRO</v>
      </c>
      <c r="O1086" s="5" t="str">
        <f>IFERROR(__xludf.DUMMYFUNCTION("""COMPUTED_VALUE"""),"RUA DO COMÉRCIO, 679")</f>
        <v>RUA DO COMÉRCIO, 679</v>
      </c>
      <c r="P1086" s="5" t="str">
        <f>IFERROR(__xludf.DUMMYFUNCTION("""COMPUTED_VALUE"""),"PRIORIDADE BAIXA")</f>
        <v>PRIORIDADE BAIXA</v>
      </c>
      <c r="Q1086" s="5" t="str">
        <f>IFERROR(__xludf.DUMMYFUNCTION("""COMPUTED_VALUE"""),"PINTURA DA BAIA NO ASFALTO; ADEQUAÇÃO DA CALÇADA")</f>
        <v>PINTURA DA BAIA NO ASFALTO; ADEQUAÇÃO DA CALÇADA</v>
      </c>
      <c r="R1086" s="5" t="str">
        <f>IFERROR(__xludf.DUMMYFUNCTION("""COMPUTED_VALUE"""),"NENHUMA DAS OPÇÕES")</f>
        <v>NENHUMA DAS OPÇÕES</v>
      </c>
      <c r="S1086" s="7">
        <f>IFERROR(__xludf.DUMMYFUNCTION("""COMPUTED_VALUE"""),44567.0)</f>
        <v>44567</v>
      </c>
      <c r="T1086" s="5"/>
      <c r="U1086" s="7">
        <f>IFERROR(__xludf.DUMMYFUNCTION("""COMPUTED_VALUE"""),44567.0)</f>
        <v>44567</v>
      </c>
      <c r="V1086" s="9" t="str">
        <f>IFERROR(__xludf.DUMMYFUNCTION("""COMPUTED_VALUE"""),"https://drive.google.com/uc?id=15a4NgEhYqIRu3USKO6qywYJjQheNeQwj")</f>
        <v>https://drive.google.com/uc?id=15a4NgEhYqIRu3USKO6qywYJjQheNeQwj</v>
      </c>
      <c r="W1086" s="5" t="str">
        <f>IFERROR(__xludf.DUMMYFUNCTION("""COMPUTED_VALUE"""),"NÃO")</f>
        <v>NÃO</v>
      </c>
      <c r="X1086" s="5" t="str">
        <f>IFERROR(__xludf.DUMMYFUNCTION("""COMPUTED_VALUE"""),"NÃO SE APLICA")</f>
        <v>NÃO SE APLICA</v>
      </c>
    </row>
    <row r="1087" hidden="1">
      <c r="A1087" s="13">
        <f>IFERROR(__xludf.DUMMYFUNCTION("""COMPUTED_VALUE"""),2.0)</f>
        <v>2</v>
      </c>
      <c r="B1087" s="5" t="str">
        <f>IFERROR(__xludf.DUMMYFUNCTION("""COMPUTED_VALUE"""),"CT007")</f>
        <v>CT007</v>
      </c>
      <c r="C1087" s="5" t="str">
        <f>IFERROR(__xludf.DUMMYFUNCTION("""COMPUTED_VALUE"""),"NÃO POSSUI")</f>
        <v>NÃO POSSUI</v>
      </c>
      <c r="D1087" s="5" t="str">
        <f>IFERROR(__xludf.DUMMYFUNCTION("""COMPUTED_VALUE"""),"COM SUPORTE")</f>
        <v>COM SUPORTE</v>
      </c>
      <c r="E1087" s="5" t="str">
        <f>IFERROR(__xludf.DUMMYFUNCTION("""COMPUTED_VALUE"""),"BAIA PINTADA")</f>
        <v>BAIA PINTADA</v>
      </c>
      <c r="F1087" s="5" t="str">
        <f>IFERROR(__xludf.DUMMYFUNCTION("""COMPUTED_VALUE"""),"NÃO")</f>
        <v>NÃO</v>
      </c>
      <c r="G1087" s="5" t="str">
        <f>IFERROR(__xludf.DUMMYFUNCTION("""COMPUTED_VALUE"""),"NÃO")</f>
        <v>NÃO</v>
      </c>
      <c r="H1087" s="5" t="str">
        <f>IFERROR(__xludf.DUMMYFUNCTION("""COMPUTED_VALUE"""),"PAVIMENTADA")</f>
        <v>PAVIMENTADA</v>
      </c>
      <c r="I1087" s="6" t="str">
        <f>IFERROR(__xludf.DUMMYFUNCTION("""COMPUTED_VALUE"""),"-9.66098")</f>
        <v>-9.66098</v>
      </c>
      <c r="J1087" s="6" t="str">
        <f>IFERROR(__xludf.DUMMYFUNCTION("""COMPUTED_VALUE"""),"-35.73870")</f>
        <v>-35.73870</v>
      </c>
      <c r="K1087" s="5" t="str">
        <f>IFERROR(__xludf.DUMMYFUNCTION("""COMPUTED_VALUE"""),"RUA DO COMÉRCIO, 665")</f>
        <v>RUA DO COMÉRCIO, 665</v>
      </c>
      <c r="L1087" s="5" t="str">
        <f>IFERROR(__xludf.DUMMYFUNCTION("""COMPUTED_VALUE"""),"LOCAL")</f>
        <v>LOCAL</v>
      </c>
      <c r="M1087" s="5" t="str">
        <f>IFERROR(__xludf.DUMMYFUNCTION("""COMPUTED_VALUE"""),"CENTRO")</f>
        <v>CENTRO</v>
      </c>
      <c r="N1087" s="5" t="str">
        <f>IFERROR(__xludf.DUMMYFUNCTION("""COMPUTED_VALUE"""),"CENTRO - BAIRRO")</f>
        <v>CENTRO - BAIRRO</v>
      </c>
      <c r="O1087" s="5" t="str">
        <f>IFERROR(__xludf.DUMMYFUNCTION("""COMPUTED_VALUE"""),"RUA DO COMÉRCIO, 665")</f>
        <v>RUA DO COMÉRCIO, 665</v>
      </c>
      <c r="P1087" s="5" t="str">
        <f>IFERROR(__xludf.DUMMYFUNCTION("""COMPUTED_VALUE"""),"PRIORIDADE BAIXA")</f>
        <v>PRIORIDADE BAIXA</v>
      </c>
      <c r="Q1087" s="5" t="str">
        <f>IFERROR(__xludf.DUMMYFUNCTION("""COMPUTED_VALUE"""),"PINTURA DA BAIA NO ASFALTO; ADEQUAÇÃO DA CALÇADA")</f>
        <v>PINTURA DA BAIA NO ASFALTO; ADEQUAÇÃO DA CALÇADA</v>
      </c>
      <c r="R1087" s="5" t="str">
        <f>IFERROR(__xludf.DUMMYFUNCTION("""COMPUTED_VALUE"""),"NENHUMA DAS OPÇÕES")</f>
        <v>NENHUMA DAS OPÇÕES</v>
      </c>
      <c r="S1087" s="7">
        <f>IFERROR(__xludf.DUMMYFUNCTION("""COMPUTED_VALUE"""),44568.0)</f>
        <v>44568</v>
      </c>
      <c r="T1087" s="5"/>
      <c r="U1087" s="7">
        <f>IFERROR(__xludf.DUMMYFUNCTION("""COMPUTED_VALUE"""),44568.0)</f>
        <v>44568</v>
      </c>
      <c r="V1087" s="9" t="str">
        <f>IFERROR(__xludf.DUMMYFUNCTION("""COMPUTED_VALUE"""),"https://drive.google.com/uc?id=15a4NgEhYqIRu3USKO6qywYJjQheNeQwjj")</f>
        <v>https://drive.google.com/uc?id=15a4NgEhYqIRu3USKO6qywYJjQheNeQwjj</v>
      </c>
      <c r="W1087" s="5" t="str">
        <f>IFERROR(__xludf.DUMMYFUNCTION("""COMPUTED_VALUE"""),"NÃO")</f>
        <v>NÃO</v>
      </c>
      <c r="X1087" s="5" t="str">
        <f>IFERROR(__xludf.DUMMYFUNCTION("""COMPUTED_VALUE"""),"NÃO SE APLICA")</f>
        <v>NÃO SE APLICA</v>
      </c>
    </row>
    <row r="1088" hidden="1">
      <c r="A1088" s="5">
        <f>IFERROR(__xludf.DUMMYFUNCTION("""COMPUTED_VALUE"""),2.0)</f>
        <v>2</v>
      </c>
      <c r="B1088" s="5" t="str">
        <f>IFERROR(__xludf.DUMMYFUNCTION("""COMPUTED_VALUE"""),"CT008")</f>
        <v>CT008</v>
      </c>
      <c r="C1088" s="5" t="str">
        <f>IFERROR(__xludf.DUMMYFUNCTION("""COMPUTED_VALUE"""),"NÃO POSSUI")</f>
        <v>NÃO POSSUI</v>
      </c>
      <c r="D1088" s="5" t="str">
        <f>IFERROR(__xludf.DUMMYFUNCTION("""COMPUTED_VALUE"""),"COM SUPORTE")</f>
        <v>COM SUPORTE</v>
      </c>
      <c r="E1088" s="5" t="str">
        <f>IFERROR(__xludf.DUMMYFUNCTION("""COMPUTED_VALUE"""),"BAIA PINTADA")</f>
        <v>BAIA PINTADA</v>
      </c>
      <c r="F1088" s="5" t="str">
        <f>IFERROR(__xludf.DUMMYFUNCTION("""COMPUTED_VALUE"""),"NÃO")</f>
        <v>NÃO</v>
      </c>
      <c r="G1088" s="5" t="str">
        <f>IFERROR(__xludf.DUMMYFUNCTION("""COMPUTED_VALUE"""),"NÃO")</f>
        <v>NÃO</v>
      </c>
      <c r="H1088" s="5" t="str">
        <f>IFERROR(__xludf.DUMMYFUNCTION("""COMPUTED_VALUE"""),"PAVIMENTADA")</f>
        <v>PAVIMENTADA</v>
      </c>
      <c r="I1088" s="6" t="str">
        <f>IFERROR(__xludf.DUMMYFUNCTION("""COMPUTED_VALUE"""),"-9.66100")</f>
        <v>-9.66100</v>
      </c>
      <c r="J1088" s="6" t="str">
        <f>IFERROR(__xludf.DUMMYFUNCTION("""COMPUTED_VALUE"""),"-35.73870")</f>
        <v>-35.73870</v>
      </c>
      <c r="K1088" s="5" t="str">
        <f>IFERROR(__xludf.DUMMYFUNCTION("""COMPUTED_VALUE"""),"RUA DO COMÉRCIO, 659")</f>
        <v>RUA DO COMÉRCIO, 659</v>
      </c>
      <c r="L1088" s="5" t="str">
        <f>IFERROR(__xludf.DUMMYFUNCTION("""COMPUTED_VALUE"""),"LOCAL")</f>
        <v>LOCAL</v>
      </c>
      <c r="M1088" s="5" t="str">
        <f>IFERROR(__xludf.DUMMYFUNCTION("""COMPUTED_VALUE"""),"CENTRO")</f>
        <v>CENTRO</v>
      </c>
      <c r="N1088" s="5" t="str">
        <f>IFERROR(__xludf.DUMMYFUNCTION("""COMPUTED_VALUE"""),"CENTRO - BAIRRO")</f>
        <v>CENTRO - BAIRRO</v>
      </c>
      <c r="O1088" s="5" t="str">
        <f>IFERROR(__xludf.DUMMYFUNCTION("""COMPUTED_VALUE"""),"RUA DO COMÉRCIO, 659")</f>
        <v>RUA DO COMÉRCIO, 659</v>
      </c>
      <c r="P1088" s="5" t="str">
        <f>IFERROR(__xludf.DUMMYFUNCTION("""COMPUTED_VALUE"""),"PRIORIDADE BAIXA")</f>
        <v>PRIORIDADE BAIXA</v>
      </c>
      <c r="Q1088" s="5" t="str">
        <f>IFERROR(__xludf.DUMMYFUNCTION("""COMPUTED_VALUE"""),"PINTURA DA BAIA NO ASFALTO; ADEQUAÇÃO DA CALÇADA")</f>
        <v>PINTURA DA BAIA NO ASFALTO; ADEQUAÇÃO DA CALÇADA</v>
      </c>
      <c r="R1088" s="5" t="str">
        <f>IFERROR(__xludf.DUMMYFUNCTION("""COMPUTED_VALUE"""),"NENHUMA DAS OPÇÕES")</f>
        <v>NENHUMA DAS OPÇÕES</v>
      </c>
      <c r="S1088" s="7">
        <f>IFERROR(__xludf.DUMMYFUNCTION("""COMPUTED_VALUE"""),44569.0)</f>
        <v>44569</v>
      </c>
      <c r="T1088" s="5"/>
      <c r="U1088" s="7">
        <f>IFERROR(__xludf.DUMMYFUNCTION("""COMPUTED_VALUE"""),44569.0)</f>
        <v>44569</v>
      </c>
      <c r="V1088" s="9" t="str">
        <f>IFERROR(__xludf.DUMMYFUNCTION("""COMPUTED_VALUE"""),"https://drive.google.com/uc?id=1nM1iXz13wIDpxqNzt_4ltq6pXj5DxIU9")</f>
        <v>https://drive.google.com/uc?id=1nM1iXz13wIDpxqNzt_4ltq6pXj5DxIU9</v>
      </c>
      <c r="W1088" s="5" t="str">
        <f>IFERROR(__xludf.DUMMYFUNCTION("""COMPUTED_VALUE"""),"NÃO")</f>
        <v>NÃO</v>
      </c>
      <c r="X1088" s="5" t="str">
        <f>IFERROR(__xludf.DUMMYFUNCTION("""COMPUTED_VALUE"""),"NÃO SE APLICA")</f>
        <v>NÃO SE APLICA</v>
      </c>
    </row>
    <row r="1089" hidden="1">
      <c r="A1089" s="5">
        <f>IFERROR(__xludf.DUMMYFUNCTION("""COMPUTED_VALUE"""),2.0)</f>
        <v>2</v>
      </c>
      <c r="B1089" s="5" t="str">
        <f>IFERROR(__xludf.DUMMYFUNCTION("""COMPUTED_VALUE"""),"CT009")</f>
        <v>CT009</v>
      </c>
      <c r="C1089" s="5" t="str">
        <f>IFERROR(__xludf.DUMMYFUNCTION("""COMPUTED_VALUE"""),"NÃO POSSUI")</f>
        <v>NÃO POSSUI</v>
      </c>
      <c r="D1089" s="5" t="str">
        <f>IFERROR(__xludf.DUMMYFUNCTION("""COMPUTED_VALUE"""),"COM SUPORTE")</f>
        <v>COM SUPORTE</v>
      </c>
      <c r="E1089" s="5" t="str">
        <f>IFERROR(__xludf.DUMMYFUNCTION("""COMPUTED_VALUE"""),"BAIA PINTADA")</f>
        <v>BAIA PINTADA</v>
      </c>
      <c r="F1089" s="5" t="str">
        <f>IFERROR(__xludf.DUMMYFUNCTION("""COMPUTED_VALUE"""),"NÃO")</f>
        <v>NÃO</v>
      </c>
      <c r="G1089" s="5" t="str">
        <f>IFERROR(__xludf.DUMMYFUNCTION("""COMPUTED_VALUE"""),"NÃO")</f>
        <v>NÃO</v>
      </c>
      <c r="H1089" s="5" t="str">
        <f>IFERROR(__xludf.DUMMYFUNCTION("""COMPUTED_VALUE"""),"PAVIMENTADA")</f>
        <v>PAVIMENTADA</v>
      </c>
      <c r="I1089" s="6" t="str">
        <f>IFERROR(__xludf.DUMMYFUNCTION("""COMPUTED_VALUE"""),"-9.66102")</f>
        <v>-9.66102</v>
      </c>
      <c r="J1089" s="6" t="str">
        <f>IFERROR(__xludf.DUMMYFUNCTION("""COMPUTED_VALUE"""),"-35.73869")</f>
        <v>-35.73869</v>
      </c>
      <c r="K1089" s="5" t="str">
        <f>IFERROR(__xludf.DUMMYFUNCTION("""COMPUTED_VALUE"""),"RUA DO COMÉRCIO, 633")</f>
        <v>RUA DO COMÉRCIO, 633</v>
      </c>
      <c r="L1089" s="5" t="str">
        <f>IFERROR(__xludf.DUMMYFUNCTION("""COMPUTED_VALUE"""),"LOCAL")</f>
        <v>LOCAL</v>
      </c>
      <c r="M1089" s="5" t="str">
        <f>IFERROR(__xludf.DUMMYFUNCTION("""COMPUTED_VALUE"""),"CENTRO")</f>
        <v>CENTRO</v>
      </c>
      <c r="N1089" s="5" t="str">
        <f>IFERROR(__xludf.DUMMYFUNCTION("""COMPUTED_VALUE"""),"CENTRO - BAIRRO")</f>
        <v>CENTRO - BAIRRO</v>
      </c>
      <c r="O1089" s="5" t="str">
        <f>IFERROR(__xludf.DUMMYFUNCTION("""COMPUTED_VALUE"""),"EM FRENTE A LOJA CARTÃO DE TODOS")</f>
        <v>EM FRENTE A LOJA CARTÃO DE TODOS</v>
      </c>
      <c r="P1089" s="5" t="str">
        <f>IFERROR(__xludf.DUMMYFUNCTION("""COMPUTED_VALUE"""),"PRIORIDADE BAIXA")</f>
        <v>PRIORIDADE BAIXA</v>
      </c>
      <c r="Q1089" s="5" t="str">
        <f>IFERROR(__xludf.DUMMYFUNCTION("""COMPUTED_VALUE"""),"PINTURA DA BAIA NO ASFALTO; ADEQUAÇÃO DA CALÇADA")</f>
        <v>PINTURA DA BAIA NO ASFALTO; ADEQUAÇÃO DA CALÇADA</v>
      </c>
      <c r="R1089" s="5" t="str">
        <f>IFERROR(__xludf.DUMMYFUNCTION("""COMPUTED_VALUE"""),"NENHUMA DAS OPÇÕES")</f>
        <v>NENHUMA DAS OPÇÕES</v>
      </c>
      <c r="S1089" s="7">
        <f>IFERROR(__xludf.DUMMYFUNCTION("""COMPUTED_VALUE"""),44570.0)</f>
        <v>44570</v>
      </c>
      <c r="T1089" s="5"/>
      <c r="U1089" s="7">
        <f>IFERROR(__xludf.DUMMYFUNCTION("""COMPUTED_VALUE"""),44570.0)</f>
        <v>44570</v>
      </c>
      <c r="V1089" s="9" t="str">
        <f>IFERROR(__xludf.DUMMYFUNCTION("""COMPUTED_VALUE"""),"https://drive.google.com/uc?id=1qXKBLI1bXbaygRNWpulEBE0wR9gNYIks")</f>
        <v>https://drive.google.com/uc?id=1qXKBLI1bXbaygRNWpulEBE0wR9gNYIks</v>
      </c>
      <c r="W1089" s="5" t="str">
        <f>IFERROR(__xludf.DUMMYFUNCTION("""COMPUTED_VALUE"""),"NÃO")</f>
        <v>NÃO</v>
      </c>
      <c r="X1089" s="5" t="str">
        <f>IFERROR(__xludf.DUMMYFUNCTION("""COMPUTED_VALUE"""),"NÃO SE APLICA")</f>
        <v>NÃO SE APLICA</v>
      </c>
    </row>
    <row r="1090" hidden="1">
      <c r="A1090" s="5">
        <f>IFERROR(__xludf.DUMMYFUNCTION("""COMPUTED_VALUE"""),2.0)</f>
        <v>2</v>
      </c>
      <c r="B1090" s="5" t="str">
        <f>IFERROR(__xludf.DUMMYFUNCTION("""COMPUTED_VALUE"""),"CT010")</f>
        <v>CT010</v>
      </c>
      <c r="C1090" s="5" t="str">
        <f>IFERROR(__xludf.DUMMYFUNCTION("""COMPUTED_VALUE"""),"NÃO POSSUI")</f>
        <v>NÃO POSSUI</v>
      </c>
      <c r="D1090" s="5" t="str">
        <f>IFERROR(__xludf.DUMMYFUNCTION("""COMPUTED_VALUE"""),"COM SUPORTE")</f>
        <v>COM SUPORTE</v>
      </c>
      <c r="E1090" s="5" t="str">
        <f>IFERROR(__xludf.DUMMYFUNCTION("""COMPUTED_VALUE"""),"BAIA PINTADA")</f>
        <v>BAIA PINTADA</v>
      </c>
      <c r="F1090" s="5" t="str">
        <f>IFERROR(__xludf.DUMMYFUNCTION("""COMPUTED_VALUE"""),"NÃO")</f>
        <v>NÃO</v>
      </c>
      <c r="G1090" s="5" t="str">
        <f>IFERROR(__xludf.DUMMYFUNCTION("""COMPUTED_VALUE"""),"NÃO")</f>
        <v>NÃO</v>
      </c>
      <c r="H1090" s="5" t="str">
        <f>IFERROR(__xludf.DUMMYFUNCTION("""COMPUTED_VALUE"""),"PAVIMENTADA")</f>
        <v>PAVIMENTADA</v>
      </c>
      <c r="I1090" s="6" t="str">
        <f>IFERROR(__xludf.DUMMYFUNCTION("""COMPUTED_VALUE"""),"-9.661110")</f>
        <v>-9.661110</v>
      </c>
      <c r="J1090" s="6" t="str">
        <f>IFERROR(__xludf.DUMMYFUNCTION("""COMPUTED_VALUE"""),"-35.738657")</f>
        <v>-35.738657</v>
      </c>
      <c r="K1090" s="5" t="str">
        <f>IFERROR(__xludf.DUMMYFUNCTION("""COMPUTED_VALUE"""),"RUA DO COMÉRCIO, 621")</f>
        <v>RUA DO COMÉRCIO, 621</v>
      </c>
      <c r="L1090" s="5" t="str">
        <f>IFERROR(__xludf.DUMMYFUNCTION("""COMPUTED_VALUE"""),"LOCAL")</f>
        <v>LOCAL</v>
      </c>
      <c r="M1090" s="5" t="str">
        <f>IFERROR(__xludf.DUMMYFUNCTION("""COMPUTED_VALUE"""),"CENTRO")</f>
        <v>CENTRO</v>
      </c>
      <c r="N1090" s="5" t="str">
        <f>IFERROR(__xludf.DUMMYFUNCTION("""COMPUTED_VALUE"""),"BAIRRO - CENTRO")</f>
        <v>BAIRRO - CENTRO</v>
      </c>
      <c r="O1090" s="5" t="str">
        <f>IFERROR(__xludf.DUMMYFUNCTION("""COMPUTED_VALUE"""),"EM FRENTE A LOJA BABY LUCAS")</f>
        <v>EM FRENTE A LOJA BABY LUCAS</v>
      </c>
      <c r="P1090" s="5" t="str">
        <f>IFERROR(__xludf.DUMMYFUNCTION("""COMPUTED_VALUE"""),"PRIORIDADE BAIXA")</f>
        <v>PRIORIDADE BAIXA</v>
      </c>
      <c r="Q1090" s="5" t="str">
        <f>IFERROR(__xludf.DUMMYFUNCTION("""COMPUTED_VALUE"""),"PINTURA DA BAIA NO ASFALTO; ADEQUAÇÃO DA CALÇADA")</f>
        <v>PINTURA DA BAIA NO ASFALTO; ADEQUAÇÃO DA CALÇADA</v>
      </c>
      <c r="R1090" s="5" t="str">
        <f>IFERROR(__xludf.DUMMYFUNCTION("""COMPUTED_VALUE"""),"NENHUMA DAS OPÇÕES")</f>
        <v>NENHUMA DAS OPÇÕES</v>
      </c>
      <c r="S1090" s="7">
        <f>IFERROR(__xludf.DUMMYFUNCTION("""COMPUTED_VALUE"""),44571.0)</f>
        <v>44571</v>
      </c>
      <c r="T1090" s="5"/>
      <c r="U1090" s="7">
        <f>IFERROR(__xludf.DUMMYFUNCTION("""COMPUTED_VALUE"""),44571.0)</f>
        <v>44571</v>
      </c>
      <c r="V1090" s="9" t="str">
        <f>IFERROR(__xludf.DUMMYFUNCTION("""COMPUTED_VALUE"""),"https://drive.google.com/uc?id=16aEz2Saaag4-Vk4EB3yjR2AZLCOsEd9W")</f>
        <v>https://drive.google.com/uc?id=16aEz2Saaag4-Vk4EB3yjR2AZLCOsEd9W</v>
      </c>
      <c r="W1090" s="5" t="str">
        <f>IFERROR(__xludf.DUMMYFUNCTION("""COMPUTED_VALUE"""),"NÃO")</f>
        <v>NÃO</v>
      </c>
      <c r="X1090" s="5" t="str">
        <f>IFERROR(__xludf.DUMMYFUNCTION("""COMPUTED_VALUE"""),"NÃO SE APLICA")</f>
        <v>NÃO SE APLICA</v>
      </c>
    </row>
    <row r="1091" hidden="1">
      <c r="A1091" s="5">
        <f>IFERROR(__xludf.DUMMYFUNCTION("""COMPUTED_VALUE"""),2.0)</f>
        <v>2</v>
      </c>
      <c r="B1091" s="5" t="str">
        <f>IFERROR(__xludf.DUMMYFUNCTION("""COMPUTED_VALUE"""),"CT011")</f>
        <v>CT011</v>
      </c>
      <c r="C1091" s="5" t="str">
        <f>IFERROR(__xludf.DUMMYFUNCTION("""COMPUTED_VALUE"""),"NÃO POSSUI")</f>
        <v>NÃO POSSUI</v>
      </c>
      <c r="D1091" s="5" t="str">
        <f>IFERROR(__xludf.DUMMYFUNCTION("""COMPUTED_VALUE"""),"COM SUPORTE")</f>
        <v>COM SUPORTE</v>
      </c>
      <c r="E1091" s="5" t="str">
        <f>IFERROR(__xludf.DUMMYFUNCTION("""COMPUTED_VALUE"""),"BAIA PINTADA")</f>
        <v>BAIA PINTADA</v>
      </c>
      <c r="F1091" s="5" t="str">
        <f>IFERROR(__xludf.DUMMYFUNCTION("""COMPUTED_VALUE"""),"NÃO")</f>
        <v>NÃO</v>
      </c>
      <c r="G1091" s="5" t="str">
        <f>IFERROR(__xludf.DUMMYFUNCTION("""COMPUTED_VALUE"""),"NÃO")</f>
        <v>NÃO</v>
      </c>
      <c r="H1091" s="5" t="str">
        <f>IFERROR(__xludf.DUMMYFUNCTION("""COMPUTED_VALUE"""),"PAVIMENTADA")</f>
        <v>PAVIMENTADA</v>
      </c>
      <c r="I1091" s="6" t="str">
        <f>IFERROR(__xludf.DUMMYFUNCTION("""COMPUTED_VALUE"""),"-9.661538")</f>
        <v>-9.661538</v>
      </c>
      <c r="J1091" s="6" t="str">
        <f>IFERROR(__xludf.DUMMYFUNCTION("""COMPUTED_VALUE"""),"-35.738473")</f>
        <v>-35.738473</v>
      </c>
      <c r="K1091" s="5" t="str">
        <f>IFERROR(__xludf.DUMMYFUNCTION("""COMPUTED_VALUE"""),"RUA DO COMÉRCIO, 591")</f>
        <v>RUA DO COMÉRCIO, 591</v>
      </c>
      <c r="L1091" s="5" t="str">
        <f>IFERROR(__xludf.DUMMYFUNCTION("""COMPUTED_VALUE"""),"LOCAL")</f>
        <v>LOCAL</v>
      </c>
      <c r="M1091" s="5" t="str">
        <f>IFERROR(__xludf.DUMMYFUNCTION("""COMPUTED_VALUE"""),"CENTRO")</f>
        <v>CENTRO</v>
      </c>
      <c r="N1091" s="5" t="str">
        <f>IFERROR(__xludf.DUMMYFUNCTION("""COMPUTED_VALUE"""),"BAIRRO - CENTRO")</f>
        <v>BAIRRO - CENTRO</v>
      </c>
      <c r="O1091" s="5" t="str">
        <f>IFERROR(__xludf.DUMMYFUNCTION("""COMPUTED_VALUE"""),"EM FRENTE A LOJA METRÔ")</f>
        <v>EM FRENTE A LOJA METRÔ</v>
      </c>
      <c r="P1091" s="5" t="str">
        <f>IFERROR(__xludf.DUMMYFUNCTION("""COMPUTED_VALUE"""),"PRIORIDADE BAIXA")</f>
        <v>PRIORIDADE BAIXA</v>
      </c>
      <c r="Q1091" s="5" t="str">
        <f>IFERROR(__xludf.DUMMYFUNCTION("""COMPUTED_VALUE"""),"PINTURA DA BAIA NO ASFALTO; ADEQUAÇÃO DA CALÇADA")</f>
        <v>PINTURA DA BAIA NO ASFALTO; ADEQUAÇÃO DA CALÇADA</v>
      </c>
      <c r="R1091" s="5" t="str">
        <f>IFERROR(__xludf.DUMMYFUNCTION("""COMPUTED_VALUE"""),"SUBSTITUIR PLACA")</f>
        <v>SUBSTITUIR PLACA</v>
      </c>
      <c r="S1091" s="7">
        <f>IFERROR(__xludf.DUMMYFUNCTION("""COMPUTED_VALUE"""),44572.0)</f>
        <v>44572</v>
      </c>
      <c r="T1091" s="5"/>
      <c r="U1091" s="7">
        <f>IFERROR(__xludf.DUMMYFUNCTION("""COMPUTED_VALUE"""),45405.0)</f>
        <v>45405</v>
      </c>
      <c r="V1091" s="9" t="str">
        <f>IFERROR(__xludf.DUMMYFUNCTION("""COMPUTED_VALUE"""),"https://drive.google.com/uc?id=1FJL46VBDDexIMdoXVWZ1MgCRYhkeuHjo")</f>
        <v>https://drive.google.com/uc?id=1FJL46VBDDexIMdoXVWZ1MgCRYhkeuHjo</v>
      </c>
      <c r="W1091" s="5" t="str">
        <f>IFERROR(__xludf.DUMMYFUNCTION("""COMPUTED_VALUE"""),"NÃO")</f>
        <v>NÃO</v>
      </c>
      <c r="X1091" s="5" t="str">
        <f>IFERROR(__xludf.DUMMYFUNCTION("""COMPUTED_VALUE"""),"NÃO SE APLICA")</f>
        <v>NÃO SE APLICA</v>
      </c>
    </row>
    <row r="1092" hidden="1">
      <c r="A1092" s="5">
        <f>IFERROR(__xludf.DUMMYFUNCTION("""COMPUTED_VALUE"""),2.0)</f>
        <v>2</v>
      </c>
      <c r="B1092" s="5" t="str">
        <f>IFERROR(__xludf.DUMMYFUNCTION("""COMPUTED_VALUE"""),"CT012")</f>
        <v>CT012</v>
      </c>
      <c r="C1092" s="5" t="str">
        <f>IFERROR(__xludf.DUMMYFUNCTION("""COMPUTED_VALUE"""),"NÃO POSSUI")</f>
        <v>NÃO POSSUI</v>
      </c>
      <c r="D1092" s="5" t="str">
        <f>IFERROR(__xludf.DUMMYFUNCTION("""COMPUTED_VALUE"""),"COM SUPORTE")</f>
        <v>COM SUPORTE</v>
      </c>
      <c r="E1092" s="5" t="str">
        <f>IFERROR(__xludf.DUMMYFUNCTION("""COMPUTED_VALUE"""),"BAIA PINTADA")</f>
        <v>BAIA PINTADA</v>
      </c>
      <c r="F1092" s="5" t="str">
        <f>IFERROR(__xludf.DUMMYFUNCTION("""COMPUTED_VALUE"""),"NÃO")</f>
        <v>NÃO</v>
      </c>
      <c r="G1092" s="5" t="str">
        <f>IFERROR(__xludf.DUMMYFUNCTION("""COMPUTED_VALUE"""),"NÃO")</f>
        <v>NÃO</v>
      </c>
      <c r="H1092" s="5" t="str">
        <f>IFERROR(__xludf.DUMMYFUNCTION("""COMPUTED_VALUE"""),"PAVIMENTADA")</f>
        <v>PAVIMENTADA</v>
      </c>
      <c r="I1092" s="6" t="str">
        <f>IFERROR(__xludf.DUMMYFUNCTION("""COMPUTED_VALUE"""),"-9.66288")</f>
        <v>-9.66288</v>
      </c>
      <c r="J1092" s="6" t="str">
        <f>IFERROR(__xludf.DUMMYFUNCTION("""COMPUTED_VALUE"""),"-35.73790")</f>
        <v>-35.73790</v>
      </c>
      <c r="K1092" s="5" t="str">
        <f>IFERROR(__xludf.DUMMYFUNCTION("""COMPUTED_VALUE"""),"RUA DO COMÉRCIO, 591")</f>
        <v>RUA DO COMÉRCIO, 591</v>
      </c>
      <c r="L1092" s="5" t="str">
        <f>IFERROR(__xludf.DUMMYFUNCTION("""COMPUTED_VALUE"""),"LOCAL")</f>
        <v>LOCAL</v>
      </c>
      <c r="M1092" s="5" t="str">
        <f>IFERROR(__xludf.DUMMYFUNCTION("""COMPUTED_VALUE"""),"CENTRO")</f>
        <v>CENTRO</v>
      </c>
      <c r="N1092" s="5" t="str">
        <f>IFERROR(__xludf.DUMMYFUNCTION("""COMPUTED_VALUE"""),"CENTRO - BAIRRO")</f>
        <v>CENTRO - BAIRRO</v>
      </c>
      <c r="O1092" s="5" t="str">
        <f>IFERROR(__xludf.DUMMYFUNCTION("""COMPUTED_VALUE"""),"EM FRENTE A LOJA DONA MARIA CAMA, MESA E BANHO")</f>
        <v>EM FRENTE A LOJA DONA MARIA CAMA, MESA E BANHO</v>
      </c>
      <c r="P1092" s="5" t="str">
        <f>IFERROR(__xludf.DUMMYFUNCTION("""COMPUTED_VALUE"""),"PRIORIDADE BAIXA")</f>
        <v>PRIORIDADE BAIXA</v>
      </c>
      <c r="Q1092" s="5" t="str">
        <f>IFERROR(__xludf.DUMMYFUNCTION("""COMPUTED_VALUE"""),"PINTURA DA BAIA NO ASFALTO; ADEQUAÇÃO DA CALÇADA")</f>
        <v>PINTURA DA BAIA NO ASFALTO; ADEQUAÇÃO DA CALÇADA</v>
      </c>
      <c r="R1092" s="5" t="str">
        <f>IFERROR(__xludf.DUMMYFUNCTION("""COMPUTED_VALUE"""),"NENHUMA DAS OPÇÕES")</f>
        <v>NENHUMA DAS OPÇÕES</v>
      </c>
      <c r="S1092" s="7">
        <f>IFERROR(__xludf.DUMMYFUNCTION("""COMPUTED_VALUE"""),44573.0)</f>
        <v>44573</v>
      </c>
      <c r="T1092" s="5"/>
      <c r="U1092" s="7">
        <f>IFERROR(__xludf.DUMMYFUNCTION("""COMPUTED_VALUE"""),44573.0)</f>
        <v>44573</v>
      </c>
      <c r="V1092" s="9" t="str">
        <f>IFERROR(__xludf.DUMMYFUNCTION("""COMPUTED_VALUE"""),"https://drive.google.com/uc?id=1QpP3oMVRwZ7huPDoQ-7oNTzkfWb0sRcl")</f>
        <v>https://drive.google.com/uc?id=1QpP3oMVRwZ7huPDoQ-7oNTzkfWb0sRcl</v>
      </c>
      <c r="W1092" s="5" t="str">
        <f>IFERROR(__xludf.DUMMYFUNCTION("""COMPUTED_VALUE"""),"NÃO")</f>
        <v>NÃO</v>
      </c>
      <c r="X1092" s="5" t="str">
        <f>IFERROR(__xludf.DUMMYFUNCTION("""COMPUTED_VALUE"""),"NÃO SE APLICA")</f>
        <v>NÃO SE APLICA</v>
      </c>
    </row>
    <row r="1093" hidden="1">
      <c r="A1093" s="5">
        <f>IFERROR(__xludf.DUMMYFUNCTION("""COMPUTED_VALUE"""),2.0)</f>
        <v>2</v>
      </c>
      <c r="B1093" s="5" t="str">
        <f>IFERROR(__xludf.DUMMYFUNCTION("""COMPUTED_VALUE"""),"CT013")</f>
        <v>CT013</v>
      </c>
      <c r="C1093" s="5" t="str">
        <f>IFERROR(__xludf.DUMMYFUNCTION("""COMPUTED_VALUE"""),"NÃO POSSUI")</f>
        <v>NÃO POSSUI</v>
      </c>
      <c r="D1093" s="5" t="str">
        <f>IFERROR(__xludf.DUMMYFUNCTION("""COMPUTED_VALUE"""),"COM SUPORTE")</f>
        <v>COM SUPORTE</v>
      </c>
      <c r="E1093" s="5" t="str">
        <f>IFERROR(__xludf.DUMMYFUNCTION("""COMPUTED_VALUE"""),"BAIA PINTADA")</f>
        <v>BAIA PINTADA</v>
      </c>
      <c r="F1093" s="5" t="str">
        <f>IFERROR(__xludf.DUMMYFUNCTION("""COMPUTED_VALUE"""),"NÃO")</f>
        <v>NÃO</v>
      </c>
      <c r="G1093" s="5" t="str">
        <f>IFERROR(__xludf.DUMMYFUNCTION("""COMPUTED_VALUE"""),"NÃO")</f>
        <v>NÃO</v>
      </c>
      <c r="H1093" s="5" t="str">
        <f>IFERROR(__xludf.DUMMYFUNCTION("""COMPUTED_VALUE"""),"PAVIMENTADA")</f>
        <v>PAVIMENTADA</v>
      </c>
      <c r="I1093" s="6" t="str">
        <f>IFERROR(__xludf.DUMMYFUNCTION("""COMPUTED_VALUE"""),"-9.66199")</f>
        <v>-9.66199</v>
      </c>
      <c r="J1093" s="6" t="str">
        <f>IFERROR(__xludf.DUMMYFUNCTION("""COMPUTED_VALUE"""),"-35.73829")</f>
        <v>-35.73829</v>
      </c>
      <c r="K1093" s="5" t="str">
        <f>IFERROR(__xludf.DUMMYFUNCTION("""COMPUTED_VALUE"""),"RUA DO COMÉRCIO, 36")</f>
        <v>RUA DO COMÉRCIO, 36</v>
      </c>
      <c r="L1093" s="5" t="str">
        <f>IFERROR(__xludf.DUMMYFUNCTION("""COMPUTED_VALUE"""),"LOCAL")</f>
        <v>LOCAL</v>
      </c>
      <c r="M1093" s="5" t="str">
        <f>IFERROR(__xludf.DUMMYFUNCTION("""COMPUTED_VALUE"""),"CENTRO")</f>
        <v>CENTRO</v>
      </c>
      <c r="N1093" s="5" t="str">
        <f>IFERROR(__xludf.DUMMYFUNCTION("""COMPUTED_VALUE"""),"CENTRO - BAIRRO")</f>
        <v>CENTRO - BAIRRO</v>
      </c>
      <c r="O1093" s="5" t="str">
        <f>IFERROR(__xludf.DUMMYFUNCTION("""COMPUTED_VALUE"""),"EM FRENTE DA LOJA MABELAR MÓVEIS.")</f>
        <v>EM FRENTE DA LOJA MABELAR MÓVEIS.</v>
      </c>
      <c r="P1093" s="5" t="str">
        <f>IFERROR(__xludf.DUMMYFUNCTION("""COMPUTED_VALUE"""),"PRIORIDADE BAIXA")</f>
        <v>PRIORIDADE BAIXA</v>
      </c>
      <c r="Q1093" s="5" t="str">
        <f>IFERROR(__xludf.DUMMYFUNCTION("""COMPUTED_VALUE"""),"PINTURA DA BAIA NO ASFALTO; ADEQUAÇÃO DA CALÇADA")</f>
        <v>PINTURA DA BAIA NO ASFALTO; ADEQUAÇÃO DA CALÇADA</v>
      </c>
      <c r="R1093" s="5" t="str">
        <f>IFERROR(__xludf.DUMMYFUNCTION("""COMPUTED_VALUE"""),"NENHUMA DAS OPÇÕES")</f>
        <v>NENHUMA DAS OPÇÕES</v>
      </c>
      <c r="S1093" s="7">
        <f>IFERROR(__xludf.DUMMYFUNCTION("""COMPUTED_VALUE"""),44574.0)</f>
        <v>44574</v>
      </c>
      <c r="T1093" s="5"/>
      <c r="U1093" s="7">
        <f>IFERROR(__xludf.DUMMYFUNCTION("""COMPUTED_VALUE"""),44574.0)</f>
        <v>44574</v>
      </c>
      <c r="V1093" s="9" t="str">
        <f>IFERROR(__xludf.DUMMYFUNCTION("""COMPUTED_VALUE"""),"https://drive.google.com/uc?id=1q1GxgZ3mYgHHPTR9SZDn-AoKPoNFRgZe")</f>
        <v>https://drive.google.com/uc?id=1q1GxgZ3mYgHHPTR9SZDn-AoKPoNFRgZe</v>
      </c>
      <c r="W1093" s="5" t="str">
        <f>IFERROR(__xludf.DUMMYFUNCTION("""COMPUTED_VALUE"""),"NÃO")</f>
        <v>NÃO</v>
      </c>
      <c r="X1093" s="5" t="str">
        <f>IFERROR(__xludf.DUMMYFUNCTION("""COMPUTED_VALUE"""),"NÃO SE APLICA")</f>
        <v>NÃO SE APLICA</v>
      </c>
    </row>
    <row r="1094" hidden="1">
      <c r="A1094" s="5">
        <f>IFERROR(__xludf.DUMMYFUNCTION("""COMPUTED_VALUE"""),2.0)</f>
        <v>2</v>
      </c>
      <c r="B1094" s="5" t="str">
        <f>IFERROR(__xludf.DUMMYFUNCTION("""COMPUTED_VALUE"""),"CT014")</f>
        <v>CT014</v>
      </c>
      <c r="C1094" s="5" t="str">
        <f>IFERROR(__xludf.DUMMYFUNCTION("""COMPUTED_VALUE"""),"NÃO POSSUI")</f>
        <v>NÃO POSSUI</v>
      </c>
      <c r="D1094" s="5" t="str">
        <f>IFERROR(__xludf.DUMMYFUNCTION("""COMPUTED_VALUE"""),"COM SUPORTE")</f>
        <v>COM SUPORTE</v>
      </c>
      <c r="E1094" s="5" t="str">
        <f>IFERROR(__xludf.DUMMYFUNCTION("""COMPUTED_VALUE"""),"BAIA PINTADA")</f>
        <v>BAIA PINTADA</v>
      </c>
      <c r="F1094" s="5" t="str">
        <f>IFERROR(__xludf.DUMMYFUNCTION("""COMPUTED_VALUE"""),"NÃO")</f>
        <v>NÃO</v>
      </c>
      <c r="G1094" s="5" t="str">
        <f>IFERROR(__xludf.DUMMYFUNCTION("""COMPUTED_VALUE"""),"NÃO")</f>
        <v>NÃO</v>
      </c>
      <c r="H1094" s="5" t="str">
        <f>IFERROR(__xludf.DUMMYFUNCTION("""COMPUTED_VALUE"""),"PAVIMENTADA")</f>
        <v>PAVIMENTADA</v>
      </c>
      <c r="I1094" s="6" t="str">
        <f>IFERROR(__xludf.DUMMYFUNCTION("""COMPUTED_VALUE"""),"-9.662198")</f>
        <v>-9.662198</v>
      </c>
      <c r="J1094" s="6" t="str">
        <f>IFERROR(__xludf.DUMMYFUNCTION("""COMPUTED_VALUE"""),"-35.738194")</f>
        <v>-35.738194</v>
      </c>
      <c r="K1094" s="5" t="str">
        <f>IFERROR(__xludf.DUMMYFUNCTION("""COMPUTED_VALUE"""),"RUA DO COMÉRCIO, 511")</f>
        <v>RUA DO COMÉRCIO, 511</v>
      </c>
      <c r="L1094" s="5" t="str">
        <f>IFERROR(__xludf.DUMMYFUNCTION("""COMPUTED_VALUE"""),"LOCAL")</f>
        <v>LOCAL</v>
      </c>
      <c r="M1094" s="5" t="str">
        <f>IFERROR(__xludf.DUMMYFUNCTION("""COMPUTED_VALUE"""),"CENTRO")</f>
        <v>CENTRO</v>
      </c>
      <c r="N1094" s="5" t="str">
        <f>IFERROR(__xludf.DUMMYFUNCTION("""COMPUTED_VALUE"""),"CENTRO - BAIRRO")</f>
        <v>CENTRO - BAIRRO</v>
      </c>
      <c r="O1094" s="5" t="str">
        <f>IFERROR(__xludf.DUMMYFUNCTION("""COMPUTED_VALUE"""),"EM FRENTE AO EMPRESARIAL CENTRO.")</f>
        <v>EM FRENTE AO EMPRESARIAL CENTRO.</v>
      </c>
      <c r="P1094" s="5" t="str">
        <f>IFERROR(__xludf.DUMMYFUNCTION("""COMPUTED_VALUE"""),"PRIORIDADE BAIXA")</f>
        <v>PRIORIDADE BAIXA</v>
      </c>
      <c r="Q1094" s="5" t="str">
        <f>IFERROR(__xludf.DUMMYFUNCTION("""COMPUTED_VALUE"""),"PINTURA DA BAIA NO ASFALTO; ADEQUAÇÃO DA CALÇADA")</f>
        <v>PINTURA DA BAIA NO ASFALTO; ADEQUAÇÃO DA CALÇADA</v>
      </c>
      <c r="R1094" s="5" t="str">
        <f>IFERROR(__xludf.DUMMYFUNCTION("""COMPUTED_VALUE"""),"NENHUMA DAS OPÇÕES")</f>
        <v>NENHUMA DAS OPÇÕES</v>
      </c>
      <c r="S1094" s="7">
        <f>IFERROR(__xludf.DUMMYFUNCTION("""COMPUTED_VALUE"""),44575.0)</f>
        <v>44575</v>
      </c>
      <c r="T1094" s="5"/>
      <c r="U1094" s="7">
        <f>IFERROR(__xludf.DUMMYFUNCTION("""COMPUTED_VALUE"""),44575.0)</f>
        <v>44575</v>
      </c>
      <c r="V1094" s="9" t="str">
        <f>IFERROR(__xludf.DUMMYFUNCTION("""COMPUTED_VALUE"""),"https://drive.google.com/uc?id=1v-Wc_XCN55cmCVu6Wyj8NZWKQ0EBHoti")</f>
        <v>https://drive.google.com/uc?id=1v-Wc_XCN55cmCVu6Wyj8NZWKQ0EBHoti</v>
      </c>
      <c r="W1094" s="5" t="str">
        <f>IFERROR(__xludf.DUMMYFUNCTION("""COMPUTED_VALUE"""),"NÃO")</f>
        <v>NÃO</v>
      </c>
      <c r="X1094" s="5" t="str">
        <f>IFERROR(__xludf.DUMMYFUNCTION("""COMPUTED_VALUE"""),"NÃO SE APLICA")</f>
        <v>NÃO SE APLICA</v>
      </c>
    </row>
    <row r="1095" hidden="1">
      <c r="A1095" s="5">
        <f>IFERROR(__xludf.DUMMYFUNCTION("""COMPUTED_VALUE"""),2.0)</f>
        <v>2</v>
      </c>
      <c r="B1095" s="5" t="str">
        <f>IFERROR(__xludf.DUMMYFUNCTION("""COMPUTED_VALUE"""),"CT015")</f>
        <v>CT015</v>
      </c>
      <c r="C1095" s="5" t="str">
        <f>IFERROR(__xludf.DUMMYFUNCTION("""COMPUTED_VALUE"""),"NÃO POSSUI")</f>
        <v>NÃO POSSUI</v>
      </c>
      <c r="D1095" s="5" t="str">
        <f>IFERROR(__xludf.DUMMYFUNCTION("""COMPUTED_VALUE"""),"COM SUPORTE")</f>
        <v>COM SUPORTE</v>
      </c>
      <c r="E1095" s="5" t="str">
        <f>IFERROR(__xludf.DUMMYFUNCTION("""COMPUTED_VALUE"""),"BAIA PINTADA")</f>
        <v>BAIA PINTADA</v>
      </c>
      <c r="F1095" s="5" t="str">
        <f>IFERROR(__xludf.DUMMYFUNCTION("""COMPUTED_VALUE"""),"NÃO")</f>
        <v>NÃO</v>
      </c>
      <c r="G1095" s="5" t="str">
        <f>IFERROR(__xludf.DUMMYFUNCTION("""COMPUTED_VALUE"""),"NÃO")</f>
        <v>NÃO</v>
      </c>
      <c r="H1095" s="5" t="str">
        <f>IFERROR(__xludf.DUMMYFUNCTION("""COMPUTED_VALUE"""),"PAVIMENTADA")</f>
        <v>PAVIMENTADA</v>
      </c>
      <c r="I1095" s="6" t="str">
        <f>IFERROR(__xludf.DUMMYFUNCTION("""COMPUTED_VALUE"""),"-9.662254")</f>
        <v>-9.662254</v>
      </c>
      <c r="J1095" s="6" t="str">
        <f>IFERROR(__xludf.DUMMYFUNCTION("""COMPUTED_VALUE"""),"-35.738170")</f>
        <v>-35.738170</v>
      </c>
      <c r="K1095" s="5" t="str">
        <f>IFERROR(__xludf.DUMMYFUNCTION("""COMPUTED_VALUE"""),"RUA DO COMÉRCIO, 182")</f>
        <v>RUA DO COMÉRCIO, 182</v>
      </c>
      <c r="L1095" s="5" t="str">
        <f>IFERROR(__xludf.DUMMYFUNCTION("""COMPUTED_VALUE"""),"LOCAL")</f>
        <v>LOCAL</v>
      </c>
      <c r="M1095" s="5" t="str">
        <f>IFERROR(__xludf.DUMMYFUNCTION("""COMPUTED_VALUE"""),"CENTRO")</f>
        <v>CENTRO</v>
      </c>
      <c r="N1095" s="5" t="str">
        <f>IFERROR(__xludf.DUMMYFUNCTION("""COMPUTED_VALUE"""),"CENTRO - BAIRRO")</f>
        <v>CENTRO - BAIRRO</v>
      </c>
      <c r="O1095" s="5" t="str">
        <f>IFERROR(__xludf.DUMMYFUNCTION("""COMPUTED_VALUE"""),"EM FRENTE A LOJA LASER ELÉTRO")</f>
        <v>EM FRENTE A LOJA LASER ELÉTRO</v>
      </c>
      <c r="P1095" s="5" t="str">
        <f>IFERROR(__xludf.DUMMYFUNCTION("""COMPUTED_VALUE"""),"PRIORIDADE BAIXA")</f>
        <v>PRIORIDADE BAIXA</v>
      </c>
      <c r="Q1095" s="5" t="str">
        <f>IFERROR(__xludf.DUMMYFUNCTION("""COMPUTED_VALUE"""),"PINTURA DA BAIA NO ASFALTO; ADEQUAÇÃO DA CALÇADA")</f>
        <v>PINTURA DA BAIA NO ASFALTO; ADEQUAÇÃO DA CALÇADA</v>
      </c>
      <c r="R1095" s="5" t="str">
        <f>IFERROR(__xludf.DUMMYFUNCTION("""COMPUTED_VALUE"""),"NENHUMA DAS OPÇÕES")</f>
        <v>NENHUMA DAS OPÇÕES</v>
      </c>
      <c r="S1095" s="7">
        <f>IFERROR(__xludf.DUMMYFUNCTION("""COMPUTED_VALUE"""),44576.0)</f>
        <v>44576</v>
      </c>
      <c r="T1095" s="5"/>
      <c r="U1095" s="7">
        <f>IFERROR(__xludf.DUMMYFUNCTION("""COMPUTED_VALUE"""),44576.0)</f>
        <v>44576</v>
      </c>
      <c r="V1095" s="9" t="str">
        <f>IFERROR(__xludf.DUMMYFUNCTION("""COMPUTED_VALUE"""),"https://drive.google.com/uc?id=1j-AEUu_tM3H7_Kuk3CHRL0Cth4IIspk4")</f>
        <v>https://drive.google.com/uc?id=1j-AEUu_tM3H7_Kuk3CHRL0Cth4IIspk4</v>
      </c>
      <c r="W1095" s="5" t="str">
        <f>IFERROR(__xludf.DUMMYFUNCTION("""COMPUTED_VALUE"""),"NÃO")</f>
        <v>NÃO</v>
      </c>
      <c r="X1095" s="5" t="str">
        <f>IFERROR(__xludf.DUMMYFUNCTION("""COMPUTED_VALUE"""),"NÃO SE APLICA")</f>
        <v>NÃO SE APLICA</v>
      </c>
    </row>
    <row r="1096" hidden="1">
      <c r="A1096" s="5">
        <f>IFERROR(__xludf.DUMMYFUNCTION("""COMPUTED_VALUE"""),2.0)</f>
        <v>2</v>
      </c>
      <c r="B1096" s="5" t="str">
        <f>IFERROR(__xludf.DUMMYFUNCTION("""COMPUTED_VALUE"""),"CT016")</f>
        <v>CT016</v>
      </c>
      <c r="C1096" s="5" t="str">
        <f>IFERROR(__xludf.DUMMYFUNCTION("""COMPUTED_VALUE"""),"NÃO POSSUI")</f>
        <v>NÃO POSSUI</v>
      </c>
      <c r="D1096" s="5" t="str">
        <f>IFERROR(__xludf.DUMMYFUNCTION("""COMPUTED_VALUE"""),"COM SUPORTE")</f>
        <v>COM SUPORTE</v>
      </c>
      <c r="E1096" s="5" t="str">
        <f>IFERROR(__xludf.DUMMYFUNCTION("""COMPUTED_VALUE"""),"BAIA PINTADA")</f>
        <v>BAIA PINTADA</v>
      </c>
      <c r="F1096" s="5" t="str">
        <f>IFERROR(__xludf.DUMMYFUNCTION("""COMPUTED_VALUE"""),"NÃO")</f>
        <v>NÃO</v>
      </c>
      <c r="G1096" s="5" t="str">
        <f>IFERROR(__xludf.DUMMYFUNCTION("""COMPUTED_VALUE"""),"NÃO")</f>
        <v>NÃO</v>
      </c>
      <c r="H1096" s="5" t="str">
        <f>IFERROR(__xludf.DUMMYFUNCTION("""COMPUTED_VALUE"""),"PAVIMENTADA")</f>
        <v>PAVIMENTADA</v>
      </c>
      <c r="I1096" s="6" t="str">
        <f>IFERROR(__xludf.DUMMYFUNCTION("""COMPUTED_VALUE"""),"-9.662355")</f>
        <v>-9.662355</v>
      </c>
      <c r="J1096" s="6" t="str">
        <f>IFERROR(__xludf.DUMMYFUNCTION("""COMPUTED_VALUE""")," -35.738106")</f>
        <v> -35.738106</v>
      </c>
      <c r="K1096" s="5" t="str">
        <f>IFERROR(__xludf.DUMMYFUNCTION("""COMPUTED_VALUE"""),"RUA DO COMÉRCIO, 483")</f>
        <v>RUA DO COMÉRCIO, 483</v>
      </c>
      <c r="L1096" s="5" t="str">
        <f>IFERROR(__xludf.DUMMYFUNCTION("""COMPUTED_VALUE"""),"LOCAL")</f>
        <v>LOCAL</v>
      </c>
      <c r="M1096" s="5" t="str">
        <f>IFERROR(__xludf.DUMMYFUNCTION("""COMPUTED_VALUE"""),"CENTRO")</f>
        <v>CENTRO</v>
      </c>
      <c r="N1096" s="5" t="str">
        <f>IFERROR(__xludf.DUMMYFUNCTION("""COMPUTED_VALUE"""),"CENTRO - BAIRRO")</f>
        <v>CENTRO - BAIRRO</v>
      </c>
      <c r="O1096" s="5" t="str">
        <f>IFERROR(__xludf.DUMMYFUNCTION("""COMPUTED_VALUE"""),"EM FRENTE A LOJAS GUIDO.")</f>
        <v>EM FRENTE A LOJAS GUIDO.</v>
      </c>
      <c r="P1096" s="5" t="str">
        <f>IFERROR(__xludf.DUMMYFUNCTION("""COMPUTED_VALUE"""),"PRIORIDADE BAIXA")</f>
        <v>PRIORIDADE BAIXA</v>
      </c>
      <c r="Q1096" s="5" t="str">
        <f>IFERROR(__xludf.DUMMYFUNCTION("""COMPUTED_VALUE"""),"PINTURA DA BAIA NO ASFALTO; ADEQUAÇÃO DA CALÇADA")</f>
        <v>PINTURA DA BAIA NO ASFALTO; ADEQUAÇÃO DA CALÇADA</v>
      </c>
      <c r="R1096" s="5" t="str">
        <f>IFERROR(__xludf.DUMMYFUNCTION("""COMPUTED_VALUE"""),"NENHUMA DAS OPÇÕES")</f>
        <v>NENHUMA DAS OPÇÕES</v>
      </c>
      <c r="S1096" s="7">
        <f>IFERROR(__xludf.DUMMYFUNCTION("""COMPUTED_VALUE"""),44577.0)</f>
        <v>44577</v>
      </c>
      <c r="T1096" s="5"/>
      <c r="U1096" s="7">
        <f>IFERROR(__xludf.DUMMYFUNCTION("""COMPUTED_VALUE"""),44577.0)</f>
        <v>44577</v>
      </c>
      <c r="V1096" s="9" t="str">
        <f>IFERROR(__xludf.DUMMYFUNCTION("""COMPUTED_VALUE"""),"https://drive.google.com/uc?id=1zHaJtDeS-VubTGQi7c8EDpt-oiXMsdAe")</f>
        <v>https://drive.google.com/uc?id=1zHaJtDeS-VubTGQi7c8EDpt-oiXMsdAe</v>
      </c>
      <c r="W1096" s="5" t="str">
        <f>IFERROR(__xludf.DUMMYFUNCTION("""COMPUTED_VALUE"""),"NÃO")</f>
        <v>NÃO</v>
      </c>
      <c r="X1096" s="5" t="str">
        <f>IFERROR(__xludf.DUMMYFUNCTION("""COMPUTED_VALUE"""),"NÃO SE APLICA")</f>
        <v>NÃO SE APLICA</v>
      </c>
    </row>
    <row r="1097" hidden="1">
      <c r="A1097" s="5">
        <f>IFERROR(__xludf.DUMMYFUNCTION("""COMPUTED_VALUE"""),2.0)</f>
        <v>2</v>
      </c>
      <c r="B1097" s="5" t="str">
        <f>IFERROR(__xludf.DUMMYFUNCTION("""COMPUTED_VALUE"""),"CT017")</f>
        <v>CT017</v>
      </c>
      <c r="C1097" s="5" t="str">
        <f>IFERROR(__xludf.DUMMYFUNCTION("""COMPUTED_VALUE"""),"NÃO POSSUI")</f>
        <v>NÃO POSSUI</v>
      </c>
      <c r="D1097" s="5" t="str">
        <f>IFERROR(__xludf.DUMMYFUNCTION("""COMPUTED_VALUE"""),"SEM PLACA")</f>
        <v>SEM PLACA</v>
      </c>
      <c r="E1097" s="5" t="str">
        <f>IFERROR(__xludf.DUMMYFUNCTION("""COMPUTED_VALUE"""),"BAIA PINTADA")</f>
        <v>BAIA PINTADA</v>
      </c>
      <c r="F1097" s="5" t="str">
        <f>IFERROR(__xludf.DUMMYFUNCTION("""COMPUTED_VALUE"""),"NÃO")</f>
        <v>NÃO</v>
      </c>
      <c r="G1097" s="5" t="str">
        <f>IFERROR(__xludf.DUMMYFUNCTION("""COMPUTED_VALUE"""),"NÃO")</f>
        <v>NÃO</v>
      </c>
      <c r="H1097" s="5" t="str">
        <f>IFERROR(__xludf.DUMMYFUNCTION("""COMPUTED_VALUE"""),"PAVIMENTADA")</f>
        <v>PAVIMENTADA</v>
      </c>
      <c r="I1097" s="6" t="str">
        <f>IFERROR(__xludf.DUMMYFUNCTION("""COMPUTED_VALUE"""),"-9.662666")</f>
        <v>-9.662666</v>
      </c>
      <c r="J1097" s="6" t="str">
        <f>IFERROR(__xludf.DUMMYFUNCTION("""COMPUTED_VALUE"""),"-35.737993")</f>
        <v>-35.737993</v>
      </c>
      <c r="K1097" s="5" t="str">
        <f>IFERROR(__xludf.DUMMYFUNCTION("""COMPUTED_VALUE"""),"RUA DO COMÉRCIO, 459")</f>
        <v>RUA DO COMÉRCIO, 459</v>
      </c>
      <c r="L1097" s="5" t="str">
        <f>IFERROR(__xludf.DUMMYFUNCTION("""COMPUTED_VALUE"""),"LOCAL")</f>
        <v>LOCAL</v>
      </c>
      <c r="M1097" s="5" t="str">
        <f>IFERROR(__xludf.DUMMYFUNCTION("""COMPUTED_VALUE"""),"CENTRO")</f>
        <v>CENTRO</v>
      </c>
      <c r="N1097" s="5" t="str">
        <f>IFERROR(__xludf.DUMMYFUNCTION("""COMPUTED_VALUE"""),"CENTRO - BAIRRO")</f>
        <v>CENTRO - BAIRRO</v>
      </c>
      <c r="O1097" s="5" t="str">
        <f>IFERROR(__xludf.DUMMYFUNCTION("""COMPUTED_VALUE"""),"EM FRENTE A LOJA POINT RADICAL")</f>
        <v>EM FRENTE A LOJA POINT RADICAL</v>
      </c>
      <c r="P1097" s="5" t="str">
        <f>IFERROR(__xludf.DUMMYFUNCTION("""COMPUTED_VALUE"""),"PRIORIDADE MÉDIA")</f>
        <v>PRIORIDADE MÉDIA</v>
      </c>
      <c r="Q1097" s="5" t="str">
        <f>IFERROR(__xludf.DUMMYFUNCTION("""COMPUTED_VALUE"""),"IMPLANTAR PLACA EM SUPORTE DE MADEIRA; PINTURA DA BAIA NO ASFALTO; ADEQUAÇÃO DA CALÇADA (RAMPA DE ACESSIBILIDADE E PISO TÁTIL)")</f>
        <v>IMPLANTAR PLACA EM SUPORTE DE MADEIRA; PINTURA DA BAIA NO ASFALTO; ADEQUAÇÃO DA CALÇADA (RAMPA DE ACESSIBILIDADE E PISO TÁTIL)</v>
      </c>
      <c r="R1097" s="5" t="str">
        <f>IFERROR(__xludf.DUMMYFUNCTION("""COMPUTED_VALUE"""),"NENHUMA DAS OPÇÕES")</f>
        <v>NENHUMA DAS OPÇÕES</v>
      </c>
      <c r="S1097" s="7">
        <f>IFERROR(__xludf.DUMMYFUNCTION("""COMPUTED_VALUE"""),44578.0)</f>
        <v>44578</v>
      </c>
      <c r="T1097" s="5"/>
      <c r="U1097" s="7">
        <f>IFERROR(__xludf.DUMMYFUNCTION("""COMPUTED_VALUE"""),44578.0)</f>
        <v>44578</v>
      </c>
      <c r="V1097" s="9" t="str">
        <f>IFERROR(__xludf.DUMMYFUNCTION("""COMPUTED_VALUE"""),"https://drive.google.com/uc?id=1sx861oXvb5T6TtDHy3r0AEtr6o_ZtZYs")</f>
        <v>https://drive.google.com/uc?id=1sx861oXvb5T6TtDHy3r0AEtr6o_ZtZYs</v>
      </c>
      <c r="W1097" s="5" t="str">
        <f>IFERROR(__xludf.DUMMYFUNCTION("""COMPUTED_VALUE"""),"NÃO")</f>
        <v>NÃO</v>
      </c>
      <c r="X1097" s="5" t="str">
        <f>IFERROR(__xludf.DUMMYFUNCTION("""COMPUTED_VALUE"""),"NÃO SE APLICA")</f>
        <v>NÃO SE APLICA</v>
      </c>
    </row>
    <row r="1098" hidden="1">
      <c r="A1098" s="5">
        <f>IFERROR(__xludf.DUMMYFUNCTION("""COMPUTED_VALUE"""),2.0)</f>
        <v>2</v>
      </c>
      <c r="B1098" s="5" t="str">
        <f>IFERROR(__xludf.DUMMYFUNCTION("""COMPUTED_VALUE"""),"CT018")</f>
        <v>CT018</v>
      </c>
      <c r="C1098" s="5" t="str">
        <f>IFERROR(__xludf.DUMMYFUNCTION("""COMPUTED_VALUE"""),"NÃO POSSUI")</f>
        <v>NÃO POSSUI</v>
      </c>
      <c r="D1098" s="5" t="str">
        <f>IFERROR(__xludf.DUMMYFUNCTION("""COMPUTED_VALUE"""),"COM SUPORTE")</f>
        <v>COM SUPORTE</v>
      </c>
      <c r="E1098" s="5" t="str">
        <f>IFERROR(__xludf.DUMMYFUNCTION("""COMPUTED_VALUE"""),"BAIA PINTADA")</f>
        <v>BAIA PINTADA</v>
      </c>
      <c r="F1098" s="5" t="str">
        <f>IFERROR(__xludf.DUMMYFUNCTION("""COMPUTED_VALUE"""),"NÃO")</f>
        <v>NÃO</v>
      </c>
      <c r="G1098" s="5" t="str">
        <f>IFERROR(__xludf.DUMMYFUNCTION("""COMPUTED_VALUE"""),"NÃO")</f>
        <v>NÃO</v>
      </c>
      <c r="H1098" s="5" t="str">
        <f>IFERROR(__xludf.DUMMYFUNCTION("""COMPUTED_VALUE"""),"PAVIMENTADA")</f>
        <v>PAVIMENTADA</v>
      </c>
      <c r="I1098" s="6" t="str">
        <f>IFERROR(__xludf.DUMMYFUNCTION("""COMPUTED_VALUE"""),"-9.66282")</f>
        <v>-9.66282</v>
      </c>
      <c r="J1098" s="6" t="str">
        <f>IFERROR(__xludf.DUMMYFUNCTION("""COMPUTED_VALUE"""),"-35.73793")</f>
        <v>-35.73793</v>
      </c>
      <c r="K1098" s="5" t="str">
        <f>IFERROR(__xludf.DUMMYFUNCTION("""COMPUTED_VALUE"""),"RUA DO COMÉRCIO, 445")</f>
        <v>RUA DO COMÉRCIO, 445</v>
      </c>
      <c r="L1098" s="5" t="str">
        <f>IFERROR(__xludf.DUMMYFUNCTION("""COMPUTED_VALUE"""),"LOCAL")</f>
        <v>LOCAL</v>
      </c>
      <c r="M1098" s="5" t="str">
        <f>IFERROR(__xludf.DUMMYFUNCTION("""COMPUTED_VALUE"""),"CENTRO")</f>
        <v>CENTRO</v>
      </c>
      <c r="N1098" s="5" t="str">
        <f>IFERROR(__xludf.DUMMYFUNCTION("""COMPUTED_VALUE"""),"CENTRO - BAIRRO")</f>
        <v>CENTRO - BAIRRO</v>
      </c>
      <c r="O1098" s="5" t="str">
        <f>IFERROR(__xludf.DUMMYFUNCTION("""COMPUTED_VALUE"""),"EM FRENTE A LOJA SHOW DE BEBÊ")</f>
        <v>EM FRENTE A LOJA SHOW DE BEBÊ</v>
      </c>
      <c r="P1098" s="5" t="str">
        <f>IFERROR(__xludf.DUMMYFUNCTION("""COMPUTED_VALUE"""),"PRIORIDADE BAIXA")</f>
        <v>PRIORIDADE BAIXA</v>
      </c>
      <c r="Q1098" s="5" t="str">
        <f>IFERROR(__xludf.DUMMYFUNCTION("""COMPUTED_VALUE"""),"PINTURA DA BAIA NO ASFALTO; ADEQUAÇÃO DA CALÇADA (RAMPA DE ACESSIBILIDADE E PISO TÁTIL).")</f>
        <v>PINTURA DA BAIA NO ASFALTO; ADEQUAÇÃO DA CALÇADA (RAMPA DE ACESSIBILIDADE E PISO TÁTIL).</v>
      </c>
      <c r="R1098" s="5" t="str">
        <f>IFERROR(__xludf.DUMMYFUNCTION("""COMPUTED_VALUE"""),"NENHUMA DAS OPÇÕES")</f>
        <v>NENHUMA DAS OPÇÕES</v>
      </c>
      <c r="S1098" s="7">
        <f>IFERROR(__xludf.DUMMYFUNCTION("""COMPUTED_VALUE"""),44579.0)</f>
        <v>44579</v>
      </c>
      <c r="T1098" s="5"/>
      <c r="U1098" s="7">
        <f>IFERROR(__xludf.DUMMYFUNCTION("""COMPUTED_VALUE"""),44579.0)</f>
        <v>44579</v>
      </c>
      <c r="V1098" s="9" t="str">
        <f>IFERROR(__xludf.DUMMYFUNCTION("""COMPUTED_VALUE"""),"https://drive.google.com/uc?id=1fb5yyVZ8S7vGLmWNMs74WKlK6i3OGFnk")</f>
        <v>https://drive.google.com/uc?id=1fb5yyVZ8S7vGLmWNMs74WKlK6i3OGFnk</v>
      </c>
      <c r="W1098" s="5" t="str">
        <f>IFERROR(__xludf.DUMMYFUNCTION("""COMPUTED_VALUE"""),"NÃO")</f>
        <v>NÃO</v>
      </c>
      <c r="X1098" s="5" t="str">
        <f>IFERROR(__xludf.DUMMYFUNCTION("""COMPUTED_VALUE"""),"NÃO SE APLICA")</f>
        <v>NÃO SE APLICA</v>
      </c>
    </row>
    <row r="1099" hidden="1">
      <c r="A1099" s="5">
        <f>IFERROR(__xludf.DUMMYFUNCTION("""COMPUTED_VALUE"""),2.0)</f>
        <v>2</v>
      </c>
      <c r="B1099" s="5" t="str">
        <f>IFERROR(__xludf.DUMMYFUNCTION("""COMPUTED_VALUE"""),"CT019")</f>
        <v>CT019</v>
      </c>
      <c r="C1099" s="5" t="str">
        <f>IFERROR(__xludf.DUMMYFUNCTION("""COMPUTED_VALUE"""),"NÃO POSSUI")</f>
        <v>NÃO POSSUI</v>
      </c>
      <c r="D1099" s="5" t="str">
        <f>IFERROR(__xludf.DUMMYFUNCTION("""COMPUTED_VALUE"""),"COM SUPORTE")</f>
        <v>COM SUPORTE</v>
      </c>
      <c r="E1099" s="5" t="str">
        <f>IFERROR(__xludf.DUMMYFUNCTION("""COMPUTED_VALUE"""),"BAIA PINTADA")</f>
        <v>BAIA PINTADA</v>
      </c>
      <c r="F1099" s="5" t="str">
        <f>IFERROR(__xludf.DUMMYFUNCTION("""COMPUTED_VALUE"""),"NÃO")</f>
        <v>NÃO</v>
      </c>
      <c r="G1099" s="5" t="str">
        <f>IFERROR(__xludf.DUMMYFUNCTION("""COMPUTED_VALUE"""),"NÃO")</f>
        <v>NÃO</v>
      </c>
      <c r="H1099" s="5" t="str">
        <f>IFERROR(__xludf.DUMMYFUNCTION("""COMPUTED_VALUE"""),"PAVIMENTADA")</f>
        <v>PAVIMENTADA</v>
      </c>
      <c r="I1099" s="6" t="str">
        <f>IFERROR(__xludf.DUMMYFUNCTION("""COMPUTED_VALUE"""),"-9.66291")</f>
        <v>-9.66291</v>
      </c>
      <c r="J1099" s="6" t="str">
        <f>IFERROR(__xludf.DUMMYFUNCTION("""COMPUTED_VALUE"""),"-35.73791")</f>
        <v>-35.73791</v>
      </c>
      <c r="K1099" s="5" t="str">
        <f>IFERROR(__xludf.DUMMYFUNCTION("""COMPUTED_VALUE"""),"RUA DO COMÉRCIO, S/N")</f>
        <v>RUA DO COMÉRCIO, S/N</v>
      </c>
      <c r="L1099" s="5" t="str">
        <f>IFERROR(__xludf.DUMMYFUNCTION("""COMPUTED_VALUE"""),"LOCAL")</f>
        <v>LOCAL</v>
      </c>
      <c r="M1099" s="5" t="str">
        <f>IFERROR(__xludf.DUMMYFUNCTION("""COMPUTED_VALUE"""),"CENTRO")</f>
        <v>CENTRO</v>
      </c>
      <c r="N1099" s="5" t="str">
        <f>IFERROR(__xludf.DUMMYFUNCTION("""COMPUTED_VALUE"""),"CENTRO - BAIRRO")</f>
        <v>CENTRO - BAIRRO</v>
      </c>
      <c r="O1099" s="5" t="str">
        <f>IFERROR(__xludf.DUMMYFUNCTION("""COMPUTED_VALUE"""),"EM FRENTE A LOJA ATACADÃO BOA VISTA")</f>
        <v>EM FRENTE A LOJA ATACADÃO BOA VISTA</v>
      </c>
      <c r="P1099" s="5" t="str">
        <f>IFERROR(__xludf.DUMMYFUNCTION("""COMPUTED_VALUE"""),"PRIORIDADE BAIXA")</f>
        <v>PRIORIDADE BAIXA</v>
      </c>
      <c r="Q1099" s="5" t="str">
        <f>IFERROR(__xludf.DUMMYFUNCTION("""COMPUTED_VALUE"""),"PINTURA DA BAIA NO ASFALTO; ADEQUAÇÃO DA CALÇADA (RAMPA DE ACESSIBILIDADE E PISO TÁTIL).")</f>
        <v>PINTURA DA BAIA NO ASFALTO; ADEQUAÇÃO DA CALÇADA (RAMPA DE ACESSIBILIDADE E PISO TÁTIL).</v>
      </c>
      <c r="R1099" s="5" t="str">
        <f>IFERROR(__xludf.DUMMYFUNCTION("""COMPUTED_VALUE"""),"NENHUMA DAS OPÇÕES")</f>
        <v>NENHUMA DAS OPÇÕES</v>
      </c>
      <c r="S1099" s="7">
        <f>IFERROR(__xludf.DUMMYFUNCTION("""COMPUTED_VALUE"""),44580.0)</f>
        <v>44580</v>
      </c>
      <c r="T1099" s="5"/>
      <c r="U1099" s="7">
        <f>IFERROR(__xludf.DUMMYFUNCTION("""COMPUTED_VALUE"""),44580.0)</f>
        <v>44580</v>
      </c>
      <c r="V1099" s="9" t="str">
        <f>IFERROR(__xludf.DUMMYFUNCTION("""COMPUTED_VALUE"""),"https://drive.google.com/uc?id=1_2chWi6P0ucZqxY9pdtlFHbBib9tNJ0H")</f>
        <v>https://drive.google.com/uc?id=1_2chWi6P0ucZqxY9pdtlFHbBib9tNJ0H</v>
      </c>
      <c r="W1099" s="5" t="str">
        <f>IFERROR(__xludf.DUMMYFUNCTION("""COMPUTED_VALUE"""),"NÃO")</f>
        <v>NÃO</v>
      </c>
      <c r="X1099" s="5" t="str">
        <f>IFERROR(__xludf.DUMMYFUNCTION("""COMPUTED_VALUE"""),"NÃO SE APLICA")</f>
        <v>NÃO SE APLICA</v>
      </c>
    </row>
    <row r="1100" hidden="1">
      <c r="A1100" s="5">
        <f>IFERROR(__xludf.DUMMYFUNCTION("""COMPUTED_VALUE"""),2.0)</f>
        <v>2</v>
      </c>
      <c r="B1100" s="5" t="str">
        <f>IFERROR(__xludf.DUMMYFUNCTION("""COMPUTED_VALUE"""),"CT020")</f>
        <v>CT020</v>
      </c>
      <c r="C1100" s="5" t="str">
        <f>IFERROR(__xludf.DUMMYFUNCTION("""COMPUTED_VALUE"""),"NÃO POSSUI")</f>
        <v>NÃO POSSUI</v>
      </c>
      <c r="D1100" s="5" t="str">
        <f>IFERROR(__xludf.DUMMYFUNCTION("""COMPUTED_VALUE"""),"COM SUPORTE")</f>
        <v>COM SUPORTE</v>
      </c>
      <c r="E1100" s="5" t="str">
        <f>IFERROR(__xludf.DUMMYFUNCTION("""COMPUTED_VALUE"""),"BAIA PINTADA")</f>
        <v>BAIA PINTADA</v>
      </c>
      <c r="F1100" s="5" t="str">
        <f>IFERROR(__xludf.DUMMYFUNCTION("""COMPUTED_VALUE"""),"NÃO")</f>
        <v>NÃO</v>
      </c>
      <c r="G1100" s="5" t="str">
        <f>IFERROR(__xludf.DUMMYFUNCTION("""COMPUTED_VALUE"""),"NÃO")</f>
        <v>NÃO</v>
      </c>
      <c r="H1100" s="5" t="str">
        <f>IFERROR(__xludf.DUMMYFUNCTION("""COMPUTED_VALUE"""),"PAVIMENTADA")</f>
        <v>PAVIMENTADA</v>
      </c>
      <c r="I1100" s="6" t="str">
        <f>IFERROR(__xludf.DUMMYFUNCTION("""COMPUTED_VALUE"""),"-9.662995")</f>
        <v>-9.662995</v>
      </c>
      <c r="J1100" s="6" t="str">
        <f>IFERROR(__xludf.DUMMYFUNCTION("""COMPUTED_VALUE"""),"-35.737861")</f>
        <v>-35.737861</v>
      </c>
      <c r="K1100" s="5" t="str">
        <f>IFERROR(__xludf.DUMMYFUNCTION("""COMPUTED_VALUE"""),"RUA DO COMÉRCIO, S/N")</f>
        <v>RUA DO COMÉRCIO, S/N</v>
      </c>
      <c r="L1100" s="5" t="str">
        <f>IFERROR(__xludf.DUMMYFUNCTION("""COMPUTED_VALUE"""),"LOCAL")</f>
        <v>LOCAL</v>
      </c>
      <c r="M1100" s="5" t="str">
        <f>IFERROR(__xludf.DUMMYFUNCTION("""COMPUTED_VALUE"""),"CENTRO")</f>
        <v>CENTRO</v>
      </c>
      <c r="N1100" s="5" t="str">
        <f>IFERROR(__xludf.DUMMYFUNCTION("""COMPUTED_VALUE"""),"CENTRO - BAIRRO")</f>
        <v>CENTRO - BAIRRO</v>
      </c>
      <c r="O1100" s="5" t="str">
        <f>IFERROR(__xludf.DUMMYFUNCTION("""COMPUTED_VALUE"""),"AO LADO DA LOJA ATACADÃO BOA VISTA")</f>
        <v>AO LADO DA LOJA ATACADÃO BOA VISTA</v>
      </c>
      <c r="P1100" s="5" t="str">
        <f>IFERROR(__xludf.DUMMYFUNCTION("""COMPUTED_VALUE"""),"PRIORIDADE BAIXA")</f>
        <v>PRIORIDADE BAIXA</v>
      </c>
      <c r="Q1100" s="5" t="str">
        <f>IFERROR(__xludf.DUMMYFUNCTION("""COMPUTED_VALUE"""),"PINTURA DA BAIA NO ASFALTO; ADEQUAÇÃO DA CALÇADA (RAMPA DE ACESSIBILIDADE E PISO TÁTIL).")</f>
        <v>PINTURA DA BAIA NO ASFALTO; ADEQUAÇÃO DA CALÇADA (RAMPA DE ACESSIBILIDADE E PISO TÁTIL).</v>
      </c>
      <c r="R1100" s="5" t="str">
        <f>IFERROR(__xludf.DUMMYFUNCTION("""COMPUTED_VALUE"""),"NENHUMA DAS OPÇÕES")</f>
        <v>NENHUMA DAS OPÇÕES</v>
      </c>
      <c r="S1100" s="7">
        <f>IFERROR(__xludf.DUMMYFUNCTION("""COMPUTED_VALUE"""),44581.0)</f>
        <v>44581</v>
      </c>
      <c r="T1100" s="5"/>
      <c r="U1100" s="7">
        <f>IFERROR(__xludf.DUMMYFUNCTION("""COMPUTED_VALUE"""),44581.0)</f>
        <v>44581</v>
      </c>
      <c r="V1100" s="9" t="str">
        <f>IFERROR(__xludf.DUMMYFUNCTION("""COMPUTED_VALUE"""),"https://drive.google.com/uc?id=1B29tpmOJ9p1oYH_m_edRM94mnQVe1Hxi")</f>
        <v>https://drive.google.com/uc?id=1B29tpmOJ9p1oYH_m_edRM94mnQVe1Hxi</v>
      </c>
      <c r="W1100" s="5" t="str">
        <f>IFERROR(__xludf.DUMMYFUNCTION("""COMPUTED_VALUE"""),"NÃO")</f>
        <v>NÃO</v>
      </c>
      <c r="X1100" s="5" t="str">
        <f>IFERROR(__xludf.DUMMYFUNCTION("""COMPUTED_VALUE"""),"NÃO SE APLICA")</f>
        <v>NÃO SE APLICA</v>
      </c>
    </row>
    <row r="1101" hidden="1">
      <c r="A1101" s="5">
        <f>IFERROR(__xludf.DUMMYFUNCTION("""COMPUTED_VALUE"""),2.0)</f>
        <v>2</v>
      </c>
      <c r="B1101" s="5" t="str">
        <f>IFERROR(__xludf.DUMMYFUNCTION("""COMPUTED_VALUE"""),"CT021")</f>
        <v>CT021</v>
      </c>
      <c r="C1101" s="5" t="str">
        <f>IFERROR(__xludf.DUMMYFUNCTION("""COMPUTED_VALUE"""),"NÃO POSSUI")</f>
        <v>NÃO POSSUI</v>
      </c>
      <c r="D1101" s="5" t="str">
        <f>IFERROR(__xludf.DUMMYFUNCTION("""COMPUTED_VALUE"""),"COM SUPORTE")</f>
        <v>COM SUPORTE</v>
      </c>
      <c r="E1101" s="5" t="str">
        <f>IFERROR(__xludf.DUMMYFUNCTION("""COMPUTED_VALUE"""),"BAIA PINTADA")</f>
        <v>BAIA PINTADA</v>
      </c>
      <c r="F1101" s="5" t="str">
        <f>IFERROR(__xludf.DUMMYFUNCTION("""COMPUTED_VALUE"""),"NÃO")</f>
        <v>NÃO</v>
      </c>
      <c r="G1101" s="5" t="str">
        <f>IFERROR(__xludf.DUMMYFUNCTION("""COMPUTED_VALUE"""),"NÃO")</f>
        <v>NÃO</v>
      </c>
      <c r="H1101" s="5" t="str">
        <f>IFERROR(__xludf.DUMMYFUNCTION("""COMPUTED_VALUE"""),"PAVIMENTADA")</f>
        <v>PAVIMENTADA</v>
      </c>
      <c r="I1101" s="6" t="str">
        <f>IFERROR(__xludf.DUMMYFUNCTION("""COMPUTED_VALUE"""),"-9.663240")</f>
        <v>-9.663240</v>
      </c>
      <c r="J1101" s="6" t="str">
        <f>IFERROR(__xludf.DUMMYFUNCTION("""COMPUTED_VALUE"""),"-35.738586")</f>
        <v>-35.738586</v>
      </c>
      <c r="K1101" s="5" t="str">
        <f>IFERROR(__xludf.DUMMYFUNCTION("""COMPUTED_VALUE"""),"RUA DO COMÉRCIO, S/N")</f>
        <v>RUA DO COMÉRCIO, S/N</v>
      </c>
      <c r="L1101" s="5" t="str">
        <f>IFERROR(__xludf.DUMMYFUNCTION("""COMPUTED_VALUE"""),"LOCAL")</f>
        <v>LOCAL</v>
      </c>
      <c r="M1101" s="5" t="str">
        <f>IFERROR(__xludf.DUMMYFUNCTION("""COMPUTED_VALUE"""),"CENTRO")</f>
        <v>CENTRO</v>
      </c>
      <c r="N1101" s="5" t="str">
        <f>IFERROR(__xludf.DUMMYFUNCTION("""COMPUTED_VALUE"""),"CENTRO - BAIRRO")</f>
        <v>CENTRO - BAIRRO</v>
      </c>
      <c r="O1101" s="5" t="str">
        <f>IFERROR(__xludf.DUMMYFUNCTION("""COMPUTED_VALUE"""),"EM FRENTE A CIA DOS DENTISTAS")</f>
        <v>EM FRENTE A CIA DOS DENTISTAS</v>
      </c>
      <c r="P1101" s="5" t="str">
        <f>IFERROR(__xludf.DUMMYFUNCTION("""COMPUTED_VALUE"""),"PRIORIDADE BAIXA")</f>
        <v>PRIORIDADE BAIXA</v>
      </c>
      <c r="Q1101" s="5" t="str">
        <f>IFERROR(__xludf.DUMMYFUNCTION("""COMPUTED_VALUE"""),"PINTURA DA BAIA NO ASFALTO; ADEQUAÇÃO DA CALÇADA (RAMPA DE ACESSIBILIDADE E PISO TÁTIL).")</f>
        <v>PINTURA DA BAIA NO ASFALTO; ADEQUAÇÃO DA CALÇADA (RAMPA DE ACESSIBILIDADE E PISO TÁTIL).</v>
      </c>
      <c r="R1101" s="5" t="str">
        <f>IFERROR(__xludf.DUMMYFUNCTION("""COMPUTED_VALUE"""),"NENHUMA DAS OPÇÕES")</f>
        <v>NENHUMA DAS OPÇÕES</v>
      </c>
      <c r="S1101" s="7">
        <f>IFERROR(__xludf.DUMMYFUNCTION("""COMPUTED_VALUE"""),44582.0)</f>
        <v>44582</v>
      </c>
      <c r="T1101" s="5"/>
      <c r="U1101" s="7">
        <f>IFERROR(__xludf.DUMMYFUNCTION("""COMPUTED_VALUE"""),44582.0)</f>
        <v>44582</v>
      </c>
      <c r="V1101" s="9" t="str">
        <f>IFERROR(__xludf.DUMMYFUNCTION("""COMPUTED_VALUE"""),"https://drive.google.com/uc?id=1uCj5b8Ai2q12fap3RVAhrovxnn5EKGLS")</f>
        <v>https://drive.google.com/uc?id=1uCj5b8Ai2q12fap3RVAhrovxnn5EKGLS</v>
      </c>
      <c r="W1101" s="5" t="str">
        <f>IFERROR(__xludf.DUMMYFUNCTION("""COMPUTED_VALUE"""),"NÃO")</f>
        <v>NÃO</v>
      </c>
      <c r="X1101" s="5" t="str">
        <f>IFERROR(__xludf.DUMMYFUNCTION("""COMPUTED_VALUE"""),"NÃO SE APLICA")</f>
        <v>NÃO SE APLICA</v>
      </c>
    </row>
    <row r="1102" hidden="1">
      <c r="A1102" s="5">
        <f>IFERROR(__xludf.DUMMYFUNCTION("""COMPUTED_VALUE"""),2.0)</f>
        <v>2</v>
      </c>
      <c r="B1102" s="5" t="str">
        <f>IFERROR(__xludf.DUMMYFUNCTION("""COMPUTED_VALUE"""),"CT022")</f>
        <v>CT022</v>
      </c>
      <c r="C1102" s="5" t="str">
        <f>IFERROR(__xludf.DUMMYFUNCTION("""COMPUTED_VALUE"""),"NÃO POSSUI")</f>
        <v>NÃO POSSUI</v>
      </c>
      <c r="D1102" s="5" t="str">
        <f>IFERROR(__xludf.DUMMYFUNCTION("""COMPUTED_VALUE"""),"COM SUPORTE")</f>
        <v>COM SUPORTE</v>
      </c>
      <c r="E1102" s="5" t="str">
        <f>IFERROR(__xludf.DUMMYFUNCTION("""COMPUTED_VALUE"""),"SEM BAIA")</f>
        <v>SEM BAIA</v>
      </c>
      <c r="F1102" s="5" t="str">
        <f>IFERROR(__xludf.DUMMYFUNCTION("""COMPUTED_VALUE"""),"NÃO")</f>
        <v>NÃO</v>
      </c>
      <c r="G1102" s="5" t="str">
        <f>IFERROR(__xludf.DUMMYFUNCTION("""COMPUTED_VALUE"""),"NÃO")</f>
        <v>NÃO</v>
      </c>
      <c r="H1102" s="5" t="str">
        <f>IFERROR(__xludf.DUMMYFUNCTION("""COMPUTED_VALUE"""),"PAVIMENTADA")</f>
        <v>PAVIMENTADA</v>
      </c>
      <c r="I1102" s="6" t="str">
        <f>IFERROR(__xludf.DUMMYFUNCTION("""COMPUTED_VALUE"""),"-9.663251")</f>
        <v>-9.663251</v>
      </c>
      <c r="J1102" s="6" t="str">
        <f>IFERROR(__xludf.DUMMYFUNCTION("""COMPUTED_VALUE"""),"-35.737741")</f>
        <v>-35.737741</v>
      </c>
      <c r="K1102" s="5" t="str">
        <f>IFERROR(__xludf.DUMMYFUNCTION("""COMPUTED_VALUE"""),"RUA DO COMÉRCIO, S/N")</f>
        <v>RUA DO COMÉRCIO, S/N</v>
      </c>
      <c r="L1102" s="5" t="str">
        <f>IFERROR(__xludf.DUMMYFUNCTION("""COMPUTED_VALUE"""),"LOCAL")</f>
        <v>LOCAL</v>
      </c>
      <c r="M1102" s="5" t="str">
        <f>IFERROR(__xludf.DUMMYFUNCTION("""COMPUTED_VALUE"""),"CENTRO")</f>
        <v>CENTRO</v>
      </c>
      <c r="N1102" s="5" t="str">
        <f>IFERROR(__xludf.DUMMYFUNCTION("""COMPUTED_VALUE"""),"CENTRO - BAIRRO")</f>
        <v>CENTRO - BAIRRO</v>
      </c>
      <c r="O1102" s="5" t="str">
        <f>IFERROR(__xludf.DUMMYFUNCTION("""COMPUTED_VALUE"""),"EM FRENTE A LOJA ABY'S")</f>
        <v>EM FRENTE A LOJA ABY'S</v>
      </c>
      <c r="P1102" s="5" t="str">
        <f>IFERROR(__xludf.DUMMYFUNCTION("""COMPUTED_VALUE"""),"PRIORIDADE BAIXA")</f>
        <v>PRIORIDADE BAIXA</v>
      </c>
      <c r="Q1102" s="5" t="str">
        <f>IFERROR(__xludf.DUMMYFUNCTION("""COMPUTED_VALUE"""),"PINTURA DA BAIA NO ASFALTO; ADEQUAÇÃO DA CALÇADA (RAMPA DE ACESSIBILIDADE E PISO TÁTIL).")</f>
        <v>PINTURA DA BAIA NO ASFALTO; ADEQUAÇÃO DA CALÇADA (RAMPA DE ACESSIBILIDADE E PISO TÁTIL).</v>
      </c>
      <c r="R1102" s="5" t="str">
        <f>IFERROR(__xludf.DUMMYFUNCTION("""COMPUTED_VALUE"""),"NENHUMA DAS OPÇÕES")</f>
        <v>NENHUMA DAS OPÇÕES</v>
      </c>
      <c r="S1102" s="7">
        <f>IFERROR(__xludf.DUMMYFUNCTION("""COMPUTED_VALUE"""),44583.0)</f>
        <v>44583</v>
      </c>
      <c r="T1102" s="5"/>
      <c r="U1102" s="7">
        <f>IFERROR(__xludf.DUMMYFUNCTION("""COMPUTED_VALUE"""),44583.0)</f>
        <v>44583</v>
      </c>
      <c r="V1102" s="9" t="str">
        <f>IFERROR(__xludf.DUMMYFUNCTION("""COMPUTED_VALUE"""),"https://drive.google.com/uc?id=1aOe44AYTHuWgQS4NRKBh69EZVtvgR4M2")</f>
        <v>https://drive.google.com/uc?id=1aOe44AYTHuWgQS4NRKBh69EZVtvgR4M2</v>
      </c>
      <c r="W1102" s="5" t="str">
        <f>IFERROR(__xludf.DUMMYFUNCTION("""COMPUTED_VALUE"""),"NÃO")</f>
        <v>NÃO</v>
      </c>
      <c r="X1102" s="5" t="str">
        <f>IFERROR(__xludf.DUMMYFUNCTION("""COMPUTED_VALUE"""),"NÃO SE APLICA")</f>
        <v>NÃO SE APLICA</v>
      </c>
    </row>
    <row r="1103" hidden="1">
      <c r="A1103" s="5">
        <f>IFERROR(__xludf.DUMMYFUNCTION("""COMPUTED_VALUE"""),2.0)</f>
        <v>2</v>
      </c>
      <c r="B1103" s="5" t="str">
        <f>IFERROR(__xludf.DUMMYFUNCTION("""COMPUTED_VALUE"""),"CT023")</f>
        <v>CT023</v>
      </c>
      <c r="C1103" s="5" t="str">
        <f>IFERROR(__xludf.DUMMYFUNCTION("""COMPUTED_VALUE"""),"NÃO POSSUI")</f>
        <v>NÃO POSSUI</v>
      </c>
      <c r="D1103" s="5" t="str">
        <f>IFERROR(__xludf.DUMMYFUNCTION("""COMPUTED_VALUE"""),"COM SUPORTE")</f>
        <v>COM SUPORTE</v>
      </c>
      <c r="E1103" s="5" t="str">
        <f>IFERROR(__xludf.DUMMYFUNCTION("""COMPUTED_VALUE"""),"SEM BAIA")</f>
        <v>SEM BAIA</v>
      </c>
      <c r="F1103" s="5" t="str">
        <f>IFERROR(__xludf.DUMMYFUNCTION("""COMPUTED_VALUE"""),"NÃO")</f>
        <v>NÃO</v>
      </c>
      <c r="G1103" s="5" t="str">
        <f>IFERROR(__xludf.DUMMYFUNCTION("""COMPUTED_VALUE"""),"NÃO")</f>
        <v>NÃO</v>
      </c>
      <c r="H1103" s="5" t="str">
        <f>IFERROR(__xludf.DUMMYFUNCTION("""COMPUTED_VALUE"""),"PAVIMENTADA")</f>
        <v>PAVIMENTADA</v>
      </c>
      <c r="I1103" s="6" t="str">
        <f>IFERROR(__xludf.DUMMYFUNCTION("""COMPUTED_VALUE"""),"-9.663300")</f>
        <v>-9.663300</v>
      </c>
      <c r="J1103" s="6" t="str">
        <f>IFERROR(__xludf.DUMMYFUNCTION("""COMPUTED_VALUE"""),"-35.737363")</f>
        <v>-35.737363</v>
      </c>
      <c r="K1103" s="5" t="str">
        <f>IFERROR(__xludf.DUMMYFUNCTION("""COMPUTED_VALUE"""),"AV. MOREIRA LIMA, 19")</f>
        <v>AV. MOREIRA LIMA, 19</v>
      </c>
      <c r="L1103" s="5" t="str">
        <f>IFERROR(__xludf.DUMMYFUNCTION("""COMPUTED_VALUE"""),"LOCAL")</f>
        <v>LOCAL</v>
      </c>
      <c r="M1103" s="5" t="str">
        <f>IFERROR(__xludf.DUMMYFUNCTION("""COMPUTED_VALUE"""),"CENTRO")</f>
        <v>CENTRO</v>
      </c>
      <c r="N1103" s="5" t="str">
        <f>IFERROR(__xludf.DUMMYFUNCTION("""COMPUTED_VALUE"""),"CENTRO - BAIRRO")</f>
        <v>CENTRO - BAIRRO</v>
      </c>
      <c r="O1103" s="5" t="str">
        <f>IFERROR(__xludf.DUMMYFUNCTION("""COMPUTED_VALUE"""),"EM FRENTE A LOJA KODAK EXPRESS")</f>
        <v>EM FRENTE A LOJA KODAK EXPRESS</v>
      </c>
      <c r="P1103" s="5" t="str">
        <f>IFERROR(__xludf.DUMMYFUNCTION("""COMPUTED_VALUE"""),"PRIORIDADE BAIXA")</f>
        <v>PRIORIDADE BAIXA</v>
      </c>
      <c r="Q1103" s="5" t="str">
        <f>IFERROR(__xludf.DUMMYFUNCTION("""COMPUTED_VALUE"""),"PINTURA DA BAIA NO ASFALTO; ADEQUAÇÃO DA CALÇADA (RAMPA DE ACESSIBILIDADE E PISO TÁTIL).")</f>
        <v>PINTURA DA BAIA NO ASFALTO; ADEQUAÇÃO DA CALÇADA (RAMPA DE ACESSIBILIDADE E PISO TÁTIL).</v>
      </c>
      <c r="R1103" s="5" t="str">
        <f>IFERROR(__xludf.DUMMYFUNCTION("""COMPUTED_VALUE"""),"NENHUMA DAS OPÇÕES")</f>
        <v>NENHUMA DAS OPÇÕES</v>
      </c>
      <c r="S1103" s="7">
        <f>IFERROR(__xludf.DUMMYFUNCTION("""COMPUTED_VALUE"""),44584.0)</f>
        <v>44584</v>
      </c>
      <c r="T1103" s="5"/>
      <c r="U1103" s="7">
        <f>IFERROR(__xludf.DUMMYFUNCTION("""COMPUTED_VALUE"""),44584.0)</f>
        <v>44584</v>
      </c>
      <c r="V1103" s="9" t="str">
        <f>IFERROR(__xludf.DUMMYFUNCTION("""COMPUTED_VALUE"""),"https://drive.google.com/uc?id=1Gjfajb3qy7VRJO1lj3iN1e4nz_0ukQ-i")</f>
        <v>https://drive.google.com/uc?id=1Gjfajb3qy7VRJO1lj3iN1e4nz_0ukQ-i</v>
      </c>
      <c r="W1103" s="5" t="str">
        <f>IFERROR(__xludf.DUMMYFUNCTION("""COMPUTED_VALUE"""),"NÃO")</f>
        <v>NÃO</v>
      </c>
      <c r="X1103" s="5" t="str">
        <f>IFERROR(__xludf.DUMMYFUNCTION("""COMPUTED_VALUE"""),"NÃO SE APLICA")</f>
        <v>NÃO SE APLICA</v>
      </c>
    </row>
    <row r="1104" hidden="1">
      <c r="A1104" s="5">
        <f>IFERROR(__xludf.DUMMYFUNCTION("""COMPUTED_VALUE"""),2.0)</f>
        <v>2</v>
      </c>
      <c r="B1104" s="5" t="str">
        <f>IFERROR(__xludf.DUMMYFUNCTION("""COMPUTED_VALUE"""),"CT024")</f>
        <v>CT024</v>
      </c>
      <c r="C1104" s="5" t="str">
        <f>IFERROR(__xludf.DUMMYFUNCTION("""COMPUTED_VALUE"""),"NÃO POSSUI")</f>
        <v>NÃO POSSUI</v>
      </c>
      <c r="D1104" s="5" t="str">
        <f>IFERROR(__xludf.DUMMYFUNCTION("""COMPUTED_VALUE"""),"COM SUPORTE")</f>
        <v>COM SUPORTE</v>
      </c>
      <c r="E1104" s="5" t="str">
        <f>IFERROR(__xludf.DUMMYFUNCTION("""COMPUTED_VALUE"""),"SEM BAIA")</f>
        <v>SEM BAIA</v>
      </c>
      <c r="F1104" s="5" t="str">
        <f>IFERROR(__xludf.DUMMYFUNCTION("""COMPUTED_VALUE"""),"SIM")</f>
        <v>SIM</v>
      </c>
      <c r="G1104" s="5" t="str">
        <f>IFERROR(__xludf.DUMMYFUNCTION("""COMPUTED_VALUE"""),"NÃO")</f>
        <v>NÃO</v>
      </c>
      <c r="H1104" s="5" t="str">
        <f>IFERROR(__xludf.DUMMYFUNCTION("""COMPUTED_VALUE"""),"PAVIMENTADA")</f>
        <v>PAVIMENTADA</v>
      </c>
      <c r="I1104" s="6" t="str">
        <f>IFERROR(__xludf.DUMMYFUNCTION("""COMPUTED_VALUE"""),"-9.663262")</f>
        <v>-9.663262</v>
      </c>
      <c r="J1104" s="6" t="str">
        <f>IFERROR(__xludf.DUMMYFUNCTION("""COMPUTED_VALUE"""),"-35.737087")</f>
        <v>-35.737087</v>
      </c>
      <c r="K1104" s="5" t="str">
        <f>IFERROR(__xludf.DUMMYFUNCTION("""COMPUTED_VALUE"""),"AV. MOREIRA LIMA, 09")</f>
        <v>AV. MOREIRA LIMA, 09</v>
      </c>
      <c r="L1104" s="5" t="str">
        <f>IFERROR(__xludf.DUMMYFUNCTION("""COMPUTED_VALUE"""),"LOCAL")</f>
        <v>LOCAL</v>
      </c>
      <c r="M1104" s="5" t="str">
        <f>IFERROR(__xludf.DUMMYFUNCTION("""COMPUTED_VALUE"""),"CENTRO")</f>
        <v>CENTRO</v>
      </c>
      <c r="N1104" s="5" t="str">
        <f>IFERROR(__xludf.DUMMYFUNCTION("""COMPUTED_VALUE"""),"CENTRO - BAIRRO")</f>
        <v>CENTRO - BAIRRO</v>
      </c>
      <c r="O1104" s="5" t="str">
        <f>IFERROR(__xludf.DUMMYFUNCTION("""COMPUTED_VALUE"""),"EM FRENTE A VIVA + CRED")</f>
        <v>EM FRENTE A VIVA + CRED</v>
      </c>
      <c r="P1104" s="5" t="str">
        <f>IFERROR(__xludf.DUMMYFUNCTION("""COMPUTED_VALUE"""),"PRIORIDADE BAIXA")</f>
        <v>PRIORIDADE BAIXA</v>
      </c>
      <c r="Q1104" s="5" t="str">
        <f>IFERROR(__xludf.DUMMYFUNCTION("""COMPUTED_VALUE"""),"PINTURA DA BAIA NO ASFALTO; ADEQUAÇÃO DA CALÇADA (RAMPA DE ACESSIBILIDADE E PISO TÁTIL).")</f>
        <v>PINTURA DA BAIA NO ASFALTO; ADEQUAÇÃO DA CALÇADA (RAMPA DE ACESSIBILIDADE E PISO TÁTIL).</v>
      </c>
      <c r="R1104" s="5" t="str">
        <f>IFERROR(__xludf.DUMMYFUNCTION("""COMPUTED_VALUE"""),"NENHUMA DAS OPÇÕES")</f>
        <v>NENHUMA DAS OPÇÕES</v>
      </c>
      <c r="S1104" s="7">
        <f>IFERROR(__xludf.DUMMYFUNCTION("""COMPUTED_VALUE"""),44585.0)</f>
        <v>44585</v>
      </c>
      <c r="T1104" s="5"/>
      <c r="U1104" s="7">
        <f>IFERROR(__xludf.DUMMYFUNCTION("""COMPUTED_VALUE"""),44585.0)</f>
        <v>44585</v>
      </c>
      <c r="V1104" s="9" t="str">
        <f>IFERROR(__xludf.DUMMYFUNCTION("""COMPUTED_VALUE"""),"https://drive.google.com/uc?id=1WFu5b4mPxtcB2EQPZMs0ZIh4fWmSBBNq")</f>
        <v>https://drive.google.com/uc?id=1WFu5b4mPxtcB2EQPZMs0ZIh4fWmSBBNq</v>
      </c>
      <c r="W1104" s="5" t="str">
        <f>IFERROR(__xludf.DUMMYFUNCTION("""COMPUTED_VALUE"""),"NÃO")</f>
        <v>NÃO</v>
      </c>
      <c r="X1104" s="5" t="str">
        <f>IFERROR(__xludf.DUMMYFUNCTION("""COMPUTED_VALUE"""),"NÃO SE APLICA")</f>
        <v>NÃO SE APLICA</v>
      </c>
    </row>
    <row r="1105" hidden="1">
      <c r="A1105" s="5">
        <f>IFERROR(__xludf.DUMMYFUNCTION("""COMPUTED_VALUE"""),2.0)</f>
        <v>2</v>
      </c>
      <c r="B1105" s="5" t="str">
        <f>IFERROR(__xludf.DUMMYFUNCTION("""COMPUTED_VALUE"""),"CT025")</f>
        <v>CT025</v>
      </c>
      <c r="C1105" s="5" t="str">
        <f>IFERROR(__xludf.DUMMYFUNCTION("""COMPUTED_VALUE"""),"NÃO POSSUI")</f>
        <v>NÃO POSSUI</v>
      </c>
      <c r="D1105" s="5" t="str">
        <f>IFERROR(__xludf.DUMMYFUNCTION("""COMPUTED_VALUE"""),"COM SUPORTE")</f>
        <v>COM SUPORTE</v>
      </c>
      <c r="E1105" s="5" t="str">
        <f>IFERROR(__xludf.DUMMYFUNCTION("""COMPUTED_VALUE"""),"SEM BAIA")</f>
        <v>SEM BAIA</v>
      </c>
      <c r="F1105" s="5" t="str">
        <f>IFERROR(__xludf.DUMMYFUNCTION("""COMPUTED_VALUE"""),"NÃO")</f>
        <v>NÃO</v>
      </c>
      <c r="G1105" s="5" t="str">
        <f>IFERROR(__xludf.DUMMYFUNCTION("""COMPUTED_VALUE"""),"NÃO")</f>
        <v>NÃO</v>
      </c>
      <c r="H1105" s="5" t="str">
        <f>IFERROR(__xludf.DUMMYFUNCTION("""COMPUTED_VALUE"""),"PAVIMENTADA")</f>
        <v>PAVIMENTADA</v>
      </c>
      <c r="I1105" s="6" t="str">
        <f>IFERROR(__xludf.DUMMYFUNCTION("""COMPUTED_VALUE"""),"-9.661561")</f>
        <v>-9.661561</v>
      </c>
      <c r="J1105" s="6" t="str">
        <f>IFERROR(__xludf.DUMMYFUNCTION("""COMPUTED_VALUE"""),"-35.738132")</f>
        <v>-35.738132</v>
      </c>
      <c r="K1105" s="5" t="str">
        <f>IFERROR(__xludf.DUMMYFUNCTION("""COMPUTED_VALUE"""),"RUA AUGUSTA, 16")</f>
        <v>RUA AUGUSTA, 16</v>
      </c>
      <c r="L1105" s="5" t="str">
        <f>IFERROR(__xludf.DUMMYFUNCTION("""COMPUTED_VALUE"""),"COLETORA")</f>
        <v>COLETORA</v>
      </c>
      <c r="M1105" s="5" t="str">
        <f>IFERROR(__xludf.DUMMYFUNCTION("""COMPUTED_VALUE"""),"CENTRO")</f>
        <v>CENTRO</v>
      </c>
      <c r="N1105" s="5" t="str">
        <f>IFERROR(__xludf.DUMMYFUNCTION("""COMPUTED_VALUE"""),"CENTRO - BAIRRO")</f>
        <v>CENTRO - BAIRRO</v>
      </c>
      <c r="O1105" s="5" t="str">
        <f>IFERROR(__xludf.DUMMYFUNCTION("""COMPUTED_VALUE"""),"EM FRENTE AO MARCOS SERIGRAFIA.")</f>
        <v>EM FRENTE AO MARCOS SERIGRAFIA.</v>
      </c>
      <c r="P1105" s="5" t="str">
        <f>IFERROR(__xludf.DUMMYFUNCTION("""COMPUTED_VALUE"""),"PRIORIDADE BAIXA")</f>
        <v>PRIORIDADE BAIXA</v>
      </c>
      <c r="Q1105" s="5" t="str">
        <f>IFERROR(__xludf.DUMMYFUNCTION("""COMPUTED_VALUE"""),"SUBSTITUIÇÃO DA PLACA COM SUPORTE E RELOCAÇÃO PARA O LOCAL INDICADO NA IMAGEM; PINTURA DA BAIA NO ASFALTO; ADEQUAÇÃO DA CALÇADA (RAMPA DE ACESSIBILIDADE E PISO TÁTIL).")</f>
        <v>SUBSTITUIÇÃO DA PLACA COM SUPORTE E RELOCAÇÃO PARA O LOCAL INDICADO NA IMAGEM; PINTURA DA BAIA NO ASFALTO; ADEQUAÇÃO DA CALÇADA (RAMPA DE ACESSIBILIDADE E PISO TÁTIL).</v>
      </c>
      <c r="R1105" s="5" t="str">
        <f>IFERROR(__xludf.DUMMYFUNCTION("""COMPUTED_VALUE"""),"NENHUMA DAS OPÇÕES")</f>
        <v>NENHUMA DAS OPÇÕES</v>
      </c>
      <c r="S1105" s="7">
        <f>IFERROR(__xludf.DUMMYFUNCTION("""COMPUTED_VALUE"""),44586.0)</f>
        <v>44586</v>
      </c>
      <c r="T1105" s="5"/>
      <c r="U1105" s="7">
        <f>IFERROR(__xludf.DUMMYFUNCTION("""COMPUTED_VALUE"""),44586.0)</f>
        <v>44586</v>
      </c>
      <c r="V1105" s="9" t="str">
        <f>IFERROR(__xludf.DUMMYFUNCTION("""COMPUTED_VALUE"""),"https://drive.google.com/uc?id=1soYbE8RsMemH_58_4VO5dg__yn4PuIJ8")</f>
        <v>https://drive.google.com/uc?id=1soYbE8RsMemH_58_4VO5dg__yn4PuIJ8</v>
      </c>
      <c r="W1105" s="5" t="str">
        <f>IFERROR(__xludf.DUMMYFUNCTION("""COMPUTED_VALUE"""),"NÃO")</f>
        <v>NÃO</v>
      </c>
      <c r="X1105" s="5" t="str">
        <f>IFERROR(__xludf.DUMMYFUNCTION("""COMPUTED_VALUE"""),"NÃO SE APLICA")</f>
        <v>NÃO SE APLICA</v>
      </c>
    </row>
    <row r="1106" hidden="1">
      <c r="A1106" s="5">
        <f>IFERROR(__xludf.DUMMYFUNCTION("""COMPUTED_VALUE"""),2.0)</f>
        <v>2</v>
      </c>
      <c r="B1106" s="5" t="str">
        <f>IFERROR(__xludf.DUMMYFUNCTION("""COMPUTED_VALUE"""),"CT026")</f>
        <v>CT026</v>
      </c>
      <c r="C1106" s="5" t="str">
        <f>IFERROR(__xludf.DUMMYFUNCTION("""COMPUTED_VALUE"""),"NÃO POSSUI")</f>
        <v>NÃO POSSUI</v>
      </c>
      <c r="D1106" s="5" t="str">
        <f>IFERROR(__xludf.DUMMYFUNCTION("""COMPUTED_VALUE"""),"COM SUPORTE")</f>
        <v>COM SUPORTE</v>
      </c>
      <c r="E1106" s="5" t="str">
        <f>IFERROR(__xludf.DUMMYFUNCTION("""COMPUTED_VALUE"""),"SEM BAIA")</f>
        <v>SEM BAIA</v>
      </c>
      <c r="F1106" s="5" t="str">
        <f>IFERROR(__xludf.DUMMYFUNCTION("""COMPUTED_VALUE"""),"NÃO")</f>
        <v>NÃO</v>
      </c>
      <c r="G1106" s="5" t="str">
        <f>IFERROR(__xludf.DUMMYFUNCTION("""COMPUTED_VALUE"""),"NÃO")</f>
        <v>NÃO</v>
      </c>
      <c r="H1106" s="5" t="str">
        <f>IFERROR(__xludf.DUMMYFUNCTION("""COMPUTED_VALUE"""),"PAVIMENTADA")</f>
        <v>PAVIMENTADA</v>
      </c>
      <c r="I1106" s="6" t="str">
        <f>IFERROR(__xludf.DUMMYFUNCTION("""COMPUTED_VALUE"""),"-9.661767")</f>
        <v>-9.661767</v>
      </c>
      <c r="J1106" s="6" t="str">
        <f>IFERROR(__xludf.DUMMYFUNCTION("""COMPUTED_VALUE"""),"-35.738738")</f>
        <v>-35.738738</v>
      </c>
      <c r="K1106" s="5" t="str">
        <f>IFERROR(__xludf.DUMMYFUNCTION("""COMPUTED_VALUE"""),"RUA AUGUSTA, 59A")</f>
        <v>RUA AUGUSTA, 59A</v>
      </c>
      <c r="L1106" s="5" t="str">
        <f>IFERROR(__xludf.DUMMYFUNCTION("""COMPUTED_VALUE"""),"COLETORA")</f>
        <v>COLETORA</v>
      </c>
      <c r="M1106" s="5" t="str">
        <f>IFERROR(__xludf.DUMMYFUNCTION("""COMPUTED_VALUE"""),"CENTRO")</f>
        <v>CENTRO</v>
      </c>
      <c r="N1106" s="5" t="str">
        <f>IFERROR(__xludf.DUMMYFUNCTION("""COMPUTED_VALUE"""),"CENTRO - BAIRRO")</f>
        <v>CENTRO - BAIRRO</v>
      </c>
      <c r="O1106" s="5" t="str">
        <f>IFERROR(__xludf.DUMMYFUNCTION("""COMPUTED_VALUE"""),"ESQUINA COM A RUA DO COMÉRCIO.")</f>
        <v>ESQUINA COM A RUA DO COMÉRCIO.</v>
      </c>
      <c r="P1106" s="5" t="str">
        <f>IFERROR(__xludf.DUMMYFUNCTION("""COMPUTED_VALUE"""),"PRIORIDADE BAIXA")</f>
        <v>PRIORIDADE BAIXA</v>
      </c>
      <c r="Q1106" s="5" t="str">
        <f>IFERROR(__xludf.DUMMYFUNCTION("""COMPUTED_VALUE"""),"FIXAÇÃO DA PLACA COM SUPORTE QUE ESTÁ NO CHÃO; PINTURA DA BAIA NO ASFALTO; ADEQUAÇÃO DA CALÇADA (RAMPA DE ACESSIBILIDADE E PISO TÁTIL).")</f>
        <v>FIXAÇÃO DA PLACA COM SUPORTE QUE ESTÁ NO CHÃO; PINTURA DA BAIA NO ASFALTO; ADEQUAÇÃO DA CALÇADA (RAMPA DE ACESSIBILIDADE E PISO TÁTIL).</v>
      </c>
      <c r="R1106" s="5" t="str">
        <f>IFERROR(__xludf.DUMMYFUNCTION("""COMPUTED_VALUE"""),"NENHUMA DAS OPÇÕES")</f>
        <v>NENHUMA DAS OPÇÕES</v>
      </c>
      <c r="S1106" s="7">
        <f>IFERROR(__xludf.DUMMYFUNCTION("""COMPUTED_VALUE"""),44587.0)</f>
        <v>44587</v>
      </c>
      <c r="T1106" s="5"/>
      <c r="U1106" s="7">
        <f>IFERROR(__xludf.DUMMYFUNCTION("""COMPUTED_VALUE"""),44587.0)</f>
        <v>44587</v>
      </c>
      <c r="V1106" s="9" t="str">
        <f>IFERROR(__xludf.DUMMYFUNCTION("""COMPUTED_VALUE"""),"https://drive.google.com/uc?id=1L_28iowjiJhtHkzeObweXzf_K3YGSRF3")</f>
        <v>https://drive.google.com/uc?id=1L_28iowjiJhtHkzeObweXzf_K3YGSRF3</v>
      </c>
      <c r="W1106" s="5" t="str">
        <f>IFERROR(__xludf.DUMMYFUNCTION("""COMPUTED_VALUE"""),"NÃO")</f>
        <v>NÃO</v>
      </c>
      <c r="X1106" s="5" t="str">
        <f>IFERROR(__xludf.DUMMYFUNCTION("""COMPUTED_VALUE"""),"NÃO SE APLICA")</f>
        <v>NÃO SE APLICA</v>
      </c>
    </row>
    <row r="1107" hidden="1">
      <c r="A1107" s="5">
        <f>IFERROR(__xludf.DUMMYFUNCTION("""COMPUTED_VALUE"""),2.0)</f>
        <v>2</v>
      </c>
      <c r="B1107" s="5" t="str">
        <f>IFERROR(__xludf.DUMMYFUNCTION("""COMPUTED_VALUE"""),"CT027")</f>
        <v>CT027</v>
      </c>
      <c r="C1107" s="5" t="str">
        <f>IFERROR(__xludf.DUMMYFUNCTION("""COMPUTED_VALUE"""),"NÃO POSSUI")</f>
        <v>NÃO POSSUI</v>
      </c>
      <c r="D1107" s="5" t="str">
        <f>IFERROR(__xludf.DUMMYFUNCTION("""COMPUTED_VALUE"""),"SEM PLACA")</f>
        <v>SEM PLACA</v>
      </c>
      <c r="E1107" s="5" t="str">
        <f>IFERROR(__xludf.DUMMYFUNCTION("""COMPUTED_VALUE"""),"SEM BAIA")</f>
        <v>SEM BAIA</v>
      </c>
      <c r="F1107" s="5" t="str">
        <f>IFERROR(__xludf.DUMMYFUNCTION("""COMPUTED_VALUE"""),"NÃO")</f>
        <v>NÃO</v>
      </c>
      <c r="G1107" s="5" t="str">
        <f>IFERROR(__xludf.DUMMYFUNCTION("""COMPUTED_VALUE"""),"NÃO")</f>
        <v>NÃO</v>
      </c>
      <c r="H1107" s="5" t="str">
        <f>IFERROR(__xludf.DUMMYFUNCTION("""COMPUTED_VALUE"""),"PAVIMENTADA COM AVARIAS")</f>
        <v>PAVIMENTADA COM AVARIAS</v>
      </c>
      <c r="I1107" s="6" t="str">
        <f>IFERROR(__xludf.DUMMYFUNCTION("""COMPUTED_VALUE"""),"-9.661719")</f>
        <v>-9.661719</v>
      </c>
      <c r="J1107" s="6" t="str">
        <f>IFERROR(__xludf.DUMMYFUNCTION("""COMPUTED_VALUE"""),"-35.738569")</f>
        <v>-35.738569</v>
      </c>
      <c r="K1107" s="5" t="str">
        <f>IFERROR(__xludf.DUMMYFUNCTION("""COMPUTED_VALUE"""),"CRUZAMENTO ENTRE AS RUAS BOA VISTA E RUA SÃO JOÃO")</f>
        <v>CRUZAMENTO ENTRE AS RUAS BOA VISTA E RUA SÃO JOÃO</v>
      </c>
      <c r="L1107" s="5" t="str">
        <f>IFERROR(__xludf.DUMMYFUNCTION("""COMPUTED_VALUE"""),"COLETORA")</f>
        <v>COLETORA</v>
      </c>
      <c r="M1107" s="5" t="str">
        <f>IFERROR(__xludf.DUMMYFUNCTION("""COMPUTED_VALUE"""),"CENTRO")</f>
        <v>CENTRO</v>
      </c>
      <c r="N1107" s="5" t="str">
        <f>IFERROR(__xludf.DUMMYFUNCTION("""COMPUTED_VALUE"""),"CENTRO - BAIRRO")</f>
        <v>CENTRO - BAIRRO</v>
      </c>
      <c r="O1107" s="5" t="str">
        <f>IFERROR(__xludf.DUMMYFUNCTION("""COMPUTED_VALUE"""),"ATRÁS DA UNIDADE DA FAMÍLIA DO NOVO MUNDO")</f>
        <v>ATRÁS DA UNIDADE DA FAMÍLIA DO NOVO MUNDO</v>
      </c>
      <c r="P1107" s="5" t="str">
        <f>IFERROR(__xludf.DUMMYFUNCTION("""COMPUTED_VALUE"""),"PRIORIDADE MÉDIA")</f>
        <v>PRIORIDADE MÉDIA</v>
      </c>
      <c r="Q1107" s="5" t="str">
        <f>IFERROR(__xludf.DUMMYFUNCTION("""COMPUTED_VALUE"""),"IMPLANTAR PLACA FIXADA EM SUPORTE; PINTURA DA BAIA NO ASFALTO; ADEQUAÇÃO DA CALÇADA  (RAMPA DE ACESSIBILIDADE E PISO TÁTIL)")</f>
        <v>IMPLANTAR PLACA FIXADA EM SUPORTE; PINTURA DA BAIA NO ASFALTO; ADEQUAÇÃO DA CALÇADA  (RAMPA DE ACESSIBILIDADE E PISO TÁTIL)</v>
      </c>
      <c r="R1107" s="5" t="str">
        <f>IFERROR(__xludf.DUMMYFUNCTION("""COMPUTED_VALUE"""),"NENHUMA DAS OPÇÕES")</f>
        <v>NENHUMA DAS OPÇÕES</v>
      </c>
      <c r="S1107" s="7">
        <f>IFERROR(__xludf.DUMMYFUNCTION("""COMPUTED_VALUE"""),44588.0)</f>
        <v>44588</v>
      </c>
      <c r="T1107" s="5"/>
      <c r="U1107" s="7">
        <f>IFERROR(__xludf.DUMMYFUNCTION("""COMPUTED_VALUE"""),44588.0)</f>
        <v>44588</v>
      </c>
      <c r="V1107" s="9" t="str">
        <f>IFERROR(__xludf.DUMMYFUNCTION("""COMPUTED_VALUE"""),"https://drive.google.com/uc?id=1VN7cwEvKMUEW5A9TR-SXhDg8e1yxrABJ")</f>
        <v>https://drive.google.com/uc?id=1VN7cwEvKMUEW5A9TR-SXhDg8e1yxrABJ</v>
      </c>
      <c r="W1107" s="5" t="str">
        <f>IFERROR(__xludf.DUMMYFUNCTION("""COMPUTED_VALUE"""),"NÃO")</f>
        <v>NÃO</v>
      </c>
      <c r="X1107" s="5" t="str">
        <f>IFERROR(__xludf.DUMMYFUNCTION("""COMPUTED_VALUE"""),"NÃO SE APLICA")</f>
        <v>NÃO SE APLICA</v>
      </c>
    </row>
    <row r="1108" hidden="1">
      <c r="A1108" s="5">
        <f>IFERROR(__xludf.DUMMYFUNCTION("""COMPUTED_VALUE"""),2.0)</f>
        <v>2</v>
      </c>
      <c r="B1108" s="5" t="str">
        <f>IFERROR(__xludf.DUMMYFUNCTION("""COMPUTED_VALUE"""),"CT028")</f>
        <v>CT028</v>
      </c>
      <c r="C1108" s="5" t="str">
        <f>IFERROR(__xludf.DUMMYFUNCTION("""COMPUTED_VALUE"""),"NÃO POSSUI")</f>
        <v>NÃO POSSUI</v>
      </c>
      <c r="D1108" s="5" t="str">
        <f>IFERROR(__xludf.DUMMYFUNCTION("""COMPUTED_VALUE"""),"SEM PLACA")</f>
        <v>SEM PLACA</v>
      </c>
      <c r="E1108" s="5" t="str">
        <f>IFERROR(__xludf.DUMMYFUNCTION("""COMPUTED_VALUE"""),"SEM BAIA")</f>
        <v>SEM BAIA</v>
      </c>
      <c r="F1108" s="5" t="str">
        <f>IFERROR(__xludf.DUMMYFUNCTION("""COMPUTED_VALUE"""),"NÃO")</f>
        <v>NÃO</v>
      </c>
      <c r="G1108" s="5" t="str">
        <f>IFERROR(__xludf.DUMMYFUNCTION("""COMPUTED_VALUE"""),"NÃO")</f>
        <v>NÃO</v>
      </c>
      <c r="H1108" s="5" t="str">
        <f>IFERROR(__xludf.DUMMYFUNCTION("""COMPUTED_VALUE"""),"PAVIMENTADA")</f>
        <v>PAVIMENTADA</v>
      </c>
      <c r="I1108" s="6" t="str">
        <f>IFERROR(__xludf.DUMMYFUNCTION("""COMPUTED_VALUE"""),"-9.662401")</f>
        <v>-9.662401</v>
      </c>
      <c r="J1108" s="6" t="str">
        <f>IFERROR(__xludf.DUMMYFUNCTION("""COMPUTED_VALUE"""),"-35.742421")</f>
        <v>-35.742421</v>
      </c>
      <c r="K1108" s="5" t="str">
        <f>IFERROR(__xludf.DUMMYFUNCTION("""COMPUTED_VALUE"""),"RUA FERNANDES DE BARROS, 227")</f>
        <v>RUA FERNANDES DE BARROS, 227</v>
      </c>
      <c r="L1108" s="5" t="str">
        <f>IFERROR(__xludf.DUMMYFUNCTION("""COMPUTED_VALUE"""),"COLETORA")</f>
        <v>COLETORA</v>
      </c>
      <c r="M1108" s="5" t="str">
        <f>IFERROR(__xludf.DUMMYFUNCTION("""COMPUTED_VALUE"""),"CENTRO")</f>
        <v>CENTRO</v>
      </c>
      <c r="N1108" s="5" t="str">
        <f>IFERROR(__xludf.DUMMYFUNCTION("""COMPUTED_VALUE"""),"CENTRO - BAIRRO")</f>
        <v>CENTRO - BAIRRO</v>
      </c>
      <c r="O1108" s="5" t="str">
        <f>IFERROR(__xludf.DUMMYFUNCTION("""COMPUTED_VALUE"""),"EM FRENTE A MARCENARIA EBENÉZER")</f>
        <v>EM FRENTE A MARCENARIA EBENÉZER</v>
      </c>
      <c r="P1108" s="5" t="str">
        <f>IFERROR(__xludf.DUMMYFUNCTION("""COMPUTED_VALUE"""),"PRIORIDADE MÉDIA")</f>
        <v>PRIORIDADE MÉDIA</v>
      </c>
      <c r="Q1108" s="5" t="str">
        <f>IFERROR(__xludf.DUMMYFUNCTION("""COMPUTED_VALUE"""),"IMPLANTAR PLACA FIXADA EM POSTE DE CONCRETO; PINTURA DA BAIA NO ASFALTO; ADEQUAÇÃO DA CALÇADA (RAMPA DE ACESSIBILIDADE E PISO TÁTIL)")</f>
        <v>IMPLANTAR PLACA FIXADA EM POSTE DE CONCRETO; PINTURA DA BAIA NO ASFALTO; ADEQUAÇÃO DA CALÇADA (RAMPA DE ACESSIBILIDADE E PISO TÁTIL)</v>
      </c>
      <c r="R1108" s="5" t="str">
        <f>IFERROR(__xludf.DUMMYFUNCTION("""COMPUTED_VALUE"""),"NENHUMA DAS OPÇÕES")</f>
        <v>NENHUMA DAS OPÇÕES</v>
      </c>
      <c r="S1108" s="5"/>
      <c r="T1108" s="5"/>
      <c r="U1108" s="5"/>
      <c r="V1108" s="9" t="str">
        <f>IFERROR(__xludf.DUMMYFUNCTION("""COMPUTED_VALUE"""),"https://drive.google.com/uc?id=1qe2xDw7iJNMJC1CYKb1pDkFriE0i0Qmq")</f>
        <v>https://drive.google.com/uc?id=1qe2xDw7iJNMJC1CYKb1pDkFriE0i0Qmq</v>
      </c>
      <c r="W1108" s="5" t="str">
        <f>IFERROR(__xludf.DUMMYFUNCTION("""COMPUTED_VALUE"""),"NÃO")</f>
        <v>NÃO</v>
      </c>
      <c r="X1108" s="5" t="str">
        <f>IFERROR(__xludf.DUMMYFUNCTION("""COMPUTED_VALUE"""),"NÃO SE APLICA")</f>
        <v>NÃO SE APLICA</v>
      </c>
    </row>
    <row r="1109" hidden="1">
      <c r="A1109" s="5">
        <f>IFERROR(__xludf.DUMMYFUNCTION("""COMPUTED_VALUE"""),2.0)</f>
        <v>2</v>
      </c>
      <c r="B1109" s="5" t="str">
        <f>IFERROR(__xludf.DUMMYFUNCTION("""COMPUTED_VALUE"""),"CT029")</f>
        <v>CT029</v>
      </c>
      <c r="C1109" s="5" t="str">
        <f>IFERROR(__xludf.DUMMYFUNCTION("""COMPUTED_VALUE"""),"NÃO POSSUI")</f>
        <v>NÃO POSSUI</v>
      </c>
      <c r="D1109" s="5" t="str">
        <f>IFERROR(__xludf.DUMMYFUNCTION("""COMPUTED_VALUE"""),"COM SUPORTE")</f>
        <v>COM SUPORTE</v>
      </c>
      <c r="E1109" s="5" t="str">
        <f>IFERROR(__xludf.DUMMYFUNCTION("""COMPUTED_VALUE"""),"SEM BAIA")</f>
        <v>SEM BAIA</v>
      </c>
      <c r="F1109" s="5" t="str">
        <f>IFERROR(__xludf.DUMMYFUNCTION("""COMPUTED_VALUE"""),"NÃO")</f>
        <v>NÃO</v>
      </c>
      <c r="G1109" s="5" t="str">
        <f>IFERROR(__xludf.DUMMYFUNCTION("""COMPUTED_VALUE"""),"NÃO")</f>
        <v>NÃO</v>
      </c>
      <c r="H1109" s="5" t="str">
        <f>IFERROR(__xludf.DUMMYFUNCTION("""COMPUTED_VALUE"""),"PAVIMENTADA")</f>
        <v>PAVIMENTADA</v>
      </c>
      <c r="I1109" s="6" t="str">
        <f>IFERROR(__xludf.DUMMYFUNCTION("""COMPUTED_VALUE"""),"-9.666697")</f>
        <v>-9.666697</v>
      </c>
      <c r="J1109" s="6" t="str">
        <f>IFERROR(__xludf.DUMMYFUNCTION("""COMPUTED_VALUE"""),"-35.741966")</f>
        <v>-35.741966</v>
      </c>
      <c r="K1109" s="5" t="str">
        <f>IFERROR(__xludf.DUMMYFUNCTION("""COMPUTED_VALUE"""),"RUA DIAS CABRAL")</f>
        <v>RUA DIAS CABRAL</v>
      </c>
      <c r="L1109" s="5" t="str">
        <f>IFERROR(__xludf.DUMMYFUNCTION("""COMPUTED_VALUE"""),"COLETORA")</f>
        <v>COLETORA</v>
      </c>
      <c r="M1109" s="5" t="str">
        <f>IFERROR(__xludf.DUMMYFUNCTION("""COMPUTED_VALUE"""),"CENTRO")</f>
        <v>CENTRO</v>
      </c>
      <c r="N1109" s="5" t="str">
        <f>IFERROR(__xludf.DUMMYFUNCTION("""COMPUTED_VALUE"""),"CENTRO - BAIRRO")</f>
        <v>CENTRO - BAIRRO</v>
      </c>
      <c r="O1109" s="5" t="str">
        <f>IFERROR(__xludf.DUMMYFUNCTION("""COMPUTED_VALUE"""),"PRÓXIMO AO PLANVIDA RENASCER")</f>
        <v>PRÓXIMO AO PLANVIDA RENASCER</v>
      </c>
      <c r="P1109" s="5" t="str">
        <f>IFERROR(__xludf.DUMMYFUNCTION("""COMPUTED_VALUE"""),"PRIORIDADE BAIXA")</f>
        <v>PRIORIDADE BAIXA</v>
      </c>
      <c r="Q1109" s="5" t="str">
        <f>IFERROR(__xludf.DUMMYFUNCTION("""COMPUTED_VALUE"""),"PINTURA DA BAIA NO ASFALTO; ADEQUAÇÃO DA CALÇADA (RAMPA DE ACESSIBILIDADE E PISO TÁTIL).")</f>
        <v>PINTURA DA BAIA NO ASFALTO; ADEQUAÇÃO DA CALÇADA (RAMPA DE ACESSIBILIDADE E PISO TÁTIL).</v>
      </c>
      <c r="R1109" s="5" t="str">
        <f>IFERROR(__xludf.DUMMYFUNCTION("""COMPUTED_VALUE"""),"NENHUMA DAS OPÇÕES")</f>
        <v>NENHUMA DAS OPÇÕES</v>
      </c>
      <c r="S1109" s="5"/>
      <c r="T1109" s="5"/>
      <c r="U1109" s="5"/>
      <c r="V1109" s="9" t="str">
        <f>IFERROR(__xludf.DUMMYFUNCTION("""COMPUTED_VALUE"""),"https://drive.google.com/uc?id=1BYIiI03TeBySmlHgMK4sWEUrOypxuLG8")</f>
        <v>https://drive.google.com/uc?id=1BYIiI03TeBySmlHgMK4sWEUrOypxuLG8</v>
      </c>
      <c r="W1109" s="5" t="str">
        <f>IFERROR(__xludf.DUMMYFUNCTION("""COMPUTED_VALUE"""),"NÃO")</f>
        <v>NÃO</v>
      </c>
      <c r="X1109" s="5" t="str">
        <f>IFERROR(__xludf.DUMMYFUNCTION("""COMPUTED_VALUE"""),"NÃO SE APLICA")</f>
        <v>NÃO SE APLICA</v>
      </c>
    </row>
    <row r="1110" hidden="1">
      <c r="A1110" s="5">
        <f>IFERROR(__xludf.DUMMYFUNCTION("""COMPUTED_VALUE"""),2.0)</f>
        <v>2</v>
      </c>
      <c r="B1110" s="5" t="str">
        <f>IFERROR(__xludf.DUMMYFUNCTION("""COMPUTED_VALUE"""),"CT030")</f>
        <v>CT030</v>
      </c>
      <c r="C1110" s="5" t="str">
        <f>IFERROR(__xludf.DUMMYFUNCTION("""COMPUTED_VALUE"""),"NÃO POSSUI")</f>
        <v>NÃO POSSUI</v>
      </c>
      <c r="D1110" s="5" t="str">
        <f>IFERROR(__xludf.DUMMYFUNCTION("""COMPUTED_VALUE"""),"COM SUPORTE")</f>
        <v>COM SUPORTE</v>
      </c>
      <c r="E1110" s="5" t="str">
        <f>IFERROR(__xludf.DUMMYFUNCTION("""COMPUTED_VALUE"""),"SEM BAIA")</f>
        <v>SEM BAIA</v>
      </c>
      <c r="F1110" s="5" t="str">
        <f>IFERROR(__xludf.DUMMYFUNCTION("""COMPUTED_VALUE"""),"NÃO")</f>
        <v>NÃO</v>
      </c>
      <c r="G1110" s="5" t="str">
        <f>IFERROR(__xludf.DUMMYFUNCTION("""COMPUTED_VALUE"""),"NÃO")</f>
        <v>NÃO</v>
      </c>
      <c r="H1110" s="5" t="str">
        <f>IFERROR(__xludf.DUMMYFUNCTION("""COMPUTED_VALUE"""),"PAVIMENTADA")</f>
        <v>PAVIMENTADA</v>
      </c>
      <c r="I1110" s="6" t="str">
        <f>IFERROR(__xludf.DUMMYFUNCTION("""COMPUTED_VALUE"""),"-9.666777")</f>
        <v>-9.666777</v>
      </c>
      <c r="J1110" s="6" t="str">
        <f>IFERROR(__xludf.DUMMYFUNCTION("""COMPUTED_VALUE"""),"-35.743293")</f>
        <v>-35.743293</v>
      </c>
      <c r="K1110" s="5" t="str">
        <f>IFERROR(__xludf.DUMMYFUNCTION("""COMPUTED_VALUE"""),"AV. VIEIRA PERDIGÃO, 245")</f>
        <v>AV. VIEIRA PERDIGÃO, 245</v>
      </c>
      <c r="L1110" s="5" t="str">
        <f>IFERROR(__xludf.DUMMYFUNCTION("""COMPUTED_VALUE"""),"COLETORA")</f>
        <v>COLETORA</v>
      </c>
      <c r="M1110" s="5" t="str">
        <f>IFERROR(__xludf.DUMMYFUNCTION("""COMPUTED_VALUE"""),"CENTRO")</f>
        <v>CENTRO</v>
      </c>
      <c r="N1110" s="5" t="str">
        <f>IFERROR(__xludf.DUMMYFUNCTION("""COMPUTED_VALUE"""),"CENTRO - BAIRRO")</f>
        <v>CENTRO - BAIRRO</v>
      </c>
      <c r="O1110" s="5" t="str">
        <f>IFERROR(__xludf.DUMMYFUNCTION("""COMPUTED_VALUE"""),"EM FRENTE A CASA DO REPARO.")</f>
        <v>EM FRENTE A CASA DO REPARO.</v>
      </c>
      <c r="P1110" s="5" t="str">
        <f>IFERROR(__xludf.DUMMYFUNCTION("""COMPUTED_VALUE"""),"PRIORIDADE BAIXA")</f>
        <v>PRIORIDADE BAIXA</v>
      </c>
      <c r="Q1110" s="5" t="str">
        <f>IFERROR(__xludf.DUMMYFUNCTION("""COMPUTED_VALUE"""),"PINTURA DA BAIA NO ASFALTO; ADEQUAÇÃO DA CALÇADA (RAMPA DE ACESSIBILIDADE E PISO TÁTIL).")</f>
        <v>PINTURA DA BAIA NO ASFALTO; ADEQUAÇÃO DA CALÇADA (RAMPA DE ACESSIBILIDADE E PISO TÁTIL).</v>
      </c>
      <c r="R1110" s="5" t="str">
        <f>IFERROR(__xludf.DUMMYFUNCTION("""COMPUTED_VALUE"""),"NENHUMA DAS OPÇÕES")</f>
        <v>NENHUMA DAS OPÇÕES</v>
      </c>
      <c r="S1110" s="5"/>
      <c r="T1110" s="5"/>
      <c r="U1110" s="5"/>
      <c r="V1110" s="9" t="str">
        <f>IFERROR(__xludf.DUMMYFUNCTION("""COMPUTED_VALUE"""),"https://drive.google.com/uc?id=1mIR-wokzlbCgZk0Lg_dAzzRMAIFUM2ZJ")</f>
        <v>https://drive.google.com/uc?id=1mIR-wokzlbCgZk0Lg_dAzzRMAIFUM2ZJ</v>
      </c>
      <c r="W1110" s="5" t="str">
        <f>IFERROR(__xludf.DUMMYFUNCTION("""COMPUTED_VALUE"""),"NÃO")</f>
        <v>NÃO</v>
      </c>
      <c r="X1110" s="5" t="str">
        <f>IFERROR(__xludf.DUMMYFUNCTION("""COMPUTED_VALUE"""),"NÃO SE APLICA")</f>
        <v>NÃO SE APLICA</v>
      </c>
    </row>
    <row r="1111">
      <c r="A1111" s="5">
        <f>IFERROR(__xludf.DUMMYFUNCTION("""COMPUTED_VALUE"""),2.0)</f>
        <v>2</v>
      </c>
      <c r="B1111" s="5" t="str">
        <f>IFERROR(__xludf.DUMMYFUNCTION("""COMPUTED_VALUE"""),"CT031")</f>
        <v>CT031</v>
      </c>
      <c r="C1111" s="5" t="str">
        <f>IFERROR(__xludf.DUMMYFUNCTION("""COMPUTED_VALUE"""),"ABRIGO METÁLICO PEQUENO PORTE")</f>
        <v>ABRIGO METÁLICO PEQUENO PORTE</v>
      </c>
      <c r="D1111" s="5" t="str">
        <f>IFERROR(__xludf.DUMMYFUNCTION("""COMPUTED_VALUE"""),"SEM PLACA")</f>
        <v>SEM PLACA</v>
      </c>
      <c r="E1111" s="5" t="str">
        <f>IFERROR(__xludf.DUMMYFUNCTION("""COMPUTED_VALUE"""),"SEM BAIA")</f>
        <v>SEM BAIA</v>
      </c>
      <c r="F1111" s="5" t="str">
        <f>IFERROR(__xludf.DUMMYFUNCTION("""COMPUTED_VALUE"""),"NÃO")</f>
        <v>NÃO</v>
      </c>
      <c r="G1111" s="5" t="str">
        <f>IFERROR(__xludf.DUMMYFUNCTION("""COMPUTED_VALUE"""),"NÃO")</f>
        <v>NÃO</v>
      </c>
      <c r="H1111" s="5" t="str">
        <f>IFERROR(__xludf.DUMMYFUNCTION("""COMPUTED_VALUE"""),"PAVIMENTADA")</f>
        <v>PAVIMENTADA</v>
      </c>
      <c r="I1111" s="6" t="str">
        <f>IFERROR(__xludf.DUMMYFUNCTION("""COMPUTED_VALUE"""),"-9.668268")</f>
        <v>-9.668268</v>
      </c>
      <c r="J1111" s="6" t="str">
        <f>IFERROR(__xludf.DUMMYFUNCTION("""COMPUTED_VALUE"""),"-35.740617")</f>
        <v>-35.740617</v>
      </c>
      <c r="K1111" s="5" t="str">
        <f>IFERROR(__xludf.DUMMYFUNCTION("""COMPUTED_VALUE"""),"RUA PEDRO MONTEIRO, 408")</f>
        <v>RUA PEDRO MONTEIRO, 408</v>
      </c>
      <c r="L1111" s="5" t="str">
        <f>IFERROR(__xludf.DUMMYFUNCTION("""COMPUTED_VALUE"""),"COLETORA")</f>
        <v>COLETORA</v>
      </c>
      <c r="M1111" s="5" t="str">
        <f>IFERROR(__xludf.DUMMYFUNCTION("""COMPUTED_VALUE"""),"CENTRO")</f>
        <v>CENTRO</v>
      </c>
      <c r="N1111" s="5" t="str">
        <f>IFERROR(__xludf.DUMMYFUNCTION("""COMPUTED_VALUE"""),"CENTRO - BAIRRO")</f>
        <v>CENTRO - BAIRRO</v>
      </c>
      <c r="O1111" s="5" t="str">
        <f>IFERROR(__xludf.DUMMYFUNCTION("""COMPUTED_VALUE"""),"PRÓXIMO AO MED OLHOS")</f>
        <v>PRÓXIMO AO MED OLHOS</v>
      </c>
      <c r="P1111" s="5" t="str">
        <f>IFERROR(__xludf.DUMMYFUNCTION("""COMPUTED_VALUE"""),"PRIORIDADE BAIXA")</f>
        <v>PRIORIDADE BAIXA</v>
      </c>
      <c r="Q1111" s="5" t="str">
        <f>IFERROR(__xludf.DUMMYFUNCTION("""COMPUTED_VALUE"""),"REPAROS NA ESTRUTURA; LIXAR E FAZER NOVA PINTURA; PINTURA DA BAIA NO ASFALTO; ADEQUAÇÃO DA CALÇADA (PISO TÁTIL)")</f>
        <v>REPAROS NA ESTRUTURA; LIXAR E FAZER NOVA PINTURA; PINTURA DA BAIA NO ASFALTO; ADEQUAÇÃO DA CALÇADA (PISO TÁTIL)</v>
      </c>
      <c r="R1111" s="5" t="str">
        <f>IFERROR(__xludf.DUMMYFUNCTION("""COMPUTED_VALUE"""),"NENHUMA DAS OPÇÕES")</f>
        <v>NENHUMA DAS OPÇÕES</v>
      </c>
      <c r="S1111" s="5"/>
      <c r="T1111" s="5"/>
      <c r="U1111" s="5"/>
      <c r="V1111" s="9" t="str">
        <f>IFERROR(__xludf.DUMMYFUNCTION("""COMPUTED_VALUE"""),"https://drive.google.com/uc?id=1_oxmzKI-wbtgmxMNH84nYAHqeB5PLlsL")</f>
        <v>https://drive.google.com/uc?id=1_oxmzKI-wbtgmxMNH84nYAHqeB5PLlsL</v>
      </c>
      <c r="W1111" s="5" t="str">
        <f>IFERROR(__xludf.DUMMYFUNCTION("""COMPUTED_VALUE"""),"NÃO")</f>
        <v>NÃO</v>
      </c>
      <c r="X1111" s="5" t="str">
        <f>IFERROR(__xludf.DUMMYFUNCTION("""COMPUTED_VALUE"""),"NÃO")</f>
        <v>NÃO</v>
      </c>
    </row>
    <row r="1112">
      <c r="A1112" s="5">
        <f>IFERROR(__xludf.DUMMYFUNCTION("""COMPUTED_VALUE"""),2.0)</f>
        <v>2</v>
      </c>
      <c r="B1112" s="5" t="str">
        <f>IFERROR(__xludf.DUMMYFUNCTION("""COMPUTED_VALUE"""),"CT032")</f>
        <v>CT032</v>
      </c>
      <c r="C1112" s="5" t="str">
        <f>IFERROR(__xludf.DUMMYFUNCTION("""COMPUTED_VALUE"""),"ABRIGO METÁLICO PEQUENO PORTE")</f>
        <v>ABRIGO METÁLICO PEQUENO PORTE</v>
      </c>
      <c r="D1112" s="5" t="str">
        <f>IFERROR(__xludf.DUMMYFUNCTION("""COMPUTED_VALUE"""),"SEM PLACA")</f>
        <v>SEM PLACA</v>
      </c>
      <c r="E1112" s="5" t="str">
        <f>IFERROR(__xludf.DUMMYFUNCTION("""COMPUTED_VALUE"""),"SEM BAIA")</f>
        <v>SEM BAIA</v>
      </c>
      <c r="F1112" s="5" t="str">
        <f>IFERROR(__xludf.DUMMYFUNCTION("""COMPUTED_VALUE"""),"SIM")</f>
        <v>SIM</v>
      </c>
      <c r="G1112" s="5" t="str">
        <f>IFERROR(__xludf.DUMMYFUNCTION("""COMPUTED_VALUE"""),"NÃO")</f>
        <v>NÃO</v>
      </c>
      <c r="H1112" s="5" t="str">
        <f>IFERROR(__xludf.DUMMYFUNCTION("""COMPUTED_VALUE"""),"PAVIMENTADA")</f>
        <v>PAVIMENTADA</v>
      </c>
      <c r="I1112" s="6" t="str">
        <f>IFERROR(__xludf.DUMMYFUNCTION("""COMPUTED_VALUE"""),"-9.667738")</f>
        <v>-9.667738</v>
      </c>
      <c r="J1112" s="6" t="str">
        <f>IFERROR(__xludf.DUMMYFUNCTION("""COMPUTED_VALUE"""),"-35.738379")</f>
        <v>-35.738379</v>
      </c>
      <c r="K1112" s="5" t="str">
        <f>IFERROR(__xludf.DUMMYFUNCTION("""COMPUTED_VALUE"""),"RUA PEDRO MONTEIRO, S/N")</f>
        <v>RUA PEDRO MONTEIRO, S/N</v>
      </c>
      <c r="L1112" s="5" t="str">
        <f>IFERROR(__xludf.DUMMYFUNCTION("""COMPUTED_VALUE"""),"COLETORA")</f>
        <v>COLETORA</v>
      </c>
      <c r="M1112" s="5" t="str">
        <f>IFERROR(__xludf.DUMMYFUNCTION("""COMPUTED_VALUE"""),"CENTRO")</f>
        <v>CENTRO</v>
      </c>
      <c r="N1112" s="5" t="str">
        <f>IFERROR(__xludf.DUMMYFUNCTION("""COMPUTED_VALUE"""),"CENTRO - BAIRRO")</f>
        <v>CENTRO - BAIRRO</v>
      </c>
      <c r="O1112" s="5" t="str">
        <f>IFERROR(__xludf.DUMMYFUNCTION("""COMPUTED_VALUE"""),"EM FRENTE CENARTE")</f>
        <v>EM FRENTE CENARTE</v>
      </c>
      <c r="P1112" s="5" t="str">
        <f>IFERROR(__xludf.DUMMYFUNCTION("""COMPUTED_VALUE"""),"PRIORIDADE BAIXA")</f>
        <v>PRIORIDADE BAIXA</v>
      </c>
      <c r="Q1112" s="5" t="str">
        <f>IFERROR(__xludf.DUMMYFUNCTION("""COMPUTED_VALUE"""),"REPAROS NA ESTRUTURA; LIXAR E FAZER NOVA PINTURA; PINTURA DA BAIA NO ASFALTO; ADEQUAÇÃO DA CALÇADA (PISO TÁTIL)")</f>
        <v>REPAROS NA ESTRUTURA; LIXAR E FAZER NOVA PINTURA; PINTURA DA BAIA NO ASFALTO; ADEQUAÇÃO DA CALÇADA (PISO TÁTIL)</v>
      </c>
      <c r="R1112" s="5" t="str">
        <f>IFERROR(__xludf.DUMMYFUNCTION("""COMPUTED_VALUE"""),"NENHUMA DAS OPÇÕES")</f>
        <v>NENHUMA DAS OPÇÕES</v>
      </c>
      <c r="S1112" s="5"/>
      <c r="T1112" s="5"/>
      <c r="U1112" s="5"/>
      <c r="V1112" s="9" t="str">
        <f>IFERROR(__xludf.DUMMYFUNCTION("""COMPUTED_VALUE"""),"https://drive.google.com/uc?id=1-S9Hj5VUDpLyYidEAg7dQtTVfzoKYH_O")</f>
        <v>https://drive.google.com/uc?id=1-S9Hj5VUDpLyYidEAg7dQtTVfzoKYH_O</v>
      </c>
      <c r="W1112" s="5" t="str">
        <f>IFERROR(__xludf.DUMMYFUNCTION("""COMPUTED_VALUE"""),"NÃO")</f>
        <v>NÃO</v>
      </c>
      <c r="X1112" s="5" t="str">
        <f>IFERROR(__xludf.DUMMYFUNCTION("""COMPUTED_VALUE"""),"SIM")</f>
        <v>SIM</v>
      </c>
    </row>
    <row r="1113">
      <c r="A1113" s="5">
        <f>IFERROR(__xludf.DUMMYFUNCTION("""COMPUTED_VALUE"""),2.0)</f>
        <v>2</v>
      </c>
      <c r="B1113" s="5" t="str">
        <f>IFERROR(__xludf.DUMMYFUNCTION("""COMPUTED_VALUE"""),"CT033")</f>
        <v>CT033</v>
      </c>
      <c r="C1113" s="5" t="str">
        <f>IFERROR(__xludf.DUMMYFUNCTION("""COMPUTED_VALUE"""),"ABRIGO PERSONALIZADO")</f>
        <v>ABRIGO PERSONALIZADO</v>
      </c>
      <c r="D1113" s="5" t="str">
        <f>IFERROR(__xludf.DUMMYFUNCTION("""COMPUTED_VALUE"""),"COM SUPORTE")</f>
        <v>COM SUPORTE</v>
      </c>
      <c r="E1113" s="5" t="str">
        <f>IFERROR(__xludf.DUMMYFUNCTION("""COMPUTED_VALUE"""),"SEM BAIA")</f>
        <v>SEM BAIA</v>
      </c>
      <c r="F1113" s="5" t="str">
        <f>IFERROR(__xludf.DUMMYFUNCTION("""COMPUTED_VALUE"""),"SIM")</f>
        <v>SIM</v>
      </c>
      <c r="G1113" s="5" t="str">
        <f>IFERROR(__xludf.DUMMYFUNCTION("""COMPUTED_VALUE"""),"NÃO")</f>
        <v>NÃO</v>
      </c>
      <c r="H1113" s="5" t="str">
        <f>IFERROR(__xludf.DUMMYFUNCTION("""COMPUTED_VALUE"""),"PAVIMENTADA")</f>
        <v>PAVIMENTADA</v>
      </c>
      <c r="I1113" s="6" t="str">
        <f>IFERROR(__xludf.DUMMYFUNCTION("""COMPUTED_VALUE"""),"-9.667723")</f>
        <v>-9.667723</v>
      </c>
      <c r="J1113" s="6" t="str">
        <f>IFERROR(__xludf.DUMMYFUNCTION("""COMPUTED_VALUE"""),"-35.736640")</f>
        <v>-35.736640</v>
      </c>
      <c r="K1113" s="5" t="str">
        <f>IFERROR(__xludf.DUMMYFUNCTION("""COMPUTED_VALUE"""),"RUA BARÃO DE ANADIA, S/N")</f>
        <v>RUA BARÃO DE ANADIA, S/N</v>
      </c>
      <c r="L1113" s="5" t="str">
        <f>IFERROR(__xludf.DUMMYFUNCTION("""COMPUTED_VALUE"""),"COLETORA")</f>
        <v>COLETORA</v>
      </c>
      <c r="M1113" s="5" t="str">
        <f>IFERROR(__xludf.DUMMYFUNCTION("""COMPUTED_VALUE"""),"CENTRO")</f>
        <v>CENTRO</v>
      </c>
      <c r="N1113" s="5" t="str">
        <f>IFERROR(__xludf.DUMMYFUNCTION("""COMPUTED_VALUE"""),"CENTRO - BAIRRO")</f>
        <v>CENTRO - BAIRRO</v>
      </c>
      <c r="O1113" s="5" t="str">
        <f>IFERROR(__xludf.DUMMYFUNCTION("""COMPUTED_VALUE"""),"EM FRENTE A CBTU.")</f>
        <v>EM FRENTE A CBTU.</v>
      </c>
      <c r="P1113" s="5" t="str">
        <f>IFERROR(__xludf.DUMMYFUNCTION("""COMPUTED_VALUE"""),"PRIORIDADE BAIXA")</f>
        <v>PRIORIDADE BAIXA</v>
      </c>
      <c r="Q1113" s="5" t="str">
        <f>IFERROR(__xludf.DUMMYFUNCTION("""COMPUTED_VALUE"""),"LIXAR E PINTAR O ABRIGO; PINTURA DA BAIA NO ASFALTO; ADEQUAÇÃO DA CALÇADA (RAMPA DE ACESSIBILIDADE E PISO TÁTIL).")</f>
        <v>LIXAR E PINTAR O ABRIGO; PINTURA DA BAIA NO ASFALTO; ADEQUAÇÃO DA CALÇADA (RAMPA DE ACESSIBILIDADE E PISO TÁTIL).</v>
      </c>
      <c r="R1113" s="5" t="str">
        <f>IFERROR(__xludf.DUMMYFUNCTION("""COMPUTED_VALUE"""),"NENHUMA DAS OPÇÕES")</f>
        <v>NENHUMA DAS OPÇÕES</v>
      </c>
      <c r="S1113" s="5"/>
      <c r="T1113" s="5"/>
      <c r="U1113" s="5"/>
      <c r="V1113" s="9" t="str">
        <f>IFERROR(__xludf.DUMMYFUNCTION("""COMPUTED_VALUE"""),"https://drive.google.com/uc?id=13NW0qZX5NEMYJRNZs3it2kFEgxwsFXTC")</f>
        <v>https://drive.google.com/uc?id=13NW0qZX5NEMYJRNZs3it2kFEgxwsFXTC</v>
      </c>
      <c r="W1113" s="5" t="str">
        <f>IFERROR(__xludf.DUMMYFUNCTION("""COMPUTED_VALUE"""),"NÃO")</f>
        <v>NÃO</v>
      </c>
      <c r="X1113" s="5" t="str">
        <f>IFERROR(__xludf.DUMMYFUNCTION("""COMPUTED_VALUE"""),"NÃO SE APLICA")</f>
        <v>NÃO SE APLICA</v>
      </c>
    </row>
    <row r="1114" hidden="1">
      <c r="A1114" s="5">
        <f>IFERROR(__xludf.DUMMYFUNCTION("""COMPUTED_VALUE"""),2.0)</f>
        <v>2</v>
      </c>
      <c r="B1114" s="5" t="str">
        <f>IFERROR(__xludf.DUMMYFUNCTION("""COMPUTED_VALUE"""),"CT034")</f>
        <v>CT034</v>
      </c>
      <c r="C1114" s="5" t="str">
        <f>IFERROR(__xludf.DUMMYFUNCTION("""COMPUTED_VALUE"""),"NÃO POSSUI")</f>
        <v>NÃO POSSUI</v>
      </c>
      <c r="D1114" s="5" t="str">
        <f>IFERROR(__xludf.DUMMYFUNCTION("""COMPUTED_VALUE"""),"COM SUPORTE")</f>
        <v>COM SUPORTE</v>
      </c>
      <c r="E1114" s="5" t="str">
        <f>IFERROR(__xludf.DUMMYFUNCTION("""COMPUTED_VALUE"""),"SEM BAIA")</f>
        <v>SEM BAIA</v>
      </c>
      <c r="F1114" s="5" t="str">
        <f>IFERROR(__xludf.DUMMYFUNCTION("""COMPUTED_VALUE"""),"SIM")</f>
        <v>SIM</v>
      </c>
      <c r="G1114" s="5" t="str">
        <f>IFERROR(__xludf.DUMMYFUNCTION("""COMPUTED_VALUE"""),"NÃO")</f>
        <v>NÃO</v>
      </c>
      <c r="H1114" s="5" t="str">
        <f>IFERROR(__xludf.DUMMYFUNCTION("""COMPUTED_VALUE"""),"PAVIMENTADA")</f>
        <v>PAVIMENTADA</v>
      </c>
      <c r="I1114" s="6" t="str">
        <f>IFERROR(__xludf.DUMMYFUNCTION("""COMPUTED_VALUE"""),"-9.667912")</f>
        <v>-9.667912</v>
      </c>
      <c r="J1114" s="6" t="str">
        <f>IFERROR(__xludf.DUMMYFUNCTION("""COMPUTED_VALUE"""),"-35.736499")</f>
        <v>-35.736499</v>
      </c>
      <c r="K1114" s="5" t="str">
        <f>IFERROR(__xludf.DUMMYFUNCTION("""COMPUTED_VALUE"""),"RUA BARÃO DE ANADIA, 93")</f>
        <v>RUA BARÃO DE ANADIA, 93</v>
      </c>
      <c r="L1114" s="5" t="str">
        <f>IFERROR(__xludf.DUMMYFUNCTION("""COMPUTED_VALUE"""),"COLETORA")</f>
        <v>COLETORA</v>
      </c>
      <c r="M1114" s="5" t="str">
        <f>IFERROR(__xludf.DUMMYFUNCTION("""COMPUTED_VALUE"""),"CENTRO")</f>
        <v>CENTRO</v>
      </c>
      <c r="N1114" s="5" t="str">
        <f>IFERROR(__xludf.DUMMYFUNCTION("""COMPUTED_VALUE"""),"CENTRO - BAIRRO")</f>
        <v>CENTRO - BAIRRO</v>
      </c>
      <c r="O1114" s="5" t="str">
        <f>IFERROR(__xludf.DUMMYFUNCTION("""COMPUTED_VALUE"""),"EM FRENTE A CBTU.")</f>
        <v>EM FRENTE A CBTU.</v>
      </c>
      <c r="P1114" s="5" t="str">
        <f>IFERROR(__xludf.DUMMYFUNCTION("""COMPUTED_VALUE"""),"PRIORIDADE BAIXA")</f>
        <v>PRIORIDADE BAIXA</v>
      </c>
      <c r="Q1114" s="5" t="str">
        <f>IFERROR(__xludf.DUMMYFUNCTION("""COMPUTED_VALUE"""),"PINTURA DA BAIA NO ASFALTO; ADEQUAÇÃO DA CALÇADA (RAMPA DE ACESSIBILIDADE E PISO TÁTIL).")</f>
        <v>PINTURA DA BAIA NO ASFALTO; ADEQUAÇÃO DA CALÇADA (RAMPA DE ACESSIBILIDADE E PISO TÁTIL).</v>
      </c>
      <c r="R1114" s="5" t="str">
        <f>IFERROR(__xludf.DUMMYFUNCTION("""COMPUTED_VALUE"""),"NENHUMA DAS OPÇÕES")</f>
        <v>NENHUMA DAS OPÇÕES</v>
      </c>
      <c r="S1114" s="5"/>
      <c r="T1114" s="5"/>
      <c r="U1114" s="5"/>
      <c r="V1114" s="9" t="str">
        <f>IFERROR(__xludf.DUMMYFUNCTION("""COMPUTED_VALUE"""),"https://drive.google.com/uc?id=1k9v3ymMYxwbWcBDEwNbERtUeP3IXsmlr")</f>
        <v>https://drive.google.com/uc?id=1k9v3ymMYxwbWcBDEwNbERtUeP3IXsmlr</v>
      </c>
      <c r="W1114" s="5" t="str">
        <f>IFERROR(__xludf.DUMMYFUNCTION("""COMPUTED_VALUE"""),"NÃO")</f>
        <v>NÃO</v>
      </c>
      <c r="X1114" s="5" t="str">
        <f>IFERROR(__xludf.DUMMYFUNCTION("""COMPUTED_VALUE"""),"NÃO SE APLICA")</f>
        <v>NÃO SE APLICA</v>
      </c>
    </row>
    <row r="1115" hidden="1">
      <c r="A1115" s="5">
        <f>IFERROR(__xludf.DUMMYFUNCTION("""COMPUTED_VALUE"""),2.0)</f>
        <v>2</v>
      </c>
      <c r="B1115" s="5" t="str">
        <f>IFERROR(__xludf.DUMMYFUNCTION("""COMPUTED_VALUE"""),"CT035")</f>
        <v>CT035</v>
      </c>
      <c r="C1115" s="5" t="str">
        <f>IFERROR(__xludf.DUMMYFUNCTION("""COMPUTED_VALUE"""),"NÃO POSSUI")</f>
        <v>NÃO POSSUI</v>
      </c>
      <c r="D1115" s="5" t="str">
        <f>IFERROR(__xludf.DUMMYFUNCTION("""COMPUTED_VALUE"""),"COM SUPORTE")</f>
        <v>COM SUPORTE</v>
      </c>
      <c r="E1115" s="5" t="str">
        <f>IFERROR(__xludf.DUMMYFUNCTION("""COMPUTED_VALUE"""),"SEM BAIA")</f>
        <v>SEM BAIA</v>
      </c>
      <c r="F1115" s="5" t="str">
        <f>IFERROR(__xludf.DUMMYFUNCTION("""COMPUTED_VALUE"""),"SIM")</f>
        <v>SIM</v>
      </c>
      <c r="G1115" s="5" t="str">
        <f>IFERROR(__xludf.DUMMYFUNCTION("""COMPUTED_VALUE"""),"SIM")</f>
        <v>SIM</v>
      </c>
      <c r="H1115" s="5" t="str">
        <f>IFERROR(__xludf.DUMMYFUNCTION("""COMPUTED_VALUE"""),"PAVIMENTADA")</f>
        <v>PAVIMENTADA</v>
      </c>
      <c r="I1115" s="6" t="str">
        <f>IFERROR(__xludf.DUMMYFUNCTION("""COMPUTED_VALUE"""),"-9.668204")</f>
        <v>-9.668204</v>
      </c>
      <c r="J1115" s="6" t="str">
        <f>IFERROR(__xludf.DUMMYFUNCTION("""COMPUTED_VALUE"""),"-35.736360")</f>
        <v>-35.736360</v>
      </c>
      <c r="K1115" s="5" t="str">
        <f>IFERROR(__xludf.DUMMYFUNCTION("""COMPUTED_VALUE"""),"RUA BARÃO DE ANADIA, 67")</f>
        <v>RUA BARÃO DE ANADIA, 67</v>
      </c>
      <c r="L1115" s="5" t="str">
        <f>IFERROR(__xludf.DUMMYFUNCTION("""COMPUTED_VALUE"""),"COLETORA")</f>
        <v>COLETORA</v>
      </c>
      <c r="M1115" s="5" t="str">
        <f>IFERROR(__xludf.DUMMYFUNCTION("""COMPUTED_VALUE"""),"CENTRO")</f>
        <v>CENTRO</v>
      </c>
      <c r="N1115" s="5" t="str">
        <f>IFERROR(__xludf.DUMMYFUNCTION("""COMPUTED_VALUE"""),"CENTRO - BAIRRO")</f>
        <v>CENTRO - BAIRRO</v>
      </c>
      <c r="O1115" s="5" t="str">
        <f>IFERROR(__xludf.DUMMYFUNCTION("""COMPUTED_VALUE"""),"PRÓXIMO A CBTU.")</f>
        <v>PRÓXIMO A CBTU.</v>
      </c>
      <c r="P1115" s="5" t="str">
        <f>IFERROR(__xludf.DUMMYFUNCTION("""COMPUTED_VALUE"""),"PRIORIDADE BAIXA")</f>
        <v>PRIORIDADE BAIXA</v>
      </c>
      <c r="Q1115" s="5" t="str">
        <f>IFERROR(__xludf.DUMMYFUNCTION("""COMPUTED_VALUE"""),"PINTURA DA BAIA NO ASFALTO; ADEQUAÇÃO DA CALÇADA (RAMPA DE ACESSIBILIDADE E PISO TÁTIL).")</f>
        <v>PINTURA DA BAIA NO ASFALTO; ADEQUAÇÃO DA CALÇADA (RAMPA DE ACESSIBILIDADE E PISO TÁTIL).</v>
      </c>
      <c r="R1115" s="5" t="str">
        <f>IFERROR(__xludf.DUMMYFUNCTION("""COMPUTED_VALUE"""),"NENHUMA DAS OPÇÕES")</f>
        <v>NENHUMA DAS OPÇÕES</v>
      </c>
      <c r="S1115" s="5"/>
      <c r="T1115" s="5"/>
      <c r="U1115" s="5"/>
      <c r="V1115" s="9" t="str">
        <f>IFERROR(__xludf.DUMMYFUNCTION("""COMPUTED_VALUE"""),"https://drive.google.com/uc?id=11NE9NZTxLU0896xAPF0avWmMMKtufFJM")</f>
        <v>https://drive.google.com/uc?id=11NE9NZTxLU0896xAPF0avWmMMKtufFJM</v>
      </c>
      <c r="W1115" s="5" t="str">
        <f>IFERROR(__xludf.DUMMYFUNCTION("""COMPUTED_VALUE"""),"NÃO")</f>
        <v>NÃO</v>
      </c>
      <c r="X1115" s="5" t="str">
        <f>IFERROR(__xludf.DUMMYFUNCTION("""COMPUTED_VALUE"""),"NÃO SE APLICA")</f>
        <v>NÃO SE APLICA</v>
      </c>
    </row>
    <row r="1116" hidden="1">
      <c r="A1116" s="5">
        <f>IFERROR(__xludf.DUMMYFUNCTION("""COMPUTED_VALUE"""),2.0)</f>
        <v>2</v>
      </c>
      <c r="B1116" s="5" t="str">
        <f>IFERROR(__xludf.DUMMYFUNCTION("""COMPUTED_VALUE"""),"CT036")</f>
        <v>CT036</v>
      </c>
      <c r="C1116" s="5" t="str">
        <f>IFERROR(__xludf.DUMMYFUNCTION("""COMPUTED_VALUE"""),"NÃO POSSUI")</f>
        <v>NÃO POSSUI</v>
      </c>
      <c r="D1116" s="5" t="str">
        <f>IFERROR(__xludf.DUMMYFUNCTION("""COMPUTED_VALUE"""),"FIXADA EM POSTE")</f>
        <v>FIXADA EM POSTE</v>
      </c>
      <c r="E1116" s="5" t="str">
        <f>IFERROR(__xludf.DUMMYFUNCTION("""COMPUTED_VALUE"""),"SEM BAIA")</f>
        <v>SEM BAIA</v>
      </c>
      <c r="F1116" s="5" t="str">
        <f>IFERROR(__xludf.DUMMYFUNCTION("""COMPUTED_VALUE"""),"NÃO")</f>
        <v>NÃO</v>
      </c>
      <c r="G1116" s="5" t="str">
        <f>IFERROR(__xludf.DUMMYFUNCTION("""COMPUTED_VALUE"""),"NÃO")</f>
        <v>NÃO</v>
      </c>
      <c r="H1116" s="5" t="str">
        <f>IFERROR(__xludf.DUMMYFUNCTION("""COMPUTED_VALUE"""),"PAVIMENTADA COM AVARIAS")</f>
        <v>PAVIMENTADA COM AVARIAS</v>
      </c>
      <c r="I1116" s="6" t="str">
        <f>IFERROR(__xludf.DUMMYFUNCTION("""COMPUTED_VALUE"""),"-9.66764")</f>
        <v>-9.66764</v>
      </c>
      <c r="J1116" s="6" t="str">
        <f>IFERROR(__xludf.DUMMYFUNCTION("""COMPUTED_VALUE"""),"-35.74318")</f>
        <v>-35.74318</v>
      </c>
      <c r="K1116" s="5" t="str">
        <f>IFERROR(__xludf.DUMMYFUNCTION("""COMPUTED_VALUE"""),"AV. VIEIRA PERDIGÃO, 385")</f>
        <v>AV. VIEIRA PERDIGÃO, 385</v>
      </c>
      <c r="L1116" s="5" t="str">
        <f>IFERROR(__xludf.DUMMYFUNCTION("""COMPUTED_VALUE"""),"COLETORA")</f>
        <v>COLETORA</v>
      </c>
      <c r="M1116" s="5" t="str">
        <f>IFERROR(__xludf.DUMMYFUNCTION("""COMPUTED_VALUE"""),"CENTRO")</f>
        <v>CENTRO</v>
      </c>
      <c r="N1116" s="5" t="str">
        <f>IFERROR(__xludf.DUMMYFUNCTION("""COMPUTED_VALUE"""),"CENTRO - BAIRRO")</f>
        <v>CENTRO - BAIRRO</v>
      </c>
      <c r="O1116" s="5" t="str">
        <f>IFERROR(__xludf.DUMMYFUNCTION("""COMPUTED_VALUE"""),"PRÓXIMO A PRAÇA DA FACULDADE E PIRULITO.")</f>
        <v>PRÓXIMO A PRAÇA DA FACULDADE E PIRULITO.</v>
      </c>
      <c r="P1116" s="5" t="str">
        <f>IFERROR(__xludf.DUMMYFUNCTION("""COMPUTED_VALUE"""),"PRIORIDADE BAIXA")</f>
        <v>PRIORIDADE BAIXA</v>
      </c>
      <c r="Q1116" s="5" t="str">
        <f>IFERROR(__xludf.DUMMYFUNCTION("""COMPUTED_VALUE"""),"RETIRAR PLACA")</f>
        <v>RETIRAR PLACA</v>
      </c>
      <c r="R1116" s="5" t="str">
        <f>IFERROR(__xludf.DUMMYFUNCTION("""COMPUTED_VALUE"""),"NENHUMA DAS OPÇÕES")</f>
        <v>NENHUMA DAS OPÇÕES</v>
      </c>
      <c r="S1116" s="5"/>
      <c r="T1116" s="5"/>
      <c r="U1116" s="5"/>
      <c r="V1116" s="9" t="str">
        <f>IFERROR(__xludf.DUMMYFUNCTION("""COMPUTED_VALUE"""),"https://drive.google.com/uc?id=1wHrAF41rEemE04ug7yWnfwTB4TckQVai")</f>
        <v>https://drive.google.com/uc?id=1wHrAF41rEemE04ug7yWnfwTB4TckQVai</v>
      </c>
      <c r="W1116" s="5" t="str">
        <f>IFERROR(__xludf.DUMMYFUNCTION("""COMPUTED_VALUE"""),"NÃO")</f>
        <v>NÃO</v>
      </c>
      <c r="X1116" s="5" t="str">
        <f>IFERROR(__xludf.DUMMYFUNCTION("""COMPUTED_VALUE"""),"NÃO SE APLICA")</f>
        <v>NÃO SE APLICA</v>
      </c>
    </row>
    <row r="1117">
      <c r="A1117" s="5">
        <f>IFERROR(__xludf.DUMMYFUNCTION("""COMPUTED_VALUE"""),2.0)</f>
        <v>2</v>
      </c>
      <c r="B1117" s="5" t="str">
        <f>IFERROR(__xludf.DUMMYFUNCTION("""COMPUTED_VALUE"""),"CT037")</f>
        <v>CT037</v>
      </c>
      <c r="C1117" s="5" t="str">
        <f>IFERROR(__xludf.DUMMYFUNCTION("""COMPUTED_VALUE"""),"ABRIGO METÁLICO PEQUENO PORTE")</f>
        <v>ABRIGO METÁLICO PEQUENO PORTE</v>
      </c>
      <c r="D1117" s="5" t="str">
        <f>IFERROR(__xludf.DUMMYFUNCTION("""COMPUTED_VALUE"""),"SEM PLACA")</f>
        <v>SEM PLACA</v>
      </c>
      <c r="E1117" s="5" t="str">
        <f>IFERROR(__xludf.DUMMYFUNCTION("""COMPUTED_VALUE"""),"SEM BAIA")</f>
        <v>SEM BAIA</v>
      </c>
      <c r="F1117" s="5" t="str">
        <f>IFERROR(__xludf.DUMMYFUNCTION("""COMPUTED_VALUE"""),"NÃO")</f>
        <v>NÃO</v>
      </c>
      <c r="G1117" s="5" t="str">
        <f>IFERROR(__xludf.DUMMYFUNCTION("""COMPUTED_VALUE"""),"NÃO")</f>
        <v>NÃO</v>
      </c>
      <c r="H1117" s="5" t="str">
        <f>IFERROR(__xludf.DUMMYFUNCTION("""COMPUTED_VALUE"""),"PAVIMENTADA")</f>
        <v>PAVIMENTADA</v>
      </c>
      <c r="I1117" s="6" t="str">
        <f>IFERROR(__xludf.DUMMYFUNCTION("""COMPUTED_VALUE"""),"-9.664201")</f>
        <v>-9.664201</v>
      </c>
      <c r="J1117" s="6" t="str">
        <f>IFERROR(__xludf.DUMMYFUNCTION("""COMPUTED_VALUE"""),"-35.732294")</f>
        <v>-35.732294</v>
      </c>
      <c r="K1117" s="5" t="str">
        <f>IFERROR(__xludf.DUMMYFUNCTION("""COMPUTED_VALUE"""),"RUA BARÃO DE ATALAIA, S/N")</f>
        <v>RUA BARÃO DE ATALAIA, S/N</v>
      </c>
      <c r="L1117" s="5" t="str">
        <f>IFERROR(__xludf.DUMMYFUNCTION("""COMPUTED_VALUE"""),"COLETORA")</f>
        <v>COLETORA</v>
      </c>
      <c r="M1117" s="5" t="str">
        <f>IFERROR(__xludf.DUMMYFUNCTION("""COMPUTED_VALUE"""),"CENTRO")</f>
        <v>CENTRO</v>
      </c>
      <c r="N1117" s="5" t="str">
        <f>IFERROR(__xludf.DUMMYFUNCTION("""COMPUTED_VALUE"""),"BAIRRO - CENTRO")</f>
        <v>BAIRRO - CENTRO</v>
      </c>
      <c r="O1117" s="5" t="str">
        <f>IFERROR(__xludf.DUMMYFUNCTION("""COMPUTED_VALUE"""),"EM FRENTE AO INSTITUTO FEDERAL DE ALAGOAS (IFAL)")</f>
        <v>EM FRENTE AO INSTITUTO FEDERAL DE ALAGOAS (IFAL)</v>
      </c>
      <c r="P1117" s="5" t="str">
        <f>IFERROR(__xludf.DUMMYFUNCTION("""COMPUTED_VALUE"""),"PRIORIDADE BAIXA")</f>
        <v>PRIORIDADE BAIXA</v>
      </c>
      <c r="Q1117" s="5" t="str">
        <f>IFERROR(__xludf.DUMMYFUNCTION("""COMPUTED_VALUE"""),"REPAROS NA ESTRUTURA; LIXAR E FAZER NOVA PINTURA; PINTURA DA BAIA NO ASFALTO; ADEQUAÇÃO DA CALÇADA (PISO TÁTIL)")</f>
        <v>REPAROS NA ESTRUTURA; LIXAR E FAZER NOVA PINTURA; PINTURA DA BAIA NO ASFALTO; ADEQUAÇÃO DA CALÇADA (PISO TÁTIL)</v>
      </c>
      <c r="R1117" s="5" t="str">
        <f>IFERROR(__xludf.DUMMYFUNCTION("""COMPUTED_VALUE"""),"NENHUMA DAS OPÇÕES")</f>
        <v>NENHUMA DAS OPÇÕES</v>
      </c>
      <c r="S1117" s="5"/>
      <c r="T1117" s="5"/>
      <c r="U1117" s="5"/>
      <c r="V1117" s="9" t="str">
        <f>IFERROR(__xludf.DUMMYFUNCTION("""COMPUTED_VALUE"""),"https://drive.google.com/uc?id=19y-wmhqjVXLzzoSjMhqsy5F3S6sIcl_S")</f>
        <v>https://drive.google.com/uc?id=19y-wmhqjVXLzzoSjMhqsy5F3S6sIcl_S</v>
      </c>
      <c r="W1117" s="5" t="str">
        <f>IFERROR(__xludf.DUMMYFUNCTION("""COMPUTED_VALUE"""),"SIM")</f>
        <v>SIM</v>
      </c>
      <c r="X1117" s="5" t="str">
        <f>IFERROR(__xludf.DUMMYFUNCTION("""COMPUTED_VALUE"""),"NÃO")</f>
        <v>NÃO</v>
      </c>
    </row>
    <row r="1118" hidden="1">
      <c r="A1118" s="5">
        <f>IFERROR(__xludf.DUMMYFUNCTION("""COMPUTED_VALUE"""),2.0)</f>
        <v>2</v>
      </c>
      <c r="B1118" s="5" t="str">
        <f>IFERROR(__xludf.DUMMYFUNCTION("""COMPUTED_VALUE"""),"CT038")</f>
        <v>CT038</v>
      </c>
      <c r="C1118" s="5" t="str">
        <f>IFERROR(__xludf.DUMMYFUNCTION("""COMPUTED_VALUE"""),"NÃO POSSUI")</f>
        <v>NÃO POSSUI</v>
      </c>
      <c r="D1118" s="5" t="str">
        <f>IFERROR(__xludf.DUMMYFUNCTION("""COMPUTED_VALUE"""),"FIXADA EM POSTE")</f>
        <v>FIXADA EM POSTE</v>
      </c>
      <c r="E1118" s="5" t="str">
        <f>IFERROR(__xludf.DUMMYFUNCTION("""COMPUTED_VALUE"""),"SEM BAIA")</f>
        <v>SEM BAIA</v>
      </c>
      <c r="F1118" s="5" t="str">
        <f>IFERROR(__xludf.DUMMYFUNCTION("""COMPUTED_VALUE"""),"NÃO")</f>
        <v>NÃO</v>
      </c>
      <c r="G1118" s="5" t="str">
        <f>IFERROR(__xludf.DUMMYFUNCTION("""COMPUTED_VALUE"""),"NÃO")</f>
        <v>NÃO</v>
      </c>
      <c r="H1118" s="5" t="str">
        <f>IFERROR(__xludf.DUMMYFUNCTION("""COMPUTED_VALUE"""),"PAVIMENTADA COM AVARIAS")</f>
        <v>PAVIMENTADA COM AVARIAS</v>
      </c>
      <c r="I1118" s="6" t="str">
        <f>IFERROR(__xludf.DUMMYFUNCTION("""COMPUTED_VALUE"""),"-9.661894")</f>
        <v>-9.661894</v>
      </c>
      <c r="J1118" s="6" t="str">
        <f>IFERROR(__xludf.DUMMYFUNCTION("""COMPUTED_VALUE"""),"-35.729160")</f>
        <v>-35.729160</v>
      </c>
      <c r="K1118" s="5" t="str">
        <f>IFERROR(__xludf.DUMMYFUNCTION("""COMPUTED_VALUE"""),"RUA BARÃO DE ATALAIA, 781")</f>
        <v>RUA BARÃO DE ATALAIA, 781</v>
      </c>
      <c r="L1118" s="5" t="str">
        <f>IFERROR(__xludf.DUMMYFUNCTION("""COMPUTED_VALUE"""),"COLETORA")</f>
        <v>COLETORA</v>
      </c>
      <c r="M1118" s="5" t="str">
        <f>IFERROR(__xludf.DUMMYFUNCTION("""COMPUTED_VALUE"""),"CENTRO")</f>
        <v>CENTRO</v>
      </c>
      <c r="N1118" s="5" t="str">
        <f>IFERROR(__xludf.DUMMYFUNCTION("""COMPUTED_VALUE"""),"BAIRRO - CENTRO")</f>
        <v>BAIRRO - CENTRO</v>
      </c>
      <c r="O1118" s="5" t="str">
        <f>IFERROR(__xludf.DUMMYFUNCTION("""COMPUTED_VALUE"""),"EM FRENTE AO COLÉGIO CENECISTA (CNEC).")</f>
        <v>EM FRENTE AO COLÉGIO CENECISTA (CNEC).</v>
      </c>
      <c r="P1118" s="5" t="str">
        <f>IFERROR(__xludf.DUMMYFUNCTION("""COMPUTED_VALUE"""),"PRIORIDADE BAIXA")</f>
        <v>PRIORIDADE BAIXA</v>
      </c>
      <c r="Q1118" s="5" t="str">
        <f>IFERROR(__xludf.DUMMYFUNCTION("""COMPUTED_VALUE"""),"SUBSTITUIÇÃO DA PLACA COM SUPORTE E RELOCAÇÃO PARA O LOCAL INDICADO NA IMAGEM; PINTURA DA BAIA NO ASFALTO; ADEQUAÇÃO DA CALÇADA (RAMPA DE ACESSIBILIDADE E PISO TÁTIL).")</f>
        <v>SUBSTITUIÇÃO DA PLACA COM SUPORTE E RELOCAÇÃO PARA O LOCAL INDICADO NA IMAGEM; PINTURA DA BAIA NO ASFALTO; ADEQUAÇÃO DA CALÇADA (RAMPA DE ACESSIBILIDADE E PISO TÁTIL).</v>
      </c>
      <c r="R1118" s="5" t="str">
        <f>IFERROR(__xludf.DUMMYFUNCTION("""COMPUTED_VALUE"""),"NENHUMA DAS OPÇÕES")</f>
        <v>NENHUMA DAS OPÇÕES</v>
      </c>
      <c r="S1118" s="5"/>
      <c r="T1118" s="5"/>
      <c r="U1118" s="5"/>
      <c r="V1118" s="9" t="str">
        <f>IFERROR(__xludf.DUMMYFUNCTION("""COMPUTED_VALUE"""),"https://drive.google.com/uc?id=1Uxxh5IRYxpmLfUKzUHSR5UMiYu16S4XE")</f>
        <v>https://drive.google.com/uc?id=1Uxxh5IRYxpmLfUKzUHSR5UMiYu16S4XE</v>
      </c>
      <c r="W1118" s="5" t="str">
        <f>IFERROR(__xludf.DUMMYFUNCTION("""COMPUTED_VALUE"""),"NÃO")</f>
        <v>NÃO</v>
      </c>
      <c r="X1118" s="5" t="str">
        <f>IFERROR(__xludf.DUMMYFUNCTION("""COMPUTED_VALUE"""),"NÃO SE APLICA")</f>
        <v>NÃO SE APLICA</v>
      </c>
    </row>
    <row r="1119">
      <c r="A1119" s="5">
        <f>IFERROR(__xludf.DUMMYFUNCTION("""COMPUTED_VALUE"""),2.0)</f>
        <v>2</v>
      </c>
      <c r="B1119" s="5" t="str">
        <f>IFERROR(__xludf.DUMMYFUNCTION("""COMPUTED_VALUE"""),"CT039")</f>
        <v>CT039</v>
      </c>
      <c r="C1119" s="5" t="str">
        <f>IFERROR(__xludf.DUMMYFUNCTION("""COMPUTED_VALUE"""),"ABRIGO METÁLICO PEQUENO PORTE")</f>
        <v>ABRIGO METÁLICO PEQUENO PORTE</v>
      </c>
      <c r="D1119" s="5" t="str">
        <f>IFERROR(__xludf.DUMMYFUNCTION("""COMPUTED_VALUE"""),"SEM PLACA")</f>
        <v>SEM PLACA</v>
      </c>
      <c r="E1119" s="5" t="str">
        <f>IFERROR(__xludf.DUMMYFUNCTION("""COMPUTED_VALUE"""),"SEM BAIA")</f>
        <v>SEM BAIA</v>
      </c>
      <c r="F1119" s="5" t="str">
        <f>IFERROR(__xludf.DUMMYFUNCTION("""COMPUTED_VALUE"""),"NÃO")</f>
        <v>NÃO</v>
      </c>
      <c r="G1119" s="5" t="str">
        <f>IFERROR(__xludf.DUMMYFUNCTION("""COMPUTED_VALUE"""),"NÃO")</f>
        <v>NÃO</v>
      </c>
      <c r="H1119" s="5" t="str">
        <f>IFERROR(__xludf.DUMMYFUNCTION("""COMPUTED_VALUE"""),"PAVIMENTADA")</f>
        <v>PAVIMENTADA</v>
      </c>
      <c r="I1119" s="6" t="str">
        <f>IFERROR(__xludf.DUMMYFUNCTION("""COMPUTED_VALUE"""),"-9.668221")</f>
        <v>-9.668221</v>
      </c>
      <c r="J1119" s="6" t="str">
        <f>IFERROR(__xludf.DUMMYFUNCTION("""COMPUTED_VALUE"""),"-35.733828")</f>
        <v>-35.733828</v>
      </c>
      <c r="K1119" s="5" t="str">
        <f>IFERROR(__xludf.DUMMYFUNCTION("""COMPUTED_VALUE"""),"RUA DO IMPERADOR, S/N")</f>
        <v>RUA DO IMPERADOR, S/N</v>
      </c>
      <c r="L1119" s="5" t="str">
        <f>IFERROR(__xludf.DUMMYFUNCTION("""COMPUTED_VALUE"""),"COLETORA")</f>
        <v>COLETORA</v>
      </c>
      <c r="M1119" s="5" t="str">
        <f>IFERROR(__xludf.DUMMYFUNCTION("""COMPUTED_VALUE"""),"CENTRO")</f>
        <v>CENTRO</v>
      </c>
      <c r="N1119" s="5" t="str">
        <f>IFERROR(__xludf.DUMMYFUNCTION("""COMPUTED_VALUE"""),"CENTRO - BAIRRO")</f>
        <v>CENTRO - BAIRRO</v>
      </c>
      <c r="O1119" s="5" t="str">
        <f>IFERROR(__xludf.DUMMYFUNCTION("""COMPUTED_VALUE"""),"EM FRENTE A PRAÇA SINIMBU")</f>
        <v>EM FRENTE A PRAÇA SINIMBU</v>
      </c>
      <c r="P1119" s="5" t="str">
        <f>IFERROR(__xludf.DUMMYFUNCTION("""COMPUTED_VALUE"""),"PRIORIDADE BAIXA")</f>
        <v>PRIORIDADE BAIXA</v>
      </c>
      <c r="Q1119" s="5" t="str">
        <f>IFERROR(__xludf.DUMMYFUNCTION("""COMPUTED_VALUE"""),"LIXAR E FAZER NOVA PINTURA NO ABRIGO; PINTURA DA BAIA NO ASFALTO; ADEQUAÇÃO DA CALÇADA (RAMPA DE ACESSIBILIDADE E PISO TÁTIL)")</f>
        <v>LIXAR E FAZER NOVA PINTURA NO ABRIGO; PINTURA DA BAIA NO ASFALTO; ADEQUAÇÃO DA CALÇADA (RAMPA DE ACESSIBILIDADE E PISO TÁTIL)</v>
      </c>
      <c r="R1119" s="5" t="str">
        <f>IFERROR(__xludf.DUMMYFUNCTION("""COMPUTED_VALUE"""),"NENHUMA DAS OPÇÕES")</f>
        <v>NENHUMA DAS OPÇÕES</v>
      </c>
      <c r="S1119" s="5"/>
      <c r="T1119" s="5"/>
      <c r="U1119" s="5"/>
      <c r="V1119" s="9" t="str">
        <f>IFERROR(__xludf.DUMMYFUNCTION("""COMPUTED_VALUE"""),"https://drive.google.com/uc?id=1zV9W6SD--vJKnaeycNblmoHV94iJIXx1")</f>
        <v>https://drive.google.com/uc?id=1zV9W6SD--vJKnaeycNblmoHV94iJIXx1</v>
      </c>
      <c r="W1119" s="5" t="str">
        <f>IFERROR(__xludf.DUMMYFUNCTION("""COMPUTED_VALUE"""),"NÃO")</f>
        <v>NÃO</v>
      </c>
      <c r="X1119" s="5" t="str">
        <f>IFERROR(__xludf.DUMMYFUNCTION("""COMPUTED_VALUE"""),"SIM")</f>
        <v>SIM</v>
      </c>
    </row>
    <row r="1120">
      <c r="A1120" s="5">
        <f>IFERROR(__xludf.DUMMYFUNCTION("""COMPUTED_VALUE"""),2.0)</f>
        <v>2</v>
      </c>
      <c r="B1120" s="5" t="str">
        <f>IFERROR(__xludf.DUMMYFUNCTION("""COMPUTED_VALUE"""),"CT040")</f>
        <v>CT040</v>
      </c>
      <c r="C1120" s="5" t="str">
        <f>IFERROR(__xludf.DUMMYFUNCTION("""COMPUTED_VALUE"""),"ABRIGO METÁLICO PEQUENO PORTE")</f>
        <v>ABRIGO METÁLICO PEQUENO PORTE</v>
      </c>
      <c r="D1120" s="5" t="str">
        <f>IFERROR(__xludf.DUMMYFUNCTION("""COMPUTED_VALUE"""),"SEM PLACA")</f>
        <v>SEM PLACA</v>
      </c>
      <c r="E1120" s="5" t="str">
        <f>IFERROR(__xludf.DUMMYFUNCTION("""COMPUTED_VALUE"""),"SEM BAIA")</f>
        <v>SEM BAIA</v>
      </c>
      <c r="F1120" s="5" t="str">
        <f>IFERROR(__xludf.DUMMYFUNCTION("""COMPUTED_VALUE"""),"SIM")</f>
        <v>SIM</v>
      </c>
      <c r="G1120" s="5" t="str">
        <f>IFERROR(__xludf.DUMMYFUNCTION("""COMPUTED_VALUE"""),"SIM")</f>
        <v>SIM</v>
      </c>
      <c r="H1120" s="5" t="str">
        <f>IFERROR(__xludf.DUMMYFUNCTION("""COMPUTED_VALUE"""),"PAVIMENTADA")</f>
        <v>PAVIMENTADA</v>
      </c>
      <c r="I1120" s="6" t="str">
        <f>IFERROR(__xludf.DUMMYFUNCTION("""COMPUTED_VALUE"""),"-9.666664")</f>
        <v>-9.666664</v>
      </c>
      <c r="J1120" s="6" t="str">
        <f>IFERROR(__xludf.DUMMYFUNCTION("""COMPUTED_VALUE"""),"-35.733646")</f>
        <v>-35.733646</v>
      </c>
      <c r="K1120" s="5" t="str">
        <f>IFERROR(__xludf.DUMMYFUNCTION("""COMPUTED_VALUE"""),"RUA BUARQUE DE MACEDO, S/N")</f>
        <v>RUA BUARQUE DE MACEDO, S/N</v>
      </c>
      <c r="L1120" s="5" t="str">
        <f>IFERROR(__xludf.DUMMYFUNCTION("""COMPUTED_VALUE"""),"COLETORA")</f>
        <v>COLETORA</v>
      </c>
      <c r="M1120" s="5" t="str">
        <f>IFERROR(__xludf.DUMMYFUNCTION("""COMPUTED_VALUE"""),"CENTRO")</f>
        <v>CENTRO</v>
      </c>
      <c r="N1120" s="5" t="str">
        <f>IFERROR(__xludf.DUMMYFUNCTION("""COMPUTED_VALUE"""),"BAIRRO - CENTRO")</f>
        <v>BAIRRO - CENTRO</v>
      </c>
      <c r="O1120" s="5" t="str">
        <f>IFERROR(__xludf.DUMMYFUNCTION("""COMPUTED_VALUE"""),"EM FRENTE AO ANTIGO SUPERMERCADO BOMPREÇO")</f>
        <v>EM FRENTE AO ANTIGO SUPERMERCADO BOMPREÇO</v>
      </c>
      <c r="P1120" s="5" t="str">
        <f>IFERROR(__xludf.DUMMYFUNCTION("""COMPUTED_VALUE"""),"PRIORIDADE BAIXA")</f>
        <v>PRIORIDADE BAIXA</v>
      </c>
      <c r="Q1120" s="5" t="str">
        <f>IFERROR(__xludf.DUMMYFUNCTION("""COMPUTED_VALUE"""),"SUBSTITUIÇÃO DA COBERTA; REPAROS NA ESTRUTURA; LIXAR E FAZER NOVA PINTURA; PINTURA DA BAIA NO ASFALTO; ADEQUAÇÃO DA CALÇADA (RAMPA DE ACESSIBILIDADE E PISO TÁTIL).")</f>
        <v>SUBSTITUIÇÃO DA COBERTA; REPAROS NA ESTRUTURA; LIXAR E FAZER NOVA PINTURA; PINTURA DA BAIA NO ASFALTO; ADEQUAÇÃO DA CALÇADA (RAMPA DE ACESSIBILIDADE E PISO TÁTIL).</v>
      </c>
      <c r="R1120" s="5" t="str">
        <f>IFERROR(__xludf.DUMMYFUNCTION("""COMPUTED_VALUE"""),"NENHUMA DAS OPÇÕES")</f>
        <v>NENHUMA DAS OPÇÕES</v>
      </c>
      <c r="S1120" s="5"/>
      <c r="T1120" s="5"/>
      <c r="U1120" s="5"/>
      <c r="V1120" s="9" t="str">
        <f>IFERROR(__xludf.DUMMYFUNCTION("""COMPUTED_VALUE"""),"https://drive.google.com/uc?id=1lFKG7LFAZljxHBOn1o3OfY-p0eHui9pY")</f>
        <v>https://drive.google.com/uc?id=1lFKG7LFAZljxHBOn1o3OfY-p0eHui9pY</v>
      </c>
      <c r="W1120" s="5" t="str">
        <f>IFERROR(__xludf.DUMMYFUNCTION("""COMPUTED_VALUE"""),"NÃO")</f>
        <v>NÃO</v>
      </c>
      <c r="X1120" s="5" t="str">
        <f>IFERROR(__xludf.DUMMYFUNCTION("""COMPUTED_VALUE"""),"NÃO")</f>
        <v>NÃO</v>
      </c>
    </row>
    <row r="1121">
      <c r="A1121" s="5">
        <f>IFERROR(__xludf.DUMMYFUNCTION("""COMPUTED_VALUE"""),2.0)</f>
        <v>2</v>
      </c>
      <c r="B1121" s="5" t="str">
        <f>IFERROR(__xludf.DUMMYFUNCTION("""COMPUTED_VALUE"""),"CT041")</f>
        <v>CT041</v>
      </c>
      <c r="C1121" s="5" t="str">
        <f>IFERROR(__xludf.DUMMYFUNCTION("""COMPUTED_VALUE"""),"ABRIGO METÁLICO PEQUENO PORTE")</f>
        <v>ABRIGO METÁLICO PEQUENO PORTE</v>
      </c>
      <c r="D1121" s="5" t="str">
        <f>IFERROR(__xludf.DUMMYFUNCTION("""COMPUTED_VALUE"""),"SEM PLACA")</f>
        <v>SEM PLACA</v>
      </c>
      <c r="E1121" s="5" t="str">
        <f>IFERROR(__xludf.DUMMYFUNCTION("""COMPUTED_VALUE"""),"SEM BAIA")</f>
        <v>SEM BAIA</v>
      </c>
      <c r="F1121" s="5" t="str">
        <f>IFERROR(__xludf.DUMMYFUNCTION("""COMPUTED_VALUE"""),"NÃO")</f>
        <v>NÃO</v>
      </c>
      <c r="G1121" s="5" t="str">
        <f>IFERROR(__xludf.DUMMYFUNCTION("""COMPUTED_VALUE"""),"NÃO")</f>
        <v>NÃO</v>
      </c>
      <c r="H1121" s="5" t="str">
        <f>IFERROR(__xludf.DUMMYFUNCTION("""COMPUTED_VALUE"""),"PAVIMENTADA")</f>
        <v>PAVIMENTADA</v>
      </c>
      <c r="I1121" s="6" t="str">
        <f>IFERROR(__xludf.DUMMYFUNCTION("""COMPUTED_VALUE"""),"-9.666912")</f>
        <v>-9.666912</v>
      </c>
      <c r="J1121" s="6" t="str">
        <f>IFERROR(__xludf.DUMMYFUNCTION("""COMPUTED_VALUE"""),"-35.731770")</f>
        <v>-35.731770</v>
      </c>
      <c r="K1121" s="5" t="str">
        <f>IFERROR(__xludf.DUMMYFUNCTION("""COMPUTED_VALUE"""),"RUA BUARQUE DE MACEDO, 546")</f>
        <v>RUA BUARQUE DE MACEDO, 546</v>
      </c>
      <c r="L1121" s="5" t="str">
        <f>IFERROR(__xludf.DUMMYFUNCTION("""COMPUTED_VALUE"""),"COLETORA")</f>
        <v>COLETORA</v>
      </c>
      <c r="M1121" s="5" t="str">
        <f>IFERROR(__xludf.DUMMYFUNCTION("""COMPUTED_VALUE"""),"CENTRO")</f>
        <v>CENTRO</v>
      </c>
      <c r="N1121" s="5" t="str">
        <f>IFERROR(__xludf.DUMMYFUNCTION("""COMPUTED_VALUE"""),"CENTRO - BAIRRO")</f>
        <v>CENTRO - BAIRRO</v>
      </c>
      <c r="O1121" s="5" t="str">
        <f>IFERROR(__xludf.DUMMYFUNCTION("""COMPUTED_VALUE"""),"EM FRENTE A SEDE DO BEM LEGAL")</f>
        <v>EM FRENTE A SEDE DO BEM LEGAL</v>
      </c>
      <c r="P1121" s="5" t="str">
        <f>IFERROR(__xludf.DUMMYFUNCTION("""COMPUTED_VALUE"""),"PRIORIDADE BAIXA")</f>
        <v>PRIORIDADE BAIXA</v>
      </c>
      <c r="Q1121" s="5"/>
      <c r="R1121" s="5" t="str">
        <f>IFERROR(__xludf.DUMMYFUNCTION("""COMPUTED_VALUE"""),"NENHUMA DAS OPÇÕES")</f>
        <v>NENHUMA DAS OPÇÕES</v>
      </c>
      <c r="S1121" s="5"/>
      <c r="T1121" s="5"/>
      <c r="U1121" s="5"/>
      <c r="V1121" s="9" t="str">
        <f>IFERROR(__xludf.DUMMYFUNCTION("""COMPUTED_VALUE"""),"https://drive.google.com/uc?id=1md2grcp9PQc42k33zjg7LzjgRaaXRaD1")</f>
        <v>https://drive.google.com/uc?id=1md2grcp9PQc42k33zjg7LzjgRaaXRaD1</v>
      </c>
      <c r="W1121" s="5" t="str">
        <f>IFERROR(__xludf.DUMMYFUNCTION("""COMPUTED_VALUE"""),"JUNTOS")</f>
        <v>JUNTOS</v>
      </c>
      <c r="X1121" s="5" t="str">
        <f>IFERROR(__xludf.DUMMYFUNCTION("""COMPUTED_VALUE"""),"SIM")</f>
        <v>SIM</v>
      </c>
    </row>
    <row r="1122" hidden="1">
      <c r="A1122" s="5">
        <f>IFERROR(__xludf.DUMMYFUNCTION("""COMPUTED_VALUE"""),2.0)</f>
        <v>2</v>
      </c>
      <c r="B1122" s="5" t="str">
        <f>IFERROR(__xludf.DUMMYFUNCTION("""COMPUTED_VALUE"""),"CT042")</f>
        <v>CT042</v>
      </c>
      <c r="C1122" s="5" t="str">
        <f>IFERROR(__xludf.DUMMYFUNCTION("""COMPUTED_VALUE"""),"NÃO POSSUI")</f>
        <v>NÃO POSSUI</v>
      </c>
      <c r="D1122" s="5" t="str">
        <f>IFERROR(__xludf.DUMMYFUNCTION("""COMPUTED_VALUE"""),"FIXADA EM POSTE")</f>
        <v>FIXADA EM POSTE</v>
      </c>
      <c r="E1122" s="5" t="str">
        <f>IFERROR(__xludf.DUMMYFUNCTION("""COMPUTED_VALUE"""),"SEM BAIA")</f>
        <v>SEM BAIA</v>
      </c>
      <c r="F1122" s="5" t="str">
        <f>IFERROR(__xludf.DUMMYFUNCTION("""COMPUTED_VALUE"""),"NÃO")</f>
        <v>NÃO</v>
      </c>
      <c r="G1122" s="5" t="str">
        <f>IFERROR(__xludf.DUMMYFUNCTION("""COMPUTED_VALUE"""),"NÃO")</f>
        <v>NÃO</v>
      </c>
      <c r="H1122" s="5" t="str">
        <f>IFERROR(__xludf.DUMMYFUNCTION("""COMPUTED_VALUE"""),"PAVIMENTADA")</f>
        <v>PAVIMENTADA</v>
      </c>
      <c r="I1122" s="6" t="str">
        <f>IFERROR(__xludf.DUMMYFUNCTION("""COMPUTED_VALUE"""),"-9.666801")</f>
        <v>-9.666801</v>
      </c>
      <c r="J1122" s="6" t="str">
        <f>IFERROR(__xludf.DUMMYFUNCTION("""COMPUTED_VALUE"""),"-35.730593")</f>
        <v>-35.730593</v>
      </c>
      <c r="K1122" s="5" t="str">
        <f>IFERROR(__xludf.DUMMYFUNCTION("""COMPUTED_VALUE"""),"RUA BUARQUE DE MACEDO, 719")</f>
        <v>RUA BUARQUE DE MACEDO, 719</v>
      </c>
      <c r="L1122" s="5" t="str">
        <f>IFERROR(__xludf.DUMMYFUNCTION("""COMPUTED_VALUE"""),"COLETORA")</f>
        <v>COLETORA</v>
      </c>
      <c r="M1122" s="5" t="str">
        <f>IFERROR(__xludf.DUMMYFUNCTION("""COMPUTED_VALUE"""),"CENTRO")</f>
        <v>CENTRO</v>
      </c>
      <c r="N1122" s="5" t="str">
        <f>IFERROR(__xludf.DUMMYFUNCTION("""COMPUTED_VALUE"""),"BAIRRO - CENTRO")</f>
        <v>BAIRRO - CENTRO</v>
      </c>
      <c r="O1122" s="5" t="str">
        <f>IFERROR(__xludf.DUMMYFUNCTION("""COMPUTED_VALUE"""),"EM FRENTE AO LAVA JATO SPA DO CARRO")</f>
        <v>EM FRENTE AO LAVA JATO SPA DO CARRO</v>
      </c>
      <c r="P1122" s="5" t="str">
        <f>IFERROR(__xludf.DUMMYFUNCTION("""COMPUTED_VALUE"""),"PRIORIDADE BAIXA")</f>
        <v>PRIORIDADE BAIXA</v>
      </c>
      <c r="Q1122" s="5"/>
      <c r="R1122" s="5" t="str">
        <f>IFERROR(__xludf.DUMMYFUNCTION("""COMPUTED_VALUE"""),"NENHUMA DAS OPÇÕES")</f>
        <v>NENHUMA DAS OPÇÕES</v>
      </c>
      <c r="S1122" s="5"/>
      <c r="T1122" s="5"/>
      <c r="U1122" s="5"/>
      <c r="V1122" s="9" t="str">
        <f>IFERROR(__xludf.DUMMYFUNCTION("""COMPUTED_VALUE"""),"https://drive.google.com/uc?id=189zhgMLUVvY1hvvSZ9gkjA0hH50erEVo")</f>
        <v>https://drive.google.com/uc?id=189zhgMLUVvY1hvvSZ9gkjA0hH50erEVo</v>
      </c>
      <c r="W1122" s="5" t="str">
        <f>IFERROR(__xludf.DUMMYFUNCTION("""COMPUTED_VALUE"""),"NÃO")</f>
        <v>NÃO</v>
      </c>
      <c r="X1122" s="5" t="str">
        <f>IFERROR(__xludf.DUMMYFUNCTION("""COMPUTED_VALUE"""),"NÃO")</f>
        <v>NÃO</v>
      </c>
    </row>
    <row r="1123" hidden="1">
      <c r="A1123" s="5">
        <f>IFERROR(__xludf.DUMMYFUNCTION("""COMPUTED_VALUE"""),2.0)</f>
        <v>2</v>
      </c>
      <c r="B1123" s="5" t="str">
        <f>IFERROR(__xludf.DUMMYFUNCTION("""COMPUTED_VALUE"""),"CT043")</f>
        <v>CT043</v>
      </c>
      <c r="C1123" s="5" t="str">
        <f>IFERROR(__xludf.DUMMYFUNCTION("""COMPUTED_VALUE"""),"NÃO POSSUI")</f>
        <v>NÃO POSSUI</v>
      </c>
      <c r="D1123" s="5" t="str">
        <f>IFERROR(__xludf.DUMMYFUNCTION("""COMPUTED_VALUE"""),"FIXADA EM POSTE")</f>
        <v>FIXADA EM POSTE</v>
      </c>
      <c r="E1123" s="5" t="str">
        <f>IFERROR(__xludf.DUMMYFUNCTION("""COMPUTED_VALUE"""),"SEM BAIA")</f>
        <v>SEM BAIA</v>
      </c>
      <c r="F1123" s="5" t="str">
        <f>IFERROR(__xludf.DUMMYFUNCTION("""COMPUTED_VALUE"""),"NÃO")</f>
        <v>NÃO</v>
      </c>
      <c r="G1123" s="5" t="str">
        <f>IFERROR(__xludf.DUMMYFUNCTION("""COMPUTED_VALUE"""),"NÃO")</f>
        <v>NÃO</v>
      </c>
      <c r="H1123" s="5" t="str">
        <f>IFERROR(__xludf.DUMMYFUNCTION("""COMPUTED_VALUE"""),"PAVIMENTADA")</f>
        <v>PAVIMENTADA</v>
      </c>
      <c r="I1123" s="6" t="str">
        <f>IFERROR(__xludf.DUMMYFUNCTION("""COMPUTED_VALUE"""),"-9.663453")</f>
        <v>-9.663453</v>
      </c>
      <c r="J1123" s="6" t="str">
        <f>IFERROR(__xludf.DUMMYFUNCTION("""COMPUTED_VALUE"""),"-35.729776")</f>
        <v>-35.729776</v>
      </c>
      <c r="K1123" s="5" t="str">
        <f>IFERROR(__xludf.DUMMYFUNCTION("""COMPUTED_VALUE"""),"AV. DEP. HUMBERTO MENDES, S/N")</f>
        <v>AV. DEP. HUMBERTO MENDES, S/N</v>
      </c>
      <c r="L1123" s="5" t="str">
        <f>IFERROR(__xludf.DUMMYFUNCTION("""COMPUTED_VALUE"""),"ARTERIAL ")</f>
        <v>ARTERIAL </v>
      </c>
      <c r="M1123" s="5" t="str">
        <f>IFERROR(__xludf.DUMMYFUNCTION("""COMPUTED_VALUE"""),"CENTRO")</f>
        <v>CENTRO</v>
      </c>
      <c r="N1123" s="5" t="str">
        <f>IFERROR(__xludf.DUMMYFUNCTION("""COMPUTED_VALUE"""),"BAIRRO - CENTRO")</f>
        <v>BAIRRO - CENTRO</v>
      </c>
      <c r="O1123" s="5" t="str">
        <f>IFERROR(__xludf.DUMMYFUNCTION("""COMPUTED_VALUE"""),"MARGINAL DO RIACHO SALGADINHO, ATRÁS DO IFAL")</f>
        <v>MARGINAL DO RIACHO SALGADINHO, ATRÁS DO IFAL</v>
      </c>
      <c r="P1123" s="5" t="str">
        <f>IFERROR(__xludf.DUMMYFUNCTION("""COMPUTED_VALUE"""),"PRIORIDADE BAIXA")</f>
        <v>PRIORIDADE BAIXA</v>
      </c>
      <c r="Q1123" s="5"/>
      <c r="R1123" s="5" t="str">
        <f>IFERROR(__xludf.DUMMYFUNCTION("""COMPUTED_VALUE"""),"NENHUMA DAS OPÇÕES")</f>
        <v>NENHUMA DAS OPÇÕES</v>
      </c>
      <c r="S1123" s="5"/>
      <c r="T1123" s="5"/>
      <c r="U1123" s="5"/>
      <c r="V1123" s="9" t="str">
        <f>IFERROR(__xludf.DUMMYFUNCTION("""COMPUTED_VALUE"""),"https://drive.google.com/uc?id=1F-2962_iz5kIW0nb0Q1H7N4euZblbr95")</f>
        <v>https://drive.google.com/uc?id=1F-2962_iz5kIW0nb0Q1H7N4euZblbr95</v>
      </c>
      <c r="W1123" s="5" t="str">
        <f>IFERROR(__xludf.DUMMYFUNCTION("""COMPUTED_VALUE"""),"NÃO")</f>
        <v>NÃO</v>
      </c>
      <c r="X1123" s="5" t="str">
        <f>IFERROR(__xludf.DUMMYFUNCTION("""COMPUTED_VALUE"""),"NÃO")</f>
        <v>NÃO</v>
      </c>
    </row>
    <row r="1124">
      <c r="A1124" s="5">
        <f>IFERROR(__xludf.DUMMYFUNCTION("""COMPUTED_VALUE"""),2.0)</f>
        <v>2</v>
      </c>
      <c r="B1124" s="5" t="str">
        <f>IFERROR(__xludf.DUMMYFUNCTION("""COMPUTED_VALUE"""),"CT044")</f>
        <v>CT044</v>
      </c>
      <c r="C1124" s="5" t="str">
        <f>IFERROR(__xludf.DUMMYFUNCTION("""COMPUTED_VALUE"""),"ABRIGO CONCRETO")</f>
        <v>ABRIGO CONCRETO</v>
      </c>
      <c r="D1124" s="5" t="str">
        <f>IFERROR(__xludf.DUMMYFUNCTION("""COMPUTED_VALUE"""),"SEM PLACA")</f>
        <v>SEM PLACA</v>
      </c>
      <c r="E1124" s="5" t="str">
        <f>IFERROR(__xludf.DUMMYFUNCTION("""COMPUTED_VALUE"""),"SEM BAIA")</f>
        <v>SEM BAIA</v>
      </c>
      <c r="F1124" s="5" t="str">
        <f>IFERROR(__xludf.DUMMYFUNCTION("""COMPUTED_VALUE"""),"SIM")</f>
        <v>SIM</v>
      </c>
      <c r="G1124" s="5" t="str">
        <f>IFERROR(__xludf.DUMMYFUNCTION("""COMPUTED_VALUE"""),"NÃO")</f>
        <v>NÃO</v>
      </c>
      <c r="H1124" s="5" t="str">
        <f>IFERROR(__xludf.DUMMYFUNCTION("""COMPUTED_VALUE"""),"PAVIMENTADA")</f>
        <v>PAVIMENTADA</v>
      </c>
      <c r="I1124" s="6" t="str">
        <f>IFERROR(__xludf.DUMMYFUNCTION("""COMPUTED_VALUE"""),"-9.666118")</f>
        <v>-9.666118</v>
      </c>
      <c r="J1124" s="6" t="str">
        <f>IFERROR(__xludf.DUMMYFUNCTION("""COMPUTED_VALUE"""),"-35.729714")</f>
        <v>-35.729714</v>
      </c>
      <c r="K1124" s="5" t="str">
        <f>IFERROR(__xludf.DUMMYFUNCTION("""COMPUTED_VALUE"""),"AV. DEP. HUMBERTO MENDES, S/N")</f>
        <v>AV. DEP. HUMBERTO MENDES, S/N</v>
      </c>
      <c r="L1124" s="5" t="str">
        <f>IFERROR(__xludf.DUMMYFUNCTION("""COMPUTED_VALUE"""),"ARTERIAL ")</f>
        <v>ARTERIAL </v>
      </c>
      <c r="M1124" s="5" t="str">
        <f>IFERROR(__xludf.DUMMYFUNCTION("""COMPUTED_VALUE"""),"CENTRO")</f>
        <v>CENTRO</v>
      </c>
      <c r="N1124" s="5" t="str">
        <f>IFERROR(__xludf.DUMMYFUNCTION("""COMPUTED_VALUE"""),"BAIRRO - CENTRO")</f>
        <v>BAIRRO - CENTRO</v>
      </c>
      <c r="O1124" s="5" t="str">
        <f>IFERROR(__xludf.DUMMYFUNCTION("""COMPUTED_VALUE"""),"MARGINAL DO RIACHO SALGADINHO - ATRÁS DO PAM.")</f>
        <v>MARGINAL DO RIACHO SALGADINHO - ATRÁS DO PAM.</v>
      </c>
      <c r="P1124" s="5" t="str">
        <f>IFERROR(__xludf.DUMMYFUNCTION("""COMPUTED_VALUE"""),"PRIORIDADE BAIXA")</f>
        <v>PRIORIDADE BAIXA</v>
      </c>
      <c r="Q1124" s="5"/>
      <c r="R1124" s="5" t="str">
        <f>IFERROR(__xludf.DUMMYFUNCTION("""COMPUTED_VALUE"""),"NENHUMA DAS OPÇÕES")</f>
        <v>NENHUMA DAS OPÇÕES</v>
      </c>
      <c r="S1124" s="5"/>
      <c r="T1124" s="5"/>
      <c r="U1124" s="5"/>
      <c r="V1124" s="9" t="str">
        <f>IFERROR(__xludf.DUMMYFUNCTION("""COMPUTED_VALUE"""),"https://drive.google.com/uc?id=1YxAndDMNUC9GTA40bu2w8SJT07N0mkd_")</f>
        <v>https://drive.google.com/uc?id=1YxAndDMNUC9GTA40bu2w8SJT07N0mkd_</v>
      </c>
      <c r="W1124" s="5" t="str">
        <f>IFERROR(__xludf.DUMMYFUNCTION("""COMPUTED_VALUE"""),"NÃO")</f>
        <v>NÃO</v>
      </c>
      <c r="X1124" s="5" t="str">
        <f>IFERROR(__xludf.DUMMYFUNCTION("""COMPUTED_VALUE"""),"NÃO SE APLICA")</f>
        <v>NÃO SE APLICA</v>
      </c>
    </row>
    <row r="1125" hidden="1">
      <c r="A1125" s="5">
        <f>IFERROR(__xludf.DUMMYFUNCTION("""COMPUTED_VALUE"""),2.0)</f>
        <v>2</v>
      </c>
      <c r="B1125" s="5" t="str">
        <f>IFERROR(__xludf.DUMMYFUNCTION("""COMPUTED_VALUE"""),"CT045")</f>
        <v>CT045</v>
      </c>
      <c r="C1125" s="5" t="str">
        <f>IFERROR(__xludf.DUMMYFUNCTION("""COMPUTED_VALUE"""),"NÃO POSSUI")</f>
        <v>NÃO POSSUI</v>
      </c>
      <c r="D1125" s="5" t="str">
        <f>IFERROR(__xludf.DUMMYFUNCTION("""COMPUTED_VALUE"""),"SEM PLACA")</f>
        <v>SEM PLACA</v>
      </c>
      <c r="E1125" s="5" t="str">
        <f>IFERROR(__xludf.DUMMYFUNCTION("""COMPUTED_VALUE"""),"SEM BAIA")</f>
        <v>SEM BAIA</v>
      </c>
      <c r="F1125" s="5" t="str">
        <f>IFERROR(__xludf.DUMMYFUNCTION("""COMPUTED_VALUE"""),"NÃO")</f>
        <v>NÃO</v>
      </c>
      <c r="G1125" s="5" t="str">
        <f>IFERROR(__xludf.DUMMYFUNCTION("""COMPUTED_VALUE"""),"NÃO")</f>
        <v>NÃO</v>
      </c>
      <c r="H1125" s="5" t="str">
        <f>IFERROR(__xludf.DUMMYFUNCTION("""COMPUTED_VALUE"""),"PAVIMENTADA")</f>
        <v>PAVIMENTADA</v>
      </c>
      <c r="I1125" s="6" t="str">
        <f>IFERROR(__xludf.DUMMYFUNCTION("""COMPUTED_VALUE"""),"-9.667924")</f>
        <v>-9.667924</v>
      </c>
      <c r="J1125" s="6" t="str">
        <f>IFERROR(__xludf.DUMMYFUNCTION("""COMPUTED_VALUE"""),"-35.729970")</f>
        <v>-35.729970</v>
      </c>
      <c r="K1125" s="5" t="str">
        <f>IFERROR(__xludf.DUMMYFUNCTION("""COMPUTED_VALUE"""),"AV. DEP. HUMBERTO MENDES, S/N")</f>
        <v>AV. DEP. HUMBERTO MENDES, S/N</v>
      </c>
      <c r="L1125" s="5" t="str">
        <f>IFERROR(__xludf.DUMMYFUNCTION("""COMPUTED_VALUE"""),"ARTERIAL ")</f>
        <v>ARTERIAL </v>
      </c>
      <c r="M1125" s="5" t="str">
        <f>IFERROR(__xludf.DUMMYFUNCTION("""COMPUTED_VALUE"""),"CENTRO")</f>
        <v>CENTRO</v>
      </c>
      <c r="N1125" s="5" t="str">
        <f>IFERROR(__xludf.DUMMYFUNCTION("""COMPUTED_VALUE"""),"BAIRRO - CENTRO")</f>
        <v>BAIRRO - CENTRO</v>
      </c>
      <c r="O1125" s="5" t="str">
        <f>IFERROR(__xludf.DUMMYFUNCTION("""COMPUTED_VALUE"""),"MARGINAL DO RIACHO SALGADINHO - ATRÁS DO PAM.")</f>
        <v>MARGINAL DO RIACHO SALGADINHO - ATRÁS DO PAM.</v>
      </c>
      <c r="P1125" s="5" t="str">
        <f>IFERROR(__xludf.DUMMYFUNCTION("""COMPUTED_VALUE"""),"PRIORIDADE MÉDIA")</f>
        <v>PRIORIDADE MÉDIA</v>
      </c>
      <c r="Q1125" s="5"/>
      <c r="R1125" s="5" t="str">
        <f>IFERROR(__xludf.DUMMYFUNCTION("""COMPUTED_VALUE"""),"SUBSTITUIR ABRIGO")</f>
        <v>SUBSTITUIR ABRIGO</v>
      </c>
      <c r="S1125" s="5"/>
      <c r="T1125" s="5"/>
      <c r="U1125" s="5"/>
      <c r="V1125" s="9" t="str">
        <f>IFERROR(__xludf.DUMMYFUNCTION("""COMPUTED_VALUE"""),"https://drive.google.com/uc?id=15kmMqIQGfie4VArsGjBq2-IKyIK3N3O9")</f>
        <v>https://drive.google.com/uc?id=15kmMqIQGfie4VArsGjBq2-IKyIK3N3O9</v>
      </c>
      <c r="W1125" s="5" t="str">
        <f>IFERROR(__xludf.DUMMYFUNCTION("""COMPUTED_VALUE"""),"NÃO")</f>
        <v>NÃO</v>
      </c>
      <c r="X1125" s="5" t="str">
        <f>IFERROR(__xludf.DUMMYFUNCTION("""COMPUTED_VALUE"""),"NÃO")</f>
        <v>NÃO</v>
      </c>
    </row>
    <row r="1126">
      <c r="A1126" s="5">
        <f>IFERROR(__xludf.DUMMYFUNCTION("""COMPUTED_VALUE"""),2.0)</f>
        <v>2</v>
      </c>
      <c r="B1126" s="5" t="str">
        <f>IFERROR(__xludf.DUMMYFUNCTION("""COMPUTED_VALUE"""),"CT046")</f>
        <v>CT046</v>
      </c>
      <c r="C1126" s="5" t="str">
        <f>IFERROR(__xludf.DUMMYFUNCTION("""COMPUTED_VALUE"""),"ABRIGO CONCRETO")</f>
        <v>ABRIGO CONCRETO</v>
      </c>
      <c r="D1126" s="5" t="str">
        <f>IFERROR(__xludf.DUMMYFUNCTION("""COMPUTED_VALUE"""),"SEM PLACA")</f>
        <v>SEM PLACA</v>
      </c>
      <c r="E1126" s="5" t="str">
        <f>IFERROR(__xludf.DUMMYFUNCTION("""COMPUTED_VALUE"""),"BAIA CONSTRUÍDA")</f>
        <v>BAIA CONSTRUÍDA</v>
      </c>
      <c r="F1126" s="5" t="str">
        <f>IFERROR(__xludf.DUMMYFUNCTION("""COMPUTED_VALUE"""),"NÃO")</f>
        <v>NÃO</v>
      </c>
      <c r="G1126" s="5" t="str">
        <f>IFERROR(__xludf.DUMMYFUNCTION("""COMPUTED_VALUE"""),"NÃO")</f>
        <v>NÃO</v>
      </c>
      <c r="H1126" s="5" t="str">
        <f>IFERROR(__xludf.DUMMYFUNCTION("""COMPUTED_VALUE"""),"PAVIMENTADA")</f>
        <v>PAVIMENTADA</v>
      </c>
      <c r="I1126" s="6" t="str">
        <f>IFERROR(__xludf.DUMMYFUNCTION("""COMPUTED_VALUE"""),"-9.669789")</f>
        <v>-9.669789</v>
      </c>
      <c r="J1126" s="6" t="str">
        <f>IFERROR(__xludf.DUMMYFUNCTION("""COMPUTED_VALUE"""),"-35.732547")</f>
        <v>-35.732547</v>
      </c>
      <c r="K1126" s="5" t="str">
        <f>IFERROR(__xludf.DUMMYFUNCTION("""COMPUTED_VALUE"""),"AV. PAZ, S/N")</f>
        <v>AV. PAZ, S/N</v>
      </c>
      <c r="L1126" s="5" t="str">
        <f>IFERROR(__xludf.DUMMYFUNCTION("""COMPUTED_VALUE"""),"ARTERIAL ")</f>
        <v>ARTERIAL </v>
      </c>
      <c r="M1126" s="5" t="str">
        <f>IFERROR(__xludf.DUMMYFUNCTION("""COMPUTED_VALUE"""),"CENTRO")</f>
        <v>CENTRO</v>
      </c>
      <c r="N1126" s="5" t="str">
        <f>IFERROR(__xludf.DUMMYFUNCTION("""COMPUTED_VALUE"""),"CENTRO - BAIRRO")</f>
        <v>CENTRO - BAIRRO</v>
      </c>
      <c r="O1126" s="5" t="str">
        <f>IFERROR(__xludf.DUMMYFUNCTION("""COMPUTED_VALUE"""),"EM FRENTE AO MUSEU THÉO BRANDÃO")</f>
        <v>EM FRENTE AO MUSEU THÉO BRANDÃO</v>
      </c>
      <c r="P1126" s="5" t="str">
        <f>IFERROR(__xludf.DUMMYFUNCTION("""COMPUTED_VALUE"""),"PRIORIDADE BAIXA")</f>
        <v>PRIORIDADE BAIXA</v>
      </c>
      <c r="Q1126" s="5"/>
      <c r="R1126" s="5" t="str">
        <f>IFERROR(__xludf.DUMMYFUNCTION("""COMPUTED_VALUE"""),"NENHUMA DAS OPÇÕES")</f>
        <v>NENHUMA DAS OPÇÕES</v>
      </c>
      <c r="S1126" s="5"/>
      <c r="T1126" s="5"/>
      <c r="U1126" s="5"/>
      <c r="V1126" s="9" t="str">
        <f>IFERROR(__xludf.DUMMYFUNCTION("""COMPUTED_VALUE"""),"https://drive.google.com/uc?id=1yRr_9pHtbp5hETGJ9xjvvKJ-8FhomD6L")</f>
        <v>https://drive.google.com/uc?id=1yRr_9pHtbp5hETGJ9xjvvKJ-8FhomD6L</v>
      </c>
      <c r="W1126" s="5" t="str">
        <f>IFERROR(__xludf.DUMMYFUNCTION("""COMPUTED_VALUE"""),"NÃO")</f>
        <v>NÃO</v>
      </c>
      <c r="X1126" s="5" t="str">
        <f>IFERROR(__xludf.DUMMYFUNCTION("""COMPUTED_VALUE"""),"NÃO")</f>
        <v>NÃO</v>
      </c>
    </row>
    <row r="1127" hidden="1">
      <c r="A1127" s="5">
        <f>IFERROR(__xludf.DUMMYFUNCTION("""COMPUTED_VALUE"""),2.0)</f>
        <v>2</v>
      </c>
      <c r="B1127" s="5" t="str">
        <f>IFERROR(__xludf.DUMMYFUNCTION("""COMPUTED_VALUE"""),"CT047")</f>
        <v>CT047</v>
      </c>
      <c r="C1127" s="5" t="str">
        <f>IFERROR(__xludf.DUMMYFUNCTION("""COMPUTED_VALUE"""),"NÃO POSSUI")</f>
        <v>NÃO POSSUI</v>
      </c>
      <c r="D1127" s="5" t="str">
        <f>IFERROR(__xludf.DUMMYFUNCTION("""COMPUTED_VALUE"""),"SEM PLACA")</f>
        <v>SEM PLACA</v>
      </c>
      <c r="E1127" s="5" t="str">
        <f>IFERROR(__xludf.DUMMYFUNCTION("""COMPUTED_VALUE"""),"BAIA CONSTRUÍDA")</f>
        <v>BAIA CONSTRUÍDA</v>
      </c>
      <c r="F1127" s="5" t="str">
        <f>IFERROR(__xludf.DUMMYFUNCTION("""COMPUTED_VALUE"""),"NÃO")</f>
        <v>NÃO</v>
      </c>
      <c r="G1127" s="5" t="str">
        <f>IFERROR(__xludf.DUMMYFUNCTION("""COMPUTED_VALUE"""),"NÃO")</f>
        <v>NÃO</v>
      </c>
      <c r="H1127" s="5" t="str">
        <f>IFERROR(__xludf.DUMMYFUNCTION("""COMPUTED_VALUE"""),"PAVIMENTADA")</f>
        <v>PAVIMENTADA</v>
      </c>
      <c r="I1127" s="6" t="str">
        <f>IFERROR(__xludf.DUMMYFUNCTION("""COMPUTED_VALUE"""),"-9.670083")</f>
        <v>-9.670083</v>
      </c>
      <c r="J1127" s="6" t="str">
        <f>IFERROR(__xludf.DUMMYFUNCTION("""COMPUTED_VALUE"""),"-35.737503")</f>
        <v>-35.737503</v>
      </c>
      <c r="K1127" s="5" t="str">
        <f>IFERROR(__xludf.DUMMYFUNCTION("""COMPUTED_VALUE"""),"AV. PAZ, S/N")</f>
        <v>AV. PAZ, S/N</v>
      </c>
      <c r="L1127" s="5" t="str">
        <f>IFERROR(__xludf.DUMMYFUNCTION("""COMPUTED_VALUE"""),"ARTERIAL ")</f>
        <v>ARTERIAL </v>
      </c>
      <c r="M1127" s="5" t="str">
        <f>IFERROR(__xludf.DUMMYFUNCTION("""COMPUTED_VALUE"""),"CENTRO")</f>
        <v>CENTRO</v>
      </c>
      <c r="N1127" s="5" t="str">
        <f>IFERROR(__xludf.DUMMYFUNCTION("""COMPUTED_VALUE"""),"CENTRO - BAIRRO")</f>
        <v>CENTRO - BAIRRO</v>
      </c>
      <c r="O1127" s="5" t="str">
        <f>IFERROR(__xludf.DUMMYFUNCTION("""COMPUTED_VALUE"""),"EM FRENTE AO TRIBUNAL DO TRABALHO")</f>
        <v>EM FRENTE AO TRIBUNAL DO TRABALHO</v>
      </c>
      <c r="P1127" s="5" t="str">
        <f>IFERROR(__xludf.DUMMYFUNCTION("""COMPUTED_VALUE"""),"PRIORIDADE MÉDIA")</f>
        <v>PRIORIDADE MÉDIA</v>
      </c>
      <c r="Q1127" s="5"/>
      <c r="R1127" s="5" t="str">
        <f>IFERROR(__xludf.DUMMYFUNCTION("""COMPUTED_VALUE"""),"NENHUMA DAS OPÇÕES")</f>
        <v>NENHUMA DAS OPÇÕES</v>
      </c>
      <c r="S1127" s="5"/>
      <c r="T1127" s="5"/>
      <c r="U1127" s="5"/>
      <c r="V1127" s="9" t="str">
        <f>IFERROR(__xludf.DUMMYFUNCTION("""COMPUTED_VALUE"""),"https://drive.google.com/uc?id=1bwpj8Rp0USKIk_BlhORmKgKoOVEiOsc5")</f>
        <v>https://drive.google.com/uc?id=1bwpj8Rp0USKIk_BlhORmKgKoOVEiOsc5</v>
      </c>
      <c r="W1127" s="5" t="str">
        <f>IFERROR(__xludf.DUMMYFUNCTION("""COMPUTED_VALUE"""),"NÃO")</f>
        <v>NÃO</v>
      </c>
      <c r="X1127" s="5" t="str">
        <f>IFERROR(__xludf.DUMMYFUNCTION("""COMPUTED_VALUE"""),"NÃO SE APLICA")</f>
        <v>NÃO SE APLICA</v>
      </c>
    </row>
    <row r="1128">
      <c r="A1128" s="5">
        <f>IFERROR(__xludf.DUMMYFUNCTION("""COMPUTED_VALUE"""),2.0)</f>
        <v>2</v>
      </c>
      <c r="B1128" s="5" t="str">
        <f>IFERROR(__xludf.DUMMYFUNCTION("""COMPUTED_VALUE"""),"CT048")</f>
        <v>CT048</v>
      </c>
      <c r="C1128" s="5" t="str">
        <f>IFERROR(__xludf.DUMMYFUNCTION("""COMPUTED_VALUE"""),"ABRIGO METÁLICO PEQUENO PORTE")</f>
        <v>ABRIGO METÁLICO PEQUENO PORTE</v>
      </c>
      <c r="D1128" s="5" t="str">
        <f>IFERROR(__xludf.DUMMYFUNCTION("""COMPUTED_VALUE"""),"SEM PLACA")</f>
        <v>SEM PLACA</v>
      </c>
      <c r="E1128" s="5" t="str">
        <f>IFERROR(__xludf.DUMMYFUNCTION("""COMPUTED_VALUE"""),"SEM BAIA")</f>
        <v>SEM BAIA</v>
      </c>
      <c r="F1128" s="5" t="str">
        <f>IFERROR(__xludf.DUMMYFUNCTION("""COMPUTED_VALUE"""),"SIM")</f>
        <v>SIM</v>
      </c>
      <c r="G1128" s="5" t="str">
        <f>IFERROR(__xludf.DUMMYFUNCTION("""COMPUTED_VALUE"""),"NÃO")</f>
        <v>NÃO</v>
      </c>
      <c r="H1128" s="5" t="str">
        <f>IFERROR(__xludf.DUMMYFUNCTION("""COMPUTED_VALUE"""),"PAVIMENTADA")</f>
        <v>PAVIMENTADA</v>
      </c>
      <c r="I1128" s="6" t="str">
        <f>IFERROR(__xludf.DUMMYFUNCTION("""COMPUTED_VALUE"""),"-9.666895")</f>
        <v>-9.666895</v>
      </c>
      <c r="J1128" s="6" t="str">
        <f>IFERROR(__xludf.DUMMYFUNCTION("""COMPUTED_VALUE"""),"-35.740947")</f>
        <v>-35.740947</v>
      </c>
      <c r="K1128" s="5" t="str">
        <f>IFERROR(__xludf.DUMMYFUNCTION("""COMPUTED_VALUE"""),"PRAÇA SÃO VICENTE, S/N")</f>
        <v>PRAÇA SÃO VICENTE, S/N</v>
      </c>
      <c r="L1128" s="5" t="str">
        <f>IFERROR(__xludf.DUMMYFUNCTION("""COMPUTED_VALUE"""),"COLETORA")</f>
        <v>COLETORA</v>
      </c>
      <c r="M1128" s="5" t="str">
        <f>IFERROR(__xludf.DUMMYFUNCTION("""COMPUTED_VALUE"""),"CENTRO")</f>
        <v>CENTRO</v>
      </c>
      <c r="N1128" s="5" t="str">
        <f>IFERROR(__xludf.DUMMYFUNCTION("""COMPUTED_VALUE"""),"CENTRO - BAIRRO")</f>
        <v>CENTRO - BAIRRO</v>
      </c>
      <c r="O1128" s="5" t="str">
        <f>IFERROR(__xludf.DUMMYFUNCTION("""COMPUTED_VALUE"""),"PRÓXIMO A SANTA CASA.")</f>
        <v>PRÓXIMO A SANTA CASA.</v>
      </c>
      <c r="P1128" s="5" t="str">
        <f>IFERROR(__xludf.DUMMYFUNCTION("""COMPUTED_VALUE"""),"PRIORIDADE BAIXA")</f>
        <v>PRIORIDADE BAIXA</v>
      </c>
      <c r="Q1128" s="5"/>
      <c r="R1128" s="5" t="str">
        <f>IFERROR(__xludf.DUMMYFUNCTION("""COMPUTED_VALUE"""),"NENHUMA DAS OPÇÕES")</f>
        <v>NENHUMA DAS OPÇÕES</v>
      </c>
      <c r="S1128" s="5"/>
      <c r="T1128" s="5"/>
      <c r="U1128" s="5"/>
      <c r="V1128" s="9" t="str">
        <f>IFERROR(__xludf.DUMMYFUNCTION("""COMPUTED_VALUE"""),"https://drive.google.com/uc?id=1Ps-kXFjmwHPTcCDj_WJVUmF1A7tgBq8F")</f>
        <v>https://drive.google.com/uc?id=1Ps-kXFjmwHPTcCDj_WJVUmF1A7tgBq8F</v>
      </c>
      <c r="W1128" s="5" t="str">
        <f>IFERROR(__xludf.DUMMYFUNCTION("""COMPUTED_VALUE"""),"NÃO")</f>
        <v>NÃO</v>
      </c>
      <c r="X1128" s="5" t="str">
        <f>IFERROR(__xludf.DUMMYFUNCTION("""COMPUTED_VALUE"""),"SIM")</f>
        <v>SIM</v>
      </c>
    </row>
    <row r="1129">
      <c r="A1129" s="5">
        <f>IFERROR(__xludf.DUMMYFUNCTION("IMPORTRANGE(""https://docs.google.com/spreadsheets/d/1KuoP8JmuiBMv_nZH41Qskz4TwgYIvev8RVYXLU3j10c/edit#gid=0"", ""LEVADA!A3:X14"")"),2.0)</f>
        <v>2</v>
      </c>
      <c r="B1129" s="5" t="str">
        <f>IFERROR(__xludf.DUMMYFUNCTION("""COMPUTED_VALUE"""),"LV001")</f>
        <v>LV001</v>
      </c>
      <c r="C1129" s="5" t="str">
        <f>IFERROR(__xludf.DUMMYFUNCTION("""COMPUTED_VALUE"""),"ABRIGO CONCRETO")</f>
        <v>ABRIGO CONCRETO</v>
      </c>
      <c r="D1129" s="5" t="str">
        <f>IFERROR(__xludf.DUMMYFUNCTION("""COMPUTED_VALUE"""),"SEM PLACA")</f>
        <v>SEM PLACA</v>
      </c>
      <c r="E1129" s="5" t="str">
        <f>IFERROR(__xludf.DUMMYFUNCTION("""COMPUTED_VALUE"""),"SEM BAIA")</f>
        <v>SEM BAIA</v>
      </c>
      <c r="F1129" s="5" t="str">
        <f>IFERROR(__xludf.DUMMYFUNCTION("""COMPUTED_VALUE"""),"NÃO")</f>
        <v>NÃO</v>
      </c>
      <c r="G1129" s="5" t="str">
        <f>IFERROR(__xludf.DUMMYFUNCTION("""COMPUTED_VALUE"""),"NÃO")</f>
        <v>NÃO</v>
      </c>
      <c r="H1129" s="5" t="str">
        <f>IFERROR(__xludf.DUMMYFUNCTION("""COMPUTED_VALUE"""),"PAVIMENTADA COM AVARIAS")</f>
        <v>PAVIMENTADA COM AVARIAS</v>
      </c>
      <c r="I1129" s="6" t="str">
        <f>IFERROR(__xludf.DUMMYFUNCTION("""COMPUTED_VALUE"""),"-9.656006")</f>
        <v>-9.656006</v>
      </c>
      <c r="J1129" s="6" t="str">
        <f>IFERROR(__xludf.DUMMYFUNCTION("""COMPUTED_VALUE"""),"-35.740384")</f>
        <v>-35.740384</v>
      </c>
      <c r="K1129" s="5" t="str">
        <f>IFERROR(__xludf.DUMMYFUNCTION("""COMPUTED_VALUE"""),"AV. FRANCISCO DE MENEZES, S/N")</f>
        <v>AV. FRANCISCO DE MENEZES, S/N</v>
      </c>
      <c r="L1129" s="5" t="str">
        <f>IFERROR(__xludf.DUMMYFUNCTION("""COMPUTED_VALUE"""),"COLETORA")</f>
        <v>COLETORA</v>
      </c>
      <c r="M1129" s="5" t="str">
        <f>IFERROR(__xludf.DUMMYFUNCTION("""COMPUTED_VALUE"""),"LEVADA")</f>
        <v>LEVADA</v>
      </c>
      <c r="N1129" s="5" t="str">
        <f>IFERROR(__xludf.DUMMYFUNCTION("""COMPUTED_VALUE"""),"BAIRRO - CENTRO")</f>
        <v>BAIRRO - CENTRO</v>
      </c>
      <c r="O1129" s="5" t="str">
        <f>IFERROR(__xludf.DUMMYFUNCTION("""COMPUTED_VALUE"""),"EM FRENTE A VILA OLÍMPICA DO SESI")</f>
        <v>EM FRENTE A VILA OLÍMPICA DO SESI</v>
      </c>
      <c r="P1129" s="5" t="str">
        <f>IFERROR(__xludf.DUMMYFUNCTION("""COMPUTED_VALUE"""),"PRIORIDADE BAIXA")</f>
        <v>PRIORIDADE BAIXA</v>
      </c>
      <c r="Q1129" s="5" t="str">
        <f>IFERROR(__xludf.DUMMYFUNCTION("""COMPUTED_VALUE"""),"RETIRAR COLAGENS, LIMPEZA DA COBERTA DO ABRIGO, PINTURA DO ABRIGO, PINTURA DA BAIA NO ASFALTO, READEQUAÇÃO DA CALÇADA (RAMPA DE ACESSIBILIDADE E PISO TÁTIL).")</f>
        <v>RETIRAR COLAGENS, LIMPEZA DA COBERTA DO ABRIGO, PINTURA DO ABRIGO, PINTURA DA BAIA NO ASFALTO, READEQUAÇÃO DA CALÇADA (RAMPA DE ACESSIBILIDADE E PISO TÁTIL).</v>
      </c>
      <c r="R1129" s="5" t="str">
        <f>IFERROR(__xludf.DUMMYFUNCTION("""COMPUTED_VALUE"""),"SUBSTITUIR ABRIGO")</f>
        <v>SUBSTITUIR ABRIGO</v>
      </c>
      <c r="S1129" s="7">
        <f>IFERROR(__xludf.DUMMYFUNCTION("""COMPUTED_VALUE"""),44562.0)</f>
        <v>44562</v>
      </c>
      <c r="T1129" s="5"/>
      <c r="U1129" s="7">
        <f>IFERROR(__xludf.DUMMYFUNCTION("""COMPUTED_VALUE"""),44562.0)</f>
        <v>44562</v>
      </c>
      <c r="V1129" s="9" t="str">
        <f>IFERROR(__xludf.DUMMYFUNCTION("""COMPUTED_VALUE"""),"https://drive.google.com/uc?id=1CrL32KNCB7XbRKsxct6i9deHiCDMo5zx")</f>
        <v>https://drive.google.com/uc?id=1CrL32KNCB7XbRKsxct6i9deHiCDMo5zx</v>
      </c>
      <c r="W1129" s="5" t="str">
        <f>IFERROR(__xludf.DUMMYFUNCTION("""COMPUTED_VALUE"""),"NÃO")</f>
        <v>NÃO</v>
      </c>
      <c r="X1129" s="5" t="str">
        <f>IFERROR(__xludf.DUMMYFUNCTION("""COMPUTED_VALUE"""),"NÃO SE APLICA")</f>
        <v>NÃO SE APLICA</v>
      </c>
    </row>
    <row r="1130">
      <c r="A1130" s="5">
        <f>IFERROR(__xludf.DUMMYFUNCTION("""COMPUTED_VALUE"""),2.0)</f>
        <v>2</v>
      </c>
      <c r="B1130" s="5" t="str">
        <f>IFERROR(__xludf.DUMMYFUNCTION("""COMPUTED_VALUE"""),"LV002")</f>
        <v>LV002</v>
      </c>
      <c r="C1130" s="5" t="str">
        <f>IFERROR(__xludf.DUMMYFUNCTION("""COMPUTED_VALUE"""),"ABRIGO EUCALIPTO MÉDIO PORTE")</f>
        <v>ABRIGO EUCALIPTO MÉDIO PORTE</v>
      </c>
      <c r="D1130" s="5" t="str">
        <f>IFERROR(__xludf.DUMMYFUNCTION("""COMPUTED_VALUE"""),"SEM PLACA")</f>
        <v>SEM PLACA</v>
      </c>
      <c r="E1130" s="5" t="str">
        <f>IFERROR(__xludf.DUMMYFUNCTION("""COMPUTED_VALUE"""),"SEM BAIA")</f>
        <v>SEM BAIA</v>
      </c>
      <c r="F1130" s="5" t="str">
        <f>IFERROR(__xludf.DUMMYFUNCTION("""COMPUTED_VALUE"""),"NÃO")</f>
        <v>NÃO</v>
      </c>
      <c r="G1130" s="5" t="str">
        <f>IFERROR(__xludf.DUMMYFUNCTION("""COMPUTED_VALUE"""),"NÃO")</f>
        <v>NÃO</v>
      </c>
      <c r="H1130" s="5" t="str">
        <f>IFERROR(__xludf.DUMMYFUNCTION("""COMPUTED_VALUE"""),"PAVIMENTADA COM AVARIAS")</f>
        <v>PAVIMENTADA COM AVARIAS</v>
      </c>
      <c r="I1130" s="6" t="str">
        <f>IFERROR(__xludf.DUMMYFUNCTION("""COMPUTED_VALUE"""),"-9.660210")</f>
        <v>-9.660210</v>
      </c>
      <c r="J1130" s="6" t="str">
        <f>IFERROR(__xludf.DUMMYFUNCTION("""COMPUTED_VALUE"""),"-35.742449")</f>
        <v>-35.742449</v>
      </c>
      <c r="K1130" s="5" t="str">
        <f>IFERROR(__xludf.DUMMYFUNCTION("""COMPUTED_VALUE"""),"AV. FRANCISCO DE MENEZES, S/N")</f>
        <v>AV. FRANCISCO DE MENEZES, S/N</v>
      </c>
      <c r="L1130" s="5" t="str">
        <f>IFERROR(__xludf.DUMMYFUNCTION("""COMPUTED_VALUE"""),"COLETORA")</f>
        <v>COLETORA</v>
      </c>
      <c r="M1130" s="5" t="str">
        <f>IFERROR(__xludf.DUMMYFUNCTION("""COMPUTED_VALUE"""),"LEVADA")</f>
        <v>LEVADA</v>
      </c>
      <c r="N1130" s="5" t="str">
        <f>IFERROR(__xludf.DUMMYFUNCTION("""COMPUTED_VALUE"""),"CENTRO - BAIRRO")</f>
        <v>CENTRO - BAIRRO</v>
      </c>
      <c r="O1130" s="5" t="str">
        <f>IFERROR(__xludf.DUMMYFUNCTION("""COMPUTED_VALUE"""),"EM FRENTE AO ANTIGO BOMPREÇO DO MERCADO")</f>
        <v>EM FRENTE AO ANTIGO BOMPREÇO DO MERCADO</v>
      </c>
      <c r="P1130" s="5" t="str">
        <f>IFERROR(__xludf.DUMMYFUNCTION("""COMPUTED_VALUE"""),"PRIORIDADE BAIXA")</f>
        <v>PRIORIDADE BAIXA</v>
      </c>
      <c r="Q1130" s="5" t="str">
        <f>IFERROR(__xludf.DUMMYFUNCTION("""COMPUTED_VALUE"""),"REPAROS NA COBERTA; PINTURA DO ABRIGO; REFAZER INSTALAÇÃO ELÉTRICA E SUBSTITUIR AS LUMINÁRIAS; PINTURA DA BAIA NO ASFALTO; READEQUAÇÃO DA CALÇADA (RAMPA DE ACESSIBILIDADE E PISO TÁTIL).")</f>
        <v>REPAROS NA COBERTA; PINTURA DO ABRIGO; REFAZER INSTALAÇÃO ELÉTRICA E SUBSTITUIR AS LUMINÁRIAS; PINTURA DA BAIA NO ASFALTO; READEQUAÇÃO DA CALÇADA (RAMPA DE ACESSIBILIDADE E PISO TÁTIL).</v>
      </c>
      <c r="R1130" s="5" t="str">
        <f>IFERROR(__xludf.DUMMYFUNCTION("""COMPUTED_VALUE"""),"SUBSTITUIR ABRIGO")</f>
        <v>SUBSTITUIR ABRIGO</v>
      </c>
      <c r="S1130" s="7">
        <f>IFERROR(__xludf.DUMMYFUNCTION("""COMPUTED_VALUE"""),44563.0)</f>
        <v>44563</v>
      </c>
      <c r="T1130" s="5"/>
      <c r="U1130" s="7">
        <f>IFERROR(__xludf.DUMMYFUNCTION("""COMPUTED_VALUE"""),44563.0)</f>
        <v>44563</v>
      </c>
      <c r="V1130" s="9" t="str">
        <f>IFERROR(__xludf.DUMMYFUNCTION("""COMPUTED_VALUE"""),"https://drive.google.com/uc?id=1MvC2T82GsKoFA3PN6WRjkOj7X-5q3nev")</f>
        <v>https://drive.google.com/uc?id=1MvC2T82GsKoFA3PN6WRjkOj7X-5q3nev</v>
      </c>
      <c r="W1130" s="5" t="str">
        <f>IFERROR(__xludf.DUMMYFUNCTION("""COMPUTED_VALUE"""),"NÃO")</f>
        <v>NÃO</v>
      </c>
      <c r="X1130" s="5" t="str">
        <f>IFERROR(__xludf.DUMMYFUNCTION("""COMPUTED_VALUE"""),"NÃO")</f>
        <v>NÃO</v>
      </c>
    </row>
    <row r="1131" hidden="1">
      <c r="A1131" s="5">
        <f>IFERROR(__xludf.DUMMYFUNCTION("""COMPUTED_VALUE"""),2.0)</f>
        <v>2</v>
      </c>
      <c r="B1131" s="5" t="str">
        <f>IFERROR(__xludf.DUMMYFUNCTION("""COMPUTED_VALUE"""),"LV003")</f>
        <v>LV003</v>
      </c>
      <c r="C1131" s="5" t="str">
        <f>IFERROR(__xludf.DUMMYFUNCTION("""COMPUTED_VALUE"""),"NÃO POSSUI")</f>
        <v>NÃO POSSUI</v>
      </c>
      <c r="D1131" s="5" t="str">
        <f>IFERROR(__xludf.DUMMYFUNCTION("""COMPUTED_VALUE"""),"FIXADA EM POSTE")</f>
        <v>FIXADA EM POSTE</v>
      </c>
      <c r="E1131" s="5" t="str">
        <f>IFERROR(__xludf.DUMMYFUNCTION("""COMPUTED_VALUE"""),"SEM BAIA")</f>
        <v>SEM BAIA</v>
      </c>
      <c r="F1131" s="5" t="str">
        <f>IFERROR(__xludf.DUMMYFUNCTION("""COMPUTED_VALUE"""),"NÃO")</f>
        <v>NÃO</v>
      </c>
      <c r="G1131" s="5" t="str">
        <f>IFERROR(__xludf.DUMMYFUNCTION("""COMPUTED_VALUE"""),"NÃO")</f>
        <v>NÃO</v>
      </c>
      <c r="H1131" s="5" t="str">
        <f>IFERROR(__xludf.DUMMYFUNCTION("""COMPUTED_VALUE"""),"PAVIMENTADA COM AVARIAS")</f>
        <v>PAVIMENTADA COM AVARIAS</v>
      </c>
      <c r="I1131" s="6" t="str">
        <f>IFERROR(__xludf.DUMMYFUNCTION("""COMPUTED_VALUE"""),"-9.663829")</f>
        <v>-9.663829</v>
      </c>
      <c r="J1131" s="6" t="str">
        <f>IFERROR(__xludf.DUMMYFUNCTION("""COMPUTED_VALUE""")," -35.744071")</f>
        <v> -35.744071</v>
      </c>
      <c r="K1131" s="5" t="str">
        <f>IFERROR(__xludf.DUMMYFUNCTION("""COMPUTED_VALUE"""),"RUA DEZESSEIS DE SETEMBRO, 94")</f>
        <v>RUA DEZESSEIS DE SETEMBRO, 94</v>
      </c>
      <c r="L1131" s="5" t="str">
        <f>IFERROR(__xludf.DUMMYFUNCTION("""COMPUTED_VALUE"""),"COLETORA")</f>
        <v>COLETORA</v>
      </c>
      <c r="M1131" s="5" t="str">
        <f>IFERROR(__xludf.DUMMYFUNCTION("""COMPUTED_VALUE"""),"LEVADA")</f>
        <v>LEVADA</v>
      </c>
      <c r="N1131" s="5" t="str">
        <f>IFERROR(__xludf.DUMMYFUNCTION("""COMPUTED_VALUE"""),"CENTRO - BAIRRO")</f>
        <v>CENTRO - BAIRRO</v>
      </c>
      <c r="O1131" s="5" t="str">
        <f>IFERROR(__xludf.DUMMYFUNCTION("""COMPUTED_VALUE"""),"EM FRENTE AO SINTRON-AL")</f>
        <v>EM FRENTE AO SINTRON-AL</v>
      </c>
      <c r="P1131" s="5" t="str">
        <f>IFERROR(__xludf.DUMMYFUNCTION("""COMPUTED_VALUE"""),"PRIORIDADE BAIXA")</f>
        <v>PRIORIDADE BAIXA</v>
      </c>
      <c r="Q1131" s="5" t="str">
        <f>IFERROR(__xludf.DUMMYFUNCTION("""COMPUTED_VALUE"""),"READEQUAÇÃO DA CALÇADA E PINTURA DA BAIA NO ASFALTO. ")</f>
        <v>READEQUAÇÃO DA CALÇADA E PINTURA DA BAIA NO ASFALTO. </v>
      </c>
      <c r="R1131" s="5" t="str">
        <f>IFERROR(__xludf.DUMMYFUNCTION("""COMPUTED_VALUE"""),"NENHUMA DAS OPÇÕES")</f>
        <v>NENHUMA DAS OPÇÕES</v>
      </c>
      <c r="S1131" s="7">
        <f>IFERROR(__xludf.DUMMYFUNCTION("""COMPUTED_VALUE"""),44564.0)</f>
        <v>44564</v>
      </c>
      <c r="T1131" s="5"/>
      <c r="U1131" s="7">
        <f>IFERROR(__xludf.DUMMYFUNCTION("""COMPUTED_VALUE"""),44564.0)</f>
        <v>44564</v>
      </c>
      <c r="V1131" s="9" t="str">
        <f>IFERROR(__xludf.DUMMYFUNCTION("""COMPUTED_VALUE"""),"https://drive.google.com/uc?id=1VKng9wuCqpL4KsKt2qe0GyLYH3-URCxB")</f>
        <v>https://drive.google.com/uc?id=1VKng9wuCqpL4KsKt2qe0GyLYH3-URCxB</v>
      </c>
      <c r="W1131" s="5" t="str">
        <f>IFERROR(__xludf.DUMMYFUNCTION("""COMPUTED_VALUE"""),"NÃO")</f>
        <v>NÃO</v>
      </c>
      <c r="X1131" s="5" t="str">
        <f>IFERROR(__xludf.DUMMYFUNCTION("""COMPUTED_VALUE"""),"NÃO SE APLICA")</f>
        <v>NÃO SE APLICA</v>
      </c>
    </row>
    <row r="1132" hidden="1">
      <c r="A1132" s="5">
        <f>IFERROR(__xludf.DUMMYFUNCTION("""COMPUTED_VALUE"""),2.0)</f>
        <v>2</v>
      </c>
      <c r="B1132" s="5" t="str">
        <f>IFERROR(__xludf.DUMMYFUNCTION("""COMPUTED_VALUE"""),"LV004")</f>
        <v>LV004</v>
      </c>
      <c r="C1132" s="5" t="str">
        <f>IFERROR(__xludf.DUMMYFUNCTION("""COMPUTED_VALUE"""),"NÃO POSSUI")</f>
        <v>NÃO POSSUI</v>
      </c>
      <c r="D1132" s="5" t="str">
        <f>IFERROR(__xludf.DUMMYFUNCTION("""COMPUTED_VALUE"""),"COM SUPORTE")</f>
        <v>COM SUPORTE</v>
      </c>
      <c r="E1132" s="5" t="str">
        <f>IFERROR(__xludf.DUMMYFUNCTION("""COMPUTED_VALUE"""),"SEM BAIA")</f>
        <v>SEM BAIA</v>
      </c>
      <c r="F1132" s="5" t="str">
        <f>IFERROR(__xludf.DUMMYFUNCTION("""COMPUTED_VALUE"""),"NÃO")</f>
        <v>NÃO</v>
      </c>
      <c r="G1132" s="5" t="str">
        <f>IFERROR(__xludf.DUMMYFUNCTION("""COMPUTED_VALUE"""),"NÃO")</f>
        <v>NÃO</v>
      </c>
      <c r="H1132" s="5" t="str">
        <f>IFERROR(__xludf.DUMMYFUNCTION("""COMPUTED_VALUE"""),"PAVIMENTADA COM AVARIAS")</f>
        <v>PAVIMENTADA COM AVARIAS</v>
      </c>
      <c r="I1132" s="6" t="str">
        <f>IFERROR(__xludf.DUMMYFUNCTION("""COMPUTED_VALUE"""),"-9.663821")</f>
        <v>-9.663821</v>
      </c>
      <c r="J1132" s="6" t="str">
        <f>IFERROR(__xludf.DUMMYFUNCTION("""COMPUTED_VALUE"""),"-35.744172")</f>
        <v>-35.744172</v>
      </c>
      <c r="K1132" s="5" t="str">
        <f>IFERROR(__xludf.DUMMYFUNCTION("""COMPUTED_VALUE"""),"RUA DEZESSEIS DE SETEMBRO, 114")</f>
        <v>RUA DEZESSEIS DE SETEMBRO, 114</v>
      </c>
      <c r="L1132" s="5" t="str">
        <f>IFERROR(__xludf.DUMMYFUNCTION("""COMPUTED_VALUE"""),"COLETORA")</f>
        <v>COLETORA</v>
      </c>
      <c r="M1132" s="5" t="str">
        <f>IFERROR(__xludf.DUMMYFUNCTION("""COMPUTED_VALUE"""),"LEVADA")</f>
        <v>LEVADA</v>
      </c>
      <c r="N1132" s="5" t="str">
        <f>IFERROR(__xludf.DUMMYFUNCTION("""COMPUTED_VALUE"""),"CENTRO - BAIRRO")</f>
        <v>CENTRO - BAIRRO</v>
      </c>
      <c r="O1132" s="5" t="str">
        <f>IFERROR(__xludf.DUMMYFUNCTION("""COMPUTED_VALUE"""),"EM FRENTE AO SINTRON-AL")</f>
        <v>EM FRENTE AO SINTRON-AL</v>
      </c>
      <c r="P1132" s="5" t="str">
        <f>IFERROR(__xludf.DUMMYFUNCTION("""COMPUTED_VALUE"""),"PRIORIDADE BAIXA")</f>
        <v>PRIORIDADE BAIXA</v>
      </c>
      <c r="Q1132" s="5" t="str">
        <f>IFERROR(__xludf.DUMMYFUNCTION("""COMPUTED_VALUE""")," PINTURA DA BAIA NO ASFALTO E READEQUAÇÃO DA CALÇADA (RAMPA DE ACESSIBILIDADE E PISO TÁTIL).")</f>
        <v> PINTURA DA BAIA NO ASFALTO E READEQUAÇÃO DA CALÇADA (RAMPA DE ACESSIBILIDADE E PISO TÁTIL).</v>
      </c>
      <c r="R1132" s="5" t="str">
        <f>IFERROR(__xludf.DUMMYFUNCTION("""COMPUTED_VALUE"""),"NENHUMA DAS OPÇÕES")</f>
        <v>NENHUMA DAS OPÇÕES</v>
      </c>
      <c r="S1132" s="7">
        <f>IFERROR(__xludf.DUMMYFUNCTION("""COMPUTED_VALUE"""),44565.0)</f>
        <v>44565</v>
      </c>
      <c r="T1132" s="5"/>
      <c r="U1132" s="7">
        <f>IFERROR(__xludf.DUMMYFUNCTION("""COMPUTED_VALUE"""),44565.0)</f>
        <v>44565</v>
      </c>
      <c r="V1132" s="9" t="str">
        <f>IFERROR(__xludf.DUMMYFUNCTION("""COMPUTED_VALUE"""),"https://drive.google.com/uc?id=1MVWVjU_gG_p5SgXCdVez0JNNeOu-69qb")</f>
        <v>https://drive.google.com/uc?id=1MVWVjU_gG_p5SgXCdVez0JNNeOu-69qb</v>
      </c>
      <c r="W1132" s="5" t="str">
        <f>IFERROR(__xludf.DUMMYFUNCTION("""COMPUTED_VALUE"""),"NÃO")</f>
        <v>NÃO</v>
      </c>
      <c r="X1132" s="5" t="str">
        <f>IFERROR(__xludf.DUMMYFUNCTION("""COMPUTED_VALUE"""),"NÃO SE APLICA")</f>
        <v>NÃO SE APLICA</v>
      </c>
    </row>
    <row r="1133" hidden="1">
      <c r="A1133" s="5">
        <f>IFERROR(__xludf.DUMMYFUNCTION("""COMPUTED_VALUE"""),2.0)</f>
        <v>2</v>
      </c>
      <c r="B1133" s="5" t="str">
        <f>IFERROR(__xludf.DUMMYFUNCTION("""COMPUTED_VALUE"""),"LV005")</f>
        <v>LV005</v>
      </c>
      <c r="C1133" s="5" t="str">
        <f>IFERROR(__xludf.DUMMYFUNCTION("""COMPUTED_VALUE"""),"NÃO POSSUI")</f>
        <v>NÃO POSSUI</v>
      </c>
      <c r="D1133" s="5" t="str">
        <f>IFERROR(__xludf.DUMMYFUNCTION("""COMPUTED_VALUE"""),"COM SUPORTE")</f>
        <v>COM SUPORTE</v>
      </c>
      <c r="E1133" s="5" t="str">
        <f>IFERROR(__xludf.DUMMYFUNCTION("""COMPUTED_VALUE"""),"SEM BAIA")</f>
        <v>SEM BAIA</v>
      </c>
      <c r="F1133" s="5" t="str">
        <f>IFERROR(__xludf.DUMMYFUNCTION("""COMPUTED_VALUE"""),"NÃO")</f>
        <v>NÃO</v>
      </c>
      <c r="G1133" s="5" t="str">
        <f>IFERROR(__xludf.DUMMYFUNCTION("""COMPUTED_VALUE"""),"NÃO")</f>
        <v>NÃO</v>
      </c>
      <c r="H1133" s="5" t="str">
        <f>IFERROR(__xludf.DUMMYFUNCTION("""COMPUTED_VALUE"""),"PAVIMENTADA")</f>
        <v>PAVIMENTADA</v>
      </c>
      <c r="I1133" s="6" t="str">
        <f>IFERROR(__xludf.DUMMYFUNCTION("""COMPUTED_VALUE"""),"-9.664383")</f>
        <v>-9.664383</v>
      </c>
      <c r="J1133" s="6" t="str">
        <f>IFERROR(__xludf.DUMMYFUNCTION("""COMPUTED_VALUE"""),"-35.744522")</f>
        <v>-35.744522</v>
      </c>
      <c r="K1133" s="5" t="str">
        <f>IFERROR(__xludf.DUMMYFUNCTION("""COMPUTED_VALUE"""),"RUA FORMOSA, 819")</f>
        <v>RUA FORMOSA, 819</v>
      </c>
      <c r="L1133" s="5" t="str">
        <f>IFERROR(__xludf.DUMMYFUNCTION("""COMPUTED_VALUE"""),"COLETORA")</f>
        <v>COLETORA</v>
      </c>
      <c r="M1133" s="5" t="str">
        <f>IFERROR(__xludf.DUMMYFUNCTION("""COMPUTED_VALUE"""),"LEVADA")</f>
        <v>LEVADA</v>
      </c>
      <c r="N1133" s="5" t="str">
        <f>IFERROR(__xludf.DUMMYFUNCTION("""COMPUTED_VALUE"""),"CENTRO - BAIRRO")</f>
        <v>CENTRO - BAIRRO</v>
      </c>
      <c r="O1133" s="5"/>
      <c r="P1133" s="5" t="str">
        <f>IFERROR(__xludf.DUMMYFUNCTION("""COMPUTED_VALUE"""),"PRIORIDADE BAIXA")</f>
        <v>PRIORIDADE BAIXA</v>
      </c>
      <c r="Q1133" s="5" t="str">
        <f>IFERROR(__xludf.DUMMYFUNCTION("""COMPUTED_VALUE"""),"PLACA EM LOCAL INADEQUEADO - REALOCAR  PLACA DO LOCAL DA IMAGEM 1 (CASA 819) PARA O LOCAL DA IMAGEM 2 (CASA 745) NA MESMA RUA; PINTURA DA BAIA NO ASFALTO COM O TEXTO ALINHADO A PLACA; READEQUAÇÃO DA CALÇADA (RAMPA DE ACESSIBILIDADE E PISO TÁTIL).")</f>
        <v>PLACA EM LOCAL INADEQUEADO - REALOCAR  PLACA DO LOCAL DA IMAGEM 1 (CASA 819) PARA O LOCAL DA IMAGEM 2 (CASA 745) NA MESMA RUA; PINTURA DA BAIA NO ASFALTO COM O TEXTO ALINHADO A PLACA; READEQUAÇÃO DA CALÇADA (RAMPA DE ACESSIBILIDADE E PISO TÁTIL).</v>
      </c>
      <c r="R1133" s="5" t="str">
        <f>IFERROR(__xludf.DUMMYFUNCTION("""COMPUTED_VALUE"""),"NENHUMA DAS OPÇÕES")</f>
        <v>NENHUMA DAS OPÇÕES</v>
      </c>
      <c r="S1133" s="7">
        <f>IFERROR(__xludf.DUMMYFUNCTION("""COMPUTED_VALUE"""),44566.0)</f>
        <v>44566</v>
      </c>
      <c r="T1133" s="5"/>
      <c r="U1133" s="7">
        <f>IFERROR(__xludf.DUMMYFUNCTION("""COMPUTED_VALUE"""),44566.0)</f>
        <v>44566</v>
      </c>
      <c r="V1133" s="9" t="str">
        <f>IFERROR(__xludf.DUMMYFUNCTION("""COMPUTED_VALUE"""),"https://drive.google.com/uc?id=1xgUvLtbyvydW9jhUzFNgyuLd-CaKd9_0")</f>
        <v>https://drive.google.com/uc?id=1xgUvLtbyvydW9jhUzFNgyuLd-CaKd9_0</v>
      </c>
      <c r="W1133" s="5" t="str">
        <f>IFERROR(__xludf.DUMMYFUNCTION("""COMPUTED_VALUE"""),"NÃO")</f>
        <v>NÃO</v>
      </c>
      <c r="X1133" s="5" t="str">
        <f>IFERROR(__xludf.DUMMYFUNCTION("""COMPUTED_VALUE"""),"NÃO SE APLICA")</f>
        <v>NÃO SE APLICA</v>
      </c>
    </row>
    <row r="1134">
      <c r="A1134" s="5">
        <f>IFERROR(__xludf.DUMMYFUNCTION("""COMPUTED_VALUE"""),2.0)</f>
        <v>2</v>
      </c>
      <c r="B1134" s="5" t="str">
        <f>IFERROR(__xludf.DUMMYFUNCTION("""COMPUTED_VALUE"""),"LV006")</f>
        <v>LV006</v>
      </c>
      <c r="C1134" s="5" t="str">
        <f>IFERROR(__xludf.DUMMYFUNCTION("""COMPUTED_VALUE"""),"ABRIGO CONCRETO")</f>
        <v>ABRIGO CONCRETO</v>
      </c>
      <c r="D1134" s="5" t="str">
        <f>IFERROR(__xludf.DUMMYFUNCTION("""COMPUTED_VALUE"""),"SEM PLACA")</f>
        <v>SEM PLACA</v>
      </c>
      <c r="E1134" s="5" t="str">
        <f>IFERROR(__xludf.DUMMYFUNCTION("""COMPUTED_VALUE"""),"SEM BAIA")</f>
        <v>SEM BAIA</v>
      </c>
      <c r="F1134" s="5" t="str">
        <f>IFERROR(__xludf.DUMMYFUNCTION("""COMPUTED_VALUE"""),"SIM")</f>
        <v>SIM</v>
      </c>
      <c r="G1134" s="5" t="str">
        <f>IFERROR(__xludf.DUMMYFUNCTION("""COMPUTED_VALUE"""),"NÃO")</f>
        <v>NÃO</v>
      </c>
      <c r="H1134" s="5" t="str">
        <f>IFERROR(__xludf.DUMMYFUNCTION("""COMPUTED_VALUE"""),"PAVIMENTADA")</f>
        <v>PAVIMENTADA</v>
      </c>
      <c r="I1134" s="6" t="str">
        <f>IFERROR(__xludf.DUMMYFUNCTION("""COMPUTED_VALUE"""),"-9.662258")</f>
        <v>-9.662258</v>
      </c>
      <c r="J1134" s="6" t="str">
        <f>IFERROR(__xludf.DUMMYFUNCTION("""COMPUTED_VALUE"""),"-35.747435")</f>
        <v>-35.747435</v>
      </c>
      <c r="K1134" s="5" t="str">
        <f>IFERROR(__xludf.DUMMYFUNCTION("""COMPUTED_VALUE"""),"RUA SANTO ANTÔNIO, S/N")</f>
        <v>RUA SANTO ANTÔNIO, S/N</v>
      </c>
      <c r="L1134" s="5" t="str">
        <f>IFERROR(__xludf.DUMMYFUNCTION("""COMPUTED_VALUE"""),"COLETORA")</f>
        <v>COLETORA</v>
      </c>
      <c r="M1134" s="5" t="str">
        <f>IFERROR(__xludf.DUMMYFUNCTION("""COMPUTED_VALUE"""),"LEVADA")</f>
        <v>LEVADA</v>
      </c>
      <c r="N1134" s="5" t="str">
        <f>IFERROR(__xludf.DUMMYFUNCTION("""COMPUTED_VALUE"""),"CENTRO - BAIRRO")</f>
        <v>CENTRO - BAIRRO</v>
      </c>
      <c r="O1134" s="5" t="str">
        <f>IFERROR(__xludf.DUMMYFUNCTION("""COMPUTED_VALUE"""),"EM FRENTE A PRAÇA SANTO ANTÔNIO")</f>
        <v>EM FRENTE A PRAÇA SANTO ANTÔNIO</v>
      </c>
      <c r="P1134" s="5" t="str">
        <f>IFERROR(__xludf.DUMMYFUNCTION("""COMPUTED_VALUE"""),"PRIORIDADE BAIXA")</f>
        <v>PRIORIDADE BAIXA</v>
      </c>
      <c r="Q1134" s="5" t="str">
        <f>IFERROR(__xludf.DUMMYFUNCTION("""COMPUTED_VALUE"""),"NECESSÁRIO FAZER LIMPEZA NA COBERTA; REMOÇÃO DAS COLAGENS, PINTURA DO ABRIGO; PINTURA DA BAIA NO ASFALTO E READEQUAÇÃO DA CALÇADA (PISO TÁTIL).")</f>
        <v>NECESSÁRIO FAZER LIMPEZA NA COBERTA; REMOÇÃO DAS COLAGENS, PINTURA DO ABRIGO; PINTURA DA BAIA NO ASFALTO E READEQUAÇÃO DA CALÇADA (PISO TÁTIL).</v>
      </c>
      <c r="R1134" s="5" t="str">
        <f>IFERROR(__xludf.DUMMYFUNCTION("""COMPUTED_VALUE"""),"SUBSTITUIR ABRIGO")</f>
        <v>SUBSTITUIR ABRIGO</v>
      </c>
      <c r="S1134" s="7">
        <f>IFERROR(__xludf.DUMMYFUNCTION("""COMPUTED_VALUE"""),44567.0)</f>
        <v>44567</v>
      </c>
      <c r="T1134" s="5"/>
      <c r="U1134" s="7">
        <f>IFERROR(__xludf.DUMMYFUNCTION("""COMPUTED_VALUE"""),44567.0)</f>
        <v>44567</v>
      </c>
      <c r="V1134" s="9" t="str">
        <f>IFERROR(__xludf.DUMMYFUNCTION("""COMPUTED_VALUE"""),"https://drive.google.com/uc?id=1F5cqKGrKxY1EklXQwk5RmYlH1xEMpyS2")</f>
        <v>https://drive.google.com/uc?id=1F5cqKGrKxY1EklXQwk5RmYlH1xEMpyS2</v>
      </c>
      <c r="W1134" s="5" t="str">
        <f>IFERROR(__xludf.DUMMYFUNCTION("""COMPUTED_VALUE"""),"NÃO")</f>
        <v>NÃO</v>
      </c>
      <c r="X1134" s="5" t="str">
        <f>IFERROR(__xludf.DUMMYFUNCTION("""COMPUTED_VALUE"""),"NÃO SE APLICA")</f>
        <v>NÃO SE APLICA</v>
      </c>
    </row>
    <row r="1135" hidden="1">
      <c r="A1135" s="5">
        <f>IFERROR(__xludf.DUMMYFUNCTION("""COMPUTED_VALUE"""),2.0)</f>
        <v>2</v>
      </c>
      <c r="B1135" s="5" t="str">
        <f>IFERROR(__xludf.DUMMYFUNCTION("""COMPUTED_VALUE"""),"LV007")</f>
        <v>LV007</v>
      </c>
      <c r="C1135" s="5" t="str">
        <f>IFERROR(__xludf.DUMMYFUNCTION("""COMPUTED_VALUE"""),"NÃO POSSUI")</f>
        <v>NÃO POSSUI</v>
      </c>
      <c r="D1135" s="5" t="str">
        <f>IFERROR(__xludf.DUMMYFUNCTION("""COMPUTED_VALUE"""),"FIXADA EM POSTE")</f>
        <v>FIXADA EM POSTE</v>
      </c>
      <c r="E1135" s="5" t="str">
        <f>IFERROR(__xludf.DUMMYFUNCTION("""COMPUTED_VALUE"""),"SEM BAIA")</f>
        <v>SEM BAIA</v>
      </c>
      <c r="F1135" s="5" t="str">
        <f>IFERROR(__xludf.DUMMYFUNCTION("""COMPUTED_VALUE"""),"NÃO")</f>
        <v>NÃO</v>
      </c>
      <c r="G1135" s="5" t="str">
        <f>IFERROR(__xludf.DUMMYFUNCTION("""COMPUTED_VALUE"""),"NÃO")</f>
        <v>NÃO</v>
      </c>
      <c r="H1135" s="5" t="str">
        <f>IFERROR(__xludf.DUMMYFUNCTION("""COMPUTED_VALUE"""),"PAVIMENTADA")</f>
        <v>PAVIMENTADA</v>
      </c>
      <c r="I1135" s="6" t="str">
        <f>IFERROR(__xludf.DUMMYFUNCTION("""COMPUTED_VALUE"""),"-9.664864")</f>
        <v>-9.664864</v>
      </c>
      <c r="J1135" s="6" t="str">
        <f>IFERROR(__xludf.DUMMYFUNCTION("""COMPUTED_VALUE"""),"-35.746907")</f>
        <v>-35.746907</v>
      </c>
      <c r="K1135" s="5" t="str">
        <f>IFERROR(__xludf.DUMMYFUNCTION("""COMPUTED_VALUE"""),"RUA COM. TEIXEIRA BASTOS, 498")</f>
        <v>RUA COM. TEIXEIRA BASTOS, 498</v>
      </c>
      <c r="L1135" s="5" t="str">
        <f>IFERROR(__xludf.DUMMYFUNCTION("""COMPUTED_VALUE"""),"COLETORA")</f>
        <v>COLETORA</v>
      </c>
      <c r="M1135" s="5" t="str">
        <f>IFERROR(__xludf.DUMMYFUNCTION("""COMPUTED_VALUE"""),"LEVADA")</f>
        <v>LEVADA</v>
      </c>
      <c r="N1135" s="5" t="str">
        <f>IFERROR(__xludf.DUMMYFUNCTION("""COMPUTED_VALUE"""),"BAIRRO - CENTRO")</f>
        <v>BAIRRO - CENTRO</v>
      </c>
      <c r="O1135" s="5"/>
      <c r="P1135" s="5" t="str">
        <f>IFERROR(__xludf.DUMMYFUNCTION("""COMPUTED_VALUE"""),"PRIORIDADE BAIXA")</f>
        <v>PRIORIDADE BAIXA</v>
      </c>
      <c r="Q1135" s="5" t="str">
        <f>IFERROR(__xludf.DUMMYFUNCTION("""COMPUTED_VALUE"""),"SUBSTITUIÇÃO DE PLACA FIXADA EM POSTE; PINTURA DA BAIA NO ASFALTO COM TEXTO DA BAIA ALINHADO A PLACA; READEQUAÇÃO DA CALÇADA (RAMPA DE ACESSIBILIDADE E PISO TÁTIL). ")</f>
        <v>SUBSTITUIÇÃO DE PLACA FIXADA EM POSTE; PINTURA DA BAIA NO ASFALTO COM TEXTO DA BAIA ALINHADO A PLACA; READEQUAÇÃO DA CALÇADA (RAMPA DE ACESSIBILIDADE E PISO TÁTIL). </v>
      </c>
      <c r="R1135" s="5" t="str">
        <f>IFERROR(__xludf.DUMMYFUNCTION("""COMPUTED_VALUE"""),"NENHUMA DAS OPÇÕES")</f>
        <v>NENHUMA DAS OPÇÕES</v>
      </c>
      <c r="S1135" s="7">
        <f>IFERROR(__xludf.DUMMYFUNCTION("""COMPUTED_VALUE"""),44568.0)</f>
        <v>44568</v>
      </c>
      <c r="T1135" s="5"/>
      <c r="U1135" s="7">
        <f>IFERROR(__xludf.DUMMYFUNCTION("""COMPUTED_VALUE"""),44568.0)</f>
        <v>44568</v>
      </c>
      <c r="V1135" s="9" t="str">
        <f>IFERROR(__xludf.DUMMYFUNCTION("""COMPUTED_VALUE"""),"https://drive.google.com/uc?id=1jz_294jHGBGM5TURNfCl66apFoBT_uB5")</f>
        <v>https://drive.google.com/uc?id=1jz_294jHGBGM5TURNfCl66apFoBT_uB5</v>
      </c>
      <c r="W1135" s="5" t="str">
        <f>IFERROR(__xludf.DUMMYFUNCTION("""COMPUTED_VALUE"""),"NÃO")</f>
        <v>NÃO</v>
      </c>
      <c r="X1135" s="5" t="str">
        <f>IFERROR(__xludf.DUMMYFUNCTION("""COMPUTED_VALUE"""),"NÃO SE APLICA")</f>
        <v>NÃO SE APLICA</v>
      </c>
    </row>
    <row r="1136" hidden="1">
      <c r="A1136" s="5">
        <f>IFERROR(__xludf.DUMMYFUNCTION("""COMPUTED_VALUE"""),2.0)</f>
        <v>2</v>
      </c>
      <c r="B1136" s="5" t="str">
        <f>IFERROR(__xludf.DUMMYFUNCTION("""COMPUTED_VALUE"""),"LV008")</f>
        <v>LV008</v>
      </c>
      <c r="C1136" s="5" t="str">
        <f>IFERROR(__xludf.DUMMYFUNCTION("""COMPUTED_VALUE"""),"NÃO POSSUI")</f>
        <v>NÃO POSSUI</v>
      </c>
      <c r="D1136" s="5" t="str">
        <f>IFERROR(__xludf.DUMMYFUNCTION("""COMPUTED_VALUE"""),"SEM PLACA")</f>
        <v>SEM PLACA</v>
      </c>
      <c r="E1136" s="5" t="str">
        <f>IFERROR(__xludf.DUMMYFUNCTION("""COMPUTED_VALUE"""),"SEM BAIA")</f>
        <v>SEM BAIA</v>
      </c>
      <c r="F1136" s="5" t="str">
        <f>IFERROR(__xludf.DUMMYFUNCTION("""COMPUTED_VALUE"""),"NÃO")</f>
        <v>NÃO</v>
      </c>
      <c r="G1136" s="5" t="str">
        <f>IFERROR(__xludf.DUMMYFUNCTION("""COMPUTED_VALUE"""),"NÃO")</f>
        <v>NÃO</v>
      </c>
      <c r="H1136" s="5" t="str">
        <f>IFERROR(__xludf.DUMMYFUNCTION("""COMPUTED_VALUE"""),"PAVIMENTADA COM AVARIAS")</f>
        <v>PAVIMENTADA COM AVARIAS</v>
      </c>
      <c r="I1136" s="6" t="str">
        <f>IFERROR(__xludf.DUMMYFUNCTION("""COMPUTED_VALUE"""),"-9.664197")</f>
        <v>-9.664197</v>
      </c>
      <c r="J1136" s="6" t="str">
        <f>IFERROR(__xludf.DUMMYFUNCTION("""COMPUTED_VALUE"""),"-35.746862")</f>
        <v>-35.746862</v>
      </c>
      <c r="K1136" s="5" t="str">
        <f>IFERROR(__xludf.DUMMYFUNCTION("""COMPUTED_VALUE"""),"RUA FORMOSA, 997")</f>
        <v>RUA FORMOSA, 997</v>
      </c>
      <c r="L1136" s="5" t="str">
        <f>IFERROR(__xludf.DUMMYFUNCTION("""COMPUTED_VALUE"""),"COLETORA")</f>
        <v>COLETORA</v>
      </c>
      <c r="M1136" s="5" t="str">
        <f>IFERROR(__xludf.DUMMYFUNCTION("""COMPUTED_VALUE"""),"LEVADA")</f>
        <v>LEVADA</v>
      </c>
      <c r="N1136" s="5" t="str">
        <f>IFERROR(__xludf.DUMMYFUNCTION("""COMPUTED_VALUE"""),"BAIRRO - CENTRO")</f>
        <v>BAIRRO - CENTRO</v>
      </c>
      <c r="O1136" s="5" t="str">
        <f>IFERROR(__xludf.DUMMYFUNCTION("""COMPUTED_VALUE"""),"EM FRENTE AO CHAVEIRO BRASIL")</f>
        <v>EM FRENTE AO CHAVEIRO BRASIL</v>
      </c>
      <c r="P1136" s="5" t="str">
        <f>IFERROR(__xludf.DUMMYFUNCTION("""COMPUTED_VALUE"""),"PRIORIDADE MÉDIA")</f>
        <v>PRIORIDADE MÉDIA</v>
      </c>
      <c r="Q1136" s="5" t="str">
        <f>IFERROR(__xludf.DUMMYFUNCTION("""COMPUTED_VALUE"""),"IMPLANTAR PLACA FIXADA EM POSTE DE CONCRETO; PINTURA DA BAIA NO ASFALTO; READEQUAÇÃO DA CALÇADA.")</f>
        <v>IMPLANTAR PLACA FIXADA EM POSTE DE CONCRETO; PINTURA DA BAIA NO ASFALTO; READEQUAÇÃO DA CALÇADA.</v>
      </c>
      <c r="R1136" s="5" t="str">
        <f>IFERROR(__xludf.DUMMYFUNCTION("""COMPUTED_VALUE"""),"NENHUMA DAS OPÇÕES")</f>
        <v>NENHUMA DAS OPÇÕES</v>
      </c>
      <c r="S1136" s="7">
        <f>IFERROR(__xludf.DUMMYFUNCTION("""COMPUTED_VALUE"""),44569.0)</f>
        <v>44569</v>
      </c>
      <c r="T1136" s="5"/>
      <c r="U1136" s="7">
        <f>IFERROR(__xludf.DUMMYFUNCTION("""COMPUTED_VALUE"""),44569.0)</f>
        <v>44569</v>
      </c>
      <c r="V1136" s="9" t="str">
        <f>IFERROR(__xludf.DUMMYFUNCTION("""COMPUTED_VALUE"""),"https://drive.google.com/uc?id=1QQIuqMJdAwoL0umNeBR1S8OMXccLd4x_")</f>
        <v>https://drive.google.com/uc?id=1QQIuqMJdAwoL0umNeBR1S8OMXccLd4x_</v>
      </c>
      <c r="W1136" s="5" t="str">
        <f>IFERROR(__xludf.DUMMYFUNCTION("""COMPUTED_VALUE"""),"NÃO")</f>
        <v>NÃO</v>
      </c>
      <c r="X1136" s="5" t="str">
        <f>IFERROR(__xludf.DUMMYFUNCTION("""COMPUTED_VALUE"""),"NÃO SE APLICA")</f>
        <v>NÃO SE APLICA</v>
      </c>
    </row>
    <row r="1137" hidden="1">
      <c r="A1137" s="5">
        <f>IFERROR(__xludf.DUMMYFUNCTION("""COMPUTED_VALUE"""),2.0)</f>
        <v>2</v>
      </c>
      <c r="B1137" s="5" t="str">
        <f>IFERROR(__xludf.DUMMYFUNCTION("""COMPUTED_VALUE"""),"LV009")</f>
        <v>LV009</v>
      </c>
      <c r="C1137" s="5" t="str">
        <f>IFERROR(__xludf.DUMMYFUNCTION("""COMPUTED_VALUE"""),"NÃO POSSUI")</f>
        <v>NÃO POSSUI</v>
      </c>
      <c r="D1137" s="5" t="str">
        <f>IFERROR(__xludf.DUMMYFUNCTION("""COMPUTED_VALUE"""),"COM SUPORTE")</f>
        <v>COM SUPORTE</v>
      </c>
      <c r="E1137" s="5" t="str">
        <f>IFERROR(__xludf.DUMMYFUNCTION("""COMPUTED_VALUE"""),"SEM BAIA")</f>
        <v>SEM BAIA</v>
      </c>
      <c r="F1137" s="5" t="str">
        <f>IFERROR(__xludf.DUMMYFUNCTION("""COMPUTED_VALUE"""),"NÃO")</f>
        <v>NÃO</v>
      </c>
      <c r="G1137" s="5" t="str">
        <f>IFERROR(__xludf.DUMMYFUNCTION("""COMPUTED_VALUE"""),"NÃO")</f>
        <v>NÃO</v>
      </c>
      <c r="H1137" s="5" t="str">
        <f>IFERROR(__xludf.DUMMYFUNCTION("""COMPUTED_VALUE"""),"PAVIMENTADA COM AVARIAS")</f>
        <v>PAVIMENTADA COM AVARIAS</v>
      </c>
      <c r="I1137" s="6" t="str">
        <f>IFERROR(__xludf.DUMMYFUNCTION("""COMPUTED_VALUE"""),"-9.662215")</f>
        <v>-9.662215</v>
      </c>
      <c r="J1137" s="6" t="str">
        <f>IFERROR(__xludf.DUMMYFUNCTION("""COMPUTED_VALUE"""),"-35.745434")</f>
        <v>-35.745434</v>
      </c>
      <c r="K1137" s="5" t="str">
        <f>IFERROR(__xludf.DUMMYFUNCTION("""COMPUTED_VALUE"""),"RUA CEL. CAHET, 110")</f>
        <v>RUA CEL. CAHET, 110</v>
      </c>
      <c r="L1137" s="5" t="str">
        <f>IFERROR(__xludf.DUMMYFUNCTION("""COMPUTED_VALUE"""),"COLETORA")</f>
        <v>COLETORA</v>
      </c>
      <c r="M1137" s="5" t="str">
        <f>IFERROR(__xludf.DUMMYFUNCTION("""COMPUTED_VALUE"""),"LEVADA")</f>
        <v>LEVADA</v>
      </c>
      <c r="N1137" s="5" t="str">
        <f>IFERROR(__xludf.DUMMYFUNCTION("""COMPUTED_VALUE"""),"BAIRRO - CENTRO")</f>
        <v>BAIRRO - CENTRO</v>
      </c>
      <c r="O1137" s="5" t="str">
        <f>IFERROR(__xludf.DUMMYFUNCTION("""COMPUTED_VALUE"""),"PRÓXIMO AO AMBULATÓRIO NOÉLIA LESSA")</f>
        <v>PRÓXIMO AO AMBULATÓRIO NOÉLIA LESSA</v>
      </c>
      <c r="P1137" s="5" t="str">
        <f>IFERROR(__xludf.DUMMYFUNCTION("""COMPUTED_VALUE"""),"PRIORIDADE BAIXA")</f>
        <v>PRIORIDADE BAIXA</v>
      </c>
      <c r="Q1137" s="5" t="str">
        <f>IFERROR(__xludf.DUMMYFUNCTION("""COMPUTED_VALUE"""),"IMPLANTAR PLACA FIXADA EM SUPORTE DE MADEIRA; PINTURA DA BAIA NO ASFALTO E ADEQUAÇÃO DA CALÇADA (RAMPA DE ACESSIBILIDADE E PISO TÁTIL).")</f>
        <v>IMPLANTAR PLACA FIXADA EM SUPORTE DE MADEIRA; PINTURA DA BAIA NO ASFALTO E ADEQUAÇÃO DA CALÇADA (RAMPA DE ACESSIBILIDADE E PISO TÁTIL).</v>
      </c>
      <c r="R1137" s="5" t="str">
        <f>IFERROR(__xludf.DUMMYFUNCTION("""COMPUTED_VALUE"""),"NENHUMA DAS OPÇÕES")</f>
        <v>NENHUMA DAS OPÇÕES</v>
      </c>
      <c r="S1137" s="7">
        <f>IFERROR(__xludf.DUMMYFUNCTION("""COMPUTED_VALUE"""),44570.0)</f>
        <v>44570</v>
      </c>
      <c r="T1137" s="5"/>
      <c r="U1137" s="7">
        <f>IFERROR(__xludf.DUMMYFUNCTION("""COMPUTED_VALUE"""),44570.0)</f>
        <v>44570</v>
      </c>
      <c r="V1137" s="9" t="str">
        <f>IFERROR(__xludf.DUMMYFUNCTION("""COMPUTED_VALUE"""),"https://drive.google.com/uc?id=1Up929_ljGYlxeh8Lbqtr6VtCKdlmEW4q")</f>
        <v>https://drive.google.com/uc?id=1Up929_ljGYlxeh8Lbqtr6VtCKdlmEW4q</v>
      </c>
      <c r="W1137" s="5" t="str">
        <f>IFERROR(__xludf.DUMMYFUNCTION("""COMPUTED_VALUE"""),"NÃO")</f>
        <v>NÃO</v>
      </c>
      <c r="X1137" s="5" t="str">
        <f>IFERROR(__xludf.DUMMYFUNCTION("""COMPUTED_VALUE"""),"NÃO SE APLICA")</f>
        <v>NÃO SE APLICA</v>
      </c>
    </row>
    <row r="1138" hidden="1">
      <c r="A1138" s="5">
        <f>IFERROR(__xludf.DUMMYFUNCTION("""COMPUTED_VALUE"""),2.0)</f>
        <v>2</v>
      </c>
      <c r="B1138" s="5" t="str">
        <f>IFERROR(__xludf.DUMMYFUNCTION("""COMPUTED_VALUE"""),"LV010")</f>
        <v>LV010</v>
      </c>
      <c r="C1138" s="5" t="str">
        <f>IFERROR(__xludf.DUMMYFUNCTION("""COMPUTED_VALUE"""),"NÃO POSSUI")</f>
        <v>NÃO POSSUI</v>
      </c>
      <c r="D1138" s="5" t="str">
        <f>IFERROR(__xludf.DUMMYFUNCTION("""COMPUTED_VALUE"""),"SEM PLACA")</f>
        <v>SEM PLACA</v>
      </c>
      <c r="E1138" s="5" t="str">
        <f>IFERROR(__xludf.DUMMYFUNCTION("""COMPUTED_VALUE"""),"SEM BAIA")</f>
        <v>SEM BAIA</v>
      </c>
      <c r="F1138" s="5" t="str">
        <f>IFERROR(__xludf.DUMMYFUNCTION("""COMPUTED_VALUE"""),"NÃO")</f>
        <v>NÃO</v>
      </c>
      <c r="G1138" s="5" t="str">
        <f>IFERROR(__xludf.DUMMYFUNCTION("""COMPUTED_VALUE"""),"NÃO")</f>
        <v>NÃO</v>
      </c>
      <c r="H1138" s="5" t="str">
        <f>IFERROR(__xludf.DUMMYFUNCTION("""COMPUTED_VALUE"""),"PAVIMENTADA")</f>
        <v>PAVIMENTADA</v>
      </c>
      <c r="I1138" s="6" t="str">
        <f>IFERROR(__xludf.DUMMYFUNCTION("""COMPUTED_VALUE"""),"-9.655990")</f>
        <v>-9.655990</v>
      </c>
      <c r="J1138" s="6" t="str">
        <f>IFERROR(__xludf.DUMMYFUNCTION("""COMPUTED_VALUE"""),"-35.748921")</f>
        <v>-35.748921</v>
      </c>
      <c r="K1138" s="5" t="str">
        <f>IFERROR(__xludf.DUMMYFUNCTION("""COMPUTED_VALUE"""),"AV. SENADOR RUI PALMEIRA ")</f>
        <v>AV. SENADOR RUI PALMEIRA </v>
      </c>
      <c r="L1138" s="5" t="str">
        <f>IFERROR(__xludf.DUMMYFUNCTION("""COMPUTED_VALUE"""),"ARTERIAL ")</f>
        <v>ARTERIAL </v>
      </c>
      <c r="M1138" s="5" t="str">
        <f>IFERROR(__xludf.DUMMYFUNCTION("""COMPUTED_VALUE"""),"LEVADA")</f>
        <v>LEVADA</v>
      </c>
      <c r="N1138" s="5" t="str">
        <f>IFERROR(__xludf.DUMMYFUNCTION("""COMPUTED_VALUE"""),"BAIRRO - CENTRO")</f>
        <v>BAIRRO - CENTRO</v>
      </c>
      <c r="O1138" s="5" t="str">
        <f>IFERROR(__xludf.DUMMYFUNCTION("""COMPUTED_VALUE"""),"PRÓXIMO A FERRO VELHO LAGUNAR")</f>
        <v>PRÓXIMO A FERRO VELHO LAGUNAR</v>
      </c>
      <c r="P1138" s="5" t="str">
        <f>IFERROR(__xludf.DUMMYFUNCTION("""COMPUTED_VALUE"""),"PRIORIDADE BAIXA")</f>
        <v>PRIORIDADE BAIXA</v>
      </c>
      <c r="Q1138" s="5" t="str">
        <f>IFERROR(__xludf.DUMMYFUNCTION("""COMPUTED_VALUE"""),"IMPLANTAR PLACA EM BARROTE")</f>
        <v>IMPLANTAR PLACA EM BARROTE</v>
      </c>
      <c r="R1138" s="5" t="str">
        <f>IFERROR(__xludf.DUMMYFUNCTION("""COMPUTED_VALUE"""),"NENHUMA DAS OPÇÕES")</f>
        <v>NENHUMA DAS OPÇÕES</v>
      </c>
      <c r="S1138" s="7">
        <f>IFERROR(__xludf.DUMMYFUNCTION("""COMPUTED_VALUE"""),45057.0)</f>
        <v>45057</v>
      </c>
      <c r="T1138" s="5"/>
      <c r="U1138" s="7">
        <f>IFERROR(__xludf.DUMMYFUNCTION("""COMPUTED_VALUE"""),45057.0)</f>
        <v>45057</v>
      </c>
      <c r="V1138" s="9" t="str">
        <f>IFERROR(__xludf.DUMMYFUNCTION("""COMPUTED_VALUE"""),"https://drive.google.com/uc?id=1u6CyO7dV_poAY-glLimHB-xyFaYiV81S")</f>
        <v>https://drive.google.com/uc?id=1u6CyO7dV_poAY-glLimHB-xyFaYiV81S</v>
      </c>
      <c r="W1138" s="5" t="str">
        <f>IFERROR(__xludf.DUMMYFUNCTION("""COMPUTED_VALUE"""),"NÃO")</f>
        <v>NÃO</v>
      </c>
      <c r="X1138" s="5" t="str">
        <f>IFERROR(__xludf.DUMMYFUNCTION("""COMPUTED_VALUE"""),"NÃO SE APLICA")</f>
        <v>NÃO SE APLICA</v>
      </c>
    </row>
    <row r="1139" hidden="1">
      <c r="A1139" s="5">
        <f>IFERROR(__xludf.DUMMYFUNCTION("""COMPUTED_VALUE"""),2.0)</f>
        <v>2</v>
      </c>
      <c r="B1139" s="5" t="str">
        <f>IFERROR(__xludf.DUMMYFUNCTION("""COMPUTED_VALUE"""),"LV011")</f>
        <v>LV011</v>
      </c>
      <c r="C1139" s="5" t="str">
        <f>IFERROR(__xludf.DUMMYFUNCTION("""COMPUTED_VALUE"""),"NÃO POSSUI")</f>
        <v>NÃO POSSUI</v>
      </c>
      <c r="D1139" s="5" t="str">
        <f>IFERROR(__xludf.DUMMYFUNCTION("""COMPUTED_VALUE"""),"SEM PLACA")</f>
        <v>SEM PLACA</v>
      </c>
      <c r="E1139" s="5" t="str">
        <f>IFERROR(__xludf.DUMMYFUNCTION("""COMPUTED_VALUE"""),"SEM BAIA")</f>
        <v>SEM BAIA</v>
      </c>
      <c r="F1139" s="5" t="str">
        <f>IFERROR(__xludf.DUMMYFUNCTION("""COMPUTED_VALUE"""),"NÃO")</f>
        <v>NÃO</v>
      </c>
      <c r="G1139" s="5" t="str">
        <f>IFERROR(__xludf.DUMMYFUNCTION("""COMPUTED_VALUE"""),"NÃO")</f>
        <v>NÃO</v>
      </c>
      <c r="H1139" s="5" t="str">
        <f>IFERROR(__xludf.DUMMYFUNCTION("""COMPUTED_VALUE"""),"NÃO PAVIMENTADA")</f>
        <v>NÃO PAVIMENTADA</v>
      </c>
      <c r="I1139" s="6" t="str">
        <f>IFERROR(__xludf.DUMMYFUNCTION("""COMPUTED_VALUE"""),"-9.657505")</f>
        <v>-9.657505</v>
      </c>
      <c r="J1139" s="6" t="str">
        <f>IFERROR(__xludf.DUMMYFUNCTION("""COMPUTED_VALUE"""),"-35.746705")</f>
        <v>-35.746705</v>
      </c>
      <c r="K1139" s="5" t="str">
        <f>IFERROR(__xludf.DUMMYFUNCTION("""COMPUTED_VALUE"""),"AV CELESTE BEZERRA")</f>
        <v>AV CELESTE BEZERRA</v>
      </c>
      <c r="L1139" s="5" t="str">
        <f>IFERROR(__xludf.DUMMYFUNCTION("""COMPUTED_VALUE"""),"COLETORA")</f>
        <v>COLETORA</v>
      </c>
      <c r="M1139" s="5" t="str">
        <f>IFERROR(__xludf.DUMMYFUNCTION("""COMPUTED_VALUE"""),"LEVADA")</f>
        <v>LEVADA</v>
      </c>
      <c r="N1139" s="5" t="str">
        <f>IFERROR(__xludf.DUMMYFUNCTION("""COMPUTED_VALUE"""),"CENTRO - BAIRRO")</f>
        <v>CENTRO - BAIRRO</v>
      </c>
      <c r="O1139" s="5" t="str">
        <f>IFERROR(__xludf.DUMMYFUNCTION("""COMPUTED_VALUE"""),"EM FRENTE A IGREJA ASSEMBLEIA DE DEUS - BREJAL")</f>
        <v>EM FRENTE A IGREJA ASSEMBLEIA DE DEUS - BREJAL</v>
      </c>
      <c r="P1139" s="5" t="str">
        <f>IFERROR(__xludf.DUMMYFUNCTION("""COMPUTED_VALUE"""),"PRIORIDADE BAIXA")</f>
        <v>PRIORIDADE BAIXA</v>
      </c>
      <c r="Q1139" s="5" t="str">
        <f>IFERROR(__xludf.DUMMYFUNCTION("""COMPUTED_VALUE"""),"IMPLANTAR PLACA EM BARROTE ")</f>
        <v>IMPLANTAR PLACA EM BARROTE </v>
      </c>
      <c r="R1139" s="5" t="str">
        <f>IFERROR(__xludf.DUMMYFUNCTION("""COMPUTED_VALUE"""),"NENHUMA DAS OPÇÕES")</f>
        <v>NENHUMA DAS OPÇÕES</v>
      </c>
      <c r="S1139" s="7">
        <f>IFERROR(__xludf.DUMMYFUNCTION("""COMPUTED_VALUE"""),45058.0)</f>
        <v>45058</v>
      </c>
      <c r="T1139" s="5"/>
      <c r="U1139" s="7">
        <f>IFERROR(__xludf.DUMMYFUNCTION("""COMPUTED_VALUE"""),45058.0)</f>
        <v>45058</v>
      </c>
      <c r="V1139" s="9" t="str">
        <f>IFERROR(__xludf.DUMMYFUNCTION("""COMPUTED_VALUE"""),"https://drive.google.com/uc?id=1nj3cxJFDYuedUhw6Ny7q0MlX3sjEk8rB")</f>
        <v>https://drive.google.com/uc?id=1nj3cxJFDYuedUhw6Ny7q0MlX3sjEk8rB</v>
      </c>
      <c r="W1139" s="5" t="str">
        <f>IFERROR(__xludf.DUMMYFUNCTION("""COMPUTED_VALUE"""),"NÃO")</f>
        <v>NÃO</v>
      </c>
      <c r="X1139" s="5" t="str">
        <f>IFERROR(__xludf.DUMMYFUNCTION("""COMPUTED_VALUE"""),"NÃO SE APLICA")</f>
        <v>NÃO SE APLICA</v>
      </c>
    </row>
    <row r="1140" hidden="1">
      <c r="A1140" s="5">
        <f>IFERROR(__xludf.DUMMYFUNCTION("""COMPUTED_VALUE"""),2.0)</f>
        <v>2</v>
      </c>
      <c r="B1140" s="5" t="str">
        <f>IFERROR(__xludf.DUMMYFUNCTION("""COMPUTED_VALUE"""),"LV012")</f>
        <v>LV012</v>
      </c>
      <c r="C1140" s="5" t="str">
        <f>IFERROR(__xludf.DUMMYFUNCTION("""COMPUTED_VALUE"""),"NÃO POSSUI")</f>
        <v>NÃO POSSUI</v>
      </c>
      <c r="D1140" s="5" t="str">
        <f>IFERROR(__xludf.DUMMYFUNCTION("""COMPUTED_VALUE"""),"SEM PLACA")</f>
        <v>SEM PLACA</v>
      </c>
      <c r="E1140" s="5" t="str">
        <f>IFERROR(__xludf.DUMMYFUNCTION("""COMPUTED_VALUE"""),"SEM BAIA")</f>
        <v>SEM BAIA</v>
      </c>
      <c r="F1140" s="5" t="str">
        <f>IFERROR(__xludf.DUMMYFUNCTION("""COMPUTED_VALUE"""),"NÃO")</f>
        <v>NÃO</v>
      </c>
      <c r="G1140" s="5" t="str">
        <f>IFERROR(__xludf.DUMMYFUNCTION("""COMPUTED_VALUE"""),"NÃO")</f>
        <v>NÃO</v>
      </c>
      <c r="H1140" s="5" t="str">
        <f>IFERROR(__xludf.DUMMYFUNCTION("""COMPUTED_VALUE"""),"PAVIMENTADA")</f>
        <v>PAVIMENTADA</v>
      </c>
      <c r="I1140" s="6" t="str">
        <f>IFERROR(__xludf.DUMMYFUNCTION("""COMPUTED_VALUE"""),"-9.657482")</f>
        <v>-9.657482</v>
      </c>
      <c r="J1140" s="6" t="str">
        <f>IFERROR(__xludf.DUMMYFUNCTION("""COMPUTED_VALUE"""),"-35.746815")</f>
        <v>-35.746815</v>
      </c>
      <c r="K1140" s="5" t="str">
        <f>IFERROR(__xludf.DUMMYFUNCTION("""COMPUTED_VALUE"""),"AV CELESTE BEZERRA")</f>
        <v>AV CELESTE BEZERRA</v>
      </c>
      <c r="L1140" s="5" t="str">
        <f>IFERROR(__xludf.DUMMYFUNCTION("""COMPUTED_VALUE"""),"COLETORA")</f>
        <v>COLETORA</v>
      </c>
      <c r="M1140" s="5" t="str">
        <f>IFERROR(__xludf.DUMMYFUNCTION("""COMPUTED_VALUE"""),"LEVADA")</f>
        <v>LEVADA</v>
      </c>
      <c r="N1140" s="5" t="str">
        <f>IFERROR(__xludf.DUMMYFUNCTION("""COMPUTED_VALUE"""),"BAIRRO - CENTRO")</f>
        <v>BAIRRO - CENTRO</v>
      </c>
      <c r="O1140" s="5" t="str">
        <f>IFERROR(__xludf.DUMMYFUNCTION("""COMPUTED_VALUE"""),"EM FRENTE A IGREJA UNIVERSAL")</f>
        <v>EM FRENTE A IGREJA UNIVERSAL</v>
      </c>
      <c r="P1140" s="5" t="str">
        <f>IFERROR(__xludf.DUMMYFUNCTION("""COMPUTED_VALUE"""),"PRIORIDADE BAIXA")</f>
        <v>PRIORIDADE BAIXA</v>
      </c>
      <c r="Q1140" s="5" t="str">
        <f>IFERROR(__xludf.DUMMYFUNCTION("""COMPUTED_VALUE"""),"IMPLANTAR PLACA EM BARROTE")</f>
        <v>IMPLANTAR PLACA EM BARROTE</v>
      </c>
      <c r="R1140" s="5" t="str">
        <f>IFERROR(__xludf.DUMMYFUNCTION("""COMPUTED_VALUE"""),"NENHUMA DAS OPÇÕES")</f>
        <v>NENHUMA DAS OPÇÕES</v>
      </c>
      <c r="S1140" s="7">
        <f>IFERROR(__xludf.DUMMYFUNCTION("""COMPUTED_VALUE"""),45059.0)</f>
        <v>45059</v>
      </c>
      <c r="T1140" s="5"/>
      <c r="U1140" s="7">
        <f>IFERROR(__xludf.DUMMYFUNCTION("""COMPUTED_VALUE"""),45059.0)</f>
        <v>45059</v>
      </c>
      <c r="V1140" s="9" t="str">
        <f>IFERROR(__xludf.DUMMYFUNCTION("""COMPUTED_VALUE"""),"https://drive.google.com/uc?id=1hCG3LpgSd-yO0qO1aY6iit_s4kSQaqXu")</f>
        <v>https://drive.google.com/uc?id=1hCG3LpgSd-yO0qO1aY6iit_s4kSQaqXu</v>
      </c>
      <c r="W1140" s="5" t="str">
        <f>IFERROR(__xludf.DUMMYFUNCTION("""COMPUTED_VALUE"""),"NÃO")</f>
        <v>NÃO</v>
      </c>
      <c r="X1140" s="5" t="str">
        <f>IFERROR(__xludf.DUMMYFUNCTION("""COMPUTED_VALUE"""),"NÃO SE APLICA")</f>
        <v>NÃO SE APLICA</v>
      </c>
    </row>
    <row r="1141" hidden="1">
      <c r="A1141" s="5">
        <f>IFERROR(__xludf.DUMMYFUNCTION("IMPORTRANGE(""https://docs.google.com/spreadsheets/d/1KuoP8JmuiBMv_nZH41Qskz4TwgYIvev8RVYXLU3j10c/edit#gid=1612198575"", ""PONTA GROSSA!A3:X29"")"),2.0)</f>
        <v>2</v>
      </c>
      <c r="B1141" s="5" t="str">
        <f>IFERROR(__xludf.DUMMYFUNCTION("""COMPUTED_VALUE"""),"PG001")</f>
        <v>PG001</v>
      </c>
      <c r="C1141" s="5" t="str">
        <f>IFERROR(__xludf.DUMMYFUNCTION("""COMPUTED_VALUE"""),"NÃO POSSUI")</f>
        <v>NÃO POSSUI</v>
      </c>
      <c r="D1141" s="5" t="str">
        <f>IFERROR(__xludf.DUMMYFUNCTION("""COMPUTED_VALUE"""),"FIXADA EM POSTE")</f>
        <v>FIXADA EM POSTE</v>
      </c>
      <c r="E1141" s="5" t="str">
        <f>IFERROR(__xludf.DUMMYFUNCTION("""COMPUTED_VALUE"""),"SEM BAIA")</f>
        <v>SEM BAIA</v>
      </c>
      <c r="F1141" s="5" t="str">
        <f>IFERROR(__xludf.DUMMYFUNCTION("""COMPUTED_VALUE"""),"SIM")</f>
        <v>SIM</v>
      </c>
      <c r="G1141" s="5" t="str">
        <f>IFERROR(__xludf.DUMMYFUNCTION("""COMPUTED_VALUE"""),"NÃO")</f>
        <v>NÃO</v>
      </c>
      <c r="H1141" s="5" t="str">
        <f>IFERROR(__xludf.DUMMYFUNCTION("""COMPUTED_VALUE"""),"PAVIMENTADA")</f>
        <v>PAVIMENTADA</v>
      </c>
      <c r="I1141" s="6" t="str">
        <f>IFERROR(__xludf.DUMMYFUNCTION("""COMPUTED_VALUE"""),"-9.660822")</f>
        <v>-9.660822</v>
      </c>
      <c r="J1141" s="6" t="str">
        <f>IFERROR(__xludf.DUMMYFUNCTION("""COMPUTED_VALUE"""),"-35.750079")</f>
        <v>-35.750079</v>
      </c>
      <c r="K1141" s="5" t="str">
        <f>IFERROR(__xludf.DUMMYFUNCTION("""COMPUTED_VALUE"""),"RUA SANTO ANTÔNIO, 408")</f>
        <v>RUA SANTO ANTÔNIO, 408</v>
      </c>
      <c r="L1141" s="5" t="str">
        <f>IFERROR(__xludf.DUMMYFUNCTION("""COMPUTED_VALUE"""),"COLETORA")</f>
        <v>COLETORA</v>
      </c>
      <c r="M1141" s="5" t="str">
        <f>IFERROR(__xludf.DUMMYFUNCTION("""COMPUTED_VALUE"""),"PONTA GROSSA")</f>
        <v>PONTA GROSSA</v>
      </c>
      <c r="N1141" s="5" t="str">
        <f>IFERROR(__xludf.DUMMYFUNCTION("""COMPUTED_VALUE"""),"CENTRO - BAIRRO")</f>
        <v>CENTRO - BAIRRO</v>
      </c>
      <c r="O1141" s="5" t="str">
        <f>IFERROR(__xludf.DUMMYFUNCTION("""COMPUTED_VALUE"""),"EM FRENTE A IGREJA UNIVERSAL")</f>
        <v>EM FRENTE A IGREJA UNIVERSAL</v>
      </c>
      <c r="P1141" s="5" t="str">
        <f>IFERROR(__xludf.DUMMYFUNCTION("""COMPUTED_VALUE"""),"PRIORIDADE BAIXA")</f>
        <v>PRIORIDADE BAIXA</v>
      </c>
      <c r="Q1141" s="5" t="str">
        <f>IFERROR(__xludf.DUMMYFUNCTION("""COMPUTED_VALUE"""),"SUBSTITUIR PLACA FIXADA EM POSTE; PINTURA DA BAIA NO ASFALTO; ADEQUAÇÃO DA CALÇADA (PISO TÁTIL).")</f>
        <v>SUBSTITUIR PLACA FIXADA EM POSTE; PINTURA DA BAIA NO ASFALTO; ADEQUAÇÃO DA CALÇADA (PISO TÁTIL).</v>
      </c>
      <c r="R1141" s="5" t="str">
        <f>IFERROR(__xludf.DUMMYFUNCTION("""COMPUTED_VALUE"""),"NENHUMA DAS OPÇÕES")</f>
        <v>NENHUMA DAS OPÇÕES</v>
      </c>
      <c r="S1141" s="7">
        <f>IFERROR(__xludf.DUMMYFUNCTION("""COMPUTED_VALUE"""),44562.0)</f>
        <v>44562</v>
      </c>
      <c r="T1141" s="5"/>
      <c r="U1141" s="7">
        <f>IFERROR(__xludf.DUMMYFUNCTION("""COMPUTED_VALUE"""),44562.0)</f>
        <v>44562</v>
      </c>
      <c r="V1141" s="9" t="str">
        <f>IFERROR(__xludf.DUMMYFUNCTION("""COMPUTED_VALUE"""),"https://drive.google.com/uc?id=1zuwxlDqPNwO-JKMCF_n9Npxrd400NvIz
")</f>
        <v>https://drive.google.com/uc?id=1zuwxlDqPNwO-JKMCF_n9Npxrd400NvIz
</v>
      </c>
      <c r="W1141" s="5" t="str">
        <f>IFERROR(__xludf.DUMMYFUNCTION("""COMPUTED_VALUE"""),"NÃO")</f>
        <v>NÃO</v>
      </c>
      <c r="X1141" s="5" t="str">
        <f>IFERROR(__xludf.DUMMYFUNCTION("""COMPUTED_VALUE"""),"NÃO SE APLICA")</f>
        <v>NÃO SE APLICA</v>
      </c>
    </row>
    <row r="1142" hidden="1">
      <c r="A1142" s="5">
        <f>IFERROR(__xludf.DUMMYFUNCTION("""COMPUTED_VALUE"""),2.0)</f>
        <v>2</v>
      </c>
      <c r="B1142" s="5" t="str">
        <f>IFERROR(__xludf.DUMMYFUNCTION("""COMPUTED_VALUE"""),"PG002")</f>
        <v>PG002</v>
      </c>
      <c r="C1142" s="5" t="str">
        <f>IFERROR(__xludf.DUMMYFUNCTION("""COMPUTED_VALUE"""),"NÃO POSSUI")</f>
        <v>NÃO POSSUI</v>
      </c>
      <c r="D1142" s="5" t="str">
        <f>IFERROR(__xludf.DUMMYFUNCTION("""COMPUTED_VALUE"""),"SEM PLACA")</f>
        <v>SEM PLACA</v>
      </c>
      <c r="E1142" s="5" t="str">
        <f>IFERROR(__xludf.DUMMYFUNCTION("""COMPUTED_VALUE"""),"SEM BAIA")</f>
        <v>SEM BAIA</v>
      </c>
      <c r="F1142" s="5" t="str">
        <f>IFERROR(__xludf.DUMMYFUNCTION("""COMPUTED_VALUE"""),"NÃO")</f>
        <v>NÃO</v>
      </c>
      <c r="G1142" s="5" t="str">
        <f>IFERROR(__xludf.DUMMYFUNCTION("""COMPUTED_VALUE"""),"NÃO")</f>
        <v>NÃO</v>
      </c>
      <c r="H1142" s="5" t="str">
        <f>IFERROR(__xludf.DUMMYFUNCTION("""COMPUTED_VALUE"""),"PAVIMENTADA")</f>
        <v>PAVIMENTADA</v>
      </c>
      <c r="I1142" s="6" t="str">
        <f>IFERROR(__xludf.DUMMYFUNCTION("""COMPUTED_VALUE"""),"-9.658841")</f>
        <v>-9.658841</v>
      </c>
      <c r="J1142" s="6" t="str">
        <f>IFERROR(__xludf.DUMMYFUNCTION("""COMPUTED_VALUE"""),"-35.751949")</f>
        <v>-35.751949</v>
      </c>
      <c r="K1142" s="5" t="str">
        <f>IFERROR(__xludf.DUMMYFUNCTION("""COMPUTED_VALUE"""),"RUA FÉLIX BANDEIRA, 214")</f>
        <v>RUA FÉLIX BANDEIRA, 214</v>
      </c>
      <c r="L1142" s="5" t="str">
        <f>IFERROR(__xludf.DUMMYFUNCTION("""COMPUTED_VALUE"""),"COLETORA")</f>
        <v>COLETORA</v>
      </c>
      <c r="M1142" s="5" t="str">
        <f>IFERROR(__xludf.DUMMYFUNCTION("""COMPUTED_VALUE"""),"PONTA GROSSA")</f>
        <v>PONTA GROSSA</v>
      </c>
      <c r="N1142" s="5" t="str">
        <f>IFERROR(__xludf.DUMMYFUNCTION("""COMPUTED_VALUE"""),"CENTRO - BAIRRO")</f>
        <v>CENTRO - BAIRRO</v>
      </c>
      <c r="O1142" s="5"/>
      <c r="P1142" s="5" t="str">
        <f>IFERROR(__xludf.DUMMYFUNCTION("""COMPUTED_VALUE"""),"PRIORIDADE MÉDIA")</f>
        <v>PRIORIDADE MÉDIA</v>
      </c>
      <c r="Q1142" s="5" t="str">
        <f>IFERROR(__xludf.DUMMYFUNCTION("""COMPUTED_VALUE"""),"IMPLANTAR PLACA COM SUPORTE DE MADEIRA; PINTURA DA BAIA NO ASFALTO, ADEQUAÇÃO DA CALÇADA (RAMPA DE ACESSIBILIDADE E PISO TÁTIL).")</f>
        <v>IMPLANTAR PLACA COM SUPORTE DE MADEIRA; PINTURA DA BAIA NO ASFALTO, ADEQUAÇÃO DA CALÇADA (RAMPA DE ACESSIBILIDADE E PISO TÁTIL).</v>
      </c>
      <c r="R1142" s="5" t="str">
        <f>IFERROR(__xludf.DUMMYFUNCTION("""COMPUTED_VALUE"""),"NENHUMA DAS OPÇÕES")</f>
        <v>NENHUMA DAS OPÇÕES</v>
      </c>
      <c r="S1142" s="7">
        <f>IFERROR(__xludf.DUMMYFUNCTION("""COMPUTED_VALUE"""),44563.0)</f>
        <v>44563</v>
      </c>
      <c r="T1142" s="5"/>
      <c r="U1142" s="7">
        <f>IFERROR(__xludf.DUMMYFUNCTION("""COMPUTED_VALUE"""),44563.0)</f>
        <v>44563</v>
      </c>
      <c r="V1142" s="9" t="str">
        <f>IFERROR(__xludf.DUMMYFUNCTION("""COMPUTED_VALUE"""),"https://drive.google.com/uc?id=1qWBIJoDreWDp3N7GyhwWjNoXSLZdENq0")</f>
        <v>https://drive.google.com/uc?id=1qWBIJoDreWDp3N7GyhwWjNoXSLZdENq0</v>
      </c>
      <c r="W1142" s="5" t="str">
        <f>IFERROR(__xludf.DUMMYFUNCTION("""COMPUTED_VALUE"""),"NÃO")</f>
        <v>NÃO</v>
      </c>
      <c r="X1142" s="5" t="str">
        <f>IFERROR(__xludf.DUMMYFUNCTION("""COMPUTED_VALUE"""),"NÃO SE APLICA")</f>
        <v>NÃO SE APLICA</v>
      </c>
    </row>
    <row r="1143">
      <c r="A1143" s="5">
        <f>IFERROR(__xludf.DUMMYFUNCTION("""COMPUTED_VALUE"""),2.0)</f>
        <v>2</v>
      </c>
      <c r="B1143" s="5" t="str">
        <f>IFERROR(__xludf.DUMMYFUNCTION("""COMPUTED_VALUE"""),"PG003")</f>
        <v>PG003</v>
      </c>
      <c r="C1143" s="5" t="str">
        <f>IFERROR(__xludf.DUMMYFUNCTION("""COMPUTED_VALUE"""),"ABRIGO CONCRETO")</f>
        <v>ABRIGO CONCRETO</v>
      </c>
      <c r="D1143" s="5" t="str">
        <f>IFERROR(__xludf.DUMMYFUNCTION("""COMPUTED_VALUE"""),"SEM PLACA")</f>
        <v>SEM PLACA</v>
      </c>
      <c r="E1143" s="5" t="str">
        <f>IFERROR(__xludf.DUMMYFUNCTION("""COMPUTED_VALUE"""),"SEM BAIA")</f>
        <v>SEM BAIA</v>
      </c>
      <c r="F1143" s="5" t="str">
        <f>IFERROR(__xludf.DUMMYFUNCTION("""COMPUTED_VALUE"""),"NÃO")</f>
        <v>NÃO</v>
      </c>
      <c r="G1143" s="5" t="str">
        <f>IFERROR(__xludf.DUMMYFUNCTION("""COMPUTED_VALUE"""),"NÃO")</f>
        <v>NÃO</v>
      </c>
      <c r="H1143" s="5" t="str">
        <f>IFERROR(__xludf.DUMMYFUNCTION("""COMPUTED_VALUE"""),"PAVIMENTADA")</f>
        <v>PAVIMENTADA</v>
      </c>
      <c r="I1143" s="6" t="str">
        <f>IFERROR(__xludf.DUMMYFUNCTION("""COMPUTED_VALUE"""),"-9.660373")</f>
        <v>-9.660373</v>
      </c>
      <c r="J1143" s="6" t="str">
        <f>IFERROR(__xludf.DUMMYFUNCTION("""COMPUTED_VALUE""")," -35.751034")</f>
        <v> -35.751034</v>
      </c>
      <c r="K1143" s="5" t="str">
        <f>IFERROR(__xludf.DUMMYFUNCTION("""COMPUTED_VALUE"""),"RUA SANTO ANTÔNIO, S/N")</f>
        <v>RUA SANTO ANTÔNIO, S/N</v>
      </c>
      <c r="L1143" s="5" t="str">
        <f>IFERROR(__xludf.DUMMYFUNCTION("""COMPUTED_VALUE"""),"COLETORA")</f>
        <v>COLETORA</v>
      </c>
      <c r="M1143" s="5" t="str">
        <f>IFERROR(__xludf.DUMMYFUNCTION("""COMPUTED_VALUE"""),"PONTA GROSSA")</f>
        <v>PONTA GROSSA</v>
      </c>
      <c r="N1143" s="5" t="str">
        <f>IFERROR(__xludf.DUMMYFUNCTION("""COMPUTED_VALUE"""),"BAIRRO - CENTRO")</f>
        <v>BAIRRO - CENTRO</v>
      </c>
      <c r="O1143" s="5" t="str">
        <f>IFERROR(__xludf.DUMMYFUNCTION("""COMPUTED_VALUE"""),"EM FRENTE AO POSTO")</f>
        <v>EM FRENTE AO POSTO</v>
      </c>
      <c r="P1143" s="5" t="str">
        <f>IFERROR(__xludf.DUMMYFUNCTION("""COMPUTED_VALUE"""),"PRIORIDADE BAIXA")</f>
        <v>PRIORIDADE BAIXA</v>
      </c>
      <c r="Q1143" s="5" t="str">
        <f>IFERROR(__xludf.DUMMYFUNCTION("""COMPUTED_VALUE"""),"REPAROS NO REBOCO DO ABRIGO; LIMPEZA DA COBERTA DO ABRIGO; REMOVER PINTURA ANTIGA E FAZER UMA NOVA; PINTURA DA BAIA NO ASFALTO E ADEQUAÇÃO DA CALÇADA (RAMPA DE ACESSIBILIDADE E PISO TÁTIL).")</f>
        <v>REPAROS NO REBOCO DO ABRIGO; LIMPEZA DA COBERTA DO ABRIGO; REMOVER PINTURA ANTIGA E FAZER UMA NOVA; PINTURA DA BAIA NO ASFALTO E ADEQUAÇÃO DA CALÇADA (RAMPA DE ACESSIBILIDADE E PISO TÁTIL).</v>
      </c>
      <c r="R1143" s="5" t="str">
        <f>IFERROR(__xludf.DUMMYFUNCTION("""COMPUTED_VALUE"""),"NENHUMA DAS OPÇÕES")</f>
        <v>NENHUMA DAS OPÇÕES</v>
      </c>
      <c r="S1143" s="7">
        <f>IFERROR(__xludf.DUMMYFUNCTION("""COMPUTED_VALUE"""),44564.0)</f>
        <v>44564</v>
      </c>
      <c r="T1143" s="5"/>
      <c r="U1143" s="7">
        <f>IFERROR(__xludf.DUMMYFUNCTION("""COMPUTED_VALUE"""),44564.0)</f>
        <v>44564</v>
      </c>
      <c r="V1143" s="9" t="str">
        <f>IFERROR(__xludf.DUMMYFUNCTION("""COMPUTED_VALUE"""),"https://drive.google.com/uc?id=18GMVRViHafQbPU-ka6Ks2teRpqZj5Pwl")</f>
        <v>https://drive.google.com/uc?id=18GMVRViHafQbPU-ka6Ks2teRpqZj5Pwl</v>
      </c>
      <c r="W1143" s="5" t="str">
        <f>IFERROR(__xludf.DUMMYFUNCTION("""COMPUTED_VALUE"""),"NÃO")</f>
        <v>NÃO</v>
      </c>
      <c r="X1143" s="5" t="str">
        <f>IFERROR(__xludf.DUMMYFUNCTION("""COMPUTED_VALUE"""),"NÃO SE APLICA")</f>
        <v>NÃO SE APLICA</v>
      </c>
    </row>
    <row r="1144" hidden="1">
      <c r="A1144" s="5">
        <f>IFERROR(__xludf.DUMMYFUNCTION("""COMPUTED_VALUE"""),2.0)</f>
        <v>2</v>
      </c>
      <c r="B1144" s="5" t="str">
        <f>IFERROR(__xludf.DUMMYFUNCTION("""COMPUTED_VALUE"""),"PG004")</f>
        <v>PG004</v>
      </c>
      <c r="C1144" s="5" t="str">
        <f>IFERROR(__xludf.DUMMYFUNCTION("""COMPUTED_VALUE"""),"NÃO POSSUI")</f>
        <v>NÃO POSSUI</v>
      </c>
      <c r="D1144" s="5" t="str">
        <f>IFERROR(__xludf.DUMMYFUNCTION("""COMPUTED_VALUE"""),"SEM PLACA")</f>
        <v>SEM PLACA</v>
      </c>
      <c r="E1144" s="5" t="str">
        <f>IFERROR(__xludf.DUMMYFUNCTION("""COMPUTED_VALUE"""),"SEM BAIA")</f>
        <v>SEM BAIA</v>
      </c>
      <c r="F1144" s="5" t="str">
        <f>IFERROR(__xludf.DUMMYFUNCTION("""COMPUTED_VALUE"""),"NÃO")</f>
        <v>NÃO</v>
      </c>
      <c r="G1144" s="5" t="str">
        <f>IFERROR(__xludf.DUMMYFUNCTION("""COMPUTED_VALUE"""),"NÃO")</f>
        <v>NÃO</v>
      </c>
      <c r="H1144" s="5" t="str">
        <f>IFERROR(__xludf.DUMMYFUNCTION("""COMPUTED_VALUE"""),"PAVIMENTADA COM AVARIAS")</f>
        <v>PAVIMENTADA COM AVARIAS</v>
      </c>
      <c r="I1144" s="6" t="str">
        <f>IFERROR(__xludf.DUMMYFUNCTION("""COMPUTED_VALUE"""),"-9.658851")</f>
        <v>-9.658851</v>
      </c>
      <c r="J1144" s="6" t="str">
        <f>IFERROR(__xludf.DUMMYFUNCTION("""COMPUTED_VALUE"""),"-35.753553")</f>
        <v>-35.753553</v>
      </c>
      <c r="K1144" s="5" t="str">
        <f>IFERROR(__xludf.DUMMYFUNCTION("""COMPUTED_VALUE"""),"RUA SANTO ANTÔNIO, 121")</f>
        <v>RUA SANTO ANTÔNIO, 121</v>
      </c>
      <c r="L1144" s="5" t="str">
        <f>IFERROR(__xludf.DUMMYFUNCTION("""COMPUTED_VALUE"""),"COLETORA")</f>
        <v>COLETORA</v>
      </c>
      <c r="M1144" s="5" t="str">
        <f>IFERROR(__xludf.DUMMYFUNCTION("""COMPUTED_VALUE"""),"PONTA GROSSA")</f>
        <v>PONTA GROSSA</v>
      </c>
      <c r="N1144" s="5" t="str">
        <f>IFERROR(__xludf.DUMMYFUNCTION("""COMPUTED_VALUE"""),"CENTRO - BAIRRO")</f>
        <v>CENTRO - BAIRRO</v>
      </c>
      <c r="O1144" s="5" t="str">
        <f>IFERROR(__xludf.DUMMYFUNCTION("""COMPUTED_VALUE"""),"EM FRENTE A FARMÁCIA DO TRABALHADOR")</f>
        <v>EM FRENTE A FARMÁCIA DO TRABALHADOR</v>
      </c>
      <c r="P1144" s="5" t="str">
        <f>IFERROR(__xludf.DUMMYFUNCTION("""COMPUTED_VALUE"""),"PRIORIDADE MÉDIA")</f>
        <v>PRIORIDADE MÉDIA</v>
      </c>
      <c r="Q1144" s="5" t="str">
        <f>IFERROR(__xludf.DUMMYFUNCTION("""COMPUTED_VALUE"""),"IMPLANTAR PLACA COM SUPORTE DE MADEIRA; PINTURA DA BAIA NO ASFALTO, ADEQUAÇÃO DA CALÇADA (RAMPA DE ACESSIBILIDADE E PISO TÁTIL).")</f>
        <v>IMPLANTAR PLACA COM SUPORTE DE MADEIRA; PINTURA DA BAIA NO ASFALTO, ADEQUAÇÃO DA CALÇADA (RAMPA DE ACESSIBILIDADE E PISO TÁTIL).</v>
      </c>
      <c r="R1144" s="5" t="str">
        <f>IFERROR(__xludf.DUMMYFUNCTION("""COMPUTED_VALUE"""),"NENHUMA DAS OPÇÕES")</f>
        <v>NENHUMA DAS OPÇÕES</v>
      </c>
      <c r="S1144" s="7">
        <f>IFERROR(__xludf.DUMMYFUNCTION("""COMPUTED_VALUE"""),44565.0)</f>
        <v>44565</v>
      </c>
      <c r="T1144" s="5"/>
      <c r="U1144" s="7">
        <f>IFERROR(__xludf.DUMMYFUNCTION("""COMPUTED_VALUE"""),44565.0)</f>
        <v>44565</v>
      </c>
      <c r="V1144" s="9" t="str">
        <f>IFERROR(__xludf.DUMMYFUNCTION("""COMPUTED_VALUE"""),"https://drive.google.com/uc?id=19uin7RkFQe45aw1WDXSPGQw89Gcoki-f")</f>
        <v>https://drive.google.com/uc?id=19uin7RkFQe45aw1WDXSPGQw89Gcoki-f</v>
      </c>
      <c r="W1144" s="5" t="str">
        <f>IFERROR(__xludf.DUMMYFUNCTION("""COMPUTED_VALUE"""),"NÃO")</f>
        <v>NÃO</v>
      </c>
      <c r="X1144" s="5" t="str">
        <f>IFERROR(__xludf.DUMMYFUNCTION("""COMPUTED_VALUE"""),"NÃO SE APLICA")</f>
        <v>NÃO SE APLICA</v>
      </c>
    </row>
    <row r="1145">
      <c r="A1145" s="5">
        <f>IFERROR(__xludf.DUMMYFUNCTION("""COMPUTED_VALUE"""),2.0)</f>
        <v>2</v>
      </c>
      <c r="B1145" s="5" t="str">
        <f>IFERROR(__xludf.DUMMYFUNCTION("""COMPUTED_VALUE"""),"PG005")</f>
        <v>PG005</v>
      </c>
      <c r="C1145" s="5" t="str">
        <f>IFERROR(__xludf.DUMMYFUNCTION("""COMPUTED_VALUE"""),"ABRIGO PERSONALIZADO")</f>
        <v>ABRIGO PERSONALIZADO</v>
      </c>
      <c r="D1145" s="5" t="str">
        <f>IFERROR(__xludf.DUMMYFUNCTION("""COMPUTED_VALUE"""),"SEM PLACA")</f>
        <v>SEM PLACA</v>
      </c>
      <c r="E1145" s="5" t="str">
        <f>IFERROR(__xludf.DUMMYFUNCTION("""COMPUTED_VALUE"""),"SEM BAIA")</f>
        <v>SEM BAIA</v>
      </c>
      <c r="F1145" s="5" t="str">
        <f>IFERROR(__xludf.DUMMYFUNCTION("""COMPUTED_VALUE"""),"SIM")</f>
        <v>SIM</v>
      </c>
      <c r="G1145" s="5" t="str">
        <f>IFERROR(__xludf.DUMMYFUNCTION("""COMPUTED_VALUE"""),"NÃO")</f>
        <v>NÃO</v>
      </c>
      <c r="H1145" s="5" t="str">
        <f>IFERROR(__xludf.DUMMYFUNCTION("""COMPUTED_VALUE"""),"PAVIMENTADA")</f>
        <v>PAVIMENTADA</v>
      </c>
      <c r="I1145" s="6" t="str">
        <f>IFERROR(__xludf.DUMMYFUNCTION("""COMPUTED_VALUE"""),"-9.659019")</f>
        <v>-9.659019</v>
      </c>
      <c r="J1145" s="6" t="str">
        <f>IFERROR(__xludf.DUMMYFUNCTION("""COMPUTED_VALUE"""),"-35.753439")</f>
        <v>-35.753439</v>
      </c>
      <c r="K1145" s="5" t="str">
        <f>IFERROR(__xludf.DUMMYFUNCTION("""COMPUTED_VALUE"""),"RUA SANTO ANTÔNIO, 121")</f>
        <v>RUA SANTO ANTÔNIO, 121</v>
      </c>
      <c r="L1145" s="5" t="str">
        <f>IFERROR(__xludf.DUMMYFUNCTION("""COMPUTED_VALUE"""),"COLETORA")</f>
        <v>COLETORA</v>
      </c>
      <c r="M1145" s="5" t="str">
        <f>IFERROR(__xludf.DUMMYFUNCTION("""COMPUTED_VALUE"""),"PONTA GROSSA")</f>
        <v>PONTA GROSSA</v>
      </c>
      <c r="N1145" s="5" t="str">
        <f>IFERROR(__xludf.DUMMYFUNCTION("""COMPUTED_VALUE"""),"BAIRRO - CENTRO")</f>
        <v>BAIRRO - CENTRO</v>
      </c>
      <c r="O1145" s="5" t="str">
        <f>IFERROR(__xludf.DUMMYFUNCTION("""COMPUTED_VALUE"""),"EM FRENTE A PRAÇA SANTA TEREZA")</f>
        <v>EM FRENTE A PRAÇA SANTA TEREZA</v>
      </c>
      <c r="P1145" s="5" t="str">
        <f>IFERROR(__xludf.DUMMYFUNCTION("""COMPUTED_VALUE"""),"PRIORIDADE BAIXA")</f>
        <v>PRIORIDADE BAIXA</v>
      </c>
      <c r="Q1145" s="5" t="str">
        <f>IFERROR(__xludf.DUMMYFUNCTION("""COMPUTED_VALUE"""),"REPAROS NO REBOCO DO ABRIGO; LIMPEZA DA COBERTA DO ABRIGO; REMOVER PINTURA ANTIGA E FAZER UMA NOVA; PINTURA DA BAIA NO ASFALTO E ADEQUAÇÃO DA CALÇADA (RAMPA DE ACESSIBILIDADE E PISO TÁTIL).")</f>
        <v>REPAROS NO REBOCO DO ABRIGO; LIMPEZA DA COBERTA DO ABRIGO; REMOVER PINTURA ANTIGA E FAZER UMA NOVA; PINTURA DA BAIA NO ASFALTO E ADEQUAÇÃO DA CALÇADA (RAMPA DE ACESSIBILIDADE E PISO TÁTIL).</v>
      </c>
      <c r="R1145" s="5" t="str">
        <f>IFERROR(__xludf.DUMMYFUNCTION("""COMPUTED_VALUE"""),"NENHUMA DAS OPÇÕES")</f>
        <v>NENHUMA DAS OPÇÕES</v>
      </c>
      <c r="S1145" s="7">
        <f>IFERROR(__xludf.DUMMYFUNCTION("""COMPUTED_VALUE"""),44566.0)</f>
        <v>44566</v>
      </c>
      <c r="T1145" s="5"/>
      <c r="U1145" s="7">
        <f>IFERROR(__xludf.DUMMYFUNCTION("""COMPUTED_VALUE"""),44566.0)</f>
        <v>44566</v>
      </c>
      <c r="V1145" s="9" t="str">
        <f>IFERROR(__xludf.DUMMYFUNCTION("""COMPUTED_VALUE"""),"https://drive.google.com/uc?id=1SjvrByleuNHBuWNfGn8WRYrPQiCw5f5n")</f>
        <v>https://drive.google.com/uc?id=1SjvrByleuNHBuWNfGn8WRYrPQiCw5f5n</v>
      </c>
      <c r="W1145" s="5" t="str">
        <f>IFERROR(__xludf.DUMMYFUNCTION("""COMPUTED_VALUE"""),"NÃO")</f>
        <v>NÃO</v>
      </c>
      <c r="X1145" s="5" t="str">
        <f>IFERROR(__xludf.DUMMYFUNCTION("""COMPUTED_VALUE"""),"NÃO SE APLICA")</f>
        <v>NÃO SE APLICA</v>
      </c>
    </row>
    <row r="1146" hidden="1">
      <c r="A1146" s="5">
        <f>IFERROR(__xludf.DUMMYFUNCTION("""COMPUTED_VALUE"""),2.0)</f>
        <v>2</v>
      </c>
      <c r="B1146" s="5" t="str">
        <f>IFERROR(__xludf.DUMMYFUNCTION("""COMPUTED_VALUE"""),"PG006")</f>
        <v>PG006</v>
      </c>
      <c r="C1146" s="5" t="str">
        <f>IFERROR(__xludf.DUMMYFUNCTION("""COMPUTED_VALUE"""),"NÃO POSSUI")</f>
        <v>NÃO POSSUI</v>
      </c>
      <c r="D1146" s="5" t="str">
        <f>IFERROR(__xludf.DUMMYFUNCTION("""COMPUTED_VALUE"""),"SEM PLACA")</f>
        <v>SEM PLACA</v>
      </c>
      <c r="E1146" s="5" t="str">
        <f>IFERROR(__xludf.DUMMYFUNCTION("""COMPUTED_VALUE"""),"SEM BAIA")</f>
        <v>SEM BAIA</v>
      </c>
      <c r="F1146" s="5" t="str">
        <f>IFERROR(__xludf.DUMMYFUNCTION("""COMPUTED_VALUE"""),"SIM")</f>
        <v>SIM</v>
      </c>
      <c r="G1146" s="5" t="str">
        <f>IFERROR(__xludf.DUMMYFUNCTION("""COMPUTED_VALUE"""),"NÃO")</f>
        <v>NÃO</v>
      </c>
      <c r="H1146" s="5" t="str">
        <f>IFERROR(__xludf.DUMMYFUNCTION("""COMPUTED_VALUE"""),"PAVIMENTADA")</f>
        <v>PAVIMENTADA</v>
      </c>
      <c r="I1146" s="6" t="str">
        <f>IFERROR(__xludf.DUMMYFUNCTION("""COMPUTED_VALUE"""),"-9.658736")</f>
        <v>-9.658736</v>
      </c>
      <c r="J1146" s="6" t="str">
        <f>IFERROR(__xludf.DUMMYFUNCTION("""COMPUTED_VALUE""")," -35.754552")</f>
        <v> -35.754552</v>
      </c>
      <c r="K1146" s="5" t="str">
        <f>IFERROR(__xludf.DUMMYFUNCTION("""COMPUTED_VALUE"""),"RUA CABO REIS, 173")</f>
        <v>RUA CABO REIS, 173</v>
      </c>
      <c r="L1146" s="5" t="str">
        <f>IFERROR(__xludf.DUMMYFUNCTION("""COMPUTED_VALUE"""),"COLETORA")</f>
        <v>COLETORA</v>
      </c>
      <c r="M1146" s="5" t="str">
        <f>IFERROR(__xludf.DUMMYFUNCTION("""COMPUTED_VALUE"""),"PONTA GROSSA")</f>
        <v>PONTA GROSSA</v>
      </c>
      <c r="N1146" s="5" t="str">
        <f>IFERROR(__xludf.DUMMYFUNCTION("""COMPUTED_VALUE"""),"CENTRO - BAIRRO")</f>
        <v>CENTRO - BAIRRO</v>
      </c>
      <c r="O1146" s="5" t="str">
        <f>IFERROR(__xludf.DUMMYFUNCTION("""COMPUTED_VALUE"""),"EM FRENTE AO SUPERMERCADO UNICOMPRAS")</f>
        <v>EM FRENTE AO SUPERMERCADO UNICOMPRAS</v>
      </c>
      <c r="P1146" s="5" t="str">
        <f>IFERROR(__xludf.DUMMYFUNCTION("""COMPUTED_VALUE"""),"PRIORIDADE MÉDIA")</f>
        <v>PRIORIDADE MÉDIA</v>
      </c>
      <c r="Q1146" s="5" t="str">
        <f>IFERROR(__xludf.DUMMYFUNCTION("""COMPUTED_VALUE"""),"IMPLANTAR PLACA COM SUPORTE DE MADEIRA; PINTURA DA BAIA NO ASFALTO, ADEQUAÇÃO DA CALÇADA (PISO TÁTIL).")</f>
        <v>IMPLANTAR PLACA COM SUPORTE DE MADEIRA; PINTURA DA BAIA NO ASFALTO, ADEQUAÇÃO DA CALÇADA (PISO TÁTIL).</v>
      </c>
      <c r="R1146" s="5" t="str">
        <f>IFERROR(__xludf.DUMMYFUNCTION("""COMPUTED_VALUE"""),"NENHUMA DAS OPÇÕES")</f>
        <v>NENHUMA DAS OPÇÕES</v>
      </c>
      <c r="S1146" s="7">
        <f>IFERROR(__xludf.DUMMYFUNCTION("""COMPUTED_VALUE"""),44567.0)</f>
        <v>44567</v>
      </c>
      <c r="T1146" s="5"/>
      <c r="U1146" s="7">
        <f>IFERROR(__xludf.DUMMYFUNCTION("""COMPUTED_VALUE"""),44567.0)</f>
        <v>44567</v>
      </c>
      <c r="V1146" s="9" t="str">
        <f>IFERROR(__xludf.DUMMYFUNCTION("""COMPUTED_VALUE"""),"https://drive.google.com/uc?id=1DHDhA9XMv1lxyGI75b6cNZ-5hoXBp8B7")</f>
        <v>https://drive.google.com/uc?id=1DHDhA9XMv1lxyGI75b6cNZ-5hoXBp8B7</v>
      </c>
      <c r="W1146" s="5" t="str">
        <f>IFERROR(__xludf.DUMMYFUNCTION("""COMPUTED_VALUE"""),"NÃO")</f>
        <v>NÃO</v>
      </c>
      <c r="X1146" s="5" t="str">
        <f>IFERROR(__xludf.DUMMYFUNCTION("""COMPUTED_VALUE"""),"NÃO SE APLICA")</f>
        <v>NÃO SE APLICA</v>
      </c>
    </row>
    <row r="1147" hidden="1">
      <c r="A1147" s="5">
        <f>IFERROR(__xludf.DUMMYFUNCTION("""COMPUTED_VALUE"""),2.0)</f>
        <v>2</v>
      </c>
      <c r="B1147" s="5" t="str">
        <f>IFERROR(__xludf.DUMMYFUNCTION("""COMPUTED_VALUE"""),"PG007")</f>
        <v>PG007</v>
      </c>
      <c r="C1147" s="5" t="str">
        <f>IFERROR(__xludf.DUMMYFUNCTION("""COMPUTED_VALUE"""),"NÃO POSSUI")</f>
        <v>NÃO POSSUI</v>
      </c>
      <c r="D1147" s="5" t="str">
        <f>IFERROR(__xludf.DUMMYFUNCTION("""COMPUTED_VALUE"""),"COM SUPORTE")</f>
        <v>COM SUPORTE</v>
      </c>
      <c r="E1147" s="5" t="str">
        <f>IFERROR(__xludf.DUMMYFUNCTION("""COMPUTED_VALUE"""),"SEM BAIA")</f>
        <v>SEM BAIA</v>
      </c>
      <c r="F1147" s="5" t="str">
        <f>IFERROR(__xludf.DUMMYFUNCTION("""COMPUTED_VALUE"""),"NÃO")</f>
        <v>NÃO</v>
      </c>
      <c r="G1147" s="5" t="str">
        <f>IFERROR(__xludf.DUMMYFUNCTION("""COMPUTED_VALUE"""),"NÃO")</f>
        <v>NÃO</v>
      </c>
      <c r="H1147" s="5" t="str">
        <f>IFERROR(__xludf.DUMMYFUNCTION("""COMPUTED_VALUE"""),"PAVIMENTADA")</f>
        <v>PAVIMENTADA</v>
      </c>
      <c r="I1147" s="6" t="str">
        <f>IFERROR(__xludf.DUMMYFUNCTION("""COMPUTED_VALUE"""),"-9.660858")</f>
        <v>-9.660858</v>
      </c>
      <c r="J1147" s="6" t="str">
        <f>IFERROR(__xludf.DUMMYFUNCTION("""COMPUTED_VALUE"""),"-35.751879")</f>
        <v>-35.751879</v>
      </c>
      <c r="K1147" s="5" t="str">
        <f>IFERROR(__xludf.DUMMYFUNCTION("""COMPUTED_VALUE"""),"RUA PAYSSANDU, S/N")</f>
        <v>RUA PAYSSANDU, S/N</v>
      </c>
      <c r="L1147" s="5" t="str">
        <f>IFERROR(__xludf.DUMMYFUNCTION("""COMPUTED_VALUE"""),"COLETORA")</f>
        <v>COLETORA</v>
      </c>
      <c r="M1147" s="5" t="str">
        <f>IFERROR(__xludf.DUMMYFUNCTION("""COMPUTED_VALUE"""),"PONTA GROSSA")</f>
        <v>PONTA GROSSA</v>
      </c>
      <c r="N1147" s="5" t="str">
        <f>IFERROR(__xludf.DUMMYFUNCTION("""COMPUTED_VALUE"""),"CENTRO - BAIRRO")</f>
        <v>CENTRO - BAIRRO</v>
      </c>
      <c r="O1147" s="5" t="str">
        <f>IFERROR(__xludf.DUMMYFUNCTION("""COMPUTED_VALUE"""),"EM FRENTE A PRAÇA MOLEQUE NAMORADOR")</f>
        <v>EM FRENTE A PRAÇA MOLEQUE NAMORADOR</v>
      </c>
      <c r="P1147" s="5" t="str">
        <f>IFERROR(__xludf.DUMMYFUNCTION("""COMPUTED_VALUE"""),"PRIORIDADE BAIXA")</f>
        <v>PRIORIDADE BAIXA</v>
      </c>
      <c r="Q1147" s="5" t="str">
        <f>IFERROR(__xludf.DUMMYFUNCTION("""COMPUTED_VALUE"""),"SUBSTITUIR PLACA FIXADA EM POSTE; PINTURA DA BAIA NO ASFALTO; ADEQUAÇÃO DA CALÇADA (PISO TÁTIL).")</f>
        <v>SUBSTITUIR PLACA FIXADA EM POSTE; PINTURA DA BAIA NO ASFALTO; ADEQUAÇÃO DA CALÇADA (PISO TÁTIL).</v>
      </c>
      <c r="R1147" s="5" t="str">
        <f>IFERROR(__xludf.DUMMYFUNCTION("""COMPUTED_VALUE"""),"NENHUMA DAS OPÇÕES")</f>
        <v>NENHUMA DAS OPÇÕES</v>
      </c>
      <c r="S1147" s="7">
        <f>IFERROR(__xludf.DUMMYFUNCTION("""COMPUTED_VALUE"""),44568.0)</f>
        <v>44568</v>
      </c>
      <c r="T1147" s="5"/>
      <c r="U1147" s="7">
        <f>IFERROR(__xludf.DUMMYFUNCTION("""COMPUTED_VALUE"""),44568.0)</f>
        <v>44568</v>
      </c>
      <c r="V1147" s="9" t="str">
        <f>IFERROR(__xludf.DUMMYFUNCTION("""COMPUTED_VALUE"""),"https://drive.google.com/uc?id=1sTx65HJ06RD6_UWVVQU06oOzmii2SjPb")</f>
        <v>https://drive.google.com/uc?id=1sTx65HJ06RD6_UWVVQU06oOzmii2SjPb</v>
      </c>
      <c r="W1147" s="5" t="str">
        <f>IFERROR(__xludf.DUMMYFUNCTION("""COMPUTED_VALUE"""),"NÃO")</f>
        <v>NÃO</v>
      </c>
      <c r="X1147" s="5" t="str">
        <f>IFERROR(__xludf.DUMMYFUNCTION("""COMPUTED_VALUE"""),"NÃO SE APLICA")</f>
        <v>NÃO SE APLICA</v>
      </c>
    </row>
    <row r="1148" hidden="1">
      <c r="A1148" s="5">
        <f>IFERROR(__xludf.DUMMYFUNCTION("""COMPUTED_VALUE"""),2.0)</f>
        <v>2</v>
      </c>
      <c r="B1148" s="5" t="str">
        <f>IFERROR(__xludf.DUMMYFUNCTION("""COMPUTED_VALUE"""),"PG008")</f>
        <v>PG008</v>
      </c>
      <c r="C1148" s="5" t="str">
        <f>IFERROR(__xludf.DUMMYFUNCTION("""COMPUTED_VALUE"""),"NÃO POSSUI")</f>
        <v>NÃO POSSUI</v>
      </c>
      <c r="D1148" s="5" t="str">
        <f>IFERROR(__xludf.DUMMYFUNCTION("""COMPUTED_VALUE"""),"SEM PLACA")</f>
        <v>SEM PLACA</v>
      </c>
      <c r="E1148" s="5" t="str">
        <f>IFERROR(__xludf.DUMMYFUNCTION("""COMPUTED_VALUE"""),"SEM BAIA")</f>
        <v>SEM BAIA</v>
      </c>
      <c r="F1148" s="5" t="str">
        <f>IFERROR(__xludf.DUMMYFUNCTION("""COMPUTED_VALUE"""),"NÃO")</f>
        <v>NÃO</v>
      </c>
      <c r="G1148" s="5" t="str">
        <f>IFERROR(__xludf.DUMMYFUNCTION("""COMPUTED_VALUE"""),"NÃO")</f>
        <v>NÃO</v>
      </c>
      <c r="H1148" s="5" t="str">
        <f>IFERROR(__xludf.DUMMYFUNCTION("""COMPUTED_VALUE"""),"PAVIMENTADA")</f>
        <v>PAVIMENTADA</v>
      </c>
      <c r="I1148" s="6" t="str">
        <f>IFERROR(__xludf.DUMMYFUNCTION("""COMPUTED_VALUE"""),"-9.661198")</f>
        <v>-9.661198</v>
      </c>
      <c r="J1148" s="6" t="str">
        <f>IFERROR(__xludf.DUMMYFUNCTION("""COMPUTED_VALUE"""),"-35.754315")</f>
        <v>-35.754315</v>
      </c>
      <c r="K1148" s="5" t="str">
        <f>IFERROR(__xludf.DUMMYFUNCTION("""COMPUTED_VALUE"""),"RUA MARQUÊS POMBAL, 20")</f>
        <v>RUA MARQUÊS POMBAL, 20</v>
      </c>
      <c r="L1148" s="5" t="str">
        <f>IFERROR(__xludf.DUMMYFUNCTION("""COMPUTED_VALUE"""),"COLETORA")</f>
        <v>COLETORA</v>
      </c>
      <c r="M1148" s="5" t="str">
        <f>IFERROR(__xludf.DUMMYFUNCTION("""COMPUTED_VALUE"""),"PONTA GROSSA")</f>
        <v>PONTA GROSSA</v>
      </c>
      <c r="N1148" s="5" t="str">
        <f>IFERROR(__xludf.DUMMYFUNCTION("""COMPUTED_VALUE"""),"CENTRO - BAIRRO")</f>
        <v>CENTRO - BAIRRO</v>
      </c>
      <c r="O1148" s="5" t="str">
        <f>IFERROR(__xludf.DUMMYFUNCTION("""COMPUTED_VALUE"""),"PRAÇA DOUTOR GUEDES DE MIRANDA")</f>
        <v>PRAÇA DOUTOR GUEDES DE MIRANDA</v>
      </c>
      <c r="P1148" s="5" t="str">
        <f>IFERROR(__xludf.DUMMYFUNCTION("""COMPUTED_VALUE"""),"PRIORIDADE MÉDIA")</f>
        <v>PRIORIDADE MÉDIA</v>
      </c>
      <c r="Q1148" s="5" t="str">
        <f>IFERROR(__xludf.DUMMYFUNCTION("""COMPUTED_VALUE"""),"IMPLANTAR PLACA FIXADA EM POSTE; PINTURA DA BAIA NO ASFALTO; ADEQUAÇÃO DA CALÇADA (RAMPA DE ACESSIBILIDADE E PISO TÁTIL); TRATAMENTO DO ESGOTO.")</f>
        <v>IMPLANTAR PLACA FIXADA EM POSTE; PINTURA DA BAIA NO ASFALTO; ADEQUAÇÃO DA CALÇADA (RAMPA DE ACESSIBILIDADE E PISO TÁTIL); TRATAMENTO DO ESGOTO.</v>
      </c>
      <c r="R1148" s="5" t="str">
        <f>IFERROR(__xludf.DUMMYFUNCTION("""COMPUTED_VALUE"""),"NENHUMA DAS OPÇÕES")</f>
        <v>NENHUMA DAS OPÇÕES</v>
      </c>
      <c r="S1148" s="7">
        <f>IFERROR(__xludf.DUMMYFUNCTION("""COMPUTED_VALUE"""),44569.0)</f>
        <v>44569</v>
      </c>
      <c r="T1148" s="5"/>
      <c r="U1148" s="7">
        <f>IFERROR(__xludf.DUMMYFUNCTION("""COMPUTED_VALUE"""),44569.0)</f>
        <v>44569</v>
      </c>
      <c r="V1148" s="9" t="str">
        <f>IFERROR(__xludf.DUMMYFUNCTION("""COMPUTED_VALUE"""),"https://drive.google.com/fuc?id=1-SCvJMOrb2hyrHDKOG8BE5Fu0x-7OJEc/view")</f>
        <v>https://drive.google.com/fuc?id=1-SCvJMOrb2hyrHDKOG8BE5Fu0x-7OJEc/view</v>
      </c>
      <c r="W1148" s="5" t="str">
        <f>IFERROR(__xludf.DUMMYFUNCTION("""COMPUTED_VALUE"""),"NÃO")</f>
        <v>NÃO</v>
      </c>
      <c r="X1148" s="5" t="str">
        <f>IFERROR(__xludf.DUMMYFUNCTION("""COMPUTED_VALUE"""),"NÃO SE APLICA")</f>
        <v>NÃO SE APLICA</v>
      </c>
    </row>
    <row r="1149">
      <c r="A1149" s="5">
        <f>IFERROR(__xludf.DUMMYFUNCTION("""COMPUTED_VALUE"""),2.0)</f>
        <v>2</v>
      </c>
      <c r="B1149" s="5" t="str">
        <f>IFERROR(__xludf.DUMMYFUNCTION("""COMPUTED_VALUE"""),"PG009")</f>
        <v>PG009</v>
      </c>
      <c r="C1149" s="5" t="str">
        <f>IFERROR(__xludf.DUMMYFUNCTION("""COMPUTED_VALUE"""),"ABRIGO CONCRETO")</f>
        <v>ABRIGO CONCRETO</v>
      </c>
      <c r="D1149" s="5" t="str">
        <f>IFERROR(__xludf.DUMMYFUNCTION("""COMPUTED_VALUE"""),"SEM PLACA")</f>
        <v>SEM PLACA</v>
      </c>
      <c r="E1149" s="5" t="str">
        <f>IFERROR(__xludf.DUMMYFUNCTION("""COMPUTED_VALUE"""),"SEM BAIA")</f>
        <v>SEM BAIA</v>
      </c>
      <c r="F1149" s="5" t="str">
        <f>IFERROR(__xludf.DUMMYFUNCTION("""COMPUTED_VALUE"""),"SIM")</f>
        <v>SIM</v>
      </c>
      <c r="G1149" s="5" t="str">
        <f>IFERROR(__xludf.DUMMYFUNCTION("""COMPUTED_VALUE"""),"NÃO")</f>
        <v>NÃO</v>
      </c>
      <c r="H1149" s="5" t="str">
        <f>IFERROR(__xludf.DUMMYFUNCTION("""COMPUTED_VALUE"""),"PAVIMENTADA")</f>
        <v>PAVIMENTADA</v>
      </c>
      <c r="I1149" s="6" t="str">
        <f>IFERROR(__xludf.DUMMYFUNCTION("""COMPUTED_VALUE"""),"-9.661327")</f>
        <v>-9.661327</v>
      </c>
      <c r="J1149" s="6" t="str">
        <f>IFERROR(__xludf.DUMMYFUNCTION("""COMPUTED_VALUE"""),"-35.754305")</f>
        <v>-35.754305</v>
      </c>
      <c r="K1149" s="5" t="str">
        <f>IFERROR(__xludf.DUMMYFUNCTION("""COMPUTED_VALUE"""),"RUA MARQUÊS POMBAL, 20")</f>
        <v>RUA MARQUÊS POMBAL, 20</v>
      </c>
      <c r="L1149" s="5" t="str">
        <f>IFERROR(__xludf.DUMMYFUNCTION("""COMPUTED_VALUE"""),"COLETORA")</f>
        <v>COLETORA</v>
      </c>
      <c r="M1149" s="5" t="str">
        <f>IFERROR(__xludf.DUMMYFUNCTION("""COMPUTED_VALUE"""),"PONTA GROSSA")</f>
        <v>PONTA GROSSA</v>
      </c>
      <c r="N1149" s="5" t="str">
        <f>IFERROR(__xludf.DUMMYFUNCTION("""COMPUTED_VALUE"""),"BAIRRO - CENTRO")</f>
        <v>BAIRRO - CENTRO</v>
      </c>
      <c r="O1149" s="5" t="str">
        <f>IFERROR(__xludf.DUMMYFUNCTION("""COMPUTED_VALUE"""),"PRAÇA DOUTOR GUEDES DE MIRANDA")</f>
        <v>PRAÇA DOUTOR GUEDES DE MIRANDA</v>
      </c>
      <c r="P1149" s="5" t="str">
        <f>IFERROR(__xludf.DUMMYFUNCTION("""COMPUTED_VALUE"""),"PRIORIDADE BAIXA")</f>
        <v>PRIORIDADE BAIXA</v>
      </c>
      <c r="Q1149" s="5" t="str">
        <f>IFERROR(__xludf.DUMMYFUNCTION("""COMPUTED_VALUE"""),"LIMPEZA DA COBERTA DO ABRIGO, REMOÇÃO DA PINTURA ANTIGA E FAZER NOVA PINTURA; IMPLANTAR PLACA FIXADA EM SUPORTE DE MADEIRA; PINTURA DA BAIA NO ASFALTO; ADEQUAÇÃO DA CALÇADA (PISO TÁTIL).")</f>
        <v>LIMPEZA DA COBERTA DO ABRIGO, REMOÇÃO DA PINTURA ANTIGA E FAZER NOVA PINTURA; IMPLANTAR PLACA FIXADA EM SUPORTE DE MADEIRA; PINTURA DA BAIA NO ASFALTO; ADEQUAÇÃO DA CALÇADA (PISO TÁTIL).</v>
      </c>
      <c r="R1149" s="5" t="str">
        <f>IFERROR(__xludf.DUMMYFUNCTION("""COMPUTED_VALUE"""),"NENHUMA DAS OPÇÕES")</f>
        <v>NENHUMA DAS OPÇÕES</v>
      </c>
      <c r="S1149" s="7">
        <f>IFERROR(__xludf.DUMMYFUNCTION("""COMPUTED_VALUE"""),44570.0)</f>
        <v>44570</v>
      </c>
      <c r="T1149" s="5"/>
      <c r="U1149" s="7">
        <f>IFERROR(__xludf.DUMMYFUNCTION("""COMPUTED_VALUE"""),44570.0)</f>
        <v>44570</v>
      </c>
      <c r="V1149" s="9" t="str">
        <f>IFERROR(__xludf.DUMMYFUNCTION("""COMPUTED_VALUE"""),"https://drive.google.com/uc?id=1JTzC81Ec2hgPfFfiz-UB-HuBGMdA6PoG")</f>
        <v>https://drive.google.com/uc?id=1JTzC81Ec2hgPfFfiz-UB-HuBGMdA6PoG</v>
      </c>
      <c r="W1149" s="5" t="str">
        <f>IFERROR(__xludf.DUMMYFUNCTION("""COMPUTED_VALUE"""),"NÃO")</f>
        <v>NÃO</v>
      </c>
      <c r="X1149" s="5" t="str">
        <f>IFERROR(__xludf.DUMMYFUNCTION("""COMPUTED_VALUE"""),"NÃO SE APLICA")</f>
        <v>NÃO SE APLICA</v>
      </c>
    </row>
    <row r="1150" hidden="1">
      <c r="A1150" s="5">
        <f>IFERROR(__xludf.DUMMYFUNCTION("""COMPUTED_VALUE"""),2.0)</f>
        <v>2</v>
      </c>
      <c r="B1150" s="5" t="str">
        <f>IFERROR(__xludf.DUMMYFUNCTION("""COMPUTED_VALUE"""),"PG010")</f>
        <v>PG010</v>
      </c>
      <c r="C1150" s="5" t="str">
        <f>IFERROR(__xludf.DUMMYFUNCTION("""COMPUTED_VALUE"""),"NÃO POSSUI")</f>
        <v>NÃO POSSUI</v>
      </c>
      <c r="D1150" s="5" t="str">
        <f>IFERROR(__xludf.DUMMYFUNCTION("""COMPUTED_VALUE"""),"FIXADA EM POSTE")</f>
        <v>FIXADA EM POSTE</v>
      </c>
      <c r="E1150" s="5" t="str">
        <f>IFERROR(__xludf.DUMMYFUNCTION("""COMPUTED_VALUE"""),"SEM BAIA")</f>
        <v>SEM BAIA</v>
      </c>
      <c r="F1150" s="5" t="str">
        <f>IFERROR(__xludf.DUMMYFUNCTION("""COMPUTED_VALUE"""),"NÃO")</f>
        <v>NÃO</v>
      </c>
      <c r="G1150" s="5" t="str">
        <f>IFERROR(__xludf.DUMMYFUNCTION("""COMPUTED_VALUE"""),"NÃO")</f>
        <v>NÃO</v>
      </c>
      <c r="H1150" s="5" t="str">
        <f>IFERROR(__xludf.DUMMYFUNCTION("""COMPUTED_VALUE"""),"PAVIMENTADA")</f>
        <v>PAVIMENTADA</v>
      </c>
      <c r="I1150" s="6" t="str">
        <f>IFERROR(__xludf.DUMMYFUNCTION("""COMPUTED_VALUE"""),"-9.663317")</f>
        <v>-9.663317</v>
      </c>
      <c r="J1150" s="6" t="str">
        <f>IFERROR(__xludf.DUMMYFUNCTION("""COMPUTED_VALUE"""),"-35.749622")</f>
        <v>-35.749622</v>
      </c>
      <c r="K1150" s="5" t="str">
        <f>IFERROR(__xludf.DUMMYFUNCTION("""COMPUTED_VALUE"""),"RUA PROFESSOR LOUREIRO, 70")</f>
        <v>RUA PROFESSOR LOUREIRO, 70</v>
      </c>
      <c r="L1150" s="5" t="str">
        <f>IFERROR(__xludf.DUMMYFUNCTION("""COMPUTED_VALUE"""),"COLETORA")</f>
        <v>COLETORA</v>
      </c>
      <c r="M1150" s="5" t="str">
        <f>IFERROR(__xludf.DUMMYFUNCTION("""COMPUTED_VALUE"""),"PONTA GROSSA")</f>
        <v>PONTA GROSSA</v>
      </c>
      <c r="N1150" s="5" t="str">
        <f>IFERROR(__xludf.DUMMYFUNCTION("""COMPUTED_VALUE"""),"CENTRO - BAIRRO")</f>
        <v>CENTRO - BAIRRO</v>
      </c>
      <c r="O1150" s="5" t="str">
        <f>IFERROR(__xludf.DUMMYFUNCTION("""COMPUTED_VALUE"""),"EM FRENTE A IGREJA DEUS É AMOR")</f>
        <v>EM FRENTE A IGREJA DEUS É AMOR</v>
      </c>
      <c r="P1150" s="5" t="str">
        <f>IFERROR(__xludf.DUMMYFUNCTION("""COMPUTED_VALUE"""),"PRIORIDADE BAIXA")</f>
        <v>PRIORIDADE BAIXA</v>
      </c>
      <c r="Q1150" s="5" t="str">
        <f>IFERROR(__xludf.DUMMYFUNCTION("""COMPUTED_VALUE"""),"PINTURA DA BAIA NO ASFALTO; ADEQUAÇÃO DA CALÇADA (RAMPA DE ACESSIBILIDADE E PISO TÁTIL).")</f>
        <v>PINTURA DA BAIA NO ASFALTO; ADEQUAÇÃO DA CALÇADA (RAMPA DE ACESSIBILIDADE E PISO TÁTIL).</v>
      </c>
      <c r="R1150" s="5" t="str">
        <f>IFERROR(__xludf.DUMMYFUNCTION("""COMPUTED_VALUE"""),"NENHUMA DAS OPÇÕES")</f>
        <v>NENHUMA DAS OPÇÕES</v>
      </c>
      <c r="S1150" s="7">
        <f>IFERROR(__xludf.DUMMYFUNCTION("""COMPUTED_VALUE"""),44571.0)</f>
        <v>44571</v>
      </c>
      <c r="T1150" s="5"/>
      <c r="U1150" s="7">
        <f>IFERROR(__xludf.DUMMYFUNCTION("""COMPUTED_VALUE"""),44571.0)</f>
        <v>44571</v>
      </c>
      <c r="V1150" s="9" t="str">
        <f>IFERROR(__xludf.DUMMYFUNCTION("""COMPUTED_VALUE"""),"https://drive.google.com/uc?id=1SWp8Ho9dgDQxc82Bnd-7bHnNd-bqa709")</f>
        <v>https://drive.google.com/uc?id=1SWp8Ho9dgDQxc82Bnd-7bHnNd-bqa709</v>
      </c>
      <c r="W1150" s="5" t="str">
        <f>IFERROR(__xludf.DUMMYFUNCTION("""COMPUTED_VALUE"""),"NÃO")</f>
        <v>NÃO</v>
      </c>
      <c r="X1150" s="5" t="str">
        <f>IFERROR(__xludf.DUMMYFUNCTION("""COMPUTED_VALUE"""),"NÃO SE APLICA")</f>
        <v>NÃO SE APLICA</v>
      </c>
    </row>
    <row r="1151" hidden="1">
      <c r="A1151" s="5">
        <f>IFERROR(__xludf.DUMMYFUNCTION("""COMPUTED_VALUE"""),2.0)</f>
        <v>2</v>
      </c>
      <c r="B1151" s="5" t="str">
        <f>IFERROR(__xludf.DUMMYFUNCTION("""COMPUTED_VALUE"""),"PG011")</f>
        <v>PG011</v>
      </c>
      <c r="C1151" s="5" t="str">
        <f>IFERROR(__xludf.DUMMYFUNCTION("""COMPUTED_VALUE"""),"NÃO POSSUI")</f>
        <v>NÃO POSSUI</v>
      </c>
      <c r="D1151" s="5" t="str">
        <f>IFERROR(__xludf.DUMMYFUNCTION("""COMPUTED_VALUE"""),"FIXADA EM POSTE")</f>
        <v>FIXADA EM POSTE</v>
      </c>
      <c r="E1151" s="5" t="str">
        <f>IFERROR(__xludf.DUMMYFUNCTION("""COMPUTED_VALUE"""),"SEM BAIA")</f>
        <v>SEM BAIA</v>
      </c>
      <c r="F1151" s="5" t="str">
        <f>IFERROR(__xludf.DUMMYFUNCTION("""COMPUTED_VALUE"""),"NÃO")</f>
        <v>NÃO</v>
      </c>
      <c r="G1151" s="5" t="str">
        <f>IFERROR(__xludf.DUMMYFUNCTION("""COMPUTED_VALUE"""),"NÃO")</f>
        <v>NÃO</v>
      </c>
      <c r="H1151" s="5" t="str">
        <f>IFERROR(__xludf.DUMMYFUNCTION("""COMPUTED_VALUE"""),"PAVIMENTADA COM AVARIAS")</f>
        <v>PAVIMENTADA COM AVARIAS</v>
      </c>
      <c r="I1151" s="6" t="str">
        <f>IFERROR(__xludf.DUMMYFUNCTION("""COMPUTED_VALUE"""),"-9.664569")</f>
        <v>-9.664569</v>
      </c>
      <c r="J1151" s="6" t="str">
        <f>IFERROR(__xludf.DUMMYFUNCTION("""COMPUTED_VALUE"""),"-35.751439")</f>
        <v>-35.751439</v>
      </c>
      <c r="K1151" s="5" t="str">
        <f>IFERROR(__xludf.DUMMYFUNCTION("""COMPUTED_VALUE"""),"RUA DOUTOR VIRGÍLIO GUEDES, 1002")</f>
        <v>RUA DOUTOR VIRGÍLIO GUEDES, 1002</v>
      </c>
      <c r="L1151" s="5" t="str">
        <f>IFERROR(__xludf.DUMMYFUNCTION("""COMPUTED_VALUE"""),"COLETORA")</f>
        <v>COLETORA</v>
      </c>
      <c r="M1151" s="5" t="str">
        <f>IFERROR(__xludf.DUMMYFUNCTION("""COMPUTED_VALUE"""),"PONTA GROSSA")</f>
        <v>PONTA GROSSA</v>
      </c>
      <c r="N1151" s="5" t="str">
        <f>IFERROR(__xludf.DUMMYFUNCTION("""COMPUTED_VALUE"""),"CENTRO - BAIRRO")</f>
        <v>CENTRO - BAIRRO</v>
      </c>
      <c r="O1151" s="5" t="str">
        <f>IFERROR(__xludf.DUMMYFUNCTION("""COMPUTED_VALUE"""),"PRÓXIMO A IGREJA EM FAMÍLIA")</f>
        <v>PRÓXIMO A IGREJA EM FAMÍLIA</v>
      </c>
      <c r="P1151" s="5" t="str">
        <f>IFERROR(__xludf.DUMMYFUNCTION("""COMPUTED_VALUE"""),"PRIORIDADE BAIXA")</f>
        <v>PRIORIDADE BAIXA</v>
      </c>
      <c r="Q1151" s="5" t="str">
        <f>IFERROR(__xludf.DUMMYFUNCTION("""COMPUTED_VALUE"""),"SUBSTITUIR PLACA FIXADA EM POSTE; PINTURA DA BAIA NO ASFALTO; ADEQUAÇÃO DA CALÇADA (PISO TÁTIL); REMOÇÃO DA VEGETAÇÃO DA CALÇADA E MEIO FIO.")</f>
        <v>SUBSTITUIR PLACA FIXADA EM POSTE; PINTURA DA BAIA NO ASFALTO; ADEQUAÇÃO DA CALÇADA (PISO TÁTIL); REMOÇÃO DA VEGETAÇÃO DA CALÇADA E MEIO FIO.</v>
      </c>
      <c r="R1151" s="5" t="str">
        <f>IFERROR(__xludf.DUMMYFUNCTION("""COMPUTED_VALUE"""),"NENHUMA DAS OPÇÕES")</f>
        <v>NENHUMA DAS OPÇÕES</v>
      </c>
      <c r="S1151" s="7">
        <f>IFERROR(__xludf.DUMMYFUNCTION("""COMPUTED_VALUE"""),44572.0)</f>
        <v>44572</v>
      </c>
      <c r="T1151" s="5"/>
      <c r="U1151" s="7">
        <f>IFERROR(__xludf.DUMMYFUNCTION("""COMPUTED_VALUE"""),44572.0)</f>
        <v>44572</v>
      </c>
      <c r="V1151" s="9" t="str">
        <f>IFERROR(__xludf.DUMMYFUNCTION("""COMPUTED_VALUE"""),"https://drive.google.com/uc?id=1vh2eBUn6UR1zojhvPm93uLZd9jpEb5le")</f>
        <v>https://drive.google.com/uc?id=1vh2eBUn6UR1zojhvPm93uLZd9jpEb5le</v>
      </c>
      <c r="W1151" s="5" t="str">
        <f>IFERROR(__xludf.DUMMYFUNCTION("""COMPUTED_VALUE"""),"NÃO")</f>
        <v>NÃO</v>
      </c>
      <c r="X1151" s="5" t="str">
        <f>IFERROR(__xludf.DUMMYFUNCTION("""COMPUTED_VALUE"""),"NÃO SE APLICA")</f>
        <v>NÃO SE APLICA</v>
      </c>
    </row>
    <row r="1152" hidden="1">
      <c r="A1152" s="5">
        <f>IFERROR(__xludf.DUMMYFUNCTION("""COMPUTED_VALUE"""),2.0)</f>
        <v>2</v>
      </c>
      <c r="B1152" s="5" t="str">
        <f>IFERROR(__xludf.DUMMYFUNCTION("""COMPUTED_VALUE"""),"PG012")</f>
        <v>PG012</v>
      </c>
      <c r="C1152" s="5" t="str">
        <f>IFERROR(__xludf.DUMMYFUNCTION("""COMPUTED_VALUE"""),"NÃO POSSUI")</f>
        <v>NÃO POSSUI</v>
      </c>
      <c r="D1152" s="5" t="str">
        <f>IFERROR(__xludf.DUMMYFUNCTION("""COMPUTED_VALUE"""),"SEM PLACA")</f>
        <v>SEM PLACA</v>
      </c>
      <c r="E1152" s="5" t="str">
        <f>IFERROR(__xludf.DUMMYFUNCTION("""COMPUTED_VALUE"""),"SEM BAIA")</f>
        <v>SEM BAIA</v>
      </c>
      <c r="F1152" s="5" t="str">
        <f>IFERROR(__xludf.DUMMYFUNCTION("""COMPUTED_VALUE"""),"NÃO")</f>
        <v>NÃO</v>
      </c>
      <c r="G1152" s="5" t="str">
        <f>IFERROR(__xludf.DUMMYFUNCTION("""COMPUTED_VALUE"""),"NÃO")</f>
        <v>NÃO</v>
      </c>
      <c r="H1152" s="5" t="str">
        <f>IFERROR(__xludf.DUMMYFUNCTION("""COMPUTED_VALUE"""),"PAVIMENTADA")</f>
        <v>PAVIMENTADA</v>
      </c>
      <c r="I1152" s="6" t="str">
        <f>IFERROR(__xludf.DUMMYFUNCTION("""COMPUTED_VALUE"""),"-9.664415")</f>
        <v>-9.664415</v>
      </c>
      <c r="J1152" s="6" t="str">
        <f>IFERROR(__xludf.DUMMYFUNCTION("""COMPUTED_VALUE"""),"-35.753897")</f>
        <v>-35.753897</v>
      </c>
      <c r="K1152" s="5" t="str">
        <f>IFERROR(__xludf.DUMMYFUNCTION("""COMPUTED_VALUE"""),"RUA DOUTOR VIRGÍLIO GUEDES, 1240")</f>
        <v>RUA DOUTOR VIRGÍLIO GUEDES, 1240</v>
      </c>
      <c r="L1152" s="5" t="str">
        <f>IFERROR(__xludf.DUMMYFUNCTION("""COMPUTED_VALUE"""),"COLETORA")</f>
        <v>COLETORA</v>
      </c>
      <c r="M1152" s="5" t="str">
        <f>IFERROR(__xludf.DUMMYFUNCTION("""COMPUTED_VALUE"""),"PONTA GROSSA")</f>
        <v>PONTA GROSSA</v>
      </c>
      <c r="N1152" s="5" t="str">
        <f>IFERROR(__xludf.DUMMYFUNCTION("""COMPUTED_VALUE"""),"BAIRRO - CENTRO")</f>
        <v>BAIRRO - CENTRO</v>
      </c>
      <c r="O1152" s="5" t="str">
        <f>IFERROR(__xludf.DUMMYFUNCTION("""COMPUTED_VALUE"""),"ATRÁS DA UNIDADE DA FAMÍLIA DO NOVO MUNDO, EM FRENTE A IGREJA QUADRANGULAR")</f>
        <v>ATRÁS DA UNIDADE DA FAMÍLIA DO NOVO MUNDO, EM FRENTE A IGREJA QUADRANGULAR</v>
      </c>
      <c r="P1152" s="5" t="str">
        <f>IFERROR(__xludf.DUMMYFUNCTION("""COMPUTED_VALUE"""),"PRIORIDADE MÉDIA")</f>
        <v>PRIORIDADE MÉDIA</v>
      </c>
      <c r="Q1152" s="5" t="str">
        <f>IFERROR(__xludf.DUMMYFUNCTION("""COMPUTED_VALUE"""),"IMPLANTAR PLACA COM SUPORTE DE MADEIRA; PINTURA DA BAIA NO ASFALTO; ADEQUAÇÃO DA CALÇADA (RAMPA DE ACESSIBILIDADE E PISO TÁTIL).")</f>
        <v>IMPLANTAR PLACA COM SUPORTE DE MADEIRA; PINTURA DA BAIA NO ASFALTO; ADEQUAÇÃO DA CALÇADA (RAMPA DE ACESSIBILIDADE E PISO TÁTIL).</v>
      </c>
      <c r="R1152" s="5" t="str">
        <f>IFERROR(__xludf.DUMMYFUNCTION("""COMPUTED_VALUE"""),"NENHUMA DAS OPÇÕES")</f>
        <v>NENHUMA DAS OPÇÕES</v>
      </c>
      <c r="S1152" s="7">
        <f>IFERROR(__xludf.DUMMYFUNCTION("""COMPUTED_VALUE"""),44573.0)</f>
        <v>44573</v>
      </c>
      <c r="T1152" s="5"/>
      <c r="U1152" s="7">
        <f>IFERROR(__xludf.DUMMYFUNCTION("""COMPUTED_VALUE"""),44573.0)</f>
        <v>44573</v>
      </c>
      <c r="V1152" s="9" t="str">
        <f>IFERROR(__xludf.DUMMYFUNCTION("""COMPUTED_VALUE"""),"https://drive.google.com/uc?id=1R5PtaU_BdOVchjPAe3ECVkRCadZ_22Ji")</f>
        <v>https://drive.google.com/uc?id=1R5PtaU_BdOVchjPAe3ECVkRCadZ_22Ji</v>
      </c>
      <c r="W1152" s="5" t="str">
        <f>IFERROR(__xludf.DUMMYFUNCTION("""COMPUTED_VALUE"""),"NÃO")</f>
        <v>NÃO</v>
      </c>
      <c r="X1152" s="5" t="str">
        <f>IFERROR(__xludf.DUMMYFUNCTION("""COMPUTED_VALUE"""),"NÃO SE APLICA")</f>
        <v>NÃO SE APLICA</v>
      </c>
    </row>
    <row r="1153" hidden="1">
      <c r="A1153" s="5">
        <f>IFERROR(__xludf.DUMMYFUNCTION("""COMPUTED_VALUE"""),2.0)</f>
        <v>2</v>
      </c>
      <c r="B1153" s="5" t="str">
        <f>IFERROR(__xludf.DUMMYFUNCTION("""COMPUTED_VALUE"""),"PG013")</f>
        <v>PG013</v>
      </c>
      <c r="C1153" s="5" t="str">
        <f>IFERROR(__xludf.DUMMYFUNCTION("""COMPUTED_VALUE"""),"NÃO POSSUI")</f>
        <v>NÃO POSSUI</v>
      </c>
      <c r="D1153" s="5" t="str">
        <f>IFERROR(__xludf.DUMMYFUNCTION("""COMPUTED_VALUE"""),"SEM PLACA")</f>
        <v>SEM PLACA</v>
      </c>
      <c r="E1153" s="5" t="str">
        <f>IFERROR(__xludf.DUMMYFUNCTION("""COMPUTED_VALUE"""),"SEM BAIA")</f>
        <v>SEM BAIA</v>
      </c>
      <c r="F1153" s="5" t="str">
        <f>IFERROR(__xludf.DUMMYFUNCTION("""COMPUTED_VALUE"""),"SIM")</f>
        <v>SIM</v>
      </c>
      <c r="G1153" s="5" t="str">
        <f>IFERROR(__xludf.DUMMYFUNCTION("""COMPUTED_VALUE"""),"NÃO")</f>
        <v>NÃO</v>
      </c>
      <c r="H1153" s="5" t="str">
        <f>IFERROR(__xludf.DUMMYFUNCTION("""COMPUTED_VALUE"""),"PAVIMENTADA")</f>
        <v>PAVIMENTADA</v>
      </c>
      <c r="I1153" s="6" t="str">
        <f>IFERROR(__xludf.DUMMYFUNCTION("""COMPUTED_VALUE"""),"-9.664156")</f>
        <v>-9.664156</v>
      </c>
      <c r="J1153" s="6" t="str">
        <f>IFERROR(__xludf.DUMMYFUNCTION("""COMPUTED_VALUE"""),"-35.757403")</f>
        <v>-35.757403</v>
      </c>
      <c r="K1153" s="5" t="str">
        <f>IFERROR(__xludf.DUMMYFUNCTION("""COMPUTED_VALUE"""),"RUA DOUTOR VIRGÍLIO GUEDES, S/N")</f>
        <v>RUA DOUTOR VIRGÍLIO GUEDES, S/N</v>
      </c>
      <c r="L1153" s="5" t="str">
        <f>IFERROR(__xludf.DUMMYFUNCTION("""COMPUTED_VALUE"""),"COLETORA")</f>
        <v>COLETORA</v>
      </c>
      <c r="M1153" s="5" t="str">
        <f>IFERROR(__xludf.DUMMYFUNCTION("""COMPUTED_VALUE"""),"PONTA GROSSA")</f>
        <v>PONTA GROSSA</v>
      </c>
      <c r="N1153" s="5" t="str">
        <f>IFERROR(__xludf.DUMMYFUNCTION("""COMPUTED_VALUE"""),"CENTRO - BAIRRO")</f>
        <v>CENTRO - BAIRRO</v>
      </c>
      <c r="O1153" s="5" t="str">
        <f>IFERROR(__xludf.DUMMYFUNCTION("""COMPUTED_VALUE"""),"CALÇADA DA ESCOLA MUNICIPAL ALMEIDA LEITE")</f>
        <v>CALÇADA DA ESCOLA MUNICIPAL ALMEIDA LEITE</v>
      </c>
      <c r="P1153" s="5" t="str">
        <f>IFERROR(__xludf.DUMMYFUNCTION("""COMPUTED_VALUE"""),"PRIORIDADE MÉDIA")</f>
        <v>PRIORIDADE MÉDIA</v>
      </c>
      <c r="Q1153" s="5" t="str">
        <f>IFERROR(__xludf.DUMMYFUNCTION("""COMPUTED_VALUE"""),"IMPLANTAR PLACA COM SUPORTE DE MADEIRA; PINTURA DA BAIA NO ASFALTO; ADEQUAÇÃO DA CALÇADA (PISO TÁTIL); REMOÇÃO DA VEGETAÇÃO DA CALÇADA; TRATAMENTO E REMOÇÃO DO ESGOTO)..")</f>
        <v>IMPLANTAR PLACA COM SUPORTE DE MADEIRA; PINTURA DA BAIA NO ASFALTO; ADEQUAÇÃO DA CALÇADA (PISO TÁTIL); REMOÇÃO DA VEGETAÇÃO DA CALÇADA; TRATAMENTO E REMOÇÃO DO ESGOTO)..</v>
      </c>
      <c r="R1153" s="5" t="str">
        <f>IFERROR(__xludf.DUMMYFUNCTION("""COMPUTED_VALUE"""),"NENHUMA DAS OPÇÕES")</f>
        <v>NENHUMA DAS OPÇÕES</v>
      </c>
      <c r="S1153" s="7">
        <f>IFERROR(__xludf.DUMMYFUNCTION("""COMPUTED_VALUE"""),44574.0)</f>
        <v>44574</v>
      </c>
      <c r="T1153" s="5"/>
      <c r="U1153" s="7">
        <f>IFERROR(__xludf.DUMMYFUNCTION("""COMPUTED_VALUE"""),44574.0)</f>
        <v>44574</v>
      </c>
      <c r="V1153" s="9" t="str">
        <f>IFERROR(__xludf.DUMMYFUNCTION("""COMPUTED_VALUE"""),"https://drive.google.com/uc?id=1Yoj0AFAnHEmpYz1jdLky4AkwHWUN_TRq")</f>
        <v>https://drive.google.com/uc?id=1Yoj0AFAnHEmpYz1jdLky4AkwHWUN_TRq</v>
      </c>
      <c r="W1153" s="5" t="str">
        <f>IFERROR(__xludf.DUMMYFUNCTION("""COMPUTED_VALUE"""),"NÃO")</f>
        <v>NÃO</v>
      </c>
      <c r="X1153" s="5" t="str">
        <f>IFERROR(__xludf.DUMMYFUNCTION("""COMPUTED_VALUE"""),"NÃO SE APLICA")</f>
        <v>NÃO SE APLICA</v>
      </c>
    </row>
    <row r="1154" hidden="1">
      <c r="A1154" s="5">
        <f>IFERROR(__xludf.DUMMYFUNCTION("""COMPUTED_VALUE"""),2.0)</f>
        <v>2</v>
      </c>
      <c r="B1154" s="5" t="str">
        <f>IFERROR(__xludf.DUMMYFUNCTION("""COMPUTED_VALUE"""),"PG014")</f>
        <v>PG014</v>
      </c>
      <c r="C1154" s="5" t="str">
        <f>IFERROR(__xludf.DUMMYFUNCTION("""COMPUTED_VALUE"""),"NÃO POSSUI")</f>
        <v>NÃO POSSUI</v>
      </c>
      <c r="D1154" s="5" t="str">
        <f>IFERROR(__xludf.DUMMYFUNCTION("""COMPUTED_VALUE"""),"FIXADA EM POSTE")</f>
        <v>FIXADA EM POSTE</v>
      </c>
      <c r="E1154" s="5" t="str">
        <f>IFERROR(__xludf.DUMMYFUNCTION("""COMPUTED_VALUE"""),"SEM BAIA")</f>
        <v>SEM BAIA</v>
      </c>
      <c r="F1154" s="5" t="str">
        <f>IFERROR(__xludf.DUMMYFUNCTION("""COMPUTED_VALUE"""),"NÃO")</f>
        <v>NÃO</v>
      </c>
      <c r="G1154" s="5" t="str">
        <f>IFERROR(__xludf.DUMMYFUNCTION("""COMPUTED_VALUE"""),"NÃO")</f>
        <v>NÃO</v>
      </c>
      <c r="H1154" s="5" t="str">
        <f>IFERROR(__xludf.DUMMYFUNCTION("""COMPUTED_VALUE"""),"PAVIMENTADA COM AVARIAS")</f>
        <v>PAVIMENTADA COM AVARIAS</v>
      </c>
      <c r="I1154" s="6" t="str">
        <f>IFERROR(__xludf.DUMMYFUNCTION("""COMPUTED_VALUE"""),"-9.662886")</f>
        <v>-9.662886</v>
      </c>
      <c r="J1154" s="6" t="str">
        <f>IFERROR(__xludf.DUMMYFUNCTION("""COMPUTED_VALUE"""),"-35.757496")</f>
        <v>-35.757496</v>
      </c>
      <c r="K1154" s="5" t="str">
        <f>IFERROR(__xludf.DUMMYFUNCTION("""COMPUTED_VALUE"""),"RUA CABO REIS, 719")</f>
        <v>RUA CABO REIS, 719</v>
      </c>
      <c r="L1154" s="5" t="str">
        <f>IFERROR(__xludf.DUMMYFUNCTION("""COMPUTED_VALUE"""),"COLETORA")</f>
        <v>COLETORA</v>
      </c>
      <c r="M1154" s="5" t="str">
        <f>IFERROR(__xludf.DUMMYFUNCTION("""COMPUTED_VALUE"""),"PONTA GROSSA")</f>
        <v>PONTA GROSSA</v>
      </c>
      <c r="N1154" s="5" t="str">
        <f>IFERROR(__xludf.DUMMYFUNCTION("""COMPUTED_VALUE"""),"BAIRRO - CENTRO")</f>
        <v>BAIRRO - CENTRO</v>
      </c>
      <c r="O1154" s="5" t="str">
        <f>IFERROR(__xludf.DUMMYFUNCTION("""COMPUTED_VALUE"""),"EM FRENTE A PACIÊNCIA PEÇAS E ACESSÓRIOS")</f>
        <v>EM FRENTE A PACIÊNCIA PEÇAS E ACESSÓRIOS</v>
      </c>
      <c r="P1154" s="5" t="str">
        <f>IFERROR(__xludf.DUMMYFUNCTION("""COMPUTED_VALUE"""),"PRIORIDADE BAIXA")</f>
        <v>PRIORIDADE BAIXA</v>
      </c>
      <c r="Q1154" s="5" t="str">
        <f>IFERROR(__xludf.DUMMYFUNCTION("""COMPUTED_VALUE"""),"PINTURA DA BAIA NO ASFALTO; PAVIMENTAÇÃO E ADEQUAÇÃO DA CALÇADA (RAMPA DE ACESSIBILIDADE E PISO TÁTIL).")</f>
        <v>PINTURA DA BAIA NO ASFALTO; PAVIMENTAÇÃO E ADEQUAÇÃO DA CALÇADA (RAMPA DE ACESSIBILIDADE E PISO TÁTIL).</v>
      </c>
      <c r="R1154" s="5" t="str">
        <f>IFERROR(__xludf.DUMMYFUNCTION("""COMPUTED_VALUE"""),"NENHUMA DAS OPÇÕES")</f>
        <v>NENHUMA DAS OPÇÕES</v>
      </c>
      <c r="S1154" s="7">
        <f>IFERROR(__xludf.DUMMYFUNCTION("""COMPUTED_VALUE"""),44575.0)</f>
        <v>44575</v>
      </c>
      <c r="T1154" s="5"/>
      <c r="U1154" s="7">
        <f>IFERROR(__xludf.DUMMYFUNCTION("""COMPUTED_VALUE"""),44575.0)</f>
        <v>44575</v>
      </c>
      <c r="V1154" s="9" t="str">
        <f>IFERROR(__xludf.DUMMYFUNCTION("""COMPUTED_VALUE"""),"https://drive.google.com/uc?id=1eQm9ClGK9D1NBiVztp0cW2NsOmjwF_6o")</f>
        <v>https://drive.google.com/uc?id=1eQm9ClGK9D1NBiVztp0cW2NsOmjwF_6o</v>
      </c>
      <c r="W1154" s="5" t="str">
        <f>IFERROR(__xludf.DUMMYFUNCTION("""COMPUTED_VALUE"""),"NÃO")</f>
        <v>NÃO</v>
      </c>
      <c r="X1154" s="5" t="str">
        <f>IFERROR(__xludf.DUMMYFUNCTION("""COMPUTED_VALUE"""),"NÃO SE APLICA")</f>
        <v>NÃO SE APLICA</v>
      </c>
    </row>
    <row r="1155" hidden="1">
      <c r="A1155" s="5">
        <f>IFERROR(__xludf.DUMMYFUNCTION("""COMPUTED_VALUE"""),2.0)</f>
        <v>2</v>
      </c>
      <c r="B1155" s="5" t="str">
        <f>IFERROR(__xludf.DUMMYFUNCTION("""COMPUTED_VALUE"""),"PG015")</f>
        <v>PG015</v>
      </c>
      <c r="C1155" s="5" t="str">
        <f>IFERROR(__xludf.DUMMYFUNCTION("""COMPUTED_VALUE"""),"NÃO POSSUI")</f>
        <v>NÃO POSSUI</v>
      </c>
      <c r="D1155" s="5" t="str">
        <f>IFERROR(__xludf.DUMMYFUNCTION("""COMPUTED_VALUE"""),"COM SUPORTE")</f>
        <v>COM SUPORTE</v>
      </c>
      <c r="E1155" s="5" t="str">
        <f>IFERROR(__xludf.DUMMYFUNCTION("""COMPUTED_VALUE"""),"SEM BAIA")</f>
        <v>SEM BAIA</v>
      </c>
      <c r="F1155" s="5" t="str">
        <f>IFERROR(__xludf.DUMMYFUNCTION("""COMPUTED_VALUE"""),"SIM")</f>
        <v>SIM</v>
      </c>
      <c r="G1155" s="5" t="str">
        <f>IFERROR(__xludf.DUMMYFUNCTION("""COMPUTED_VALUE"""),"NÃO")</f>
        <v>NÃO</v>
      </c>
      <c r="H1155" s="5" t="str">
        <f>IFERROR(__xludf.DUMMYFUNCTION("""COMPUTED_VALUE"""),"PAVIMENTADA")</f>
        <v>PAVIMENTADA</v>
      </c>
      <c r="I1155" s="6" t="str">
        <f>IFERROR(__xludf.DUMMYFUNCTION("""COMPUTED_VALUE"""),"-9.660577")</f>
        <v>-9.660577</v>
      </c>
      <c r="J1155" s="6" t="str">
        <f>IFERROR(__xludf.DUMMYFUNCTION("""COMPUTED_VALUE"""),"-35.755958")</f>
        <v>-35.755958</v>
      </c>
      <c r="K1155" s="5" t="str">
        <f>IFERROR(__xludf.DUMMYFUNCTION("""COMPUTED_VALUE"""),"RUA CABO REIS, 417")</f>
        <v>RUA CABO REIS, 417</v>
      </c>
      <c r="L1155" s="5" t="str">
        <f>IFERROR(__xludf.DUMMYFUNCTION("""COMPUTED_VALUE"""),"COLETORA")</f>
        <v>COLETORA</v>
      </c>
      <c r="M1155" s="5" t="str">
        <f>IFERROR(__xludf.DUMMYFUNCTION("""COMPUTED_VALUE"""),"PONTA GROSSA")</f>
        <v>PONTA GROSSA</v>
      </c>
      <c r="N1155" s="5" t="str">
        <f>IFERROR(__xludf.DUMMYFUNCTION("""COMPUTED_VALUE"""),"CENTRO - BAIRRO")</f>
        <v>CENTRO - BAIRRO</v>
      </c>
      <c r="O1155" s="5" t="str">
        <f>IFERROR(__xludf.DUMMYFUNCTION("""COMPUTED_VALUE"""),"PRÓXIMO A AUTO ELÉTRICA CABO REIS")</f>
        <v>PRÓXIMO A AUTO ELÉTRICA CABO REIS</v>
      </c>
      <c r="P1155" s="5" t="str">
        <f>IFERROR(__xludf.DUMMYFUNCTION("""COMPUTED_VALUE"""),"PRIORIDADE BAIXA")</f>
        <v>PRIORIDADE BAIXA</v>
      </c>
      <c r="Q1155" s="5" t="str">
        <f>IFERROR(__xludf.DUMMYFUNCTION("""COMPUTED_VALUE"""),"PINTURA DA BAIA NO ASFALTO; ADEQUAÇÃO DA CALÇADA ( PISO TÁTIL).")</f>
        <v>PINTURA DA BAIA NO ASFALTO; ADEQUAÇÃO DA CALÇADA ( PISO TÁTIL).</v>
      </c>
      <c r="R1155" s="5" t="str">
        <f>IFERROR(__xludf.DUMMYFUNCTION("""COMPUTED_VALUE"""),"NENHUMA DAS OPÇÕES")</f>
        <v>NENHUMA DAS OPÇÕES</v>
      </c>
      <c r="S1155" s="7">
        <f>IFERROR(__xludf.DUMMYFUNCTION("""COMPUTED_VALUE"""),44576.0)</f>
        <v>44576</v>
      </c>
      <c r="T1155" s="5"/>
      <c r="U1155" s="7">
        <f>IFERROR(__xludf.DUMMYFUNCTION("""COMPUTED_VALUE"""),44576.0)</f>
        <v>44576</v>
      </c>
      <c r="V1155" s="9" t="str">
        <f>IFERROR(__xludf.DUMMYFUNCTION("""COMPUTED_VALUE"""),"https://drive.google.com/uc?id=1KlQJdKRvcHMJw59RWU1dDqpFuVaYVrUG")</f>
        <v>https://drive.google.com/uc?id=1KlQJdKRvcHMJw59RWU1dDqpFuVaYVrUG</v>
      </c>
      <c r="W1155" s="5" t="str">
        <f>IFERROR(__xludf.DUMMYFUNCTION("""COMPUTED_VALUE"""),"NÃO")</f>
        <v>NÃO</v>
      </c>
      <c r="X1155" s="5" t="str">
        <f>IFERROR(__xludf.DUMMYFUNCTION("""COMPUTED_VALUE"""),"NÃO SE APLICA")</f>
        <v>NÃO SE APLICA</v>
      </c>
    </row>
    <row r="1156" hidden="1">
      <c r="A1156" s="5">
        <f>IFERROR(__xludf.DUMMYFUNCTION("""COMPUTED_VALUE"""),2.0)</f>
        <v>2</v>
      </c>
      <c r="B1156" s="5" t="str">
        <f>IFERROR(__xludf.DUMMYFUNCTION("""COMPUTED_VALUE"""),"PG016")</f>
        <v>PG016</v>
      </c>
      <c r="C1156" s="5" t="str">
        <f>IFERROR(__xludf.DUMMYFUNCTION("""COMPUTED_VALUE"""),"NÃO POSSUI")</f>
        <v>NÃO POSSUI</v>
      </c>
      <c r="D1156" s="5" t="str">
        <f>IFERROR(__xludf.DUMMYFUNCTION("""COMPUTED_VALUE"""),"FIXADA EM POSTE")</f>
        <v>FIXADA EM POSTE</v>
      </c>
      <c r="E1156" s="5" t="str">
        <f>IFERROR(__xludf.DUMMYFUNCTION("""COMPUTED_VALUE"""),"SEM BAIA")</f>
        <v>SEM BAIA</v>
      </c>
      <c r="F1156" s="5" t="str">
        <f>IFERROR(__xludf.DUMMYFUNCTION("""COMPUTED_VALUE"""),"NÃO")</f>
        <v>NÃO</v>
      </c>
      <c r="G1156" s="5" t="str">
        <f>IFERROR(__xludf.DUMMYFUNCTION("""COMPUTED_VALUE"""),"NÃO")</f>
        <v>NÃO</v>
      </c>
      <c r="H1156" s="5" t="str">
        <f>IFERROR(__xludf.DUMMYFUNCTION("""COMPUTED_VALUE"""),"PAVIMENTADA")</f>
        <v>PAVIMENTADA</v>
      </c>
      <c r="I1156" s="6" t="str">
        <f>IFERROR(__xludf.DUMMYFUNCTION("""COMPUTED_VALUE"""),"-9.658306")</f>
        <v>-9.658306</v>
      </c>
      <c r="J1156" s="6" t="str">
        <f>IFERROR(__xludf.DUMMYFUNCTION("""COMPUTED_VALUE"""),"-35.765986")</f>
        <v>-35.765986</v>
      </c>
      <c r="K1156" s="5" t="str">
        <f>IFERROR(__xludf.DUMMYFUNCTION("""COMPUTED_VALUE"""),"AV. SENADOR RUI PALMEIRA, S/N")</f>
        <v>AV. SENADOR RUI PALMEIRA, S/N</v>
      </c>
      <c r="L1156" s="5" t="str">
        <f>IFERROR(__xludf.DUMMYFUNCTION("""COMPUTED_VALUE"""),"ARTERIAL ")</f>
        <v>ARTERIAL </v>
      </c>
      <c r="M1156" s="5" t="str">
        <f>IFERROR(__xludf.DUMMYFUNCTION("""COMPUTED_VALUE"""),"PONTA GROSSA")</f>
        <v>PONTA GROSSA</v>
      </c>
      <c r="N1156" s="5" t="str">
        <f>IFERROR(__xludf.DUMMYFUNCTION("""COMPUTED_VALUE"""),"CENTRO - BAIRRO")</f>
        <v>CENTRO - BAIRRO</v>
      </c>
      <c r="O1156" s="5" t="str">
        <f>IFERROR(__xludf.DUMMYFUNCTION("""COMPUTED_VALUE"""),"PRÓXIMO AO CAMPO DO FORTALEZA")</f>
        <v>PRÓXIMO AO CAMPO DO FORTALEZA</v>
      </c>
      <c r="P1156" s="5" t="str">
        <f>IFERROR(__xludf.DUMMYFUNCTION("""COMPUTED_VALUE"""),"PRIORIDADE BAIXA")</f>
        <v>PRIORIDADE BAIXA</v>
      </c>
      <c r="Q1156" s="5" t="str">
        <f>IFERROR(__xludf.DUMMYFUNCTION("""COMPUTED_VALUE"""),"IMPLANTAR ABRIGO; PINTURA DA BAIA NO ASFALTO, ADEQUAÇÃO DA CALÇADA (RAMPA DE ACESSIBILIDADE E PISO TÁTIL).")</f>
        <v>IMPLANTAR ABRIGO; PINTURA DA BAIA NO ASFALTO, ADEQUAÇÃO DA CALÇADA (RAMPA DE ACESSIBILIDADE E PISO TÁTIL).</v>
      </c>
      <c r="R1156" s="5" t="str">
        <f>IFERROR(__xludf.DUMMYFUNCTION("""COMPUTED_VALUE"""),"IMPLANTAR ABRIGO")</f>
        <v>IMPLANTAR ABRIGO</v>
      </c>
      <c r="S1156" s="7">
        <f>IFERROR(__xludf.DUMMYFUNCTION("""COMPUTED_VALUE"""),44577.0)</f>
        <v>44577</v>
      </c>
      <c r="T1156" s="5"/>
      <c r="U1156" s="7">
        <f>IFERROR(__xludf.DUMMYFUNCTION("""COMPUTED_VALUE"""),44577.0)</f>
        <v>44577</v>
      </c>
      <c r="V1156" s="9" t="str">
        <f>IFERROR(__xludf.DUMMYFUNCTION("""COMPUTED_VALUE"""),"https://drive.google.com/uc?id=1IfXxTE9b5u4oPXxZjHZ_m8BvT0IGKJAt")</f>
        <v>https://drive.google.com/uc?id=1IfXxTE9b5u4oPXxZjHZ_m8BvT0IGKJAt</v>
      </c>
      <c r="W1156" s="5" t="str">
        <f>IFERROR(__xludf.DUMMYFUNCTION("""COMPUTED_VALUE"""),"NÃO")</f>
        <v>NÃO</v>
      </c>
      <c r="X1156" s="5" t="str">
        <f>IFERROR(__xludf.DUMMYFUNCTION("""COMPUTED_VALUE"""),"NÃO SE APLICA")</f>
        <v>NÃO SE APLICA</v>
      </c>
    </row>
    <row r="1157" hidden="1">
      <c r="A1157" s="5">
        <f>IFERROR(__xludf.DUMMYFUNCTION("""COMPUTED_VALUE"""),2.0)</f>
        <v>2</v>
      </c>
      <c r="B1157" s="5" t="str">
        <f>IFERROR(__xludf.DUMMYFUNCTION("""COMPUTED_VALUE"""),"PG017")</f>
        <v>PG017</v>
      </c>
      <c r="C1157" s="5" t="str">
        <f>IFERROR(__xludf.DUMMYFUNCTION("""COMPUTED_VALUE"""),"NÃO POSSUI")</f>
        <v>NÃO POSSUI</v>
      </c>
      <c r="D1157" s="5" t="str">
        <f>IFERROR(__xludf.DUMMYFUNCTION("""COMPUTED_VALUE"""),"COM SUPORTE")</f>
        <v>COM SUPORTE</v>
      </c>
      <c r="E1157" s="5" t="str">
        <f>IFERROR(__xludf.DUMMYFUNCTION("""COMPUTED_VALUE"""),"SEM BAIA")</f>
        <v>SEM BAIA</v>
      </c>
      <c r="F1157" s="5" t="str">
        <f>IFERROR(__xludf.DUMMYFUNCTION("""COMPUTED_VALUE"""),"NÃO")</f>
        <v>NÃO</v>
      </c>
      <c r="G1157" s="5" t="str">
        <f>IFERROR(__xludf.DUMMYFUNCTION("""COMPUTED_VALUE"""),"NÃO")</f>
        <v>NÃO</v>
      </c>
      <c r="H1157" s="5" t="str">
        <f>IFERROR(__xludf.DUMMYFUNCTION("""COMPUTED_VALUE"""),"PAVIMENTADA COM AVARIAS")</f>
        <v>PAVIMENTADA COM AVARIAS</v>
      </c>
      <c r="I1157" s="6" t="str">
        <f>IFERROR(__xludf.DUMMYFUNCTION("""COMPUTED_VALUE"""),"-9.661513")</f>
        <v>-9.661513</v>
      </c>
      <c r="J1157" s="6" t="str">
        <f>IFERROR(__xludf.DUMMYFUNCTION("""COMPUTED_VALUE"""),"-35.756758")</f>
        <v>-35.756758</v>
      </c>
      <c r="K1157" s="5" t="str">
        <f>IFERROR(__xludf.DUMMYFUNCTION("""COMPUTED_VALUE"""),"RUA CABO REIS, 540")</f>
        <v>RUA CABO REIS, 540</v>
      </c>
      <c r="L1157" s="5" t="str">
        <f>IFERROR(__xludf.DUMMYFUNCTION("""COMPUTED_VALUE"""),"COLETORA")</f>
        <v>COLETORA</v>
      </c>
      <c r="M1157" s="5" t="str">
        <f>IFERROR(__xludf.DUMMYFUNCTION("""COMPUTED_VALUE"""),"PONTA GROSSA")</f>
        <v>PONTA GROSSA</v>
      </c>
      <c r="N1157" s="5" t="str">
        <f>IFERROR(__xludf.DUMMYFUNCTION("""COMPUTED_VALUE"""),"BAIRRO - CENTRO")</f>
        <v>BAIRRO - CENTRO</v>
      </c>
      <c r="O1157" s="5" t="str">
        <f>IFERROR(__xludf.DUMMYFUNCTION("""COMPUTED_VALUE"""),"PRÓXIMO A AUTO IMPACTO SUSPENSÃO")</f>
        <v>PRÓXIMO A AUTO IMPACTO SUSPENSÃO</v>
      </c>
      <c r="P1157" s="5" t="str">
        <f>IFERROR(__xludf.DUMMYFUNCTION("""COMPUTED_VALUE"""),"PRIORIDADE BAIXA")</f>
        <v>PRIORIDADE BAIXA</v>
      </c>
      <c r="Q1157" s="5" t="str">
        <f>IFERROR(__xludf.DUMMYFUNCTION("""COMPUTED_VALUE"""),"PINTURA DA BAIA NO ASFALTO; PAVIMENTAÇÃO E ADEQUAÇÃO DA CALÇADA (RAMPA DE ACESSIBILIDADE E PISO TÁTIL).")</f>
        <v>PINTURA DA BAIA NO ASFALTO; PAVIMENTAÇÃO E ADEQUAÇÃO DA CALÇADA (RAMPA DE ACESSIBILIDADE E PISO TÁTIL).</v>
      </c>
      <c r="R1157" s="5" t="str">
        <f>IFERROR(__xludf.DUMMYFUNCTION("""COMPUTED_VALUE"""),"NENHUMA DAS OPÇÕES")</f>
        <v>NENHUMA DAS OPÇÕES</v>
      </c>
      <c r="S1157" s="7">
        <f>IFERROR(__xludf.DUMMYFUNCTION("""COMPUTED_VALUE"""),44578.0)</f>
        <v>44578</v>
      </c>
      <c r="T1157" s="5"/>
      <c r="U1157" s="7">
        <f>IFERROR(__xludf.DUMMYFUNCTION("""COMPUTED_VALUE"""),44578.0)</f>
        <v>44578</v>
      </c>
      <c r="V1157" s="9" t="str">
        <f>IFERROR(__xludf.DUMMYFUNCTION("""COMPUTED_VALUE"""),"https://drive.google.com/uc?id=1r1spR9E4Z9BPaCGPjH9eFhtMY2s4eBa3")</f>
        <v>https://drive.google.com/uc?id=1r1spR9E4Z9BPaCGPjH9eFhtMY2s4eBa3</v>
      </c>
      <c r="W1157" s="5" t="str">
        <f>IFERROR(__xludf.DUMMYFUNCTION("""COMPUTED_VALUE"""),"NÃO")</f>
        <v>NÃO</v>
      </c>
      <c r="X1157" s="5" t="str">
        <f>IFERROR(__xludf.DUMMYFUNCTION("""COMPUTED_VALUE"""),"NÃO SE APLICA")</f>
        <v>NÃO SE APLICA</v>
      </c>
    </row>
    <row r="1158" hidden="1">
      <c r="A1158" s="5">
        <f>IFERROR(__xludf.DUMMYFUNCTION("""COMPUTED_VALUE"""),2.0)</f>
        <v>2</v>
      </c>
      <c r="B1158" s="5" t="str">
        <f>IFERROR(__xludf.DUMMYFUNCTION("""COMPUTED_VALUE"""),"PG018")</f>
        <v>PG018</v>
      </c>
      <c r="C1158" s="5" t="str">
        <f>IFERROR(__xludf.DUMMYFUNCTION("""COMPUTED_VALUE"""),"NÃO POSSUI")</f>
        <v>NÃO POSSUI</v>
      </c>
      <c r="D1158" s="5" t="str">
        <f>IFERROR(__xludf.DUMMYFUNCTION("""COMPUTED_VALUE"""),"SEM PLACA")</f>
        <v>SEM PLACA</v>
      </c>
      <c r="E1158" s="5" t="str">
        <f>IFERROR(__xludf.DUMMYFUNCTION("""COMPUTED_VALUE"""),"SEM BAIA")</f>
        <v>SEM BAIA</v>
      </c>
      <c r="F1158" s="5" t="str">
        <f>IFERROR(__xludf.DUMMYFUNCTION("""COMPUTED_VALUE"""),"NÃO")</f>
        <v>NÃO</v>
      </c>
      <c r="G1158" s="5" t="str">
        <f>IFERROR(__xludf.DUMMYFUNCTION("""COMPUTED_VALUE"""),"NÃO")</f>
        <v>NÃO</v>
      </c>
      <c r="H1158" s="5" t="str">
        <f>IFERROR(__xludf.DUMMYFUNCTION("""COMPUTED_VALUE"""),"PAVIMENTADA")</f>
        <v>PAVIMENTADA</v>
      </c>
      <c r="I1158" s="6" t="str">
        <f>IFERROR(__xludf.DUMMYFUNCTION("""COMPUTED_VALUE"""),"-9.663933")</f>
        <v>-9.663933</v>
      </c>
      <c r="J1158" s="6" t="str">
        <f>IFERROR(__xludf.DUMMYFUNCTION("""COMPUTED_VALUE"""),"-35.757712")</f>
        <v>-35.757712</v>
      </c>
      <c r="K1158" s="5" t="str">
        <f>IFERROR(__xludf.DUMMYFUNCTION("""COMPUTED_VALUE"""),"RUA CABO REIS, 41")</f>
        <v>RUA CABO REIS, 41</v>
      </c>
      <c r="L1158" s="5" t="str">
        <f>IFERROR(__xludf.DUMMYFUNCTION("""COMPUTED_VALUE"""),"COLETORA")</f>
        <v>COLETORA</v>
      </c>
      <c r="M1158" s="5" t="str">
        <f>IFERROR(__xludf.DUMMYFUNCTION("""COMPUTED_VALUE"""),"PONTA GROSSA")</f>
        <v>PONTA GROSSA</v>
      </c>
      <c r="N1158" s="5" t="str">
        <f>IFERROR(__xludf.DUMMYFUNCTION("""COMPUTED_VALUE"""),"CENTRO - BAIRRO")</f>
        <v>CENTRO - BAIRRO</v>
      </c>
      <c r="O1158" s="5" t="str">
        <f>IFERROR(__xludf.DUMMYFUNCTION("""COMPUTED_VALUE"""),"AO LADO DA ESCOLA MUNICIPAL ALMEIDA LEITE")</f>
        <v>AO LADO DA ESCOLA MUNICIPAL ALMEIDA LEITE</v>
      </c>
      <c r="P1158" s="5" t="str">
        <f>IFERROR(__xludf.DUMMYFUNCTION("""COMPUTED_VALUE"""),"PRIORIDADE MÉDIA")</f>
        <v>PRIORIDADE MÉDIA</v>
      </c>
      <c r="Q1158" s="5" t="str">
        <f>IFERROR(__xludf.DUMMYFUNCTION("""COMPUTED_VALUE"""),"IMPLANTAR PLACA COM SUPORTE DE MADEIRA; PINTURA DA BAIA NO ASFALTO; ADEQUAÇÃO DA CALÇADA ( PISO TÁTIL) E FAZER RAMPA DE ACESSIBILIDADE NUMA CALÇADA PRÓXIMA QUE DÊ ACESSO AO PONTO.")</f>
        <v>IMPLANTAR PLACA COM SUPORTE DE MADEIRA; PINTURA DA BAIA NO ASFALTO; ADEQUAÇÃO DA CALÇADA ( PISO TÁTIL) E FAZER RAMPA DE ACESSIBILIDADE NUMA CALÇADA PRÓXIMA QUE DÊ ACESSO AO PONTO.</v>
      </c>
      <c r="R1158" s="5" t="str">
        <f>IFERROR(__xludf.DUMMYFUNCTION("""COMPUTED_VALUE"""),"NENHUMA DAS OPÇÕES")</f>
        <v>NENHUMA DAS OPÇÕES</v>
      </c>
      <c r="S1158" s="7">
        <f>IFERROR(__xludf.DUMMYFUNCTION("""COMPUTED_VALUE"""),44579.0)</f>
        <v>44579</v>
      </c>
      <c r="T1158" s="5"/>
      <c r="U1158" s="7">
        <f>IFERROR(__xludf.DUMMYFUNCTION("""COMPUTED_VALUE"""),44579.0)</f>
        <v>44579</v>
      </c>
      <c r="V1158" s="9" t="str">
        <f>IFERROR(__xludf.DUMMYFUNCTION("""COMPUTED_VALUE"""),"https://drive.google.com/uc?id=1kwf3r9D8pp0fYiJTDjPGYdwmve-tfgnY")</f>
        <v>https://drive.google.com/uc?id=1kwf3r9D8pp0fYiJTDjPGYdwmve-tfgnY</v>
      </c>
      <c r="W1158" s="5" t="str">
        <f>IFERROR(__xludf.DUMMYFUNCTION("""COMPUTED_VALUE"""),"NÃO")</f>
        <v>NÃO</v>
      </c>
      <c r="X1158" s="5" t="str">
        <f>IFERROR(__xludf.DUMMYFUNCTION("""COMPUTED_VALUE"""),"NÃO SE APLICA")</f>
        <v>NÃO SE APLICA</v>
      </c>
    </row>
    <row r="1159">
      <c r="A1159" s="5">
        <f>IFERROR(__xludf.DUMMYFUNCTION("""COMPUTED_VALUE"""),2.0)</f>
        <v>2</v>
      </c>
      <c r="B1159" s="5" t="str">
        <f>IFERROR(__xludf.DUMMYFUNCTION("""COMPUTED_VALUE"""),"PG019")</f>
        <v>PG019</v>
      </c>
      <c r="C1159" s="5" t="str">
        <f>IFERROR(__xludf.DUMMYFUNCTION("""COMPUTED_VALUE"""),"ABRIGO CONCRETO")</f>
        <v>ABRIGO CONCRETO</v>
      </c>
      <c r="D1159" s="5" t="str">
        <f>IFERROR(__xludf.DUMMYFUNCTION("""COMPUTED_VALUE"""),"SEM PLACA")</f>
        <v>SEM PLACA</v>
      </c>
      <c r="E1159" s="5" t="str">
        <f>IFERROR(__xludf.DUMMYFUNCTION("""COMPUTED_VALUE"""),"SEM BAIA")</f>
        <v>SEM BAIA</v>
      </c>
      <c r="F1159" s="5" t="str">
        <f>IFERROR(__xludf.DUMMYFUNCTION("""COMPUTED_VALUE"""),"SIM")</f>
        <v>SIM</v>
      </c>
      <c r="G1159" s="5" t="str">
        <f>IFERROR(__xludf.DUMMYFUNCTION("""COMPUTED_VALUE"""),"NÃO")</f>
        <v>NÃO</v>
      </c>
      <c r="H1159" s="5" t="str">
        <f>IFERROR(__xludf.DUMMYFUNCTION("""COMPUTED_VALUE"""),"PAVIMENTADA")</f>
        <v>PAVIMENTADA</v>
      </c>
      <c r="I1159" s="6" t="str">
        <f>IFERROR(__xludf.DUMMYFUNCTION("""COMPUTED_VALUE"""),"-9.659622")</f>
        <v>-9.659622</v>
      </c>
      <c r="J1159" s="6" t="str">
        <f>IFERROR(__xludf.DUMMYFUNCTION("""COMPUTED_VALUE"""),"-35.757717")</f>
        <v>-35.757717</v>
      </c>
      <c r="K1159" s="5" t="str">
        <f>IFERROR(__xludf.DUMMYFUNCTION("""COMPUTED_VALUE"""),"RUA MARQUÊS POMBAL, S/N")</f>
        <v>RUA MARQUÊS POMBAL, S/N</v>
      </c>
      <c r="L1159" s="5" t="str">
        <f>IFERROR(__xludf.DUMMYFUNCTION("""COMPUTED_VALUE"""),"COLETORA")</f>
        <v>COLETORA</v>
      </c>
      <c r="M1159" s="5" t="str">
        <f>IFERROR(__xludf.DUMMYFUNCTION("""COMPUTED_VALUE"""),"PONTA GROSSA")</f>
        <v>PONTA GROSSA</v>
      </c>
      <c r="N1159" s="5" t="str">
        <f>IFERROR(__xludf.DUMMYFUNCTION("""COMPUTED_VALUE"""),"BAIRRO - CENTRO")</f>
        <v>BAIRRO - CENTRO</v>
      </c>
      <c r="O1159" s="5" t="str">
        <f>IFERROR(__xludf.DUMMYFUNCTION("""COMPUTED_VALUE"""),"EM FRENTE A ESCOLA ESTADUAL DOM ADELMO")</f>
        <v>EM FRENTE A ESCOLA ESTADUAL DOM ADELMO</v>
      </c>
      <c r="P1159" s="5" t="str">
        <f>IFERROR(__xludf.DUMMYFUNCTION("""COMPUTED_VALUE"""),"PRIORIDADE BAIXA")</f>
        <v>PRIORIDADE BAIXA</v>
      </c>
      <c r="Q1159" s="5" t="str">
        <f>IFERROR(__xludf.DUMMYFUNCTION("""COMPUTED_VALUE"""),"LIMPEZA DA COBERTA DO ABRIGO, REMOÇÃO DA PINTURA ANTIGA E FAZER NOVA PINTURA; PINTURA DA BAIA NO ASFALTO; ADEQUAÇÃO DA CALÇADA (RAMPA DE ACESSIBILIDADE E PISO TÁTIL).")</f>
        <v>LIMPEZA DA COBERTA DO ABRIGO, REMOÇÃO DA PINTURA ANTIGA E FAZER NOVA PINTURA; PINTURA DA BAIA NO ASFALTO; ADEQUAÇÃO DA CALÇADA (RAMPA DE ACESSIBILIDADE E PISO TÁTIL).</v>
      </c>
      <c r="R1159" s="5" t="str">
        <f>IFERROR(__xludf.DUMMYFUNCTION("""COMPUTED_VALUE"""),"SUBSTITUIR ABRIGO")</f>
        <v>SUBSTITUIR ABRIGO</v>
      </c>
      <c r="S1159" s="7">
        <f>IFERROR(__xludf.DUMMYFUNCTION("""COMPUTED_VALUE"""),44580.0)</f>
        <v>44580</v>
      </c>
      <c r="T1159" s="5"/>
      <c r="U1159" s="7">
        <f>IFERROR(__xludf.DUMMYFUNCTION("""COMPUTED_VALUE"""),44580.0)</f>
        <v>44580</v>
      </c>
      <c r="V1159" s="9" t="str">
        <f>IFERROR(__xludf.DUMMYFUNCTION("""COMPUTED_VALUE"""),"https://drive.google.com/uc?id=1ePqco1cpyrr-1yU7faXECy2GRT7j7HLG")</f>
        <v>https://drive.google.com/uc?id=1ePqco1cpyrr-1yU7faXECy2GRT7j7HLG</v>
      </c>
      <c r="W1159" s="5" t="str">
        <f>IFERROR(__xludf.DUMMYFUNCTION("""COMPUTED_VALUE"""),"NÃO")</f>
        <v>NÃO</v>
      </c>
      <c r="X1159" s="5" t="str">
        <f>IFERROR(__xludf.DUMMYFUNCTION("""COMPUTED_VALUE"""),"NÃO SE APLICA")</f>
        <v>NÃO SE APLICA</v>
      </c>
    </row>
    <row r="1160" hidden="1">
      <c r="A1160" s="5">
        <f>IFERROR(__xludf.DUMMYFUNCTION("""COMPUTED_VALUE"""),2.0)</f>
        <v>2</v>
      </c>
      <c r="B1160" s="5" t="str">
        <f>IFERROR(__xludf.DUMMYFUNCTION("""COMPUTED_VALUE"""),"PG020")</f>
        <v>PG020</v>
      </c>
      <c r="C1160" s="5" t="str">
        <f>IFERROR(__xludf.DUMMYFUNCTION("""COMPUTED_VALUE"""),"NÃO POSSUI")</f>
        <v>NÃO POSSUI</v>
      </c>
      <c r="D1160" s="5" t="str">
        <f>IFERROR(__xludf.DUMMYFUNCTION("""COMPUTED_VALUE"""),"FIXADA EM POSTE")</f>
        <v>FIXADA EM POSTE</v>
      </c>
      <c r="E1160" s="5" t="str">
        <f>IFERROR(__xludf.DUMMYFUNCTION("""COMPUTED_VALUE"""),"SEM BAIA")</f>
        <v>SEM BAIA</v>
      </c>
      <c r="F1160" s="5" t="str">
        <f>IFERROR(__xludf.DUMMYFUNCTION("""COMPUTED_VALUE"""),"NÃO")</f>
        <v>NÃO</v>
      </c>
      <c r="G1160" s="5" t="str">
        <f>IFERROR(__xludf.DUMMYFUNCTION("""COMPUTED_VALUE"""),"NÃO")</f>
        <v>NÃO</v>
      </c>
      <c r="H1160" s="5" t="str">
        <f>IFERROR(__xludf.DUMMYFUNCTION("""COMPUTED_VALUE"""),"PAVIMENTADA")</f>
        <v>PAVIMENTADA</v>
      </c>
      <c r="I1160" s="6" t="str">
        <f>IFERROR(__xludf.DUMMYFUNCTION("""COMPUTED_VALUE"""),"-9.660815")</f>
        <v>-9.660815</v>
      </c>
      <c r="J1160" s="6" t="str">
        <f>IFERROR(__xludf.DUMMYFUNCTION("""COMPUTED_VALUE""")," -35.758245")</f>
        <v> -35.758245</v>
      </c>
      <c r="K1160" s="5" t="str">
        <f>IFERROR(__xludf.DUMMYFUNCTION("""COMPUTED_VALUE"""),"RUA VILA KENNEDY A, 40")</f>
        <v>RUA VILA KENNEDY A, 40</v>
      </c>
      <c r="L1160" s="5" t="str">
        <f>IFERROR(__xludf.DUMMYFUNCTION("""COMPUTED_VALUE"""),"COLETORA")</f>
        <v>COLETORA</v>
      </c>
      <c r="M1160" s="5" t="str">
        <f>IFERROR(__xludf.DUMMYFUNCTION("""COMPUTED_VALUE"""),"PONTA GROSSA")</f>
        <v>PONTA GROSSA</v>
      </c>
      <c r="N1160" s="5" t="str">
        <f>IFERROR(__xludf.DUMMYFUNCTION("""COMPUTED_VALUE"""),"CENTRO - BAIRRO")</f>
        <v>CENTRO - BAIRRO</v>
      </c>
      <c r="O1160" s="5"/>
      <c r="P1160" s="5" t="str">
        <f>IFERROR(__xludf.DUMMYFUNCTION("""COMPUTED_VALUE"""),"PRIORIDADE BAIXA")</f>
        <v>PRIORIDADE BAIXA</v>
      </c>
      <c r="Q1160" s="5" t="str">
        <f>IFERROR(__xludf.DUMMYFUNCTION("""COMPUTED_VALUE"""),"SUBSTITUIR PLACA FIXADA EM POSTE; PINTURA DA BAIA NO ASFALTO; ADEQUAÇÃO DA CALÇADA (RAMPA DE ACESSIBILIDADE E PISO TÁTIL).")</f>
        <v>SUBSTITUIR PLACA FIXADA EM POSTE; PINTURA DA BAIA NO ASFALTO; ADEQUAÇÃO DA CALÇADA (RAMPA DE ACESSIBILIDADE E PISO TÁTIL).</v>
      </c>
      <c r="R1160" s="5" t="str">
        <f>IFERROR(__xludf.DUMMYFUNCTION("""COMPUTED_VALUE"""),"NENHUMA DAS OPÇÕES")</f>
        <v>NENHUMA DAS OPÇÕES</v>
      </c>
      <c r="S1160" s="7">
        <f>IFERROR(__xludf.DUMMYFUNCTION("""COMPUTED_VALUE"""),44581.0)</f>
        <v>44581</v>
      </c>
      <c r="T1160" s="5"/>
      <c r="U1160" s="7">
        <f>IFERROR(__xludf.DUMMYFUNCTION("""COMPUTED_VALUE"""),44581.0)</f>
        <v>44581</v>
      </c>
      <c r="V1160" s="9" t="str">
        <f>IFERROR(__xludf.DUMMYFUNCTION("""COMPUTED_VALUE"""),"https://drive.google.com/uc?id=1Oignirv6-6Lp_ycFqB4Pv_zsgst3gE_I")</f>
        <v>https://drive.google.com/uc?id=1Oignirv6-6Lp_ycFqB4Pv_zsgst3gE_I</v>
      </c>
      <c r="W1160" s="5" t="str">
        <f>IFERROR(__xludf.DUMMYFUNCTION("""COMPUTED_VALUE"""),"NÃO")</f>
        <v>NÃO</v>
      </c>
      <c r="X1160" s="5" t="str">
        <f>IFERROR(__xludf.DUMMYFUNCTION("""COMPUTED_VALUE"""),"NÃO SE APLICA")</f>
        <v>NÃO SE APLICA</v>
      </c>
    </row>
    <row r="1161" hidden="1">
      <c r="A1161" s="5">
        <f>IFERROR(__xludf.DUMMYFUNCTION("""COMPUTED_VALUE"""),2.0)</f>
        <v>2</v>
      </c>
      <c r="B1161" s="5" t="str">
        <f>IFERROR(__xludf.DUMMYFUNCTION("""COMPUTED_VALUE"""),"PG021")</f>
        <v>PG021</v>
      </c>
      <c r="C1161" s="5" t="str">
        <f>IFERROR(__xludf.DUMMYFUNCTION("""COMPUTED_VALUE"""),"NÃO POSSUI")</f>
        <v>NÃO POSSUI</v>
      </c>
      <c r="D1161" s="5" t="str">
        <f>IFERROR(__xludf.DUMMYFUNCTION("""COMPUTED_VALUE"""),"SEM PLACA")</f>
        <v>SEM PLACA</v>
      </c>
      <c r="E1161" s="5" t="str">
        <f>IFERROR(__xludf.DUMMYFUNCTION("""COMPUTED_VALUE"""),"SEM BAIA")</f>
        <v>SEM BAIA</v>
      </c>
      <c r="F1161" s="5" t="str">
        <f>IFERROR(__xludf.DUMMYFUNCTION("""COMPUTED_VALUE"""),"SIM")</f>
        <v>SIM</v>
      </c>
      <c r="G1161" s="5" t="str">
        <f>IFERROR(__xludf.DUMMYFUNCTION("""COMPUTED_VALUE"""),"NÃO")</f>
        <v>NÃO</v>
      </c>
      <c r="H1161" s="5" t="str">
        <f>IFERROR(__xludf.DUMMYFUNCTION("""COMPUTED_VALUE"""),"PAVIMENTADA COM AVARIAS")</f>
        <v>PAVIMENTADA COM AVARIAS</v>
      </c>
      <c r="I1161" s="6" t="str">
        <f>IFERROR(__xludf.DUMMYFUNCTION("""COMPUTED_VALUE"""),"-9.661420")</f>
        <v>-9.661420</v>
      </c>
      <c r="J1161" s="6" t="str">
        <f>IFERROR(__xludf.DUMMYFUNCTION("""COMPUTED_VALUE""")," -35.758382")</f>
        <v> -35.758382</v>
      </c>
      <c r="K1161" s="5" t="str">
        <f>IFERROR(__xludf.DUMMYFUNCTION("""COMPUTED_VALUE"""),"RUA VILA KENNEDY A, 40")</f>
        <v>RUA VILA KENNEDY A, 40</v>
      </c>
      <c r="L1161" s="5" t="str">
        <f>IFERROR(__xludf.DUMMYFUNCTION("""COMPUTED_VALUE"""),"COLETORA")</f>
        <v>COLETORA</v>
      </c>
      <c r="M1161" s="5" t="str">
        <f>IFERROR(__xludf.DUMMYFUNCTION("""COMPUTED_VALUE"""),"PONTA GROSSA")</f>
        <v>PONTA GROSSA</v>
      </c>
      <c r="N1161" s="5" t="str">
        <f>IFERROR(__xludf.DUMMYFUNCTION("""COMPUTED_VALUE"""),"BAIRRO - CENTRO")</f>
        <v>BAIRRO - CENTRO</v>
      </c>
      <c r="O1161" s="5"/>
      <c r="P1161" s="5" t="str">
        <f>IFERROR(__xludf.DUMMYFUNCTION("""COMPUTED_VALUE"""),"PRIORIDADE MÉDIA")</f>
        <v>PRIORIDADE MÉDIA</v>
      </c>
      <c r="Q1161" s="5" t="str">
        <f>IFERROR(__xludf.DUMMYFUNCTION("""COMPUTED_VALUE"""),"IMPLANTAR PLACA COM SUPORTE DE MADEIRA; PINTURA DA BAIA NO ASFALTO; ADEQUAÇÃO DA CALÇADA ( PISO TÁTIL); LIMPEZA DA VEGETAÇÃO; MELHORIAS NA RAMPA.")</f>
        <v>IMPLANTAR PLACA COM SUPORTE DE MADEIRA; PINTURA DA BAIA NO ASFALTO; ADEQUAÇÃO DA CALÇADA ( PISO TÁTIL); LIMPEZA DA VEGETAÇÃO; MELHORIAS NA RAMPA.</v>
      </c>
      <c r="R1161" s="5" t="str">
        <f>IFERROR(__xludf.DUMMYFUNCTION("""COMPUTED_VALUE"""),"NENHUMA DAS OPÇÕES")</f>
        <v>NENHUMA DAS OPÇÕES</v>
      </c>
      <c r="S1161" s="7">
        <f>IFERROR(__xludf.DUMMYFUNCTION("""COMPUTED_VALUE"""),44582.0)</f>
        <v>44582</v>
      </c>
      <c r="T1161" s="5"/>
      <c r="U1161" s="7">
        <f>IFERROR(__xludf.DUMMYFUNCTION("""COMPUTED_VALUE"""),44582.0)</f>
        <v>44582</v>
      </c>
      <c r="V1161" s="9" t="str">
        <f>IFERROR(__xludf.DUMMYFUNCTION("""COMPUTED_VALUE"""),"https://drive.google.com/uc?id=16l4kw7H7J-rnqrmLhNJQPN12mX80pUfB")</f>
        <v>https://drive.google.com/uc?id=16l4kw7H7J-rnqrmLhNJQPN12mX80pUfB</v>
      </c>
      <c r="W1161" s="5" t="str">
        <f>IFERROR(__xludf.DUMMYFUNCTION("""COMPUTED_VALUE"""),"NÃO")</f>
        <v>NÃO</v>
      </c>
      <c r="X1161" s="5" t="str">
        <f>IFERROR(__xludf.DUMMYFUNCTION("""COMPUTED_VALUE"""),"NÃO SE APLICA")</f>
        <v>NÃO SE APLICA</v>
      </c>
    </row>
    <row r="1162" hidden="1">
      <c r="A1162" s="5">
        <f>IFERROR(__xludf.DUMMYFUNCTION("""COMPUTED_VALUE"""),2.0)</f>
        <v>2</v>
      </c>
      <c r="B1162" s="5" t="str">
        <f>IFERROR(__xludf.DUMMYFUNCTION("""COMPUTED_VALUE"""),"PG022")</f>
        <v>PG022</v>
      </c>
      <c r="C1162" s="5" t="str">
        <f>IFERROR(__xludf.DUMMYFUNCTION("""COMPUTED_VALUE"""),"NÃO POSSUI")</f>
        <v>NÃO POSSUI</v>
      </c>
      <c r="D1162" s="5" t="str">
        <f>IFERROR(__xludf.DUMMYFUNCTION("""COMPUTED_VALUE"""),"SEM PLACA")</f>
        <v>SEM PLACA</v>
      </c>
      <c r="E1162" s="5" t="str">
        <f>IFERROR(__xludf.DUMMYFUNCTION("""COMPUTED_VALUE"""),"SEM BAIA")</f>
        <v>SEM BAIA</v>
      </c>
      <c r="F1162" s="5" t="str">
        <f>IFERROR(__xludf.DUMMYFUNCTION("""COMPUTED_VALUE"""),"NÃO")</f>
        <v>NÃO</v>
      </c>
      <c r="G1162" s="5" t="str">
        <f>IFERROR(__xludf.DUMMYFUNCTION("""COMPUTED_VALUE"""),"NÃO")</f>
        <v>NÃO</v>
      </c>
      <c r="H1162" s="5" t="str">
        <f>IFERROR(__xludf.DUMMYFUNCTION("""COMPUTED_VALUE"""),"PAVIMENTADA")</f>
        <v>PAVIMENTADA</v>
      </c>
      <c r="I1162" s="6" t="str">
        <f>IFERROR(__xludf.DUMMYFUNCTION("""COMPUTED_VALUE"""),"-9.660556")</f>
        <v>-9.660556</v>
      </c>
      <c r="J1162" s="6" t="str">
        <f>IFERROR(__xludf.DUMMYFUNCTION("""COMPUTED_VALUE"""),"-35.761650")</f>
        <v>-35.761650</v>
      </c>
      <c r="K1162" s="5" t="str">
        <f>IFERROR(__xludf.DUMMYFUNCTION("""COMPUTED_VALUE"""),"RUA R TEOBALDO BARBOSA, 128")</f>
        <v>RUA R TEOBALDO BARBOSA, 128</v>
      </c>
      <c r="L1162" s="5" t="str">
        <f>IFERROR(__xludf.DUMMYFUNCTION("""COMPUTED_VALUE"""),"LOCAL")</f>
        <v>LOCAL</v>
      </c>
      <c r="M1162" s="5" t="str">
        <f>IFERROR(__xludf.DUMMYFUNCTION("""COMPUTED_VALUE"""),"PONTA GROSSA")</f>
        <v>PONTA GROSSA</v>
      </c>
      <c r="N1162" s="5" t="str">
        <f>IFERROR(__xludf.DUMMYFUNCTION("""COMPUTED_VALUE"""),"BAIRRO - CENTRO")</f>
        <v>BAIRRO - CENTRO</v>
      </c>
      <c r="O1162" s="5" t="str">
        <f>IFERROR(__xludf.DUMMYFUNCTION("""COMPUTED_VALUE"""),"EM FRENTE A LOJA TOP PALLET")</f>
        <v>EM FRENTE A LOJA TOP PALLET</v>
      </c>
      <c r="P1162" s="5" t="str">
        <f>IFERROR(__xludf.DUMMYFUNCTION("""COMPUTED_VALUE"""),"PRIORIDADE MÉDIA")</f>
        <v>PRIORIDADE MÉDIA</v>
      </c>
      <c r="Q1162" s="5" t="str">
        <f>IFERROR(__xludf.DUMMYFUNCTION("""COMPUTED_VALUE"""),"IMPLANTAR PLACA COM SUPORTE DE MADEIRA; PINTURA DA BAIA NO ASFALTO; ADEQUAÇÃO DA CALÇADA ( RAMPA DE ACESSIBILIDADE E PISO TÁTIL).")</f>
        <v>IMPLANTAR PLACA COM SUPORTE DE MADEIRA; PINTURA DA BAIA NO ASFALTO; ADEQUAÇÃO DA CALÇADA ( RAMPA DE ACESSIBILIDADE E PISO TÁTIL).</v>
      </c>
      <c r="R1162" s="5" t="str">
        <f>IFERROR(__xludf.DUMMYFUNCTION("""COMPUTED_VALUE"""),"NENHUMA DAS OPÇÕES")</f>
        <v>NENHUMA DAS OPÇÕES</v>
      </c>
      <c r="S1162" s="7">
        <f>IFERROR(__xludf.DUMMYFUNCTION("""COMPUTED_VALUE"""),44583.0)</f>
        <v>44583</v>
      </c>
      <c r="T1162" s="5"/>
      <c r="U1162" s="7">
        <f>IFERROR(__xludf.DUMMYFUNCTION("""COMPUTED_VALUE"""),44583.0)</f>
        <v>44583</v>
      </c>
      <c r="V1162" s="9" t="str">
        <f>IFERROR(__xludf.DUMMYFUNCTION("""COMPUTED_VALUE"""),"https://drive.google.com/uc?id=1iRFcLTFVbbuBe4FVX_LuBa0MNKhtVWgH")</f>
        <v>https://drive.google.com/uc?id=1iRFcLTFVbbuBe4FVX_LuBa0MNKhtVWgH</v>
      </c>
      <c r="W1162" s="5" t="str">
        <f>IFERROR(__xludf.DUMMYFUNCTION("""COMPUTED_VALUE"""),"NÃO")</f>
        <v>NÃO</v>
      </c>
      <c r="X1162" s="5" t="str">
        <f>IFERROR(__xludf.DUMMYFUNCTION("""COMPUTED_VALUE"""),"NÃO SE APLICA")</f>
        <v>NÃO SE APLICA</v>
      </c>
    </row>
    <row r="1163" ht="15.75" customHeight="1">
      <c r="A1163" s="5">
        <f>IFERROR(__xludf.DUMMYFUNCTION("""COMPUTED_VALUE"""),2.0)</f>
        <v>2</v>
      </c>
      <c r="B1163" s="5" t="str">
        <f>IFERROR(__xludf.DUMMYFUNCTION("""COMPUTED_VALUE"""),"PG023")</f>
        <v>PG023</v>
      </c>
      <c r="C1163" s="5" t="str">
        <f>IFERROR(__xludf.DUMMYFUNCTION("""COMPUTED_VALUE"""),"ABRIGO CONCRETO")</f>
        <v>ABRIGO CONCRETO</v>
      </c>
      <c r="D1163" s="5" t="str">
        <f>IFERROR(__xludf.DUMMYFUNCTION("""COMPUTED_VALUE"""),"SEM PLACA")</f>
        <v>SEM PLACA</v>
      </c>
      <c r="E1163" s="5" t="str">
        <f>IFERROR(__xludf.DUMMYFUNCTION("""COMPUTED_VALUE"""),"SEM BAIA")</f>
        <v>SEM BAIA</v>
      </c>
      <c r="F1163" s="5" t="str">
        <f>IFERROR(__xludf.DUMMYFUNCTION("""COMPUTED_VALUE"""),"NÃO")</f>
        <v>NÃO</v>
      </c>
      <c r="G1163" s="5" t="str">
        <f>IFERROR(__xludf.DUMMYFUNCTION("""COMPUTED_VALUE"""),"NÃO")</f>
        <v>NÃO</v>
      </c>
      <c r="H1163" s="5" t="str">
        <f>IFERROR(__xludf.DUMMYFUNCTION("""COMPUTED_VALUE"""),"PAVIMENTADA COM AVARIAS")</f>
        <v>PAVIMENTADA COM AVARIAS</v>
      </c>
      <c r="I1163" s="6" t="str">
        <f>IFERROR(__xludf.DUMMYFUNCTION("""COMPUTED_VALUE"""),"-9.661047")</f>
        <v>-9.661047</v>
      </c>
      <c r="J1163" s="6" t="str">
        <f>IFERROR(__xludf.DUMMYFUNCTION("""COMPUTED_VALUE"""),"-35.761588")</f>
        <v>-35.761588</v>
      </c>
      <c r="K1163" s="5" t="str">
        <f>IFERROR(__xludf.DUMMYFUNCTION("""COMPUTED_VALUE"""),"RUA R TEOBALDO BARBOSA, 128")</f>
        <v>RUA R TEOBALDO BARBOSA, 128</v>
      </c>
      <c r="L1163" s="5" t="str">
        <f>IFERROR(__xludf.DUMMYFUNCTION("""COMPUTED_VALUE"""),"LOCAL")</f>
        <v>LOCAL</v>
      </c>
      <c r="M1163" s="5" t="str">
        <f>IFERROR(__xludf.DUMMYFUNCTION("""COMPUTED_VALUE"""),"PONTA GROSSA")</f>
        <v>PONTA GROSSA</v>
      </c>
      <c r="N1163" s="5" t="str">
        <f>IFERROR(__xludf.DUMMYFUNCTION("""COMPUTED_VALUE"""),"BAIRRO - CENTRO")</f>
        <v>BAIRRO - CENTRO</v>
      </c>
      <c r="O1163" s="5" t="str">
        <f>IFERROR(__xludf.DUMMYFUNCTION("""COMPUTED_VALUE"""),"EM FRENTE A ESCOLA MUNICIPAL LINDOLFO COLLOR")</f>
        <v>EM FRENTE A ESCOLA MUNICIPAL LINDOLFO COLLOR</v>
      </c>
      <c r="P1163" s="5" t="str">
        <f>IFERROR(__xludf.DUMMYFUNCTION("""COMPUTED_VALUE"""),"PRIORIDADE BAIXA")</f>
        <v>PRIORIDADE BAIXA</v>
      </c>
      <c r="Q1163" s="5" t="str">
        <f>IFERROR(__xludf.DUMMYFUNCTION("""COMPUTED_VALUE"""),"LIMPEZA DA COBERTA DO ABRIGO, REMOÇÃO DA PINTURA ANTIGA E FAZER NOVA PINTURA; PINTURA DA BAIA NO ASFALTO; ADEQUAÇÃO DA CALÇADA (RAMPA DE ACESSIBILIDADE E PISO TÁTIL). ")</f>
        <v>LIMPEZA DA COBERTA DO ABRIGO, REMOÇÃO DA PINTURA ANTIGA E FAZER NOVA PINTURA; PINTURA DA BAIA NO ASFALTO; ADEQUAÇÃO DA CALÇADA (RAMPA DE ACESSIBILIDADE E PISO TÁTIL). </v>
      </c>
      <c r="R1163" s="5" t="str">
        <f>IFERROR(__xludf.DUMMYFUNCTION("""COMPUTED_VALUE"""),"SUBSTITUIR ABRIGO")</f>
        <v>SUBSTITUIR ABRIGO</v>
      </c>
      <c r="S1163" s="7">
        <f>IFERROR(__xludf.DUMMYFUNCTION("""COMPUTED_VALUE"""),44584.0)</f>
        <v>44584</v>
      </c>
      <c r="T1163" s="5"/>
      <c r="U1163" s="7">
        <f>IFERROR(__xludf.DUMMYFUNCTION("""COMPUTED_VALUE"""),44584.0)</f>
        <v>44584</v>
      </c>
      <c r="V1163" s="9" t="str">
        <f>IFERROR(__xludf.DUMMYFUNCTION("""COMPUTED_VALUE"""),"https://drive.google.com/uc?id=1y7qt8l__rO7NHpPsorlk3XIJsLgkwkhD")</f>
        <v>https://drive.google.com/uc?id=1y7qt8l__rO7NHpPsorlk3XIJsLgkwkhD</v>
      </c>
      <c r="W1163" s="5" t="str">
        <f>IFERROR(__xludf.DUMMYFUNCTION("""COMPUTED_VALUE"""),"NÃO")</f>
        <v>NÃO</v>
      </c>
      <c r="X1163" s="5" t="str">
        <f>IFERROR(__xludf.DUMMYFUNCTION("""COMPUTED_VALUE"""),"NÃO SE APLICA")</f>
        <v>NÃO SE APLICA</v>
      </c>
    </row>
    <row r="1164">
      <c r="A1164" s="5">
        <f>IFERROR(__xludf.DUMMYFUNCTION("""COMPUTED_VALUE"""),2.0)</f>
        <v>2</v>
      </c>
      <c r="B1164" s="5" t="str">
        <f>IFERROR(__xludf.DUMMYFUNCTION("""COMPUTED_VALUE"""),"PG024")</f>
        <v>PG024</v>
      </c>
      <c r="C1164" s="5" t="str">
        <f>IFERROR(__xludf.DUMMYFUNCTION("""COMPUTED_VALUE"""),"ABRIGO CONCRETO")</f>
        <v>ABRIGO CONCRETO</v>
      </c>
      <c r="D1164" s="5" t="str">
        <f>IFERROR(__xludf.DUMMYFUNCTION("""COMPUTED_VALUE"""),"SEM PLACA")</f>
        <v>SEM PLACA</v>
      </c>
      <c r="E1164" s="5" t="str">
        <f>IFERROR(__xludf.DUMMYFUNCTION("""COMPUTED_VALUE"""),"SEM BAIA")</f>
        <v>SEM BAIA</v>
      </c>
      <c r="F1164" s="5" t="str">
        <f>IFERROR(__xludf.DUMMYFUNCTION("""COMPUTED_VALUE"""),"NÃO")</f>
        <v>NÃO</v>
      </c>
      <c r="G1164" s="5" t="str">
        <f>IFERROR(__xludf.DUMMYFUNCTION("""COMPUTED_VALUE"""),"NÃO")</f>
        <v>NÃO</v>
      </c>
      <c r="H1164" s="5" t="str">
        <f>IFERROR(__xludf.DUMMYFUNCTION("""COMPUTED_VALUE"""),"PAVIMENTADA")</f>
        <v>PAVIMENTADA</v>
      </c>
      <c r="I1164" s="6" t="str">
        <f>IFERROR(__xludf.DUMMYFUNCTION("""COMPUTED_VALUE"""),"-9.662957")</f>
        <v>-9.662957</v>
      </c>
      <c r="J1164" s="6" t="str">
        <f>IFERROR(__xludf.DUMMYFUNCTION("""COMPUTED_VALUE"""),"-35.761404")</f>
        <v>-35.761404</v>
      </c>
      <c r="K1164" s="5" t="str">
        <f>IFERROR(__xludf.DUMMYFUNCTION("""COMPUTED_VALUE"""),"AV. SILVESTRE PÉRICLES, S/N (RUA FORMOSA)")</f>
        <v>AV. SILVESTRE PÉRICLES, S/N (RUA FORMOSA)</v>
      </c>
      <c r="L1164" s="5" t="str">
        <f>IFERROR(__xludf.DUMMYFUNCTION("""COMPUTED_VALUE"""),"COLETORA")</f>
        <v>COLETORA</v>
      </c>
      <c r="M1164" s="5" t="str">
        <f>IFERROR(__xludf.DUMMYFUNCTION("""COMPUTED_VALUE"""),"PONTA GROSSA")</f>
        <v>PONTA GROSSA</v>
      </c>
      <c r="N1164" s="5" t="str">
        <f>IFERROR(__xludf.DUMMYFUNCTION("""COMPUTED_VALUE"""),"BAIRRO - CENTRO")</f>
        <v>BAIRRO - CENTRO</v>
      </c>
      <c r="O1164" s="5" t="str">
        <f>IFERROR(__xludf.DUMMYFUNCTION("""COMPUTED_VALUE"""),"EM FRENTE A ESCOLA ESTADUAL EDSON DOS SANTOS BERNARDES")</f>
        <v>EM FRENTE A ESCOLA ESTADUAL EDSON DOS SANTOS BERNARDES</v>
      </c>
      <c r="P1164" s="5" t="str">
        <f>IFERROR(__xludf.DUMMYFUNCTION("""COMPUTED_VALUE"""),"PRIORIDADE BAIXA")</f>
        <v>PRIORIDADE BAIXA</v>
      </c>
      <c r="Q1164" s="5" t="str">
        <f>IFERROR(__xludf.DUMMYFUNCTION("""COMPUTED_VALUE"""),"LIMPEZA DA COBERTA DO ABRIGO, REMOÇÃO DA PINTURA ANTIGA E FAZER NOVA PINTURA; PINTURA DA BAIA NO ASFALTO; ADEQUAÇÃO DA CALÇADA (RAMPA DE ACESSIBILIDADE E PISO TÁTIL). ")</f>
        <v>LIMPEZA DA COBERTA DO ABRIGO, REMOÇÃO DA PINTURA ANTIGA E FAZER NOVA PINTURA; PINTURA DA BAIA NO ASFALTO; ADEQUAÇÃO DA CALÇADA (RAMPA DE ACESSIBILIDADE E PISO TÁTIL). </v>
      </c>
      <c r="R1164" s="5" t="str">
        <f>IFERROR(__xludf.DUMMYFUNCTION("""COMPUTED_VALUE"""),"NENHUMA DAS OPÇÕES")</f>
        <v>NENHUMA DAS OPÇÕES</v>
      </c>
      <c r="S1164" s="7">
        <f>IFERROR(__xludf.DUMMYFUNCTION("""COMPUTED_VALUE"""),44585.0)</f>
        <v>44585</v>
      </c>
      <c r="T1164" s="5"/>
      <c r="U1164" s="7">
        <f>IFERROR(__xludf.DUMMYFUNCTION("""COMPUTED_VALUE"""),44585.0)</f>
        <v>44585</v>
      </c>
      <c r="V1164" s="9" t="str">
        <f>IFERROR(__xludf.DUMMYFUNCTION("""COMPUTED_VALUE"""),"https://drive.google.com/uc?id=1ftXB9r1HTAf5XPTfCBCl9sqgOrRLYgaH")</f>
        <v>https://drive.google.com/uc?id=1ftXB9r1HTAf5XPTfCBCl9sqgOrRLYgaH</v>
      </c>
      <c r="W1164" s="5" t="str">
        <f>IFERROR(__xludf.DUMMYFUNCTION("""COMPUTED_VALUE"""),"NÃO")</f>
        <v>NÃO</v>
      </c>
      <c r="X1164" s="5" t="str">
        <f>IFERROR(__xludf.DUMMYFUNCTION("""COMPUTED_VALUE"""),"NÃO SE APLICA")</f>
        <v>NÃO SE APLICA</v>
      </c>
    </row>
    <row r="1165" hidden="1">
      <c r="A1165" s="5">
        <f>IFERROR(__xludf.DUMMYFUNCTION("""COMPUTED_VALUE"""),2.0)</f>
        <v>2</v>
      </c>
      <c r="B1165" s="5" t="str">
        <f>IFERROR(__xludf.DUMMYFUNCTION("""COMPUTED_VALUE"""),"PG025")</f>
        <v>PG025</v>
      </c>
      <c r="C1165" s="5" t="str">
        <f>IFERROR(__xludf.DUMMYFUNCTION("""COMPUTED_VALUE"""),"NÃO POSSUI")</f>
        <v>NÃO POSSUI</v>
      </c>
      <c r="D1165" s="5" t="str">
        <f>IFERROR(__xludf.DUMMYFUNCTION("""COMPUTED_VALUE"""),"SEM PLACA")</f>
        <v>SEM PLACA</v>
      </c>
      <c r="E1165" s="5" t="str">
        <f>IFERROR(__xludf.DUMMYFUNCTION("""COMPUTED_VALUE"""),"SEM BAIA")</f>
        <v>SEM BAIA</v>
      </c>
      <c r="F1165" s="5" t="str">
        <f>IFERROR(__xludf.DUMMYFUNCTION("""COMPUTED_VALUE"""),"NÃO")</f>
        <v>NÃO</v>
      </c>
      <c r="G1165" s="5" t="str">
        <f>IFERROR(__xludf.DUMMYFUNCTION("""COMPUTED_VALUE"""),"NÃO")</f>
        <v>NÃO</v>
      </c>
      <c r="H1165" s="5" t="str">
        <f>IFERROR(__xludf.DUMMYFUNCTION("""COMPUTED_VALUE"""),"PAVIMENTADA")</f>
        <v>PAVIMENTADA</v>
      </c>
      <c r="I1165" s="6" t="str">
        <f>IFERROR(__xludf.DUMMYFUNCTION("""COMPUTED_VALUE"""),"-9.663200")</f>
        <v>-9.663200</v>
      </c>
      <c r="J1165" s="6" t="str">
        <f>IFERROR(__xludf.DUMMYFUNCTION("""COMPUTED_VALUE"""),"-35.761355")</f>
        <v>-35.761355</v>
      </c>
      <c r="K1165" s="5" t="str">
        <f>IFERROR(__xludf.DUMMYFUNCTION("""COMPUTED_VALUE"""),"AV. SILVESTRE PÉRICLES, S/N (RUA FORMOSA)")</f>
        <v>AV. SILVESTRE PÉRICLES, S/N (RUA FORMOSA)</v>
      </c>
      <c r="L1165" s="5" t="str">
        <f>IFERROR(__xludf.DUMMYFUNCTION("""COMPUTED_VALUE"""),"COLETORA")</f>
        <v>COLETORA</v>
      </c>
      <c r="M1165" s="5" t="str">
        <f>IFERROR(__xludf.DUMMYFUNCTION("""COMPUTED_VALUE"""),"PONTA GROSSA")</f>
        <v>PONTA GROSSA</v>
      </c>
      <c r="N1165" s="5" t="str">
        <f>IFERROR(__xludf.DUMMYFUNCTION("""COMPUTED_VALUE"""),"BAIRRO - CENTRO")</f>
        <v>BAIRRO - CENTRO</v>
      </c>
      <c r="O1165" s="5" t="str">
        <f>IFERROR(__xludf.DUMMYFUNCTION("""COMPUTED_VALUE"""),"EM FRENTE A ESCOLA ESTADUAL EDSON DOS SANTOS BERNARDES")</f>
        <v>EM FRENTE A ESCOLA ESTADUAL EDSON DOS SANTOS BERNARDES</v>
      </c>
      <c r="P1165" s="5" t="str">
        <f>IFERROR(__xludf.DUMMYFUNCTION("""COMPUTED_VALUE"""),"PRIORIDADE MÉDIA")</f>
        <v>PRIORIDADE MÉDIA</v>
      </c>
      <c r="Q1165" s="5" t="str">
        <f>IFERROR(__xludf.DUMMYFUNCTION("""COMPUTED_VALUE"""),"IMPLANTAR PLACA FIXADA EM POSTE; PINTURA DA BAIA NO ASFALTO; ADEQUAÇÃO DA CALÇADA (RAMPA DE ACESSIBILIDADE E PISO TÁTIL),")</f>
        <v>IMPLANTAR PLACA FIXADA EM POSTE; PINTURA DA BAIA NO ASFALTO; ADEQUAÇÃO DA CALÇADA (RAMPA DE ACESSIBILIDADE E PISO TÁTIL),</v>
      </c>
      <c r="R1165" s="5" t="str">
        <f>IFERROR(__xludf.DUMMYFUNCTION("""COMPUTED_VALUE"""),"NENHUMA DAS OPÇÕES")</f>
        <v>NENHUMA DAS OPÇÕES</v>
      </c>
      <c r="S1165" s="7">
        <f>IFERROR(__xludf.DUMMYFUNCTION("""COMPUTED_VALUE"""),44586.0)</f>
        <v>44586</v>
      </c>
      <c r="T1165" s="5"/>
      <c r="U1165" s="7">
        <f>IFERROR(__xludf.DUMMYFUNCTION("""COMPUTED_VALUE"""),44586.0)</f>
        <v>44586</v>
      </c>
      <c r="V1165" s="9" t="str">
        <f>IFERROR(__xludf.DUMMYFUNCTION("""COMPUTED_VALUE"""),"https://drive.google.com/uc?id=1X6x48Vxlr8ojYwFzZu21f1kop7JtF25w")</f>
        <v>https://drive.google.com/uc?id=1X6x48Vxlr8ojYwFzZu21f1kop7JtF25w</v>
      </c>
      <c r="W1165" s="5" t="str">
        <f>IFERROR(__xludf.DUMMYFUNCTION("""COMPUTED_VALUE"""),"NÃO")</f>
        <v>NÃO</v>
      </c>
      <c r="X1165" s="5" t="str">
        <f>IFERROR(__xludf.DUMMYFUNCTION("""COMPUTED_VALUE"""),"NÃO SE APLICA")</f>
        <v>NÃO SE APLICA</v>
      </c>
    </row>
    <row r="1166" hidden="1">
      <c r="A1166" s="5">
        <f>IFERROR(__xludf.DUMMYFUNCTION("""COMPUTED_VALUE"""),2.0)</f>
        <v>2</v>
      </c>
      <c r="B1166" s="5" t="str">
        <f>IFERROR(__xludf.DUMMYFUNCTION("""COMPUTED_VALUE"""),"PG026")</f>
        <v>PG026</v>
      </c>
      <c r="C1166" s="5" t="str">
        <f>IFERROR(__xludf.DUMMYFUNCTION("""COMPUTED_VALUE"""),"NÃO POSSUI")</f>
        <v>NÃO POSSUI</v>
      </c>
      <c r="D1166" s="5" t="str">
        <f>IFERROR(__xludf.DUMMYFUNCTION("""COMPUTED_VALUE"""),"COM SUPORTE")</f>
        <v>COM SUPORTE</v>
      </c>
      <c r="E1166" s="5" t="str">
        <f>IFERROR(__xludf.DUMMYFUNCTION("""COMPUTED_VALUE"""),"BAIA CONSTRUÍDA")</f>
        <v>BAIA CONSTRUÍDA</v>
      </c>
      <c r="F1166" s="5" t="str">
        <f>IFERROR(__xludf.DUMMYFUNCTION("""COMPUTED_VALUE"""),"NÃO")</f>
        <v>NÃO</v>
      </c>
      <c r="G1166" s="5" t="str">
        <f>IFERROR(__xludf.DUMMYFUNCTION("""COMPUTED_VALUE"""),"NÃO")</f>
        <v>NÃO</v>
      </c>
      <c r="H1166" s="5" t="str">
        <f>IFERROR(__xludf.DUMMYFUNCTION("""COMPUTED_VALUE"""),"PAVIMENTADA")</f>
        <v>PAVIMENTADA</v>
      </c>
      <c r="I1166" s="6" t="str">
        <f>IFERROR(__xludf.DUMMYFUNCTION("""COMPUTED_VALUE"""),"-9.656317")</f>
        <v>-9.656317</v>
      </c>
      <c r="J1166" s="6" t="str">
        <f>IFERROR(__xludf.DUMMYFUNCTION("""COMPUTED_VALUE"""),"-35.750485")</f>
        <v>-35.750485</v>
      </c>
      <c r="K1166" s="5" t="str">
        <f>IFERROR(__xludf.DUMMYFUNCTION("""COMPUTED_VALUE"""),"AV. SENADOR RUI PALMEIRA")</f>
        <v>AV. SENADOR RUI PALMEIRA</v>
      </c>
      <c r="L1166" s="5" t="str">
        <f>IFERROR(__xludf.DUMMYFUNCTION("""COMPUTED_VALUE"""),"ARTERIAL ")</f>
        <v>ARTERIAL </v>
      </c>
      <c r="M1166" s="5" t="str">
        <f>IFERROR(__xludf.DUMMYFUNCTION("""COMPUTED_VALUE"""),"PONTA GROSSA")</f>
        <v>PONTA GROSSA</v>
      </c>
      <c r="N1166" s="5" t="str">
        <f>IFERROR(__xludf.DUMMYFUNCTION("""COMPUTED_VALUE"""),"CENTRO - BAIRRO")</f>
        <v>CENTRO - BAIRRO</v>
      </c>
      <c r="O1166" s="5" t="str">
        <f>IFERROR(__xludf.DUMMYFUNCTION("""COMPUTED_VALUE"""),"LADO OPOSTO A LOJA: METAL PLACA ")</f>
        <v>LADO OPOSTO A LOJA: METAL PLACA </v>
      </c>
      <c r="P1166" s="5" t="str">
        <f>IFERROR(__xludf.DUMMYFUNCTION("""COMPUTED_VALUE"""),"PRIORIDADE BAIXA")</f>
        <v>PRIORIDADE BAIXA</v>
      </c>
      <c r="Q1166" s="5" t="str">
        <f>IFERROR(__xludf.DUMMYFUNCTION("""COMPUTED_VALUE"""),"IMPLANTAÇÃO DE PLACA COM BARROTE")</f>
        <v>IMPLANTAÇÃO DE PLACA COM BARROTE</v>
      </c>
      <c r="R1166" s="5" t="str">
        <f>IFERROR(__xludf.DUMMYFUNCTION("""COMPUTED_VALUE"""),"NENHUMA DAS OPÇÕES")</f>
        <v>NENHUMA DAS OPÇÕES</v>
      </c>
      <c r="S1166" s="7">
        <f>IFERROR(__xludf.DUMMYFUNCTION("""COMPUTED_VALUE"""),45062.0)</f>
        <v>45062</v>
      </c>
      <c r="T1166" s="5"/>
      <c r="U1166" s="7">
        <f>IFERROR(__xludf.DUMMYFUNCTION("""COMPUTED_VALUE"""),45062.0)</f>
        <v>45062</v>
      </c>
      <c r="V1166" s="9" t="str">
        <f>IFERROR(__xludf.DUMMYFUNCTION("""COMPUTED_VALUE"""),"https://drive.google.com/uc?id=1ioQOmNpAW1wg7qAlns186bc5NAp3lOw8")</f>
        <v>https://drive.google.com/uc?id=1ioQOmNpAW1wg7qAlns186bc5NAp3lOw8</v>
      </c>
      <c r="W1166" s="5" t="str">
        <f>IFERROR(__xludf.DUMMYFUNCTION("""COMPUTED_VALUE"""),"NÃO")</f>
        <v>NÃO</v>
      </c>
      <c r="X1166" s="5"/>
    </row>
    <row r="1167" hidden="1">
      <c r="A1167" s="5">
        <f>IFERROR(__xludf.DUMMYFUNCTION("""COMPUTED_VALUE"""),2.0)</f>
        <v>2</v>
      </c>
      <c r="B1167" s="5" t="str">
        <f>IFERROR(__xludf.DUMMYFUNCTION("""COMPUTED_VALUE"""),"PG027")</f>
        <v>PG027</v>
      </c>
      <c r="C1167" s="5" t="str">
        <f>IFERROR(__xludf.DUMMYFUNCTION("""COMPUTED_VALUE"""),"NÃO POSSUI")</f>
        <v>NÃO POSSUI</v>
      </c>
      <c r="D1167" s="5" t="str">
        <f>IFERROR(__xludf.DUMMYFUNCTION("""COMPUTED_VALUE"""),"COM SUPORTE")</f>
        <v>COM SUPORTE</v>
      </c>
      <c r="E1167" s="5" t="str">
        <f>IFERROR(__xludf.DUMMYFUNCTION("""COMPUTED_VALUE"""),"SEM BAIA")</f>
        <v>SEM BAIA</v>
      </c>
      <c r="F1167" s="5" t="str">
        <f>IFERROR(__xludf.DUMMYFUNCTION("""COMPUTED_VALUE"""),"NÃO")</f>
        <v>NÃO</v>
      </c>
      <c r="G1167" s="5" t="str">
        <f>IFERROR(__xludf.DUMMYFUNCTION("""COMPUTED_VALUE"""),"NÃO")</f>
        <v>NÃO</v>
      </c>
      <c r="H1167" s="5" t="str">
        <f>IFERROR(__xludf.DUMMYFUNCTION("""COMPUTED_VALUE"""),"PAVIMENTADA")</f>
        <v>PAVIMENTADA</v>
      </c>
      <c r="I1167" s="6" t="str">
        <f>IFERROR(__xludf.DUMMYFUNCTION("""COMPUTED_VALUE"""),"-9.665618")</f>
        <v>-9.665618</v>
      </c>
      <c r="J1167" s="6" t="str">
        <f>IFERROR(__xludf.DUMMYFUNCTION("""COMPUTED_VALUE"""),"-35.757744")</f>
        <v>-35.757744</v>
      </c>
      <c r="K1167" s="5" t="str">
        <f>IFERROR(__xludf.DUMMYFUNCTION("""COMPUTED_VALUE"""),"CABO REIS ")</f>
        <v>CABO REIS </v>
      </c>
      <c r="L1167" s="5" t="str">
        <f>IFERROR(__xludf.DUMMYFUNCTION("""COMPUTED_VALUE"""),"COLETORA")</f>
        <v>COLETORA</v>
      </c>
      <c r="M1167" s="5" t="str">
        <f>IFERROR(__xludf.DUMMYFUNCTION("""COMPUTED_VALUE"""),"PONTA GROSSA")</f>
        <v>PONTA GROSSA</v>
      </c>
      <c r="N1167" s="5" t="str">
        <f>IFERROR(__xludf.DUMMYFUNCTION("""COMPUTED_VALUE"""),"BAIRRO - CENTRO")</f>
        <v>BAIRRO - CENTRO</v>
      </c>
      <c r="O1167" s="5"/>
      <c r="P1167" s="5"/>
      <c r="Q1167" s="5"/>
      <c r="R1167" s="5"/>
      <c r="S1167" s="5"/>
      <c r="T1167" s="5"/>
      <c r="U1167" s="5"/>
      <c r="V1167" s="9" t="str">
        <f>IFERROR(__xludf.DUMMYFUNCTION("""COMPUTED_VALUE"""),"https://drive.google.com/uc?id=1sPLCuic_D0Ib9MCtsouItomS7J9sGkMw")</f>
        <v>https://drive.google.com/uc?id=1sPLCuic_D0Ib9MCtsouItomS7J9sGkMw</v>
      </c>
      <c r="W1167" s="5"/>
      <c r="X1167" s="5"/>
    </row>
    <row r="1168" hidden="1">
      <c r="A1168" s="5">
        <f>IFERROR(__xludf.DUMMYFUNCTION("IMPORTRANGE(""https://docs.google.com/spreadsheets/d/1KuoP8JmuiBMv_nZH41Qskz4TwgYIvev8RVYXLU3j10c/edit#gid=136929768"", ""PONTAL DA BARRA!A3:X15"")"),2.0)</f>
        <v>2</v>
      </c>
      <c r="B1168" s="5" t="str">
        <f>IFERROR(__xludf.DUMMYFUNCTION("""COMPUTED_VALUE"""),"PB001")</f>
        <v>PB001</v>
      </c>
      <c r="C1168" s="5" t="str">
        <f>IFERROR(__xludf.DUMMYFUNCTION("""COMPUTED_VALUE"""),"NÃO POSSUI")</f>
        <v>NÃO POSSUI</v>
      </c>
      <c r="D1168" s="5" t="str">
        <f>IFERROR(__xludf.DUMMYFUNCTION("""COMPUTED_VALUE"""),"SEM PLACA")</f>
        <v>SEM PLACA</v>
      </c>
      <c r="E1168" s="5" t="str">
        <f>IFERROR(__xludf.DUMMYFUNCTION("""COMPUTED_VALUE"""),"SEM BAIA")</f>
        <v>SEM BAIA</v>
      </c>
      <c r="F1168" s="5" t="str">
        <f>IFERROR(__xludf.DUMMYFUNCTION("""COMPUTED_VALUE"""),"NÃO")</f>
        <v>NÃO</v>
      </c>
      <c r="G1168" s="5" t="str">
        <f>IFERROR(__xludf.DUMMYFUNCTION("""COMPUTED_VALUE"""),"NÃO")</f>
        <v>NÃO</v>
      </c>
      <c r="H1168" s="5" t="str">
        <f>IFERROR(__xludf.DUMMYFUNCTION("""COMPUTED_VALUE"""),"PAVIMENTADA")</f>
        <v>PAVIMENTADA</v>
      </c>
      <c r="I1168" s="6" t="str">
        <f>IFERROR(__xludf.DUMMYFUNCTION("""COMPUTED_VALUE"""),"-9.680677")</f>
        <v>-9.680677</v>
      </c>
      <c r="J1168" s="6" t="str">
        <f>IFERROR(__xludf.DUMMYFUNCTION("""COMPUTED_VALUE""")," -35.760126")</f>
        <v> -35.760126</v>
      </c>
      <c r="K1168" s="5" t="str">
        <f>IFERROR(__xludf.DUMMYFUNCTION("""COMPUTED_VALUE"""),"AV. ASSIS CHATEAUBRIAND, S/N")</f>
        <v>AV. ASSIS CHATEAUBRIAND, S/N</v>
      </c>
      <c r="L1168" s="5" t="str">
        <f>IFERROR(__xludf.DUMMYFUNCTION("""COMPUTED_VALUE"""),"ARTERIAL ")</f>
        <v>ARTERIAL </v>
      </c>
      <c r="M1168" s="5" t="str">
        <f>IFERROR(__xludf.DUMMYFUNCTION("""COMPUTED_VALUE"""),"PONTAL DA BARRA")</f>
        <v>PONTAL DA BARRA</v>
      </c>
      <c r="N1168" s="5" t="str">
        <f>IFERROR(__xludf.DUMMYFUNCTION("""COMPUTED_VALUE"""),"CENTRO - BAIRRO")</f>
        <v>CENTRO - BAIRRO</v>
      </c>
      <c r="O1168" s="5" t="str">
        <f>IFERROR(__xludf.DUMMYFUNCTION("""COMPUTED_VALUE"""),"ENTRE O SEGUNDO E TERCEIRO POSTE NA CALÇADA RESERVA BIOLÓGICA DA BRASKEM")</f>
        <v>ENTRE O SEGUNDO E TERCEIRO POSTE NA CALÇADA RESERVA BIOLÓGICA DA BRASKEM</v>
      </c>
      <c r="P1168" s="5" t="str">
        <f>IFERROR(__xludf.DUMMYFUNCTION("""COMPUTED_VALUE"""),"PRIORIDADE MÉDIA")</f>
        <v>PRIORIDADE MÉDIA</v>
      </c>
      <c r="Q1168" s="5" t="str">
        <f>IFERROR(__xludf.DUMMYFUNCTION("""COMPUTED_VALUE"""),"IMPLANTAR PLACA FIXADA EM POSTE; PINTURA DA BAIA NO ASFALTO; ADEQUAÇÃO DA CALÇADA (RAMPA DE ACESSIBILIDADE E PISO TÁTIL).")</f>
        <v>IMPLANTAR PLACA FIXADA EM POSTE; PINTURA DA BAIA NO ASFALTO; ADEQUAÇÃO DA CALÇADA (RAMPA DE ACESSIBILIDADE E PISO TÁTIL).</v>
      </c>
      <c r="R1168" s="5" t="str">
        <f>IFERROR(__xludf.DUMMYFUNCTION("""COMPUTED_VALUE"""),"NENHUMA DAS OPÇÕES")</f>
        <v>NENHUMA DAS OPÇÕES</v>
      </c>
      <c r="S1168" s="5"/>
      <c r="T1168" s="5"/>
      <c r="U1168" s="5"/>
      <c r="V1168" s="9" t="str">
        <f>IFERROR(__xludf.DUMMYFUNCTION("""COMPUTED_VALUE"""),"https://drive.google.com/uc?id=1stkZFMNC14FPM_3XVRTt02JkWhvu-uj4")</f>
        <v>https://drive.google.com/uc?id=1stkZFMNC14FPM_3XVRTt02JkWhvu-uj4</v>
      </c>
      <c r="W1168" s="5" t="str">
        <f>IFERROR(__xludf.DUMMYFUNCTION("""COMPUTED_VALUE"""),"NÃO")</f>
        <v>NÃO</v>
      </c>
      <c r="X1168" s="5" t="str">
        <f>IFERROR(__xludf.DUMMYFUNCTION("""COMPUTED_VALUE"""),"NÃO SE APLICA")</f>
        <v>NÃO SE APLICA</v>
      </c>
    </row>
    <row r="1169" hidden="1">
      <c r="A1169" s="5">
        <f>IFERROR(__xludf.DUMMYFUNCTION("""COMPUTED_VALUE"""),2.0)</f>
        <v>2</v>
      </c>
      <c r="B1169" s="5" t="str">
        <f>IFERROR(__xludf.DUMMYFUNCTION("""COMPUTED_VALUE"""),"PB002")</f>
        <v>PB002</v>
      </c>
      <c r="C1169" s="5" t="str">
        <f>IFERROR(__xludf.DUMMYFUNCTION("""COMPUTED_VALUE"""),"NÃO POSSUI")</f>
        <v>NÃO POSSUI</v>
      </c>
      <c r="D1169" s="5" t="str">
        <f>IFERROR(__xludf.DUMMYFUNCTION("""COMPUTED_VALUE"""),"SEM PLACA")</f>
        <v>SEM PLACA</v>
      </c>
      <c r="E1169" s="5" t="str">
        <f>IFERROR(__xludf.DUMMYFUNCTION("""COMPUTED_VALUE"""),"SEM BAIA")</f>
        <v>SEM BAIA</v>
      </c>
      <c r="F1169" s="5" t="str">
        <f>IFERROR(__xludf.DUMMYFUNCTION("""COMPUTED_VALUE"""),"NÃO")</f>
        <v>NÃO</v>
      </c>
      <c r="G1169" s="5" t="str">
        <f>IFERROR(__xludf.DUMMYFUNCTION("""COMPUTED_VALUE"""),"NÃO")</f>
        <v>NÃO</v>
      </c>
      <c r="H1169" s="5" t="str">
        <f>IFERROR(__xludf.DUMMYFUNCTION("""COMPUTED_VALUE"""),"PAVIMENTADA")</f>
        <v>PAVIMENTADA</v>
      </c>
      <c r="I1169" s="6" t="str">
        <f>IFERROR(__xludf.DUMMYFUNCTION("""COMPUTED_VALUE"""),"-9.683525")</f>
        <v>-9.683525</v>
      </c>
      <c r="J1169" s="6" t="str">
        <f>IFERROR(__xludf.DUMMYFUNCTION("""COMPUTED_VALUE"""),"-35.763330")</f>
        <v>-35.763330</v>
      </c>
      <c r="K1169" s="5" t="str">
        <f>IFERROR(__xludf.DUMMYFUNCTION("""COMPUTED_VALUE"""),"AVENIDA ASSIS CHATEAUBRIAND, S/N")</f>
        <v>AVENIDA ASSIS CHATEAUBRIAND, S/N</v>
      </c>
      <c r="L1169" s="5" t="str">
        <f>IFERROR(__xludf.DUMMYFUNCTION("""COMPUTED_VALUE"""),"ARTERIAL ")</f>
        <v>ARTERIAL </v>
      </c>
      <c r="M1169" s="5" t="str">
        <f>IFERROR(__xludf.DUMMYFUNCTION("""COMPUTED_VALUE"""),"PONTAL DA BARRA")</f>
        <v>PONTAL DA BARRA</v>
      </c>
      <c r="N1169" s="5" t="str">
        <f>IFERROR(__xludf.DUMMYFUNCTION("""COMPUTED_VALUE"""),"CENTRO - BAIRRO")</f>
        <v>CENTRO - BAIRRO</v>
      </c>
      <c r="O1169" s="5" t="str">
        <f>IFERROR(__xludf.DUMMYFUNCTION("""COMPUTED_VALUE"""),"PRÓXIMO A ENTRADA DA BRASKEM")</f>
        <v>PRÓXIMO A ENTRADA DA BRASKEM</v>
      </c>
      <c r="P1169" s="5" t="str">
        <f>IFERROR(__xludf.DUMMYFUNCTION("""COMPUTED_VALUE"""),"PRIORIDADE MÉDIA")</f>
        <v>PRIORIDADE MÉDIA</v>
      </c>
      <c r="Q1169" s="5" t="str">
        <f>IFERROR(__xludf.DUMMYFUNCTION("""COMPUTED_VALUE"""),"IMPLANTAR PLACA FIXADA EM POSTE; PINTURA DA BAIA NO ASFALTO; ADEQUAÇÃO DA CALÇADA (RAMPA DE ACESSIBILIDADE E PISO TÁTIL).")</f>
        <v>IMPLANTAR PLACA FIXADA EM POSTE; PINTURA DA BAIA NO ASFALTO; ADEQUAÇÃO DA CALÇADA (RAMPA DE ACESSIBILIDADE E PISO TÁTIL).</v>
      </c>
      <c r="R1169" s="5" t="str">
        <f>IFERROR(__xludf.DUMMYFUNCTION("""COMPUTED_VALUE"""),"IMPLANTAR ABRIGO")</f>
        <v>IMPLANTAR ABRIGO</v>
      </c>
      <c r="S1169" s="5"/>
      <c r="T1169" s="5"/>
      <c r="U1169" s="5"/>
      <c r="V1169" s="9" t="str">
        <f>IFERROR(__xludf.DUMMYFUNCTION("""COMPUTED_VALUE"""),"https://drive.google.com/uc?id=1bQZnmFPGh6FKS-S3tK2t2diKTInbgnRi")</f>
        <v>https://drive.google.com/uc?id=1bQZnmFPGh6FKS-S3tK2t2diKTInbgnRi</v>
      </c>
      <c r="W1169" s="5" t="str">
        <f>IFERROR(__xludf.DUMMYFUNCTION("""COMPUTED_VALUE"""),"NÃO")</f>
        <v>NÃO</v>
      </c>
      <c r="X1169" s="5" t="str">
        <f>IFERROR(__xludf.DUMMYFUNCTION("""COMPUTED_VALUE"""),"NÃO SE APLICA")</f>
        <v>NÃO SE APLICA</v>
      </c>
    </row>
    <row r="1170" hidden="1">
      <c r="A1170" s="5">
        <f>IFERROR(__xludf.DUMMYFUNCTION("""COMPUTED_VALUE"""),2.0)</f>
        <v>2</v>
      </c>
      <c r="B1170" s="5" t="str">
        <f>IFERROR(__xludf.DUMMYFUNCTION("""COMPUTED_VALUE"""),"PB003")</f>
        <v>PB003</v>
      </c>
      <c r="C1170" s="5" t="str">
        <f>IFERROR(__xludf.DUMMYFUNCTION("""COMPUTED_VALUE"""),"NÃO POSSUI")</f>
        <v>NÃO POSSUI</v>
      </c>
      <c r="D1170" s="5" t="str">
        <f>IFERROR(__xludf.DUMMYFUNCTION("""COMPUTED_VALUE"""),"SEM PLACA")</f>
        <v>SEM PLACA</v>
      </c>
      <c r="E1170" s="5" t="str">
        <f>IFERROR(__xludf.DUMMYFUNCTION("""COMPUTED_VALUE"""),"SEM BAIA")</f>
        <v>SEM BAIA</v>
      </c>
      <c r="F1170" s="5" t="str">
        <f>IFERROR(__xludf.DUMMYFUNCTION("""COMPUTED_VALUE"""),"NÃO")</f>
        <v>NÃO</v>
      </c>
      <c r="G1170" s="5" t="str">
        <f>IFERROR(__xludf.DUMMYFUNCTION("""COMPUTED_VALUE"""),"NÃO")</f>
        <v>NÃO</v>
      </c>
      <c r="H1170" s="5" t="str">
        <f>IFERROR(__xludf.DUMMYFUNCTION("""COMPUTED_VALUE"""),"PAVIMENTADA")</f>
        <v>PAVIMENTADA</v>
      </c>
      <c r="I1170" s="6" t="str">
        <f>IFERROR(__xludf.DUMMYFUNCTION("""COMPUTED_VALUE"""),"-9.687960")</f>
        <v>-9.687960</v>
      </c>
      <c r="J1170" s="6" t="str">
        <f>IFERROR(__xludf.DUMMYFUNCTION("""COMPUTED_VALUE"""),"-35.767995")</f>
        <v>-35.767995</v>
      </c>
      <c r="K1170" s="5" t="str">
        <f>IFERROR(__xludf.DUMMYFUNCTION("""COMPUTED_VALUE"""),"AV. ALÍPIO BARBOSA DA SILVA, S/N")</f>
        <v>AV. ALÍPIO BARBOSA DA SILVA, S/N</v>
      </c>
      <c r="L1170" s="5" t="str">
        <f>IFERROR(__xludf.DUMMYFUNCTION("""COMPUTED_VALUE"""),"COLETORA")</f>
        <v>COLETORA</v>
      </c>
      <c r="M1170" s="5" t="str">
        <f>IFERROR(__xludf.DUMMYFUNCTION("""COMPUTED_VALUE"""),"PONTAL DA BARRA")</f>
        <v>PONTAL DA BARRA</v>
      </c>
      <c r="N1170" s="5" t="str">
        <f>IFERROR(__xludf.DUMMYFUNCTION("""COMPUTED_VALUE"""),"CENTRO - BAIRRO")</f>
        <v>CENTRO - BAIRRO</v>
      </c>
      <c r="O1170" s="5" t="str">
        <f>IFERROR(__xludf.DUMMYFUNCTION("""COMPUTED_VALUE"""),"FINAL DA RESERVA AMBIENTAL DA BRASKEM")</f>
        <v>FINAL DA RESERVA AMBIENTAL DA BRASKEM</v>
      </c>
      <c r="P1170" s="5" t="str">
        <f>IFERROR(__xludf.DUMMYFUNCTION("""COMPUTED_VALUE"""),"PRIORIDADE MÉDIA")</f>
        <v>PRIORIDADE MÉDIA</v>
      </c>
      <c r="Q1170" s="5" t="str">
        <f>IFERROR(__xludf.DUMMYFUNCTION("""COMPUTED_VALUE"""),"IMPLANTAR PLACA FIXADA EM POSTE; PINTURA DA BAIA NO ASFALTO; ADEQUAÇÃO DA CALÇADA (RAMPA DE ACESSIBILIDADE E PISO TÁTIL).")</f>
        <v>IMPLANTAR PLACA FIXADA EM POSTE; PINTURA DA BAIA NO ASFALTO; ADEQUAÇÃO DA CALÇADA (RAMPA DE ACESSIBILIDADE E PISO TÁTIL).</v>
      </c>
      <c r="R1170" s="5" t="str">
        <f>IFERROR(__xludf.DUMMYFUNCTION("""COMPUTED_VALUE"""),"NENHUMA DAS OPÇÕES")</f>
        <v>NENHUMA DAS OPÇÕES</v>
      </c>
      <c r="S1170" s="5"/>
      <c r="T1170" s="5"/>
      <c r="U1170" s="5"/>
      <c r="V1170" s="9" t="str">
        <f>IFERROR(__xludf.DUMMYFUNCTION("""COMPUTED_VALUE"""),"https://drive.google.com/uc?id=1-Y257gfkXJarNMyZQw5nuG6gRUCyFWDh")</f>
        <v>https://drive.google.com/uc?id=1-Y257gfkXJarNMyZQw5nuG6gRUCyFWDh</v>
      </c>
      <c r="W1170" s="5" t="str">
        <f>IFERROR(__xludf.DUMMYFUNCTION("""COMPUTED_VALUE"""),"NÃO")</f>
        <v>NÃO</v>
      </c>
      <c r="X1170" s="5" t="str">
        <f>IFERROR(__xludf.DUMMYFUNCTION("""COMPUTED_VALUE"""),"NÃO SE APLICA")</f>
        <v>NÃO SE APLICA</v>
      </c>
    </row>
    <row r="1171">
      <c r="A1171" s="5">
        <f>IFERROR(__xludf.DUMMYFUNCTION("""COMPUTED_VALUE"""),2.0)</f>
        <v>2</v>
      </c>
      <c r="B1171" s="5" t="str">
        <f>IFERROR(__xludf.DUMMYFUNCTION("""COMPUTED_VALUE"""),"PB004")</f>
        <v>PB004</v>
      </c>
      <c r="C1171" s="5" t="str">
        <f>IFERROR(__xludf.DUMMYFUNCTION("""COMPUTED_VALUE"""),"ABRIGO MADEIRA PERSONALIZADO")</f>
        <v>ABRIGO MADEIRA PERSONALIZADO</v>
      </c>
      <c r="D1171" s="5" t="str">
        <f>IFERROR(__xludf.DUMMYFUNCTION("""COMPUTED_VALUE"""),"SEM PLACA")</f>
        <v>SEM PLACA</v>
      </c>
      <c r="E1171" s="5" t="str">
        <f>IFERROR(__xludf.DUMMYFUNCTION("""COMPUTED_VALUE"""),"SEM BAIA")</f>
        <v>SEM BAIA</v>
      </c>
      <c r="F1171" s="5" t="str">
        <f>IFERROR(__xludf.DUMMYFUNCTION("""COMPUTED_VALUE"""),"NÃO")</f>
        <v>NÃO</v>
      </c>
      <c r="G1171" s="5" t="str">
        <f>IFERROR(__xludf.DUMMYFUNCTION("""COMPUTED_VALUE"""),"NÃO")</f>
        <v>NÃO</v>
      </c>
      <c r="H1171" s="5" t="str">
        <f>IFERROR(__xludf.DUMMYFUNCTION("""COMPUTED_VALUE"""),"PAVIMENTADA")</f>
        <v>PAVIMENTADA</v>
      </c>
      <c r="I1171" s="6" t="str">
        <f>IFERROR(__xludf.DUMMYFUNCTION("""COMPUTED_VALUE"""),"-9.691270")</f>
        <v>-9.691270</v>
      </c>
      <c r="J1171" s="6" t="str">
        <f>IFERROR(__xludf.DUMMYFUNCTION("""COMPUTED_VALUE""")," -35.773574")</f>
        <v> -35.773574</v>
      </c>
      <c r="K1171" s="5" t="str">
        <f>IFERROR(__xludf.DUMMYFUNCTION("""COMPUTED_VALUE"""),"AV. ALÍPIO BARBOSA DA SILVA, S/N")</f>
        <v>AV. ALÍPIO BARBOSA DA SILVA, S/N</v>
      </c>
      <c r="L1171" s="5" t="str">
        <f>IFERROR(__xludf.DUMMYFUNCTION("""COMPUTED_VALUE"""),"COLETORA")</f>
        <v>COLETORA</v>
      </c>
      <c r="M1171" s="5" t="str">
        <f>IFERROR(__xludf.DUMMYFUNCTION("""COMPUTED_VALUE"""),"PONTAL DA BARRA")</f>
        <v>PONTAL DA BARRA</v>
      </c>
      <c r="N1171" s="5" t="str">
        <f>IFERROR(__xludf.DUMMYFUNCTION("""COMPUTED_VALUE"""),"BAIRRO - CENTRO")</f>
        <v>BAIRRO - CENTRO</v>
      </c>
      <c r="O1171" s="5" t="str">
        <f>IFERROR(__xludf.DUMMYFUNCTION("""COMPUTED_VALUE"""),"AO LADO DO MARÉ RESTAURANTE")</f>
        <v>AO LADO DO MARÉ RESTAURANTE</v>
      </c>
      <c r="P1171" s="5" t="str">
        <f>IFERROR(__xludf.DUMMYFUNCTION("""COMPUTED_VALUE"""),"PRIORIDADE BAIXA")</f>
        <v>PRIORIDADE BAIXA</v>
      </c>
      <c r="Q1171" s="5" t="str">
        <f>IFERROR(__xludf.DUMMYFUNCTION("""COMPUTED_VALUE"""),"PINTURA DO ABRIGO (VERNIZ); PINTURA DA BAIA NO ASFALTO; ADEQUAÇÃO DA CALÇADA (RAMPA DE ACESSIBILIDADE E PISO TÁTIL).")</f>
        <v>PINTURA DO ABRIGO (VERNIZ); PINTURA DA BAIA NO ASFALTO; ADEQUAÇÃO DA CALÇADA (RAMPA DE ACESSIBILIDADE E PISO TÁTIL).</v>
      </c>
      <c r="R1171" s="5" t="str">
        <f>IFERROR(__xludf.DUMMYFUNCTION("""COMPUTED_VALUE"""),"NENHUMA DAS OPÇÕES")</f>
        <v>NENHUMA DAS OPÇÕES</v>
      </c>
      <c r="S1171" s="5"/>
      <c r="T1171" s="5"/>
      <c r="U1171" s="5"/>
      <c r="V1171" s="9" t="str">
        <f>IFERROR(__xludf.DUMMYFUNCTION("""COMPUTED_VALUE"""),"https://drive.google.com/uc?id=1ujAPNzHqJb0YqIRRf4rT-1M028n9Sr8y")</f>
        <v>https://drive.google.com/uc?id=1ujAPNzHqJb0YqIRRf4rT-1M028n9Sr8y</v>
      </c>
      <c r="W1171" s="5" t="str">
        <f>IFERROR(__xludf.DUMMYFUNCTION("""COMPUTED_VALUE"""),"NÃO")</f>
        <v>NÃO</v>
      </c>
      <c r="X1171" s="5" t="str">
        <f>IFERROR(__xludf.DUMMYFUNCTION("""COMPUTED_VALUE"""),"NÃO SE APLICA")</f>
        <v>NÃO SE APLICA</v>
      </c>
    </row>
    <row r="1172" ht="19.5" customHeight="1">
      <c r="A1172" s="5">
        <f>IFERROR(__xludf.DUMMYFUNCTION("""COMPUTED_VALUE"""),2.0)</f>
        <v>2</v>
      </c>
      <c r="B1172" s="5" t="str">
        <f>IFERROR(__xludf.DUMMYFUNCTION("""COMPUTED_VALUE"""),"PB005")</f>
        <v>PB005</v>
      </c>
      <c r="C1172" s="5" t="str">
        <f>IFERROR(__xludf.DUMMYFUNCTION("""COMPUTED_VALUE"""),"ABRIGO METÁLICO PEQUENO PORTE")</f>
        <v>ABRIGO METÁLICO PEQUENO PORTE</v>
      </c>
      <c r="D1172" s="5" t="str">
        <f>IFERROR(__xludf.DUMMYFUNCTION("""COMPUTED_VALUE"""),"SEM PLACA")</f>
        <v>SEM PLACA</v>
      </c>
      <c r="E1172" s="5" t="str">
        <f>IFERROR(__xludf.DUMMYFUNCTION("""COMPUTED_VALUE"""),"SEM BAIA")</f>
        <v>SEM BAIA</v>
      </c>
      <c r="F1172" s="5" t="str">
        <f>IFERROR(__xludf.DUMMYFUNCTION("""COMPUTED_VALUE"""),"NÃO")</f>
        <v>NÃO</v>
      </c>
      <c r="G1172" s="5" t="str">
        <f>IFERROR(__xludf.DUMMYFUNCTION("""COMPUTED_VALUE"""),"NÃO")</f>
        <v>NÃO</v>
      </c>
      <c r="H1172" s="5" t="str">
        <f>IFERROR(__xludf.DUMMYFUNCTION("""COMPUTED_VALUE"""),"PAVIMENTADA")</f>
        <v>PAVIMENTADA</v>
      </c>
      <c r="I1172" s="6" t="str">
        <f>IFERROR(__xludf.DUMMYFUNCTION("""COMPUTED_VALUE"""),"-9.692453")</f>
        <v>-9.692453</v>
      </c>
      <c r="J1172" s="6" t="str">
        <f>IFERROR(__xludf.DUMMYFUNCTION("""COMPUTED_VALUE"""),"-35.777721
")</f>
        <v>-35.777721
</v>
      </c>
      <c r="K1172" s="5" t="str">
        <f>IFERROR(__xludf.DUMMYFUNCTION("""COMPUTED_VALUE"""),"AV. ALÍPIO BARBOSA DA SILVA, S/N")</f>
        <v>AV. ALÍPIO BARBOSA DA SILVA, S/N</v>
      </c>
      <c r="L1172" s="5" t="str">
        <f>IFERROR(__xludf.DUMMYFUNCTION("""COMPUTED_VALUE"""),"COLETORA")</f>
        <v>COLETORA</v>
      </c>
      <c r="M1172" s="5" t="str">
        <f>IFERROR(__xludf.DUMMYFUNCTION("""COMPUTED_VALUE"""),"PONTAL DA BARRA")</f>
        <v>PONTAL DA BARRA</v>
      </c>
      <c r="N1172" s="5" t="str">
        <f>IFERROR(__xludf.DUMMYFUNCTION("""COMPUTED_VALUE"""),"BAIRRO - CENTRO")</f>
        <v>BAIRRO - CENTRO</v>
      </c>
      <c r="O1172" s="5" t="str">
        <f>IFERROR(__xludf.DUMMYFUNCTION("""COMPUTED_VALUE"""),"AO LADO DA PANIFICAÇÃO PÃO DE LÓ")</f>
        <v>AO LADO DA PANIFICAÇÃO PÃO DE LÓ</v>
      </c>
      <c r="P1172" s="5" t="str">
        <f>IFERROR(__xludf.DUMMYFUNCTION("""COMPUTED_VALUE"""),"PRIORIDADE BAIXA")</f>
        <v>PRIORIDADE BAIXA</v>
      </c>
      <c r="Q1172" s="5" t="str">
        <f>IFERROR(__xludf.DUMMYFUNCTION("""COMPUTED_VALUE"""),"PINTURA DA BAIA NO ASFALTO; ADEQUAÇÃO DA CALÇADA (RAMPA DE ACESSIBILIDADE E PISO TÁTIL).")</f>
        <v>PINTURA DA BAIA NO ASFALTO; ADEQUAÇÃO DA CALÇADA (RAMPA DE ACESSIBILIDADE E PISO TÁTIL).</v>
      </c>
      <c r="R1172" s="5" t="str">
        <f>IFERROR(__xludf.DUMMYFUNCTION("""COMPUTED_VALUE"""),"NENHUMA DAS OPÇÕES")</f>
        <v>NENHUMA DAS OPÇÕES</v>
      </c>
      <c r="S1172" s="5"/>
      <c r="T1172" s="5"/>
      <c r="U1172" s="5"/>
      <c r="V1172" s="9" t="str">
        <f>IFERROR(__xludf.DUMMYFUNCTION("""COMPUTED_VALUE"""),"https://drive.google.com/uc?id=1KUd1AKsUvv2dXFqejdNdxsv_rTaGqhZC
")</f>
        <v>https://drive.google.com/uc?id=1KUd1AKsUvv2dXFqejdNdxsv_rTaGqhZC
</v>
      </c>
      <c r="W1172" s="5" t="str">
        <f>IFERROR(__xludf.DUMMYFUNCTION("""COMPUTED_VALUE"""),"NÃO")</f>
        <v>NÃO</v>
      </c>
      <c r="X1172" s="5" t="str">
        <f>IFERROR(__xludf.DUMMYFUNCTION("""COMPUTED_VALUE"""),"NÃO")</f>
        <v>NÃO</v>
      </c>
    </row>
    <row r="1173" ht="18.0" hidden="1" customHeight="1">
      <c r="A1173" s="5">
        <f>IFERROR(__xludf.DUMMYFUNCTION("""COMPUTED_VALUE"""),2.0)</f>
        <v>2</v>
      </c>
      <c r="B1173" s="5" t="str">
        <f>IFERROR(__xludf.DUMMYFUNCTION("""COMPUTED_VALUE"""),"PB006")</f>
        <v>PB006</v>
      </c>
      <c r="C1173" s="5" t="str">
        <f>IFERROR(__xludf.DUMMYFUNCTION("""COMPUTED_VALUE"""),"NÃO POSSUI")</f>
        <v>NÃO POSSUI</v>
      </c>
      <c r="D1173" s="5" t="str">
        <f>IFERROR(__xludf.DUMMYFUNCTION("""COMPUTED_VALUE"""),"SEM PLACA")</f>
        <v>SEM PLACA</v>
      </c>
      <c r="E1173" s="5" t="str">
        <f>IFERROR(__xludf.DUMMYFUNCTION("""COMPUTED_VALUE"""),"SEM BAIA")</f>
        <v>SEM BAIA</v>
      </c>
      <c r="F1173" s="5" t="str">
        <f>IFERROR(__xludf.DUMMYFUNCTION("""COMPUTED_VALUE"""),"NÃO")</f>
        <v>NÃO</v>
      </c>
      <c r="G1173" s="5" t="str">
        <f>IFERROR(__xludf.DUMMYFUNCTION("""COMPUTED_VALUE"""),"NÃO")</f>
        <v>NÃO</v>
      </c>
      <c r="H1173" s="5" t="str">
        <f>IFERROR(__xludf.DUMMYFUNCTION("""COMPUTED_VALUE"""),"PAVIMENTADA")</f>
        <v>PAVIMENTADA</v>
      </c>
      <c r="I1173" s="6" t="str">
        <f>IFERROR(__xludf.DUMMYFUNCTION("""COMPUTED_VALUE"""),"-9.694875")</f>
        <v>-9.694875</v>
      </c>
      <c r="J1173" s="6" t="str">
        <f>IFERROR(__xludf.DUMMYFUNCTION("""COMPUTED_VALUE"""),"-35.778815")</f>
        <v>-35.778815</v>
      </c>
      <c r="K1173" s="5" t="str">
        <f>IFERROR(__xludf.DUMMYFUNCTION("""COMPUTED_VALUE"""),"AV. ALÍPIO BARBOSA DA SILVA, S/N")</f>
        <v>AV. ALÍPIO BARBOSA DA SILVA, S/N</v>
      </c>
      <c r="L1173" s="5" t="str">
        <f>IFERROR(__xludf.DUMMYFUNCTION("""COMPUTED_VALUE"""),"COLETORA")</f>
        <v>COLETORA</v>
      </c>
      <c r="M1173" s="5" t="str">
        <f>IFERROR(__xludf.DUMMYFUNCTION("""COMPUTED_VALUE"""),"PONTAL DA BARRA")</f>
        <v>PONTAL DA BARRA</v>
      </c>
      <c r="N1173" s="5" t="str">
        <f>IFERROR(__xludf.DUMMYFUNCTION("""COMPUTED_VALUE"""),"BAIRRO - CENTRO")</f>
        <v>BAIRRO - CENTRO</v>
      </c>
      <c r="O1173" s="5" t="str">
        <f>IFERROR(__xludf.DUMMYFUNCTION("""COMPUTED_VALUE"""),"EM FRENTE A COLÔNIA DOS PESCADORES")</f>
        <v>EM FRENTE A COLÔNIA DOS PESCADORES</v>
      </c>
      <c r="P1173" s="5" t="str">
        <f>IFERROR(__xludf.DUMMYFUNCTION("""COMPUTED_VALUE"""),"PRIORIDADE MÉDIA")</f>
        <v>PRIORIDADE MÉDIA</v>
      </c>
      <c r="Q1173" s="5" t="str">
        <f>IFERROR(__xludf.DUMMYFUNCTION("""COMPUTED_VALUE"""),"IMPLANTAR PLACA COM SUPORTE DE MADEIRA; PINTURA DA BAIA NO ASFALTO; ADEQUAÇÃO DA CALÇADA (RAMPA DE ACESSIBILIDADE E PISO TÁTIL).")</f>
        <v>IMPLANTAR PLACA COM SUPORTE DE MADEIRA; PINTURA DA BAIA NO ASFALTO; ADEQUAÇÃO DA CALÇADA (RAMPA DE ACESSIBILIDADE E PISO TÁTIL).</v>
      </c>
      <c r="R1173" s="5" t="str">
        <f>IFERROR(__xludf.DUMMYFUNCTION("""COMPUTED_VALUE"""),"NENHUMA DAS OPÇÕES")</f>
        <v>NENHUMA DAS OPÇÕES</v>
      </c>
      <c r="S1173" s="5"/>
      <c r="T1173" s="5"/>
      <c r="U1173" s="5"/>
      <c r="V1173" s="9" t="str">
        <f>IFERROR(__xludf.DUMMYFUNCTION("""COMPUTED_VALUE"""),"https://drive.google.com/uc?id=1dnzRssVeggrI3qBm9tGaZ8Nfo5c_8l88")</f>
        <v>https://drive.google.com/uc?id=1dnzRssVeggrI3qBm9tGaZ8Nfo5c_8l88</v>
      </c>
      <c r="W1173" s="5" t="str">
        <f>IFERROR(__xludf.DUMMYFUNCTION("""COMPUTED_VALUE"""),"NÃO")</f>
        <v>NÃO</v>
      </c>
      <c r="X1173" s="5" t="str">
        <f>IFERROR(__xludf.DUMMYFUNCTION("""COMPUTED_VALUE"""),"NÃO SE APLICA")</f>
        <v>NÃO SE APLICA</v>
      </c>
    </row>
    <row r="1174" ht="19.5" hidden="1" customHeight="1">
      <c r="A1174" s="5">
        <f>IFERROR(__xludf.DUMMYFUNCTION("""COMPUTED_VALUE"""),2.0)</f>
        <v>2</v>
      </c>
      <c r="B1174" s="5" t="str">
        <f>IFERROR(__xludf.DUMMYFUNCTION("""COMPUTED_VALUE"""),"PB007")</f>
        <v>PB007</v>
      </c>
      <c r="C1174" s="5" t="str">
        <f>IFERROR(__xludf.DUMMYFUNCTION("""COMPUTED_VALUE"""),"NÃO POSSUI")</f>
        <v>NÃO POSSUI</v>
      </c>
      <c r="D1174" s="5" t="str">
        <f>IFERROR(__xludf.DUMMYFUNCTION("""COMPUTED_VALUE"""),"SEM PLACA")</f>
        <v>SEM PLACA</v>
      </c>
      <c r="E1174" s="5" t="str">
        <f>IFERROR(__xludf.DUMMYFUNCTION("""COMPUTED_VALUE"""),"SEM BAIA")</f>
        <v>SEM BAIA</v>
      </c>
      <c r="F1174" s="5" t="str">
        <f>IFERROR(__xludf.DUMMYFUNCTION("""COMPUTED_VALUE"""),"NÃO")</f>
        <v>NÃO</v>
      </c>
      <c r="G1174" s="5" t="str">
        <f>IFERROR(__xludf.DUMMYFUNCTION("""COMPUTED_VALUE"""),"NÃO")</f>
        <v>NÃO</v>
      </c>
      <c r="H1174" s="5" t="str">
        <f>IFERROR(__xludf.DUMMYFUNCTION("""COMPUTED_VALUE"""),"PAVIMENTADA")</f>
        <v>PAVIMENTADA</v>
      </c>
      <c r="I1174" s="6" t="str">
        <f>IFERROR(__xludf.DUMMYFUNCTION("""COMPUTED_VALUE"""),"-9.696071")</f>
        <v>-9.696071</v>
      </c>
      <c r="J1174" s="6" t="str">
        <f>IFERROR(__xludf.DUMMYFUNCTION("""COMPUTED_VALUE"""),"-35.777759")</f>
        <v>-35.777759</v>
      </c>
      <c r="K1174" s="5" t="str">
        <f>IFERROR(__xludf.DUMMYFUNCTION("""COMPUTED_VALUE"""),"AV. ALÍPIO BARBOSA DA SILVA, S/N")</f>
        <v>AV. ALÍPIO BARBOSA DA SILVA, S/N</v>
      </c>
      <c r="L1174" s="5" t="str">
        <f>IFERROR(__xludf.DUMMYFUNCTION("""COMPUTED_VALUE"""),"COLETORA")</f>
        <v>COLETORA</v>
      </c>
      <c r="M1174" s="5" t="str">
        <f>IFERROR(__xludf.DUMMYFUNCTION("""COMPUTED_VALUE"""),"PONTAL DA BARRA")</f>
        <v>PONTAL DA BARRA</v>
      </c>
      <c r="N1174" s="5" t="str">
        <f>IFERROR(__xludf.DUMMYFUNCTION("""COMPUTED_VALUE"""),"BAIRRO - CENTRO")</f>
        <v>BAIRRO - CENTRO</v>
      </c>
      <c r="O1174" s="5" t="str">
        <f>IFERROR(__xludf.DUMMYFUNCTION("""COMPUTED_VALUE"""),"EM FRENTE A CAJAL PRODUTOS NORDESTINOS")</f>
        <v>EM FRENTE A CAJAL PRODUTOS NORDESTINOS</v>
      </c>
      <c r="P1174" s="5" t="str">
        <f>IFERROR(__xludf.DUMMYFUNCTION("""COMPUTED_VALUE"""),"PRIORIDADE MÉDIA")</f>
        <v>PRIORIDADE MÉDIA</v>
      </c>
      <c r="Q1174" s="5" t="str">
        <f>IFERROR(__xludf.DUMMYFUNCTION("""COMPUTED_VALUE"""),"IMPLANTAR PLACA FIXADA EM POSTE; PINTURA DA BAIA NO ASFALTO; ADEQUAÇÃO DA CALÇADA (RAMPA DE ACESSIBILIDADE E PISO TÁTIL).")</f>
        <v>IMPLANTAR PLACA FIXADA EM POSTE; PINTURA DA BAIA NO ASFALTO; ADEQUAÇÃO DA CALÇADA (RAMPA DE ACESSIBILIDADE E PISO TÁTIL).</v>
      </c>
      <c r="R1174" s="5" t="str">
        <f>IFERROR(__xludf.DUMMYFUNCTION("""COMPUTED_VALUE"""),"NENHUMA DAS OPÇÕES")</f>
        <v>NENHUMA DAS OPÇÕES</v>
      </c>
      <c r="S1174" s="5"/>
      <c r="T1174" s="5"/>
      <c r="U1174" s="5"/>
      <c r="V1174" s="9" t="str">
        <f>IFERROR(__xludf.DUMMYFUNCTION("""COMPUTED_VALUE"""),"https://drive.google.com/uc?id=15P4hg3cJMRsUFE4nvK-kh1mRzOvv7TyF")</f>
        <v>https://drive.google.com/uc?id=15P4hg3cJMRsUFE4nvK-kh1mRzOvv7TyF</v>
      </c>
      <c r="W1174" s="5" t="str">
        <f>IFERROR(__xludf.DUMMYFUNCTION("""COMPUTED_VALUE"""),"NÃO")</f>
        <v>NÃO</v>
      </c>
      <c r="X1174" s="5" t="str">
        <f>IFERROR(__xludf.DUMMYFUNCTION("""COMPUTED_VALUE"""),"NÃO SE APLICA")</f>
        <v>NÃO SE APLICA</v>
      </c>
    </row>
    <row r="1175" hidden="1">
      <c r="A1175" s="5">
        <f>IFERROR(__xludf.DUMMYFUNCTION("""COMPUTED_VALUE"""),2.0)</f>
        <v>2</v>
      </c>
      <c r="B1175" s="5" t="str">
        <f>IFERROR(__xludf.DUMMYFUNCTION("""COMPUTED_VALUE"""),"PB008")</f>
        <v>PB008</v>
      </c>
      <c r="C1175" s="5" t="str">
        <f>IFERROR(__xludf.DUMMYFUNCTION("""COMPUTED_VALUE"""),"NÃO POSSUI")</f>
        <v>NÃO POSSUI</v>
      </c>
      <c r="D1175" s="5" t="str">
        <f>IFERROR(__xludf.DUMMYFUNCTION("""COMPUTED_VALUE"""),"SEM PLACA")</f>
        <v>SEM PLACA</v>
      </c>
      <c r="E1175" s="5" t="str">
        <f>IFERROR(__xludf.DUMMYFUNCTION("""COMPUTED_VALUE"""),"SEM BAIA")</f>
        <v>SEM BAIA</v>
      </c>
      <c r="F1175" s="5" t="str">
        <f>IFERROR(__xludf.DUMMYFUNCTION("""COMPUTED_VALUE"""),"NÃO")</f>
        <v>NÃO</v>
      </c>
      <c r="G1175" s="5" t="str">
        <f>IFERROR(__xludf.DUMMYFUNCTION("""COMPUTED_VALUE"""),"NÃO")</f>
        <v>NÃO</v>
      </c>
      <c r="H1175" s="5" t="str">
        <f>IFERROR(__xludf.DUMMYFUNCTION("""COMPUTED_VALUE"""),"PAVIMENTADA")</f>
        <v>PAVIMENTADA</v>
      </c>
      <c r="I1175" s="6" t="str">
        <f>IFERROR(__xludf.DUMMYFUNCTION("""COMPUTED_VALUE"""),"-9.693991")</f>
        <v>-9.693991</v>
      </c>
      <c r="J1175" s="6" t="str">
        <f>IFERROR(__xludf.DUMMYFUNCTION("""COMPUTED_VALUE"""),"-35.773957")</f>
        <v>-35.773957</v>
      </c>
      <c r="K1175" s="5" t="str">
        <f>IFERROR(__xludf.DUMMYFUNCTION("""COMPUTED_VALUE"""),"AV. ASSIS CHATEAUBRIAND, S/N")</f>
        <v>AV. ASSIS CHATEAUBRIAND, S/N</v>
      </c>
      <c r="L1175" s="5" t="str">
        <f>IFERROR(__xludf.DUMMYFUNCTION("""COMPUTED_VALUE"""),"ARTERIAL ")</f>
        <v>ARTERIAL </v>
      </c>
      <c r="M1175" s="5" t="str">
        <f>IFERROR(__xludf.DUMMYFUNCTION("""COMPUTED_VALUE"""),"PONTAL DA BARRA")</f>
        <v>PONTAL DA BARRA</v>
      </c>
      <c r="N1175" s="5" t="str">
        <f>IFERROR(__xludf.DUMMYFUNCTION("""COMPUTED_VALUE"""),"BAIRRO - CENTRO")</f>
        <v>BAIRRO - CENTRO</v>
      </c>
      <c r="O1175" s="5" t="str">
        <f>IFERROR(__xludf.DUMMYFUNCTION("""COMPUTED_VALUE"""),"PRIMEIRO PONTO APÓS O PORTAL DE SAÍDA DO BAIRRO")</f>
        <v>PRIMEIRO PONTO APÓS O PORTAL DE SAÍDA DO BAIRRO</v>
      </c>
      <c r="P1175" s="5" t="str">
        <f>IFERROR(__xludf.DUMMYFUNCTION("""COMPUTED_VALUE"""),"PRIORIDADE MÉDIA")</f>
        <v>PRIORIDADE MÉDIA</v>
      </c>
      <c r="Q1175" s="5" t="str">
        <f>IFERROR(__xludf.DUMMYFUNCTION("""COMPUTED_VALUE"""),"IMPLANTAR PLACA COM SUPORTE DE MADEIRA; PINTURA DA BAIA NO ASFALTO; ADEQUAÇÃO DA CALÇADA (RAMPA DE ACESSIBILIDADE E PISO TÁTIL).")</f>
        <v>IMPLANTAR PLACA COM SUPORTE DE MADEIRA; PINTURA DA BAIA NO ASFALTO; ADEQUAÇÃO DA CALÇADA (RAMPA DE ACESSIBILIDADE E PISO TÁTIL).</v>
      </c>
      <c r="R1175" s="5" t="str">
        <f>IFERROR(__xludf.DUMMYFUNCTION("""COMPUTED_VALUE"""),"IMPLANTAR ABRIGO")</f>
        <v>IMPLANTAR ABRIGO</v>
      </c>
      <c r="S1175" s="5"/>
      <c r="T1175" s="5"/>
      <c r="U1175" s="5"/>
      <c r="V1175" s="9" t="str">
        <f>IFERROR(__xludf.DUMMYFUNCTION("""COMPUTED_VALUE"""),"https://drive.google.com/uc?id=1vfT8x1GmbegmGecRmnF-JWDweshTJaWG")</f>
        <v>https://drive.google.com/uc?id=1vfT8x1GmbegmGecRmnF-JWDweshTJaWG</v>
      </c>
      <c r="W1175" s="5" t="str">
        <f>IFERROR(__xludf.DUMMYFUNCTION("""COMPUTED_VALUE"""),"NÃO")</f>
        <v>NÃO</v>
      </c>
      <c r="X1175" s="5" t="str">
        <f>IFERROR(__xludf.DUMMYFUNCTION("""COMPUTED_VALUE"""),"NÃO SE APLICA")</f>
        <v>NÃO SE APLICA</v>
      </c>
    </row>
    <row r="1176" ht="17.25" hidden="1" customHeight="1">
      <c r="A1176" s="5">
        <f>IFERROR(__xludf.DUMMYFUNCTION("""COMPUTED_VALUE"""),2.0)</f>
        <v>2</v>
      </c>
      <c r="B1176" s="5" t="str">
        <f>IFERROR(__xludf.DUMMYFUNCTION("""COMPUTED_VALUE"""),"PB009")</f>
        <v>PB009</v>
      </c>
      <c r="C1176" s="5" t="str">
        <f>IFERROR(__xludf.DUMMYFUNCTION("""COMPUTED_VALUE"""),"NÃO POSSUI")</f>
        <v>NÃO POSSUI</v>
      </c>
      <c r="D1176" s="5" t="str">
        <f>IFERROR(__xludf.DUMMYFUNCTION("""COMPUTED_VALUE"""),"SEM PLACA")</f>
        <v>SEM PLACA</v>
      </c>
      <c r="E1176" s="5" t="str">
        <f>IFERROR(__xludf.DUMMYFUNCTION("""COMPUTED_VALUE"""),"BAIA CONSTRUÍDA")</f>
        <v>BAIA CONSTRUÍDA</v>
      </c>
      <c r="F1176" s="5" t="str">
        <f>IFERROR(__xludf.DUMMYFUNCTION("""COMPUTED_VALUE"""),"NÃO")</f>
        <v>NÃO</v>
      </c>
      <c r="G1176" s="5" t="str">
        <f>IFERROR(__xludf.DUMMYFUNCTION("""COMPUTED_VALUE"""),"NÃO")</f>
        <v>NÃO</v>
      </c>
      <c r="H1176" s="5" t="str">
        <f>IFERROR(__xludf.DUMMYFUNCTION("""COMPUTED_VALUE"""),"PAVIMENTADA")</f>
        <v>PAVIMENTADA</v>
      </c>
      <c r="I1176" s="6" t="str">
        <f>IFERROR(__xludf.DUMMYFUNCTION("""COMPUTED_VALUE"""),"-9.692038")</f>
        <v>-9.692038</v>
      </c>
      <c r="J1176" s="6" t="str">
        <f>IFERROR(__xludf.DUMMYFUNCTION("""COMPUTED_VALUE"""),"-35.771929")</f>
        <v>-35.771929</v>
      </c>
      <c r="K1176" s="5" t="str">
        <f>IFERROR(__xludf.DUMMYFUNCTION("""COMPUTED_VALUE"""),"AV. ASSIS CHATEAUBRIAND, S/N")</f>
        <v>AV. ASSIS CHATEAUBRIAND, S/N</v>
      </c>
      <c r="L1176" s="5" t="str">
        <f>IFERROR(__xludf.DUMMYFUNCTION("""COMPUTED_VALUE"""),"ARTERIAL ")</f>
        <v>ARTERIAL </v>
      </c>
      <c r="M1176" s="5" t="str">
        <f>IFERROR(__xludf.DUMMYFUNCTION("""COMPUTED_VALUE"""),"PONTAL DA BARRA")</f>
        <v>PONTAL DA BARRA</v>
      </c>
      <c r="N1176" s="5" t="str">
        <f>IFERROR(__xludf.DUMMYFUNCTION("""COMPUTED_VALUE"""),"BAIRRO - CENTRO")</f>
        <v>BAIRRO - CENTRO</v>
      </c>
      <c r="O1176" s="5" t="str">
        <f>IFERROR(__xludf.DUMMYFUNCTION("""COMPUTED_VALUE"""),"EM FRENTE AO BOPE")</f>
        <v>EM FRENTE AO BOPE</v>
      </c>
      <c r="P1176" s="5" t="str">
        <f>IFERROR(__xludf.DUMMYFUNCTION("""COMPUTED_VALUE"""),"PRIORIDADE MÉDIA")</f>
        <v>PRIORIDADE MÉDIA</v>
      </c>
      <c r="Q1176" s="5" t="str">
        <f>IFERROR(__xludf.DUMMYFUNCTION("""COMPUTED_VALUE"""),"IMPLANTAR PLACA COM SUPORTE DE MADEIRA; SINALIZAÇÃO HORIZONTAL DA BAIA CONSTRUÍDA; ADEQUAÇÃO DA CALÇADA (RAMPA DE ACESSIBILIDADE E PISO TÁTIL).")</f>
        <v>IMPLANTAR PLACA COM SUPORTE DE MADEIRA; SINALIZAÇÃO HORIZONTAL DA BAIA CONSTRUÍDA; ADEQUAÇÃO DA CALÇADA (RAMPA DE ACESSIBILIDADE E PISO TÁTIL).</v>
      </c>
      <c r="R1176" s="5" t="str">
        <f>IFERROR(__xludf.DUMMYFUNCTION("""COMPUTED_VALUE"""),"IMPLANTAR ABRIGO")</f>
        <v>IMPLANTAR ABRIGO</v>
      </c>
      <c r="S1176" s="5"/>
      <c r="T1176" s="5"/>
      <c r="U1176" s="5"/>
      <c r="V1176" s="9" t="str">
        <f>IFERROR(__xludf.DUMMYFUNCTION("""COMPUTED_VALUE"""),"https://drive.google.com/uc?id=16xVpgsfJaQgj89QhrsOYBTbUBQDyV4tg")</f>
        <v>https://drive.google.com/uc?id=16xVpgsfJaQgj89QhrsOYBTbUBQDyV4tg</v>
      </c>
      <c r="W1176" s="5" t="str">
        <f>IFERROR(__xludf.DUMMYFUNCTION("""COMPUTED_VALUE"""),"NÃO")</f>
        <v>NÃO</v>
      </c>
      <c r="X1176" s="5" t="str">
        <f>IFERROR(__xludf.DUMMYFUNCTION("""COMPUTED_VALUE"""),"NÃO")</f>
        <v>NÃO</v>
      </c>
    </row>
    <row r="1177" hidden="1">
      <c r="A1177" s="5">
        <f>IFERROR(__xludf.DUMMYFUNCTION("""COMPUTED_VALUE"""),2.0)</f>
        <v>2</v>
      </c>
      <c r="B1177" s="5" t="str">
        <f>IFERROR(__xludf.DUMMYFUNCTION("""COMPUTED_VALUE"""),"PB010")</f>
        <v>PB010</v>
      </c>
      <c r="C1177" s="5" t="str">
        <f>IFERROR(__xludf.DUMMYFUNCTION("""COMPUTED_VALUE"""),"NÃO POSSUI")</f>
        <v>NÃO POSSUI</v>
      </c>
      <c r="D1177" s="5" t="str">
        <f>IFERROR(__xludf.DUMMYFUNCTION("""COMPUTED_VALUE"""),"COM SUPORTE")</f>
        <v>COM SUPORTE</v>
      </c>
      <c r="E1177" s="5" t="str">
        <f>IFERROR(__xludf.DUMMYFUNCTION("""COMPUTED_VALUE"""),"BAIA CONSTRUÍDA")</f>
        <v>BAIA CONSTRUÍDA</v>
      </c>
      <c r="F1177" s="5" t="str">
        <f>IFERROR(__xludf.DUMMYFUNCTION("""COMPUTED_VALUE"""),"NÃO")</f>
        <v>NÃO</v>
      </c>
      <c r="G1177" s="5" t="str">
        <f>IFERROR(__xludf.DUMMYFUNCTION("""COMPUTED_VALUE"""),"NÃO")</f>
        <v>NÃO</v>
      </c>
      <c r="H1177" s="5" t="str">
        <f>IFERROR(__xludf.DUMMYFUNCTION("""COMPUTED_VALUE"""),"PAVIMENTADA")</f>
        <v>PAVIMENTADA</v>
      </c>
      <c r="I1177" s="6" t="str">
        <f>IFERROR(__xludf.DUMMYFUNCTION("""COMPUTED_VALUE"""),"-9.691025")</f>
        <v>-9.691025</v>
      </c>
      <c r="J1177" s="6" t="str">
        <f>IFERROR(__xludf.DUMMYFUNCTION("""COMPUTED_VALUE"""),"-35.770871")</f>
        <v>-35.770871</v>
      </c>
      <c r="K1177" s="5" t="str">
        <f>IFERROR(__xludf.DUMMYFUNCTION("""COMPUTED_VALUE"""),"AV. ASSIS CHATEAUBRIAND, S/N")</f>
        <v>AV. ASSIS CHATEAUBRIAND, S/N</v>
      </c>
      <c r="L1177" s="5" t="str">
        <f>IFERROR(__xludf.DUMMYFUNCTION("""COMPUTED_VALUE"""),"ARTERIAL ")</f>
        <v>ARTERIAL </v>
      </c>
      <c r="M1177" s="5" t="str">
        <f>IFERROR(__xludf.DUMMYFUNCTION("""COMPUTED_VALUE"""),"PONTAL DA BARRA")</f>
        <v>PONTAL DA BARRA</v>
      </c>
      <c r="N1177" s="5" t="str">
        <f>IFERROR(__xludf.DUMMYFUNCTION("""COMPUTED_VALUE"""),"BAIRRO - CENTRO")</f>
        <v>BAIRRO - CENTRO</v>
      </c>
      <c r="O1177" s="5" t="str">
        <f>IFERROR(__xludf.DUMMYFUNCTION("""COMPUTED_VALUE"""),"SEGUNDO PONTO DEPOIS DE SAIR DO PORTAL DE SAÍDA DO BAIRRO")</f>
        <v>SEGUNDO PONTO DEPOIS DE SAIR DO PORTAL DE SAÍDA DO BAIRRO</v>
      </c>
      <c r="P1177" s="5" t="str">
        <f>IFERROR(__xludf.DUMMYFUNCTION("""COMPUTED_VALUE"""),"PRIORIDADE MÉDIA")</f>
        <v>PRIORIDADE MÉDIA</v>
      </c>
      <c r="Q1177" s="5" t="str">
        <f>IFERROR(__xludf.DUMMYFUNCTION("""COMPUTED_VALUE"""),"IMPLANTAR PLACA COM SUPORTE DE MADEIRA EXISTENTE NO LOCAL CORRETO; SINALIZAÇÃO HORIZONTAL DA BAIA CONSTRUÍDA; ADEQUAÇÃO DA CALÇADA (RAMPA DE ACESSIBILIDADE E PISO TÁTIL).")</f>
        <v>IMPLANTAR PLACA COM SUPORTE DE MADEIRA EXISTENTE NO LOCAL CORRETO; SINALIZAÇÃO HORIZONTAL DA BAIA CONSTRUÍDA; ADEQUAÇÃO DA CALÇADA (RAMPA DE ACESSIBILIDADE E PISO TÁTIL).</v>
      </c>
      <c r="R1177" s="5" t="str">
        <f>IFERROR(__xludf.DUMMYFUNCTION("""COMPUTED_VALUE"""),"IMPLANTAR ABRIGO")</f>
        <v>IMPLANTAR ABRIGO</v>
      </c>
      <c r="S1177" s="5"/>
      <c r="T1177" s="5"/>
      <c r="U1177" s="5"/>
      <c r="V1177" s="9" t="str">
        <f>IFERROR(__xludf.DUMMYFUNCTION("""COMPUTED_VALUE"""),"https://drive.google.com/uc?id=1zFIA1_kOe9OFQ3bRlnjLANzPjme8sAdy")</f>
        <v>https://drive.google.com/uc?id=1zFIA1_kOe9OFQ3bRlnjLANzPjme8sAdy</v>
      </c>
      <c r="W1177" s="5" t="str">
        <f>IFERROR(__xludf.DUMMYFUNCTION("""COMPUTED_VALUE"""),"NÃO")</f>
        <v>NÃO</v>
      </c>
      <c r="X1177" s="5" t="str">
        <f>IFERROR(__xludf.DUMMYFUNCTION("""COMPUTED_VALUE"""),"NÃO")</f>
        <v>NÃO</v>
      </c>
    </row>
    <row r="1178" hidden="1">
      <c r="A1178" s="5">
        <f>IFERROR(__xludf.DUMMYFUNCTION("""COMPUTED_VALUE"""),2.0)</f>
        <v>2</v>
      </c>
      <c r="B1178" s="5" t="str">
        <f>IFERROR(__xludf.DUMMYFUNCTION("""COMPUTED_VALUE"""),"PB011")</f>
        <v>PB011</v>
      </c>
      <c r="C1178" s="5" t="str">
        <f>IFERROR(__xludf.DUMMYFUNCTION("""COMPUTED_VALUE"""),"NÃO POSSUI")</f>
        <v>NÃO POSSUI</v>
      </c>
      <c r="D1178" s="5" t="str">
        <f>IFERROR(__xludf.DUMMYFUNCTION("""COMPUTED_VALUE"""),"SEM PLACA")</f>
        <v>SEM PLACA</v>
      </c>
      <c r="E1178" s="5" t="str">
        <f>IFERROR(__xludf.DUMMYFUNCTION("""COMPUTED_VALUE"""),"BAIA CONSTRUÍDA")</f>
        <v>BAIA CONSTRUÍDA</v>
      </c>
      <c r="F1178" s="5" t="str">
        <f>IFERROR(__xludf.DUMMYFUNCTION("""COMPUTED_VALUE"""),"NÃO")</f>
        <v>NÃO</v>
      </c>
      <c r="G1178" s="5" t="str">
        <f>IFERROR(__xludf.DUMMYFUNCTION("""COMPUTED_VALUE"""),"NÃO")</f>
        <v>NÃO</v>
      </c>
      <c r="H1178" s="5" t="str">
        <f>IFERROR(__xludf.DUMMYFUNCTION("""COMPUTED_VALUE"""),"PAVIMENTADA")</f>
        <v>PAVIMENTADA</v>
      </c>
      <c r="I1178" s="6" t="str">
        <f>IFERROR(__xludf.DUMMYFUNCTION("""COMPUTED_VALUE"""),"-9.688856")</f>
        <v>-9.688856</v>
      </c>
      <c r="J1178" s="6" t="str">
        <f>IFERROR(__xludf.DUMMYFUNCTION("""COMPUTED_VALUE"""),"-35.768715")</f>
        <v>-35.768715</v>
      </c>
      <c r="K1178" s="5" t="str">
        <f>IFERROR(__xludf.DUMMYFUNCTION("""COMPUTED_VALUE"""),"AV. ASSIS CHATEAUBRIAND, S/N")</f>
        <v>AV. ASSIS CHATEAUBRIAND, S/N</v>
      </c>
      <c r="L1178" s="5" t="str">
        <f>IFERROR(__xludf.DUMMYFUNCTION("""COMPUTED_VALUE"""),"ARTERIAL ")</f>
        <v>ARTERIAL </v>
      </c>
      <c r="M1178" s="5" t="str">
        <f>IFERROR(__xludf.DUMMYFUNCTION("""COMPUTED_VALUE"""),"PONTAL DA BARRA")</f>
        <v>PONTAL DA BARRA</v>
      </c>
      <c r="N1178" s="5" t="str">
        <f>IFERROR(__xludf.DUMMYFUNCTION("""COMPUTED_VALUE"""),"BAIRRO - CENTRO")</f>
        <v>BAIRRO - CENTRO</v>
      </c>
      <c r="O1178" s="5" t="str">
        <f>IFERROR(__xludf.DUMMYFUNCTION("""COMPUTED_VALUE"""),"PRÓXIMO A IGREJA EM FAMÍLIA")</f>
        <v>PRÓXIMO A IGREJA EM FAMÍLIA</v>
      </c>
      <c r="P1178" s="5" t="str">
        <f>IFERROR(__xludf.DUMMYFUNCTION("""COMPUTED_VALUE"""),"PRIORIDADE MÉDIA")</f>
        <v>PRIORIDADE MÉDIA</v>
      </c>
      <c r="Q1178" s="5" t="str">
        <f>IFERROR(__xludf.DUMMYFUNCTION("""COMPUTED_VALUE"""),"IMPLANTAR PLACA COM SUPORTE DE MADEIRA; SINALIZAÇÃO HORIZONTAL DA BAIA CONSTRUÍDA; ADEQUAÇÃO DA CALÇADA (RAMPA DE ACESSIBILIDADE E PISO TÁTIL).")</f>
        <v>IMPLANTAR PLACA COM SUPORTE DE MADEIRA; SINALIZAÇÃO HORIZONTAL DA BAIA CONSTRUÍDA; ADEQUAÇÃO DA CALÇADA (RAMPA DE ACESSIBILIDADE E PISO TÁTIL).</v>
      </c>
      <c r="R1178" s="5" t="str">
        <f>IFERROR(__xludf.DUMMYFUNCTION("""COMPUTED_VALUE"""),"IMPLANTAR ABRIGO")</f>
        <v>IMPLANTAR ABRIGO</v>
      </c>
      <c r="S1178" s="5"/>
      <c r="T1178" s="5"/>
      <c r="U1178" s="5"/>
      <c r="V1178" s="9" t="str">
        <f>IFERROR(__xludf.DUMMYFUNCTION("""COMPUTED_VALUE"""),"https://drive.google.com/uc?id=1SDo75XnM5eQrkBsqWqnCbAzjOOkyFx1b")</f>
        <v>https://drive.google.com/uc?id=1SDo75XnM5eQrkBsqWqnCbAzjOOkyFx1b</v>
      </c>
      <c r="W1178" s="5" t="str">
        <f>IFERROR(__xludf.DUMMYFUNCTION("""COMPUTED_VALUE"""),"NÃO")</f>
        <v>NÃO</v>
      </c>
      <c r="X1178" s="5" t="str">
        <f>IFERROR(__xludf.DUMMYFUNCTION("""COMPUTED_VALUE"""),"NÃO")</f>
        <v>NÃO</v>
      </c>
    </row>
    <row r="1179" hidden="1">
      <c r="A1179" s="5">
        <f>IFERROR(__xludf.DUMMYFUNCTION("""COMPUTED_VALUE"""),2.0)</f>
        <v>2</v>
      </c>
      <c r="B1179" s="5" t="str">
        <f>IFERROR(__xludf.DUMMYFUNCTION("""COMPUTED_VALUE"""),"PB012")</f>
        <v>PB012</v>
      </c>
      <c r="C1179" s="5" t="str">
        <f>IFERROR(__xludf.DUMMYFUNCTION("""COMPUTED_VALUE"""),"NÃO POSSUI")</f>
        <v>NÃO POSSUI</v>
      </c>
      <c r="D1179" s="5" t="str">
        <f>IFERROR(__xludf.DUMMYFUNCTION("""COMPUTED_VALUE"""),"SEM PLACA")</f>
        <v>SEM PLACA</v>
      </c>
      <c r="E1179" s="5" t="str">
        <f>IFERROR(__xludf.DUMMYFUNCTION("""COMPUTED_VALUE"""),"SEM BAIA")</f>
        <v>SEM BAIA</v>
      </c>
      <c r="F1179" s="5" t="str">
        <f>IFERROR(__xludf.DUMMYFUNCTION("""COMPUTED_VALUE"""),"NÃO")</f>
        <v>NÃO</v>
      </c>
      <c r="G1179" s="5" t="str">
        <f>IFERROR(__xludf.DUMMYFUNCTION("""COMPUTED_VALUE"""),"NÃO")</f>
        <v>NÃO</v>
      </c>
      <c r="H1179" s="5" t="str">
        <f>IFERROR(__xludf.DUMMYFUNCTION("""COMPUTED_VALUE"""),"PAVIMENTADA")</f>
        <v>PAVIMENTADA</v>
      </c>
      <c r="I1179" s="6" t="str">
        <f>IFERROR(__xludf.DUMMYFUNCTION("""COMPUTED_VALUE"""),"-9.680947")</f>
        <v>-9.680947</v>
      </c>
      <c r="J1179" s="6" t="str">
        <f>IFERROR(__xludf.DUMMYFUNCTION("""COMPUTED_VALUE"""),"-35.760116")</f>
        <v>-35.760116</v>
      </c>
      <c r="K1179" s="5" t="str">
        <f>IFERROR(__xludf.DUMMYFUNCTION("""COMPUTED_VALUE"""),"AV. ASSIS CHATEAUBRIAND, S/N")</f>
        <v>AV. ASSIS CHATEAUBRIAND, S/N</v>
      </c>
      <c r="L1179" s="5" t="str">
        <f>IFERROR(__xludf.DUMMYFUNCTION("""COMPUTED_VALUE"""),"ARTERIAL ")</f>
        <v>ARTERIAL </v>
      </c>
      <c r="M1179" s="5" t="str">
        <f>IFERROR(__xludf.DUMMYFUNCTION("""COMPUTED_VALUE"""),"PONTAL DA BARRA")</f>
        <v>PONTAL DA BARRA</v>
      </c>
      <c r="N1179" s="5" t="str">
        <f>IFERROR(__xludf.DUMMYFUNCTION("""COMPUTED_VALUE"""),"BAIRRO - CENTRO")</f>
        <v>BAIRRO - CENTRO</v>
      </c>
      <c r="O1179" s="5" t="str">
        <f>IFERROR(__xludf.DUMMYFUNCTION("""COMPUTED_VALUE"""),"DO OUTRO LADO DO MURO DA RESERVA AMBIENTAL DA BRASKEM")</f>
        <v>DO OUTRO LADO DO MURO DA RESERVA AMBIENTAL DA BRASKEM</v>
      </c>
      <c r="P1179" s="5" t="str">
        <f>IFERROR(__xludf.DUMMYFUNCTION("""COMPUTED_VALUE"""),"PRIORIDADE MÉDIA")</f>
        <v>PRIORIDADE MÉDIA</v>
      </c>
      <c r="Q1179" s="5" t="str">
        <f>IFERROR(__xludf.DUMMYFUNCTION("""COMPUTED_VALUE"""),"IMPLANTAR PLACA COM SUPORTE DE MADEIRA; PINTURA DA BAIA NO ASFALTO; ADEQUAÇÃO DA CALÇADA (RAMPA DE ACESSIBILIDADE E PISO TÁTIL).")</f>
        <v>IMPLANTAR PLACA COM SUPORTE DE MADEIRA; PINTURA DA BAIA NO ASFALTO; ADEQUAÇÃO DA CALÇADA (RAMPA DE ACESSIBILIDADE E PISO TÁTIL).</v>
      </c>
      <c r="R1179" s="5" t="str">
        <f>IFERROR(__xludf.DUMMYFUNCTION("""COMPUTED_VALUE"""),"IMPLANTAR ABRIGO")</f>
        <v>IMPLANTAR ABRIGO</v>
      </c>
      <c r="S1179" s="5"/>
      <c r="T1179" s="5"/>
      <c r="U1179" s="5"/>
      <c r="V1179" s="9" t="str">
        <f>IFERROR(__xludf.DUMMYFUNCTION("""COMPUTED_VALUE"""),"https://drive.google.com/uc?id=1NrwOkoqDCst2E5zgz77HeppnM8rMD-lM")</f>
        <v>https://drive.google.com/uc?id=1NrwOkoqDCst2E5zgz77HeppnM8rMD-lM</v>
      </c>
      <c r="W1179" s="5" t="str">
        <f>IFERROR(__xludf.DUMMYFUNCTION("""COMPUTED_VALUE"""),"NÃO")</f>
        <v>NÃO</v>
      </c>
      <c r="X1179" s="5" t="str">
        <f>IFERROR(__xludf.DUMMYFUNCTION("""COMPUTED_VALUE"""),"NÃO")</f>
        <v>NÃO</v>
      </c>
    </row>
    <row r="1180">
      <c r="A1180" s="5">
        <f>IFERROR(__xludf.DUMMYFUNCTION("""COMPUTED_VALUE"""),2.0)</f>
        <v>2</v>
      </c>
      <c r="B1180" s="5" t="str">
        <f>IFERROR(__xludf.DUMMYFUNCTION("""COMPUTED_VALUE"""),"PB013")</f>
        <v>PB013</v>
      </c>
      <c r="C1180" s="5" t="str">
        <f>IFERROR(__xludf.DUMMYFUNCTION("""COMPUTED_VALUE"""),"ABRIGO EUCALIPTO PEQUENO PORTE")</f>
        <v>ABRIGO EUCALIPTO PEQUENO PORTE</v>
      </c>
      <c r="D1180" s="5" t="str">
        <f>IFERROR(__xludf.DUMMYFUNCTION("""COMPUTED_VALUE"""),"SEM PLACA")</f>
        <v>SEM PLACA</v>
      </c>
      <c r="E1180" s="5" t="str">
        <f>IFERROR(__xludf.DUMMYFUNCTION("""COMPUTED_VALUE"""),"SEM BAIA")</f>
        <v>SEM BAIA</v>
      </c>
      <c r="F1180" s="5" t="str">
        <f>IFERROR(__xludf.DUMMYFUNCTION("""COMPUTED_VALUE"""),"NÃO")</f>
        <v>NÃO</v>
      </c>
      <c r="G1180" s="5" t="str">
        <f>IFERROR(__xludf.DUMMYFUNCTION("""COMPUTED_VALUE"""),"NÃO")</f>
        <v>NÃO</v>
      </c>
      <c r="H1180" s="5" t="str">
        <f>IFERROR(__xludf.DUMMYFUNCTION("""COMPUTED_VALUE"""),"PAVIMENTADA")</f>
        <v>PAVIMENTADA</v>
      </c>
      <c r="I1180" s="6" t="str">
        <f>IFERROR(__xludf.DUMMYFUNCTION("""COMPUTED_VALUE"""),"-9.690821")</f>
        <v>-9.690821</v>
      </c>
      <c r="J1180" s="6" t="str">
        <f>IFERROR(__xludf.DUMMYFUNCTION("""COMPUTED_VALUE"""),"-35.775443")</f>
        <v>-35.775443</v>
      </c>
      <c r="K1180" s="5" t="str">
        <f>IFERROR(__xludf.DUMMYFUNCTION("""COMPUTED_VALUE"""),"Rua Alípio Barbosa da Silva")</f>
        <v>Rua Alípio Barbosa da Silva</v>
      </c>
      <c r="L1180" s="5" t="str">
        <f>IFERROR(__xludf.DUMMYFUNCTION("""COMPUTED_VALUE"""),"COLETORA")</f>
        <v>COLETORA</v>
      </c>
      <c r="M1180" s="5" t="str">
        <f>IFERROR(__xludf.DUMMYFUNCTION("""COMPUTED_VALUE"""),"PONTAL DA BARRA")</f>
        <v>PONTAL DA BARRA</v>
      </c>
      <c r="N1180" s="5" t="str">
        <f>IFERROR(__xludf.DUMMYFUNCTION("""COMPUTED_VALUE"""),"BAIRRO - CENTRO")</f>
        <v>BAIRRO - CENTRO</v>
      </c>
      <c r="O1180" s="5" t="str">
        <f>IFERROR(__xludf.DUMMYFUNCTION("""COMPUTED_VALUE"""),"EM FRENTE AO RESTAURANTE MARÉ")</f>
        <v>EM FRENTE AO RESTAURANTE MARÉ</v>
      </c>
      <c r="P1180" s="5" t="str">
        <f>IFERROR(__xludf.DUMMYFUNCTION("""COMPUTED_VALUE"""),"PRIORIDADE BAIXA")</f>
        <v>PRIORIDADE BAIXA</v>
      </c>
      <c r="Q1180" s="5"/>
      <c r="R1180" s="5"/>
      <c r="S1180" s="5"/>
      <c r="T1180" s="5"/>
      <c r="U1180" s="5"/>
      <c r="V1180" s="9" t="str">
        <f>IFERROR(__xludf.DUMMYFUNCTION("""COMPUTED_VALUE"""),"https://drive.google.com/uc?id=1CYy26sBqRhg00jfsE5ZNxn0xb2WJ9HBC
")</f>
        <v>https://drive.google.com/uc?id=1CYy26sBqRhg00jfsE5ZNxn0xb2WJ9HBC
</v>
      </c>
      <c r="W1180" s="5" t="str">
        <f>IFERROR(__xludf.DUMMYFUNCTION("""COMPUTED_VALUE"""),"NÃO")</f>
        <v>NÃO</v>
      </c>
      <c r="X1180" s="5" t="str">
        <f>IFERROR(__xludf.DUMMYFUNCTION("""COMPUTED_VALUE"""),"SIM")</f>
        <v>SIM</v>
      </c>
    </row>
    <row r="1181">
      <c r="A1181" s="5">
        <f>IFERROR(__xludf.DUMMYFUNCTION("IMPORTRANGE(""https://docs.google.com/spreadsheets/d/1KuoP8JmuiBMv_nZH41Qskz4TwgYIvev8RVYXLU3j10c/edit#gid=2140266582"", ""PRADO!A3:X21"")"),2.0)</f>
        <v>2</v>
      </c>
      <c r="B1181" s="5" t="str">
        <f>IFERROR(__xludf.DUMMYFUNCTION("""COMPUTED_VALUE"""),"PD001")</f>
        <v>PD001</v>
      </c>
      <c r="C1181" s="5" t="str">
        <f>IFERROR(__xludf.DUMMYFUNCTION("""COMPUTED_VALUE"""),"ABRIGO CONCRETO")</f>
        <v>ABRIGO CONCRETO</v>
      </c>
      <c r="D1181" s="5" t="str">
        <f>IFERROR(__xludf.DUMMYFUNCTION("""COMPUTED_VALUE"""),"SEM PLACA")</f>
        <v>SEM PLACA</v>
      </c>
      <c r="E1181" s="5" t="str">
        <f>IFERROR(__xludf.DUMMYFUNCTION("""COMPUTED_VALUE"""),"BAIA CONSTRUÍDA")</f>
        <v>BAIA CONSTRUÍDA</v>
      </c>
      <c r="F1181" s="5" t="str">
        <f>IFERROR(__xludf.DUMMYFUNCTION("""COMPUTED_VALUE"""),"SIM")</f>
        <v>SIM</v>
      </c>
      <c r="G1181" s="5" t="str">
        <f>IFERROR(__xludf.DUMMYFUNCTION("""COMPUTED_VALUE"""),"NÃO")</f>
        <v>NÃO</v>
      </c>
      <c r="H1181" s="5" t="str">
        <f>IFERROR(__xludf.DUMMYFUNCTION("""COMPUTED_VALUE"""),"PAVIMENTADA")</f>
        <v>PAVIMENTADA</v>
      </c>
      <c r="I1181" s="6" t="str">
        <f>IFERROR(__xludf.DUMMYFUNCTION("""COMPUTED_VALUE"""),"-9.665910")</f>
        <v>-9.665910</v>
      </c>
      <c r="J1181" s="6" t="str">
        <f>IFERROR(__xludf.DUMMYFUNCTION("""COMPUTED_VALUE"""),"-35.743434")</f>
        <v>-35.743434</v>
      </c>
      <c r="K1181" s="5" t="str">
        <f>IFERROR(__xludf.DUMMYFUNCTION("""COMPUTED_VALUE"""),"AV. VIEIRA PERDIGÃO, S/N")</f>
        <v>AV. VIEIRA PERDIGÃO, S/N</v>
      </c>
      <c r="L1181" s="5" t="str">
        <f>IFERROR(__xludf.DUMMYFUNCTION("""COMPUTED_VALUE"""),"COLETORA")</f>
        <v>COLETORA</v>
      </c>
      <c r="M1181" s="5" t="str">
        <f>IFERROR(__xludf.DUMMYFUNCTION("""COMPUTED_VALUE"""),"PRADO")</f>
        <v>PRADO</v>
      </c>
      <c r="N1181" s="5" t="str">
        <f>IFERROR(__xludf.DUMMYFUNCTION("""COMPUTED_VALUE"""),"BAIRRO - CENTRO")</f>
        <v>BAIRRO - CENTRO</v>
      </c>
      <c r="O1181" s="5" t="str">
        <f>IFERROR(__xludf.DUMMYFUNCTION("""COMPUTED_VALUE"""),"PRAÇA PIRULITO")</f>
        <v>PRAÇA PIRULITO</v>
      </c>
      <c r="P1181" s="5" t="str">
        <f>IFERROR(__xludf.DUMMYFUNCTION("""COMPUTED_VALUE"""),"PRIORIDADE BAIXA")</f>
        <v>PRIORIDADE BAIXA</v>
      </c>
      <c r="Q1181" s="5" t="str">
        <f>IFERROR(__xludf.DUMMYFUNCTION("""COMPUTED_VALUE"""),"MANUTENÇÃO EM TODAS AS COBERTAS; LIMPEZA DOS ABRIGOS, REMOÇÃO DAS COLAGENS, REMOÇÃO DA PINTURA QUE ESTÁ DETERIORADA E FAZER UMA NOVA PINTURA; INSTALAÇÃO DE PLACA COM SUPORTE; PINTURA DA BAIA NO ASFALTO; READEQUAÇÃO DA CALÇADA (RAMPA DE ACESSIBILIDADE E PI"&amp;"SO TÁTIL)")</f>
        <v>MANUTENÇÃO EM TODAS AS COBERTAS; LIMPEZA DOS ABRIGOS, REMOÇÃO DAS COLAGENS, REMOÇÃO DA PINTURA QUE ESTÁ DETERIORADA E FAZER UMA NOVA PINTURA; INSTALAÇÃO DE PLACA COM SUPORTE; PINTURA DA BAIA NO ASFALTO; READEQUAÇÃO DA CALÇADA (RAMPA DE ACESSIBILIDADE E PISO TÁTIL)</v>
      </c>
      <c r="R1181" s="5" t="str">
        <f>IFERROR(__xludf.DUMMYFUNCTION("""COMPUTED_VALUE"""),"SUBSTITUIR ABRIGO")</f>
        <v>SUBSTITUIR ABRIGO</v>
      </c>
      <c r="S1181" s="7">
        <f>IFERROR(__xludf.DUMMYFUNCTION("""COMPUTED_VALUE"""),44613.0)</f>
        <v>44613</v>
      </c>
      <c r="T1181" s="5"/>
      <c r="U1181" s="7">
        <f>IFERROR(__xludf.DUMMYFUNCTION("""COMPUTED_VALUE"""),44562.0)</f>
        <v>44562</v>
      </c>
      <c r="V1181" s="9" t="str">
        <f>IFERROR(__xludf.DUMMYFUNCTION("""COMPUTED_VALUE"""),"https://drive.google.com/uc?id=1LwoZV0bTZ34FS98QSe8-YTjqGbgcdhfQ  ")</f>
        <v>https://drive.google.com/uc?id=1LwoZV0bTZ34FS98QSe8-YTjqGbgcdhfQ  </v>
      </c>
      <c r="W1181" s="5" t="str">
        <f>IFERROR(__xludf.DUMMYFUNCTION("""COMPUTED_VALUE"""),"NÃO")</f>
        <v>NÃO</v>
      </c>
      <c r="X1181" s="5" t="str">
        <f>IFERROR(__xludf.DUMMYFUNCTION("""COMPUTED_VALUE"""),"NÃO SE APLICA")</f>
        <v>NÃO SE APLICA</v>
      </c>
    </row>
    <row r="1182">
      <c r="A1182" s="5">
        <f>IFERROR(__xludf.DUMMYFUNCTION("""COMPUTED_VALUE"""),2.0)</f>
        <v>2</v>
      </c>
      <c r="B1182" s="5" t="str">
        <f>IFERROR(__xludf.DUMMYFUNCTION("""COMPUTED_VALUE"""),"PD002")</f>
        <v>PD002</v>
      </c>
      <c r="C1182" s="5" t="str">
        <f>IFERROR(__xludf.DUMMYFUNCTION("""COMPUTED_VALUE"""),"ABRIGO METÁLICO MÉDIO PORTE")</f>
        <v>ABRIGO METÁLICO MÉDIO PORTE</v>
      </c>
      <c r="D1182" s="5" t="str">
        <f>IFERROR(__xludf.DUMMYFUNCTION("""COMPUTED_VALUE"""),"SEM PLACA")</f>
        <v>SEM PLACA</v>
      </c>
      <c r="E1182" s="5" t="str">
        <f>IFERROR(__xludf.DUMMYFUNCTION("""COMPUTED_VALUE"""),"SEM BAIA")</f>
        <v>SEM BAIA</v>
      </c>
      <c r="F1182" s="5" t="str">
        <f>IFERROR(__xludf.DUMMYFUNCTION("""COMPUTED_VALUE"""),"NÃO")</f>
        <v>NÃO</v>
      </c>
      <c r="G1182" s="5" t="str">
        <f>IFERROR(__xludf.DUMMYFUNCTION("""COMPUTED_VALUE"""),"NÃO")</f>
        <v>NÃO</v>
      </c>
      <c r="H1182" s="5" t="str">
        <f>IFERROR(__xludf.DUMMYFUNCTION("""COMPUTED_VALUE"""),"PAVIMENTADA COM AVARIAS")</f>
        <v>PAVIMENTADA COM AVARIAS</v>
      </c>
      <c r="I1182" s="6" t="str">
        <f>IFERROR(__xludf.DUMMYFUNCTION("""COMPUTED_VALUE"""),"-9.668121")</f>
        <v>-9.668121</v>
      </c>
      <c r="J1182" s="6" t="str">
        <f>IFERROR(__xludf.DUMMYFUNCTION("""COMPUTED_VALUE"""),"-35.744017")</f>
        <v>-35.744017</v>
      </c>
      <c r="K1182" s="5" t="str">
        <f>IFERROR(__xludf.DUMMYFUNCTION("""COMPUTED_VALUE"""),"PRAÇA AFRÂNIO JORGE")</f>
        <v>PRAÇA AFRÂNIO JORGE</v>
      </c>
      <c r="L1182" s="5" t="str">
        <f>IFERROR(__xludf.DUMMYFUNCTION("""COMPUTED_VALUE"""),"LOCAL")</f>
        <v>LOCAL</v>
      </c>
      <c r="M1182" s="5" t="str">
        <f>IFERROR(__xludf.DUMMYFUNCTION("""COMPUTED_VALUE"""),"PRADO")</f>
        <v>PRADO</v>
      </c>
      <c r="N1182" s="5" t="str">
        <f>IFERROR(__xludf.DUMMYFUNCTION("""COMPUTED_VALUE"""),"CENTRO - BAIRRO")</f>
        <v>CENTRO - BAIRRO</v>
      </c>
      <c r="O1182" s="5" t="str">
        <f>IFERROR(__xludf.DUMMYFUNCTION("""COMPUTED_VALUE"""),"ANTIGA PRAÇA DA FACULDADE")</f>
        <v>ANTIGA PRAÇA DA FACULDADE</v>
      </c>
      <c r="P1182" s="5" t="str">
        <f>IFERROR(__xludf.DUMMYFUNCTION("""COMPUTED_VALUE"""),"PRIORIDADE BAIXA")</f>
        <v>PRIORIDADE BAIXA</v>
      </c>
      <c r="Q1182" s="5" t="str">
        <f>IFERROR(__xludf.DUMMYFUNCTION("""COMPUTED_VALUE"""),"PINTURA DA BAIA NO ASFALTO; READEQUAÇÃO DA CALÇADA (RAMPA DE ACESSIBILIDADE E PISO TÁTIL).")</f>
        <v>PINTURA DA BAIA NO ASFALTO; READEQUAÇÃO DA CALÇADA (RAMPA DE ACESSIBILIDADE E PISO TÁTIL).</v>
      </c>
      <c r="R1182" s="5" t="str">
        <f>IFERROR(__xludf.DUMMYFUNCTION("""COMPUTED_VALUE"""),"NENHUMA DAS OPÇÕES")</f>
        <v>NENHUMA DAS OPÇÕES</v>
      </c>
      <c r="S1182" s="7">
        <f>IFERROR(__xludf.DUMMYFUNCTION("""COMPUTED_VALUE"""),44563.0)</f>
        <v>44563</v>
      </c>
      <c r="T1182" s="5"/>
      <c r="U1182" s="7">
        <f>IFERROR(__xludf.DUMMYFUNCTION("""COMPUTED_VALUE"""),44563.0)</f>
        <v>44563</v>
      </c>
      <c r="V1182" s="9" t="str">
        <f>IFERROR(__xludf.DUMMYFUNCTION("""COMPUTED_VALUE"""),"https://drive.google.com/uc?id=1wm6RyPKv7C_GdmVJQD8JUYVCVDyljBhz")</f>
        <v>https://drive.google.com/uc?id=1wm6RyPKv7C_GdmVJQD8JUYVCVDyljBhz</v>
      </c>
      <c r="W1182" s="5" t="str">
        <f>IFERROR(__xludf.DUMMYFUNCTION("""COMPUTED_VALUE"""),"SIM")</f>
        <v>SIM</v>
      </c>
      <c r="X1182" s="5" t="str">
        <f>IFERROR(__xludf.DUMMYFUNCTION("""COMPUTED_VALUE"""),"NÃO SE APLICA")</f>
        <v>NÃO SE APLICA</v>
      </c>
    </row>
    <row r="1183" ht="17.25" hidden="1" customHeight="1">
      <c r="A1183" s="5">
        <f>IFERROR(__xludf.DUMMYFUNCTION("""COMPUTED_VALUE"""),2.0)</f>
        <v>2</v>
      </c>
      <c r="B1183" s="5" t="str">
        <f>IFERROR(__xludf.DUMMYFUNCTION("""COMPUTED_VALUE"""),"PD003")</f>
        <v>PD003</v>
      </c>
      <c r="C1183" s="5" t="str">
        <f>IFERROR(__xludf.DUMMYFUNCTION("""COMPUTED_VALUE"""),"NÃO POSSUI")</f>
        <v>NÃO POSSUI</v>
      </c>
      <c r="D1183" s="5" t="str">
        <f>IFERROR(__xludf.DUMMYFUNCTION("""COMPUTED_VALUE"""),"COM SUPORTE")</f>
        <v>COM SUPORTE</v>
      </c>
      <c r="E1183" s="5" t="str">
        <f>IFERROR(__xludf.DUMMYFUNCTION("""COMPUTED_VALUE"""),"SEM BAIA")</f>
        <v>SEM BAIA</v>
      </c>
      <c r="F1183" s="5" t="str">
        <f>IFERROR(__xludf.DUMMYFUNCTION("""COMPUTED_VALUE"""),"SIM")</f>
        <v>SIM</v>
      </c>
      <c r="G1183" s="5" t="str">
        <f>IFERROR(__xludf.DUMMYFUNCTION("""COMPUTED_VALUE"""),"NÃO")</f>
        <v>NÃO</v>
      </c>
      <c r="H1183" s="5" t="str">
        <f>IFERROR(__xludf.DUMMYFUNCTION("""COMPUTED_VALUE"""),"PAVIMENTADA")</f>
        <v>PAVIMENTADA</v>
      </c>
      <c r="I1183" s="6" t="str">
        <f>IFERROR(__xludf.DUMMYFUNCTION("""COMPUTED_VALUE"""),"-9.667869")</f>
        <v>-9.667869</v>
      </c>
      <c r="J1183" s="6" t="str">
        <f>IFERROR(__xludf.DUMMYFUNCTION("""COMPUTED_VALUE"""),"-35.744856")</f>
        <v>-35.744856</v>
      </c>
      <c r="K1183" s="5" t="str">
        <f>IFERROR(__xludf.DUMMYFUNCTION("""COMPUTED_VALUE"""),"AV. SIQUEIRA CAMPOS, S/N")</f>
        <v>AV. SIQUEIRA CAMPOS, S/N</v>
      </c>
      <c r="L1183" s="5" t="str">
        <f>IFERROR(__xludf.DUMMYFUNCTION("""COMPUTED_VALUE"""),"ARTERIAL ")</f>
        <v>ARTERIAL </v>
      </c>
      <c r="M1183" s="5" t="str">
        <f>IFERROR(__xludf.DUMMYFUNCTION("""COMPUTED_VALUE"""),"PRADO")</f>
        <v>PRADO</v>
      </c>
      <c r="N1183" s="5" t="str">
        <f>IFERROR(__xludf.DUMMYFUNCTION("""COMPUTED_VALUE"""),"CENTRO - BAIRRO")</f>
        <v>CENTRO - BAIRRO</v>
      </c>
      <c r="O1183" s="5" t="str">
        <f>IFERROR(__xludf.DUMMYFUNCTION("""COMPUTED_VALUE"""),"EM FRENTE A ANTIGA PRAÇA DA FACULDADE
")</f>
        <v>EM FRENTE A ANTIGA PRAÇA DA FACULDADE
</v>
      </c>
      <c r="P1183" s="5" t="str">
        <f>IFERROR(__xludf.DUMMYFUNCTION("""COMPUTED_VALUE"""),"PRIORIDADE BAIXA")</f>
        <v>PRIORIDADE BAIXA</v>
      </c>
      <c r="Q1183" s="5" t="str">
        <f>IFERROR(__xludf.DUMMYFUNCTION("""COMPUTED_VALUE"""),"PINTURA DA BAIA NO ASFALTO; READEQUAÇÃO DA CALÇADA (RAMPA DE ACESSIBILIDADE E PISO TÁTIL).")</f>
        <v>PINTURA DA BAIA NO ASFALTO; READEQUAÇÃO DA CALÇADA (RAMPA DE ACESSIBILIDADE E PISO TÁTIL).</v>
      </c>
      <c r="R1183" s="5" t="str">
        <f>IFERROR(__xludf.DUMMYFUNCTION("""COMPUTED_VALUE"""),"IMPLANTAR ABRIGO")</f>
        <v>IMPLANTAR ABRIGO</v>
      </c>
      <c r="S1183" s="7">
        <f>IFERROR(__xludf.DUMMYFUNCTION("""COMPUTED_VALUE"""),44564.0)</f>
        <v>44564</v>
      </c>
      <c r="T1183" s="5"/>
      <c r="U1183" s="7">
        <f>IFERROR(__xludf.DUMMYFUNCTION("""COMPUTED_VALUE"""),44564.0)</f>
        <v>44564</v>
      </c>
      <c r="V1183" s="9" t="str">
        <f>IFERROR(__xludf.DUMMYFUNCTION("""COMPUTED_VALUE"""),"https://drive.google.com/uc?id=1jOwv49wmIyzOvJmKVCeu2qtXOicn9hdT")</f>
        <v>https://drive.google.com/uc?id=1jOwv49wmIyzOvJmKVCeu2qtXOicn9hdT</v>
      </c>
      <c r="W1183" s="5" t="str">
        <f>IFERROR(__xludf.DUMMYFUNCTION("""COMPUTED_VALUE"""),"NÃO")</f>
        <v>NÃO</v>
      </c>
      <c r="X1183" s="5" t="str">
        <f>IFERROR(__xludf.DUMMYFUNCTION("""COMPUTED_VALUE"""),"NÃO SE APLICA")</f>
        <v>NÃO SE APLICA</v>
      </c>
    </row>
    <row r="1184" ht="15.75" hidden="1" customHeight="1">
      <c r="A1184" s="5">
        <f>IFERROR(__xludf.DUMMYFUNCTION("""COMPUTED_VALUE"""),2.0)</f>
        <v>2</v>
      </c>
      <c r="B1184" s="5" t="str">
        <f>IFERROR(__xludf.DUMMYFUNCTION("""COMPUTED_VALUE"""),"PD004")</f>
        <v>PD004</v>
      </c>
      <c r="C1184" s="5" t="str">
        <f>IFERROR(__xludf.DUMMYFUNCTION("""COMPUTED_VALUE"""),"NÃO POSSUI")</f>
        <v>NÃO POSSUI</v>
      </c>
      <c r="D1184" s="5" t="str">
        <f>IFERROR(__xludf.DUMMYFUNCTION("""COMPUTED_VALUE"""),"FIXADA EM POSTE")</f>
        <v>FIXADA EM POSTE</v>
      </c>
      <c r="E1184" s="5" t="str">
        <f>IFERROR(__xludf.DUMMYFUNCTION("""COMPUTED_VALUE"""),"SEM BAIA")</f>
        <v>SEM BAIA</v>
      </c>
      <c r="F1184" s="5" t="str">
        <f>IFERROR(__xludf.DUMMYFUNCTION("""COMPUTED_VALUE"""),"NÃO")</f>
        <v>NÃO</v>
      </c>
      <c r="G1184" s="5" t="str">
        <f>IFERROR(__xludf.DUMMYFUNCTION("""COMPUTED_VALUE"""),"NÃO")</f>
        <v>NÃO</v>
      </c>
      <c r="H1184" s="5" t="str">
        <f>IFERROR(__xludf.DUMMYFUNCTION("""COMPUTED_VALUE"""),"PAVIMENTADA")</f>
        <v>PAVIMENTADA</v>
      </c>
      <c r="I1184" s="6" t="str">
        <f>IFERROR(__xludf.DUMMYFUNCTION("""COMPUTED_VALUE"""),"-9.668681")</f>
        <v>-9.668681</v>
      </c>
      <c r="J1184" s="6" t="str">
        <f>IFERROR(__xludf.DUMMYFUNCTION("""COMPUTED_VALUE"""),"-35.747446")</f>
        <v>-35.747446</v>
      </c>
      <c r="K1184" s="5" t="str">
        <f>IFERROR(__xludf.DUMMYFUNCTION("""COMPUTED_VALUE"""),"AV. SIQUEIRA CAMPOS, 759A")</f>
        <v>AV. SIQUEIRA CAMPOS, 759A</v>
      </c>
      <c r="L1184" s="5" t="str">
        <f>IFERROR(__xludf.DUMMYFUNCTION("""COMPUTED_VALUE"""),"ARTERIAL ")</f>
        <v>ARTERIAL </v>
      </c>
      <c r="M1184" s="5" t="str">
        <f>IFERROR(__xludf.DUMMYFUNCTION("""COMPUTED_VALUE"""),"PRADO")</f>
        <v>PRADO</v>
      </c>
      <c r="N1184" s="5" t="str">
        <f>IFERROR(__xludf.DUMMYFUNCTION("""COMPUTED_VALUE"""),"BAIRRO - CENTRO")</f>
        <v>BAIRRO - CENTRO</v>
      </c>
      <c r="O1184" s="5" t="str">
        <f>IFERROR(__xludf.DUMMYFUNCTION("""COMPUTED_VALUE"""),"EM FRENTE A LOJA MENDONÇA BIKE
")</f>
        <v>EM FRENTE A LOJA MENDONÇA BIKE
</v>
      </c>
      <c r="P1184" s="5" t="str">
        <f>IFERROR(__xludf.DUMMYFUNCTION("""COMPUTED_VALUE"""),"PRIORIDADE BAIXA")</f>
        <v>PRIORIDADE BAIXA</v>
      </c>
      <c r="Q1184" s="5" t="str">
        <f>IFERROR(__xludf.DUMMYFUNCTION("""COMPUTED_VALUE"""),"REALOCAÇÃO DA  PLACA FIXADA NO POSTE PARA O LOCAL INDICADO NA FOTO 2 E FIXÁ-LA COM SUPORTE DE MADEIRA; FAZER PINTURA DA BAIA NO ASFALTO; READEQUAÇÃO DA CALÇADA (RAMPA DE ACESSIBILIDADE E PISO TÁTIL).")</f>
        <v>REALOCAÇÃO DA  PLACA FIXADA NO POSTE PARA O LOCAL INDICADO NA FOTO 2 E FIXÁ-LA COM SUPORTE DE MADEIRA; FAZER PINTURA DA BAIA NO ASFALTO; READEQUAÇÃO DA CALÇADA (RAMPA DE ACESSIBILIDADE E PISO TÁTIL).</v>
      </c>
      <c r="R1184" s="5" t="str">
        <f>IFERROR(__xludf.DUMMYFUNCTION("""COMPUTED_VALUE"""),"IMPLANTAR ABRIGO")</f>
        <v>IMPLANTAR ABRIGO</v>
      </c>
      <c r="S1184" s="7">
        <f>IFERROR(__xludf.DUMMYFUNCTION("""COMPUTED_VALUE"""),44565.0)</f>
        <v>44565</v>
      </c>
      <c r="T1184" s="5"/>
      <c r="U1184" s="7">
        <f>IFERROR(__xludf.DUMMYFUNCTION("""COMPUTED_VALUE"""),44565.0)</f>
        <v>44565</v>
      </c>
      <c r="V1184" s="9" t="str">
        <f>IFERROR(__xludf.DUMMYFUNCTION("""COMPUTED_VALUE"""),"https://drive.google.com/uc?id=1CpuO_44JPmuidBBo80HTN0frFzZWrS86 ")</f>
        <v>https://drive.google.com/uc?id=1CpuO_44JPmuidBBo80HTN0frFzZWrS86 </v>
      </c>
      <c r="W1184" s="5" t="str">
        <f>IFERROR(__xludf.DUMMYFUNCTION("""COMPUTED_VALUE"""),"NÃO")</f>
        <v>NÃO</v>
      </c>
      <c r="X1184" s="5" t="str">
        <f>IFERROR(__xludf.DUMMYFUNCTION("""COMPUTED_VALUE"""),"NÃO SE APLICA")</f>
        <v>NÃO SE APLICA</v>
      </c>
    </row>
    <row r="1185" hidden="1">
      <c r="A1185" s="5">
        <f>IFERROR(__xludf.DUMMYFUNCTION("""COMPUTED_VALUE"""),2.0)</f>
        <v>2</v>
      </c>
      <c r="B1185" s="5" t="str">
        <f>IFERROR(__xludf.DUMMYFUNCTION("""COMPUTED_VALUE"""),"PD005")</f>
        <v>PD005</v>
      </c>
      <c r="C1185" s="5" t="str">
        <f>IFERROR(__xludf.DUMMYFUNCTION("""COMPUTED_VALUE"""),"NÃO POSSUI")</f>
        <v>NÃO POSSUI</v>
      </c>
      <c r="D1185" s="5" t="str">
        <f>IFERROR(__xludf.DUMMYFUNCTION("""COMPUTED_VALUE"""),"SEM PLACA")</f>
        <v>SEM PLACA</v>
      </c>
      <c r="E1185" s="5" t="str">
        <f>IFERROR(__xludf.DUMMYFUNCTION("""COMPUTED_VALUE"""),"SEM BAIA")</f>
        <v>SEM BAIA</v>
      </c>
      <c r="F1185" s="5" t="str">
        <f>IFERROR(__xludf.DUMMYFUNCTION("""COMPUTED_VALUE"""),"NÃO")</f>
        <v>NÃO</v>
      </c>
      <c r="G1185" s="5" t="str">
        <f>IFERROR(__xludf.DUMMYFUNCTION("""COMPUTED_VALUE"""),"NÃO")</f>
        <v>NÃO</v>
      </c>
      <c r="H1185" s="5" t="str">
        <f>IFERROR(__xludf.DUMMYFUNCTION("""COMPUTED_VALUE"""),"PAVIMENTADA")</f>
        <v>PAVIMENTADA</v>
      </c>
      <c r="I1185" s="6" t="str">
        <f>IFERROR(__xludf.DUMMYFUNCTION("""COMPUTED_VALUE"""),"-9.668656")</f>
        <v>-9.668656</v>
      </c>
      <c r="J1185" s="6" t="str">
        <f>IFERROR(__xludf.DUMMYFUNCTION("""COMPUTED_VALUE"""),"-35.747683")</f>
        <v>-35.747683</v>
      </c>
      <c r="K1185" s="5" t="str">
        <f>IFERROR(__xludf.DUMMYFUNCTION("""COMPUTED_VALUE"""),"AV. SIQUEIRA CAMPOS, 810")</f>
        <v>AV. SIQUEIRA CAMPOS, 810</v>
      </c>
      <c r="L1185" s="5" t="str">
        <f>IFERROR(__xludf.DUMMYFUNCTION("""COMPUTED_VALUE"""),"ARTERIAL ")</f>
        <v>ARTERIAL </v>
      </c>
      <c r="M1185" s="5" t="str">
        <f>IFERROR(__xludf.DUMMYFUNCTION("""COMPUTED_VALUE"""),"PRADO")</f>
        <v>PRADO</v>
      </c>
      <c r="N1185" s="5" t="str">
        <f>IFERROR(__xludf.DUMMYFUNCTION("""COMPUTED_VALUE"""),"CENTRO - BAIRRO")</f>
        <v>CENTRO - BAIRRO</v>
      </c>
      <c r="O1185" s="5" t="str">
        <f>IFERROR(__xludf.DUMMYFUNCTION("""COMPUTED_VALUE"""),"EM FRENTE A FUNERARIA  SÃO MATEUS ")</f>
        <v>EM FRENTE A FUNERARIA  SÃO MATEUS </v>
      </c>
      <c r="P1185" s="5" t="str">
        <f>IFERROR(__xludf.DUMMYFUNCTION("""COMPUTED_VALUE"""),"PRIORIDADE MÉDIA")</f>
        <v>PRIORIDADE MÉDIA</v>
      </c>
      <c r="Q1185" s="5" t="str">
        <f>IFERROR(__xludf.DUMMYFUNCTION("""COMPUTED_VALUE"""),"PINTURA DA BAIA NO ASFALTO; READEQUAÇÃO DA CALÇADA (RAMPA DE ACESSIBILIDADE E PISO TÁTIL).")</f>
        <v>PINTURA DA BAIA NO ASFALTO; READEQUAÇÃO DA CALÇADA (RAMPA DE ACESSIBILIDADE E PISO TÁTIL).</v>
      </c>
      <c r="R1185" s="5" t="str">
        <f>IFERROR(__xludf.DUMMYFUNCTION("""COMPUTED_VALUE"""),"NENHUMA DAS OPÇÕES")</f>
        <v>NENHUMA DAS OPÇÕES</v>
      </c>
      <c r="S1185" s="7">
        <f>IFERROR(__xludf.DUMMYFUNCTION("""COMPUTED_VALUE"""),44566.0)</f>
        <v>44566</v>
      </c>
      <c r="T1185" s="5"/>
      <c r="U1185" s="7">
        <f>IFERROR(__xludf.DUMMYFUNCTION("""COMPUTED_VALUE"""),44566.0)</f>
        <v>44566</v>
      </c>
      <c r="V1185" s="9" t="str">
        <f>IFERROR(__xludf.DUMMYFUNCTION("""COMPUTED_VALUE"""),"https://drive.google.com/uc?id=1WJbM3Nl1eG2I2q5jcNp_NVFUOheONjOD")</f>
        <v>https://drive.google.com/uc?id=1WJbM3Nl1eG2I2q5jcNp_NVFUOheONjOD</v>
      </c>
      <c r="W1185" s="5" t="str">
        <f>IFERROR(__xludf.DUMMYFUNCTION("""COMPUTED_VALUE"""),"NÃO")</f>
        <v>NÃO</v>
      </c>
      <c r="X1185" s="5" t="str">
        <f>IFERROR(__xludf.DUMMYFUNCTION("""COMPUTED_VALUE"""),"NÃO SE APLICA")</f>
        <v>NÃO SE APLICA</v>
      </c>
    </row>
    <row r="1186" ht="15.75" hidden="1" customHeight="1">
      <c r="A1186" s="5">
        <f>IFERROR(__xludf.DUMMYFUNCTION("""COMPUTED_VALUE"""),2.0)</f>
        <v>2</v>
      </c>
      <c r="B1186" s="5" t="str">
        <f>IFERROR(__xludf.DUMMYFUNCTION("""COMPUTED_VALUE"""),"PD006")</f>
        <v>PD006</v>
      </c>
      <c r="C1186" s="5" t="str">
        <f>IFERROR(__xludf.DUMMYFUNCTION("""COMPUTED_VALUE"""),"NÃO POSSUI")</f>
        <v>NÃO POSSUI</v>
      </c>
      <c r="D1186" s="5" t="str">
        <f>IFERROR(__xludf.DUMMYFUNCTION("""COMPUTED_VALUE"""),"FIXADA EM POSTE")</f>
        <v>FIXADA EM POSTE</v>
      </c>
      <c r="E1186" s="5" t="str">
        <f>IFERROR(__xludf.DUMMYFUNCTION("""COMPUTED_VALUE"""),"SEM BAIA")</f>
        <v>SEM BAIA</v>
      </c>
      <c r="F1186" s="5" t="str">
        <f>IFERROR(__xludf.DUMMYFUNCTION("""COMPUTED_VALUE"""),"NÃO")</f>
        <v>NÃO</v>
      </c>
      <c r="G1186" s="5" t="str">
        <f>IFERROR(__xludf.DUMMYFUNCTION("""COMPUTED_VALUE"""),"NÃO")</f>
        <v>NÃO</v>
      </c>
      <c r="H1186" s="5" t="str">
        <f>IFERROR(__xludf.DUMMYFUNCTION("""COMPUTED_VALUE"""),"PAVIMENTADA")</f>
        <v>PAVIMENTADA</v>
      </c>
      <c r="I1186" s="6" t="str">
        <f>IFERROR(__xludf.DUMMYFUNCTION("""COMPUTED_VALUE"""),"-9.669508")</f>
        <v>-9.669508</v>
      </c>
      <c r="J1186" s="6" t="str">
        <f>IFERROR(__xludf.DUMMYFUNCTION("""COMPUTED_VALUE""")," -35.750288
")</f>
        <v> -35.750288
</v>
      </c>
      <c r="K1186" s="5" t="str">
        <f>IFERROR(__xludf.DUMMYFUNCTION("""COMPUTED_VALUE"""),"AV. SIQUEIRA CAMPOS, 1081
")</f>
        <v>AV. SIQUEIRA CAMPOS, 1081
</v>
      </c>
      <c r="L1186" s="5" t="str">
        <f>IFERROR(__xludf.DUMMYFUNCTION("""COMPUTED_VALUE"""),"ARTERIAL ")</f>
        <v>ARTERIAL </v>
      </c>
      <c r="M1186" s="5" t="str">
        <f>IFERROR(__xludf.DUMMYFUNCTION("""COMPUTED_VALUE"""),"PRADO")</f>
        <v>PRADO</v>
      </c>
      <c r="N1186" s="5" t="str">
        <f>IFERROR(__xludf.DUMMYFUNCTION("""COMPUTED_VALUE"""),"BAIRRO - CENTRO")</f>
        <v>BAIRRO - CENTRO</v>
      </c>
      <c r="O1186" s="5" t="str">
        <f>IFERROR(__xludf.DUMMYFUNCTION("""COMPUTED_VALUE"""),"EM FRENTE A LOJA KALÇAR")</f>
        <v>EM FRENTE A LOJA KALÇAR</v>
      </c>
      <c r="P1186" s="5" t="str">
        <f>IFERROR(__xludf.DUMMYFUNCTION("""COMPUTED_VALUE"""),"PRIORIDADE BAIXA")</f>
        <v>PRIORIDADE BAIXA</v>
      </c>
      <c r="Q1186" s="5" t="str">
        <f>IFERROR(__xludf.DUMMYFUNCTION("""COMPUTED_VALUE"""),"PINTURA DA BAIA NO ASFALTO; READEQUAÇÃO DA CALÇADA (RAMPA DE ACESSIBILIDADE E PISO TÁTIL).")</f>
        <v>PINTURA DA BAIA NO ASFALTO; READEQUAÇÃO DA CALÇADA (RAMPA DE ACESSIBILIDADE E PISO TÁTIL).</v>
      </c>
      <c r="R1186" s="5" t="str">
        <f>IFERROR(__xludf.DUMMYFUNCTION("""COMPUTED_VALUE"""),"NENHUMA DAS OPÇÕES")</f>
        <v>NENHUMA DAS OPÇÕES</v>
      </c>
      <c r="S1186" s="7">
        <f>IFERROR(__xludf.DUMMYFUNCTION("""COMPUTED_VALUE"""),44567.0)</f>
        <v>44567</v>
      </c>
      <c r="T1186" s="5"/>
      <c r="U1186" s="7">
        <f>IFERROR(__xludf.DUMMYFUNCTION("""COMPUTED_VALUE"""),44567.0)</f>
        <v>44567</v>
      </c>
      <c r="V1186" s="9" t="str">
        <f>IFERROR(__xludf.DUMMYFUNCTION("""COMPUTED_VALUE"""),"https://drive.google.com/uc?id=1jDouZlAIpo0_UehC3u4BvEfXhNFkvgk3")</f>
        <v>https://drive.google.com/uc?id=1jDouZlAIpo0_UehC3u4BvEfXhNFkvgk3</v>
      </c>
      <c r="W1186" s="5" t="str">
        <f>IFERROR(__xludf.DUMMYFUNCTION("""COMPUTED_VALUE"""),"NÃO")</f>
        <v>NÃO</v>
      </c>
      <c r="X1186" s="5" t="str">
        <f>IFERROR(__xludf.DUMMYFUNCTION("""COMPUTED_VALUE"""),"NÃO SE APLICA")</f>
        <v>NÃO SE APLICA</v>
      </c>
    </row>
    <row r="1187" ht="15.75" customHeight="1">
      <c r="A1187" s="5">
        <f>IFERROR(__xludf.DUMMYFUNCTION("""COMPUTED_VALUE"""),2.0)</f>
        <v>2</v>
      </c>
      <c r="B1187" s="5" t="str">
        <f>IFERROR(__xludf.DUMMYFUNCTION("""COMPUTED_VALUE"""),"PD007")</f>
        <v>PD007</v>
      </c>
      <c r="C1187" s="5" t="str">
        <f>IFERROR(__xludf.DUMMYFUNCTION("""COMPUTED_VALUE"""),"ABRIGO PERSONALIZADO")</f>
        <v>ABRIGO PERSONALIZADO</v>
      </c>
      <c r="D1187" s="5" t="str">
        <f>IFERROR(__xludf.DUMMYFUNCTION("""COMPUTED_VALUE"""),"COM SUPORTE")</f>
        <v>COM SUPORTE</v>
      </c>
      <c r="E1187" s="5" t="str">
        <f>IFERROR(__xludf.DUMMYFUNCTION("""COMPUTED_VALUE"""),"SEM BAIA")</f>
        <v>SEM BAIA</v>
      </c>
      <c r="F1187" s="5" t="str">
        <f>IFERROR(__xludf.DUMMYFUNCTION("""COMPUTED_VALUE"""),"NÃO")</f>
        <v>NÃO</v>
      </c>
      <c r="G1187" s="5" t="str">
        <f>IFERROR(__xludf.DUMMYFUNCTION("""COMPUTED_VALUE"""),"NÃO")</f>
        <v>NÃO</v>
      </c>
      <c r="H1187" s="5" t="str">
        <f>IFERROR(__xludf.DUMMYFUNCTION("""COMPUTED_VALUE"""),"PAVIMENTADA COM AVARIAS")</f>
        <v>PAVIMENTADA COM AVARIAS</v>
      </c>
      <c r="I1187" s="6" t="str">
        <f>IFERROR(__xludf.DUMMYFUNCTION("""COMPUTED_VALUE"""),"-9.670249")</f>
        <v>-9.670249</v>
      </c>
      <c r="J1187" s="6" t="str">
        <f>IFERROR(__xludf.DUMMYFUNCTION("""COMPUTED_VALUE"""),"-35.752642")</f>
        <v>-35.752642</v>
      </c>
      <c r="K1187" s="5" t="str">
        <f>IFERROR(__xludf.DUMMYFUNCTION("""COMPUTED_VALUE"""),"AV. SIQUEIRA CAMPOS, S/N")</f>
        <v>AV. SIQUEIRA CAMPOS, S/N</v>
      </c>
      <c r="L1187" s="5" t="str">
        <f>IFERROR(__xludf.DUMMYFUNCTION("""COMPUTED_VALUE"""),"ARTERIAL ")</f>
        <v>ARTERIAL </v>
      </c>
      <c r="M1187" s="5" t="str">
        <f>IFERROR(__xludf.DUMMYFUNCTION("""COMPUTED_VALUE"""),"PRADO")</f>
        <v>PRADO</v>
      </c>
      <c r="N1187" s="5" t="str">
        <f>IFERROR(__xludf.DUMMYFUNCTION("""COMPUTED_VALUE"""),"BAIRRO - CENTRO")</f>
        <v>BAIRRO - CENTRO</v>
      </c>
      <c r="O1187" s="5" t="str">
        <f>IFERROR(__xludf.DUMMYFUNCTION("""COMPUTED_VALUE"""),"EM FRENTE AO MIX MATEUS")</f>
        <v>EM FRENTE AO MIX MATEUS</v>
      </c>
      <c r="P1187" s="5" t="str">
        <f>IFERROR(__xludf.DUMMYFUNCTION("""COMPUTED_VALUE"""),"PRIORIDADE BAIXA")</f>
        <v>PRIORIDADE BAIXA</v>
      </c>
      <c r="Q1187" s="5" t="str">
        <f>IFERROR(__xludf.DUMMYFUNCTION("""COMPUTED_VALUE"""),"REPAROS NA ESTRUTURA DO ABRIGO, POIS ELE SE ENCONTRA INCLINADO PARA A FRENTE; REMOÇÃO DA PINTURA ANTIGA E FAZER UMA NOVA; PINTURA DA BAIA NO ASFALTO; REFAZER A PAVIMENTAÇÃO DA CALÇADA E ADEQUÁ-LA (RAMPA DE ACESSIBILIDADE E PISO TÁTIL).")</f>
        <v>REPAROS NA ESTRUTURA DO ABRIGO, POIS ELE SE ENCONTRA INCLINADO PARA A FRENTE; REMOÇÃO DA PINTURA ANTIGA E FAZER UMA NOVA; PINTURA DA BAIA NO ASFALTO; REFAZER A PAVIMENTAÇÃO DA CALÇADA E ADEQUÁ-LA (RAMPA DE ACESSIBILIDADE E PISO TÁTIL).</v>
      </c>
      <c r="R1187" s="5" t="str">
        <f>IFERROR(__xludf.DUMMYFUNCTION("""COMPUTED_VALUE"""),"NENHUMA DAS OPÇÕES")</f>
        <v>NENHUMA DAS OPÇÕES</v>
      </c>
      <c r="S1187" s="7">
        <f>IFERROR(__xludf.DUMMYFUNCTION("""COMPUTED_VALUE"""),44568.0)</f>
        <v>44568</v>
      </c>
      <c r="T1187" s="5"/>
      <c r="U1187" s="7">
        <f>IFERROR(__xludf.DUMMYFUNCTION("""COMPUTED_VALUE"""),44568.0)</f>
        <v>44568</v>
      </c>
      <c r="V1187" s="9" t="str">
        <f>IFERROR(__xludf.DUMMYFUNCTION("""COMPUTED_VALUE"""),"https://drive.google.com/uc?id=18q5hDbQ680DIz4ou6GpI86EmSiGcVRYw")</f>
        <v>https://drive.google.com/uc?id=18q5hDbQ680DIz4ou6GpI86EmSiGcVRYw</v>
      </c>
      <c r="W1187" s="5" t="str">
        <f>IFERROR(__xludf.DUMMYFUNCTION("""COMPUTED_VALUE"""),"NÃO")</f>
        <v>NÃO</v>
      </c>
      <c r="X1187" s="5" t="str">
        <f>IFERROR(__xludf.DUMMYFUNCTION("""COMPUTED_VALUE"""),"NÃO")</f>
        <v>NÃO</v>
      </c>
    </row>
    <row r="1188" hidden="1">
      <c r="A1188" s="5">
        <f>IFERROR(__xludf.DUMMYFUNCTION("""COMPUTED_VALUE"""),2.0)</f>
        <v>2</v>
      </c>
      <c r="B1188" s="5" t="str">
        <f>IFERROR(__xludf.DUMMYFUNCTION("""COMPUTED_VALUE"""),"PD008")</f>
        <v>PD008</v>
      </c>
      <c r="C1188" s="5" t="str">
        <f>IFERROR(__xludf.DUMMYFUNCTION("""COMPUTED_VALUE"""),"NÃO POSSUI")</f>
        <v>NÃO POSSUI</v>
      </c>
      <c r="D1188" s="5" t="str">
        <f>IFERROR(__xludf.DUMMYFUNCTION("""COMPUTED_VALUE"""),"FIXADA EM POSTE")</f>
        <v>FIXADA EM POSTE</v>
      </c>
      <c r="E1188" s="5" t="str">
        <f>IFERROR(__xludf.DUMMYFUNCTION("""COMPUTED_VALUE"""),"SEM BAIA")</f>
        <v>SEM BAIA</v>
      </c>
      <c r="F1188" s="5" t="str">
        <f>IFERROR(__xludf.DUMMYFUNCTION("""COMPUTED_VALUE"""),"NÃO")</f>
        <v>NÃO</v>
      </c>
      <c r="G1188" s="5" t="str">
        <f>IFERROR(__xludf.DUMMYFUNCTION("""COMPUTED_VALUE"""),"NÃO")</f>
        <v>NÃO</v>
      </c>
      <c r="H1188" s="5" t="str">
        <f>IFERROR(__xludf.DUMMYFUNCTION("""COMPUTED_VALUE"""),"PAVIMENTADA")</f>
        <v>PAVIMENTADA</v>
      </c>
      <c r="I1188" s="6" t="str">
        <f>IFERROR(__xludf.DUMMYFUNCTION("""COMPUTED_VALUE"""),"-9.670506")</f>
        <v>-9.670506</v>
      </c>
      <c r="J1188" s="6" t="str">
        <f>IFERROR(__xludf.DUMMYFUNCTION("""COMPUTED_VALUE"""),"-35.754106")</f>
        <v>-35.754106</v>
      </c>
      <c r="K1188" s="5" t="str">
        <f>IFERROR(__xludf.DUMMYFUNCTION("""COMPUTED_VALUE"""),"AV. SIQUEIRA CAMPOS, 1506")</f>
        <v>AV. SIQUEIRA CAMPOS, 1506</v>
      </c>
      <c r="L1188" s="5" t="str">
        <f>IFERROR(__xludf.DUMMYFUNCTION("""COMPUTED_VALUE"""),"ARTERIAL ")</f>
        <v>ARTERIAL </v>
      </c>
      <c r="M1188" s="5" t="str">
        <f>IFERROR(__xludf.DUMMYFUNCTION("""COMPUTED_VALUE"""),"PRADO")</f>
        <v>PRADO</v>
      </c>
      <c r="N1188" s="5" t="str">
        <f>IFERROR(__xludf.DUMMYFUNCTION("""COMPUTED_VALUE"""),"CENTRO - BAIRRO")</f>
        <v>CENTRO - BAIRRO</v>
      </c>
      <c r="O1188" s="5" t="str">
        <f>IFERROR(__xludf.DUMMYFUNCTION("""COMPUTED_VALUE"""),"EM FRENTE AO CEMITÉRIO SÃO JOSÉ")</f>
        <v>EM FRENTE AO CEMITÉRIO SÃO JOSÉ</v>
      </c>
      <c r="P1188" s="5" t="str">
        <f>IFERROR(__xludf.DUMMYFUNCTION("""COMPUTED_VALUE"""),"PRIORIDADE BAIXA")</f>
        <v>PRIORIDADE BAIXA</v>
      </c>
      <c r="Q1188" s="5" t="str">
        <f>IFERROR(__xludf.DUMMYFUNCTION("""COMPUTED_VALUE"""),"PINTURA DA BAIA NO ASFALTO; READEQUAÇÃO DA CALÇADA (RAMPA DE ACESSIBILIDADE E PISO TÁTIL).")</f>
        <v>PINTURA DA BAIA NO ASFALTO; READEQUAÇÃO DA CALÇADA (RAMPA DE ACESSIBILIDADE E PISO TÁTIL).</v>
      </c>
      <c r="R1188" s="5" t="str">
        <f>IFERROR(__xludf.DUMMYFUNCTION("""COMPUTED_VALUE"""),"NENHUMA DAS OPÇÕES")</f>
        <v>NENHUMA DAS OPÇÕES</v>
      </c>
      <c r="S1188" s="7">
        <f>IFERROR(__xludf.DUMMYFUNCTION("""COMPUTED_VALUE"""),44569.0)</f>
        <v>44569</v>
      </c>
      <c r="T1188" s="5"/>
      <c r="U1188" s="7">
        <f>IFERROR(__xludf.DUMMYFUNCTION("""COMPUTED_VALUE"""),44569.0)</f>
        <v>44569</v>
      </c>
      <c r="V1188" s="9" t="str">
        <f>IFERROR(__xludf.DUMMYFUNCTION("""COMPUTED_VALUE"""),"https://drive.google.com/uc?id=1z8cpJpVEKK_lK8M_L_fDAFnVyVz3ut_N")</f>
        <v>https://drive.google.com/uc?id=1z8cpJpVEKK_lK8M_L_fDAFnVyVz3ut_N</v>
      </c>
      <c r="W1188" s="5" t="str">
        <f>IFERROR(__xludf.DUMMYFUNCTION("""COMPUTED_VALUE"""),"NÃO")</f>
        <v>NÃO</v>
      </c>
      <c r="X1188" s="5" t="str">
        <f>IFERROR(__xludf.DUMMYFUNCTION("""COMPUTED_VALUE"""),"NÃO SE APLICA")</f>
        <v>NÃO SE APLICA</v>
      </c>
    </row>
    <row r="1189">
      <c r="A1189" s="5">
        <f>IFERROR(__xludf.DUMMYFUNCTION("""COMPUTED_VALUE"""),2.0)</f>
        <v>2</v>
      </c>
      <c r="B1189" s="5" t="str">
        <f>IFERROR(__xludf.DUMMYFUNCTION("""COMPUTED_VALUE"""),"PD009")</f>
        <v>PD009</v>
      </c>
      <c r="C1189" s="5" t="str">
        <f>IFERROR(__xludf.DUMMYFUNCTION("""COMPUTED_VALUE"""),"ABRIGO CONCRETO")</f>
        <v>ABRIGO CONCRETO</v>
      </c>
      <c r="D1189" s="5" t="str">
        <f>IFERROR(__xludf.DUMMYFUNCTION("""COMPUTED_VALUE"""),"SEM PLACA")</f>
        <v>SEM PLACA</v>
      </c>
      <c r="E1189" s="5" t="str">
        <f>IFERROR(__xludf.DUMMYFUNCTION("""COMPUTED_VALUE"""),"SEM BAIA")</f>
        <v>SEM BAIA</v>
      </c>
      <c r="F1189" s="5" t="str">
        <f>IFERROR(__xludf.DUMMYFUNCTION("""COMPUTED_VALUE"""),"NÃO")</f>
        <v>NÃO</v>
      </c>
      <c r="G1189" s="5" t="str">
        <f>IFERROR(__xludf.DUMMYFUNCTION("""COMPUTED_VALUE"""),"NÃO")</f>
        <v>NÃO</v>
      </c>
      <c r="H1189" s="5" t="str">
        <f>IFERROR(__xludf.DUMMYFUNCTION("""COMPUTED_VALUE"""),"PAVIMENTADA COM AVARIAS")</f>
        <v>PAVIMENTADA COM AVARIAS</v>
      </c>
      <c r="I1189" s="6" t="str">
        <f>IFERROR(__xludf.DUMMYFUNCTION("""COMPUTED_VALUE"""),"-9.670840")</f>
        <v>-9.670840</v>
      </c>
      <c r="J1189" s="6" t="str">
        <f>IFERROR(__xludf.DUMMYFUNCTION("""COMPUTED_VALUE""")," -35.754637")</f>
        <v> -35.754637</v>
      </c>
      <c r="K1189" s="5" t="str">
        <f>IFERROR(__xludf.DUMMYFUNCTION("""COMPUTED_VALUE"""),"AV. SIQUEIRA CAMPOS, S/N")</f>
        <v>AV. SIQUEIRA CAMPOS, S/N</v>
      </c>
      <c r="L1189" s="5" t="str">
        <f>IFERROR(__xludf.DUMMYFUNCTION("""COMPUTED_VALUE"""),"ARTERIAL ")</f>
        <v>ARTERIAL </v>
      </c>
      <c r="M1189" s="5" t="str">
        <f>IFERROR(__xludf.DUMMYFUNCTION("""COMPUTED_VALUE"""),"PRADO")</f>
        <v>PRADO</v>
      </c>
      <c r="N1189" s="5" t="str">
        <f>IFERROR(__xludf.DUMMYFUNCTION("""COMPUTED_VALUE"""),"BAIRRO - CENTRO")</f>
        <v>BAIRRO - CENTRO</v>
      </c>
      <c r="O1189" s="5" t="str">
        <f>IFERROR(__xludf.DUMMYFUNCTION("""COMPUTED_VALUE"""),"EM FRENTE AO CENTRO DE FORMAÇÃO DE PRAÇAS DA POLÍCIA MILITAR")</f>
        <v>EM FRENTE AO CENTRO DE FORMAÇÃO DE PRAÇAS DA POLÍCIA MILITAR</v>
      </c>
      <c r="P1189" s="5" t="str">
        <f>IFERROR(__xludf.DUMMYFUNCTION("""COMPUTED_VALUE"""),"PRIORIDADE BAIXA")</f>
        <v>PRIORIDADE BAIXA</v>
      </c>
      <c r="Q1189" s="5" t="str">
        <f>IFERROR(__xludf.DUMMYFUNCTION("""COMPUTED_VALUE"""),"LIMPEZA DA COBERTA DO ABRIGO; REMOVER PINTURA ANTIGA E FAZER UMA NOVA; PINTURA DA BAIA NO ASFALTO; READEQUAÇÃO DA CALÇADA (RAMPA DE ACESSIBILIDADE E PISO TÁTIL).")</f>
        <v>LIMPEZA DA COBERTA DO ABRIGO; REMOVER PINTURA ANTIGA E FAZER UMA NOVA; PINTURA DA BAIA NO ASFALTO; READEQUAÇÃO DA CALÇADA (RAMPA DE ACESSIBILIDADE E PISO TÁTIL).</v>
      </c>
      <c r="R1189" s="5" t="str">
        <f>IFERROR(__xludf.DUMMYFUNCTION("""COMPUTED_VALUE"""),"NENHUMA DAS OPÇÕES")</f>
        <v>NENHUMA DAS OPÇÕES</v>
      </c>
      <c r="S1189" s="7">
        <f>IFERROR(__xludf.DUMMYFUNCTION("""COMPUTED_VALUE"""),44570.0)</f>
        <v>44570</v>
      </c>
      <c r="T1189" s="5"/>
      <c r="U1189" s="7">
        <f>IFERROR(__xludf.DUMMYFUNCTION("""COMPUTED_VALUE"""),44570.0)</f>
        <v>44570</v>
      </c>
      <c r="V1189" s="9" t="str">
        <f>IFERROR(__xludf.DUMMYFUNCTION("""COMPUTED_VALUE"""),"https://drive.google.com/file/d/1jGplyqHF1N0IizSZYZHJ3U11dua9zgN-/view?usp=sharing")</f>
        <v>https://drive.google.com/file/d/1jGplyqHF1N0IizSZYZHJ3U11dua9zgN-/view?usp=sharing</v>
      </c>
      <c r="W1189" s="5" t="str">
        <f>IFERROR(__xludf.DUMMYFUNCTION("""COMPUTED_VALUE"""),"NÃO")</f>
        <v>NÃO</v>
      </c>
      <c r="X1189" s="5" t="str">
        <f>IFERROR(__xludf.DUMMYFUNCTION("""COMPUTED_VALUE"""),"NÃO SE APLICA")</f>
        <v>NÃO SE APLICA</v>
      </c>
    </row>
    <row r="1190" hidden="1">
      <c r="A1190" s="5">
        <f>IFERROR(__xludf.DUMMYFUNCTION("""COMPUTED_VALUE"""),2.0)</f>
        <v>2</v>
      </c>
      <c r="B1190" s="5" t="str">
        <f>IFERROR(__xludf.DUMMYFUNCTION("""COMPUTED_VALUE"""),"PD010")</f>
        <v>PD010</v>
      </c>
      <c r="C1190" s="5" t="str">
        <f>IFERROR(__xludf.DUMMYFUNCTION("""COMPUTED_VALUE"""),"NÃO POSSUI")</f>
        <v>NÃO POSSUI</v>
      </c>
      <c r="D1190" s="5" t="str">
        <f>IFERROR(__xludf.DUMMYFUNCTION("""COMPUTED_VALUE"""),"COM SUPORTE")</f>
        <v>COM SUPORTE</v>
      </c>
      <c r="E1190" s="5" t="str">
        <f>IFERROR(__xludf.DUMMYFUNCTION("""COMPUTED_VALUE"""),"SEM BAIA")</f>
        <v>SEM BAIA</v>
      </c>
      <c r="F1190" s="5" t="str">
        <f>IFERROR(__xludf.DUMMYFUNCTION("""COMPUTED_VALUE"""),"NÃO")</f>
        <v>NÃO</v>
      </c>
      <c r="G1190" s="5" t="str">
        <f>IFERROR(__xludf.DUMMYFUNCTION("""COMPUTED_VALUE"""),"NÃO")</f>
        <v>NÃO</v>
      </c>
      <c r="H1190" s="5" t="str">
        <f>IFERROR(__xludf.DUMMYFUNCTION("""COMPUTED_VALUE"""),"PAVIMENTADA COM AVARIAS")</f>
        <v>PAVIMENTADA COM AVARIAS</v>
      </c>
      <c r="I1190" s="6" t="str">
        <f>IFERROR(__xludf.DUMMYFUNCTION("""COMPUTED_VALUE"""),"-9.66699")</f>
        <v>-9.66699</v>
      </c>
      <c r="J1190" s="6" t="str">
        <f>IFERROR(__xludf.DUMMYFUNCTION("""COMPUTED_VALUE"""),"-35.7475")</f>
        <v>-35.7475</v>
      </c>
      <c r="K1190" s="5" t="str">
        <f>IFERROR(__xludf.DUMMYFUNCTION("""COMPUTED_VALUE"""),"RUA DO CEARÁ, 327")</f>
        <v>RUA DO CEARÁ, 327</v>
      </c>
      <c r="L1190" s="5" t="str">
        <f>IFERROR(__xludf.DUMMYFUNCTION("""COMPUTED_VALUE"""),"LOCAL")</f>
        <v>LOCAL</v>
      </c>
      <c r="M1190" s="5" t="str">
        <f>IFERROR(__xludf.DUMMYFUNCTION("""COMPUTED_VALUE"""),"PRADO")</f>
        <v>PRADO</v>
      </c>
      <c r="N1190" s="5" t="str">
        <f>IFERROR(__xludf.DUMMYFUNCTION("""COMPUTED_VALUE"""),"BAIRRO - CENTRO")</f>
        <v>BAIRRO - CENTRO</v>
      </c>
      <c r="O1190" s="5" t="str">
        <f>IFERROR(__xludf.DUMMYFUNCTION("""COMPUTED_VALUE"""),"NOS FUNDOS DO CEMITÉRIO DA PIEDADE, EM FRENTE A GALERIA GOLD")</f>
        <v>NOS FUNDOS DO CEMITÉRIO DA PIEDADE, EM FRENTE A GALERIA GOLD</v>
      </c>
      <c r="P1190" s="5" t="str">
        <f>IFERROR(__xludf.DUMMYFUNCTION("""COMPUTED_VALUE"""),"PRIORIDADE BAIXA")</f>
        <v>PRIORIDADE BAIXA</v>
      </c>
      <c r="Q1190" s="5" t="str">
        <f>IFERROR(__xludf.DUMMYFUNCTION("""COMPUTED_VALUE"""),"REALOCAÇÃO DA  PLACA COM SUPORTE PARA O LOCAL INDICADO NA FOTO 1; FAZER PINTURA DA BAIA NO ASFALTO; READEQUAÇÃO DA CALÇADA (RAMPA DE ACESSIBILIDADE E PISO TÁTIL).")</f>
        <v>REALOCAÇÃO DA  PLACA COM SUPORTE PARA O LOCAL INDICADO NA FOTO 1; FAZER PINTURA DA BAIA NO ASFALTO; READEQUAÇÃO DA CALÇADA (RAMPA DE ACESSIBILIDADE E PISO TÁTIL).</v>
      </c>
      <c r="R1190" s="5" t="str">
        <f>IFERROR(__xludf.DUMMYFUNCTION("""COMPUTED_VALUE"""),"IMPLANTAR ABRIGO")</f>
        <v>IMPLANTAR ABRIGO</v>
      </c>
      <c r="S1190" s="7">
        <f>IFERROR(__xludf.DUMMYFUNCTION("""COMPUTED_VALUE"""),44571.0)</f>
        <v>44571</v>
      </c>
      <c r="T1190" s="5"/>
      <c r="U1190" s="7">
        <f>IFERROR(__xludf.DUMMYFUNCTION("""COMPUTED_VALUE"""),44571.0)</f>
        <v>44571</v>
      </c>
      <c r="V1190" s="9" t="str">
        <f>IFERROR(__xludf.DUMMYFUNCTION("""COMPUTED_VALUE"""),"https://drive.google.com/uc?id=1gJB-m3lv7C-7Q7yi1hts7oPvZ9GyV35F ")</f>
        <v>https://drive.google.com/uc?id=1gJB-m3lv7C-7Q7yi1hts7oPvZ9GyV35F </v>
      </c>
      <c r="W1190" s="5" t="str">
        <f>IFERROR(__xludf.DUMMYFUNCTION("""COMPUTED_VALUE"""),"NÃO")</f>
        <v>NÃO</v>
      </c>
      <c r="X1190" s="5" t="str">
        <f>IFERROR(__xludf.DUMMYFUNCTION("""COMPUTED_VALUE"""),"NÃO SE APLICA")</f>
        <v>NÃO SE APLICA</v>
      </c>
    </row>
    <row r="1191" hidden="1">
      <c r="A1191" s="5">
        <f>IFERROR(__xludf.DUMMYFUNCTION("""COMPUTED_VALUE"""),2.0)</f>
        <v>2</v>
      </c>
      <c r="B1191" s="5" t="str">
        <f>IFERROR(__xludf.DUMMYFUNCTION("""COMPUTED_VALUE"""),"PD011")</f>
        <v>PD011</v>
      </c>
      <c r="C1191" s="5" t="str">
        <f>IFERROR(__xludf.DUMMYFUNCTION("""COMPUTED_VALUE"""),"NÃO POSSUI")</f>
        <v>NÃO POSSUI</v>
      </c>
      <c r="D1191" s="5" t="str">
        <f>IFERROR(__xludf.DUMMYFUNCTION("""COMPUTED_VALUE"""),"SEM PLACA")</f>
        <v>SEM PLACA</v>
      </c>
      <c r="E1191" s="5" t="str">
        <f>IFERROR(__xludf.DUMMYFUNCTION("""COMPUTED_VALUE"""),"SEM BAIA")</f>
        <v>SEM BAIA</v>
      </c>
      <c r="F1191" s="5" t="str">
        <f>IFERROR(__xludf.DUMMYFUNCTION("""COMPUTED_VALUE"""),"NÃO")</f>
        <v>NÃO</v>
      </c>
      <c r="G1191" s="5" t="str">
        <f>IFERROR(__xludf.DUMMYFUNCTION("""COMPUTED_VALUE"""),"NÃO")</f>
        <v>NÃO</v>
      </c>
      <c r="H1191" s="5" t="str">
        <f>IFERROR(__xludf.DUMMYFUNCTION("""COMPUTED_VALUE"""),"PAVIMENTADA")</f>
        <v>PAVIMENTADA</v>
      </c>
      <c r="I1191" s="6" t="str">
        <f>IFERROR(__xludf.DUMMYFUNCTION("""COMPUTED_VALUE"""),"-9.664964")</f>
        <v>-9.664964</v>
      </c>
      <c r="J1191" s="6" t="str">
        <f>IFERROR(__xludf.DUMMYFUNCTION("""COMPUTED_VALUE""")," -35.744996")</f>
        <v> -35.744996</v>
      </c>
      <c r="K1191" s="5" t="str">
        <f>IFERROR(__xludf.DUMMYFUNCTION("""COMPUTED_VALUE"""),"RUA COM. TEIXEIRA BASTOS, 211")</f>
        <v>RUA COM. TEIXEIRA BASTOS, 211</v>
      </c>
      <c r="L1191" s="5" t="str">
        <f>IFERROR(__xludf.DUMMYFUNCTION("""COMPUTED_VALUE"""),"COLETORA")</f>
        <v>COLETORA</v>
      </c>
      <c r="M1191" s="5" t="str">
        <f>IFERROR(__xludf.DUMMYFUNCTION("""COMPUTED_VALUE"""),"PRADO")</f>
        <v>PRADO</v>
      </c>
      <c r="N1191" s="5" t="str">
        <f>IFERROR(__xludf.DUMMYFUNCTION("""COMPUTED_VALUE"""),"BAIRRO - CENTRO")</f>
        <v>BAIRRO - CENTRO</v>
      </c>
      <c r="O1191" s="5" t="str">
        <f>IFERROR(__xludf.DUMMYFUNCTION("""COMPUTED_VALUE"""),"EM FRENTE A CRECHE ESCOLA CANTINHO FELIZ")</f>
        <v>EM FRENTE A CRECHE ESCOLA CANTINHO FELIZ</v>
      </c>
      <c r="P1191" s="5" t="str">
        <f>IFERROR(__xludf.DUMMYFUNCTION("""COMPUTED_VALUE"""),"PRIORIDADE MÉDIA")</f>
        <v>PRIORIDADE MÉDIA</v>
      </c>
      <c r="Q1191" s="5" t="str">
        <f>IFERROR(__xludf.DUMMYFUNCTION("""COMPUTED_VALUE"""),"IMPLANTAR PLACA COM SUPORTE DE MADEIRA; PINTURA DA BAIA NO ASFALTO.")</f>
        <v>IMPLANTAR PLACA COM SUPORTE DE MADEIRA; PINTURA DA BAIA NO ASFALTO.</v>
      </c>
      <c r="R1191" s="5" t="str">
        <f>IFERROR(__xludf.DUMMYFUNCTION("""COMPUTED_VALUE"""),"NENHUMA DAS OPÇÕES")</f>
        <v>NENHUMA DAS OPÇÕES</v>
      </c>
      <c r="S1191" s="7">
        <f>IFERROR(__xludf.DUMMYFUNCTION("""COMPUTED_VALUE"""),44572.0)</f>
        <v>44572</v>
      </c>
      <c r="T1191" s="5"/>
      <c r="U1191" s="7">
        <f>IFERROR(__xludf.DUMMYFUNCTION("""COMPUTED_VALUE"""),44572.0)</f>
        <v>44572</v>
      </c>
      <c r="V1191" s="9" t="str">
        <f>IFERROR(__xludf.DUMMYFUNCTION("""COMPUTED_VALUE"""),"https://drive.google.com/uc?id=1gJB-m3lv7C-7Q7yi1hts7oPvZ9GyV35F ")</f>
        <v>https://drive.google.com/uc?id=1gJB-m3lv7C-7Q7yi1hts7oPvZ9GyV35F </v>
      </c>
      <c r="W1191" s="5" t="str">
        <f>IFERROR(__xludf.DUMMYFUNCTION("""COMPUTED_VALUE"""),"NÃO")</f>
        <v>NÃO</v>
      </c>
      <c r="X1191" s="5" t="str">
        <f>IFERROR(__xludf.DUMMYFUNCTION("""COMPUTED_VALUE"""),"NÃO SE APLICA")</f>
        <v>NÃO SE APLICA</v>
      </c>
    </row>
    <row r="1192" hidden="1">
      <c r="A1192" s="5">
        <f>IFERROR(__xludf.DUMMYFUNCTION("""COMPUTED_VALUE"""),2.0)</f>
        <v>2</v>
      </c>
      <c r="B1192" s="5" t="str">
        <f>IFERROR(__xludf.DUMMYFUNCTION("""COMPUTED_VALUE"""),"PD012")</f>
        <v>PD012</v>
      </c>
      <c r="C1192" s="5" t="str">
        <f>IFERROR(__xludf.DUMMYFUNCTION("""COMPUTED_VALUE"""),"NÃO POSSUI")</f>
        <v>NÃO POSSUI</v>
      </c>
      <c r="D1192" s="5" t="str">
        <f>IFERROR(__xludf.DUMMYFUNCTION("""COMPUTED_VALUE"""),"SEM PLACA")</f>
        <v>SEM PLACA</v>
      </c>
      <c r="E1192" s="5" t="str">
        <f>IFERROR(__xludf.DUMMYFUNCTION("""COMPUTED_VALUE"""),"SEM BAIA")</f>
        <v>SEM BAIA</v>
      </c>
      <c r="F1192" s="5" t="str">
        <f>IFERROR(__xludf.DUMMYFUNCTION("""COMPUTED_VALUE"""),"NÃO")</f>
        <v>NÃO</v>
      </c>
      <c r="G1192" s="5" t="str">
        <f>IFERROR(__xludf.DUMMYFUNCTION("""COMPUTED_VALUE"""),"NÃO")</f>
        <v>NÃO</v>
      </c>
      <c r="H1192" s="5" t="str">
        <f>IFERROR(__xludf.DUMMYFUNCTION("""COMPUTED_VALUE"""),"PAVIMENTADA")</f>
        <v>PAVIMENTADA</v>
      </c>
      <c r="I1192" s="6" t="str">
        <f>IFERROR(__xludf.DUMMYFUNCTION("""COMPUTED_VALUE"""),"-9.664895")</f>
        <v>-9.664895</v>
      </c>
      <c r="J1192" s="6" t="str">
        <f>IFERROR(__xludf.DUMMYFUNCTION("""COMPUTED_VALUE"""),"-35.747453")</f>
        <v>-35.747453</v>
      </c>
      <c r="K1192" s="5" t="str">
        <f>IFERROR(__xludf.DUMMYFUNCTION("""COMPUTED_VALUE"""),"RUA COM. TEIXEIRA BASTOS, 557")</f>
        <v>RUA COM. TEIXEIRA BASTOS, 557</v>
      </c>
      <c r="L1192" s="5" t="str">
        <f>IFERROR(__xludf.DUMMYFUNCTION("""COMPUTED_VALUE"""),"COLETORA")</f>
        <v>COLETORA</v>
      </c>
      <c r="M1192" s="5" t="str">
        <f>IFERROR(__xludf.DUMMYFUNCTION("""COMPUTED_VALUE"""),"PRADO")</f>
        <v>PRADO</v>
      </c>
      <c r="N1192" s="5" t="str">
        <f>IFERROR(__xludf.DUMMYFUNCTION("""COMPUTED_VALUE"""),"BAIRRO - CENTRO")</f>
        <v>BAIRRO - CENTRO</v>
      </c>
      <c r="O1192" s="5"/>
      <c r="P1192" s="5" t="str">
        <f>IFERROR(__xludf.DUMMYFUNCTION("""COMPUTED_VALUE"""),"PRIORIDADE MÉDIA")</f>
        <v>PRIORIDADE MÉDIA</v>
      </c>
      <c r="Q1192" s="5" t="str">
        <f>IFERROR(__xludf.DUMMYFUNCTION("""COMPUTED_VALUE"""),"IMPLANTAR PLACA COM SUPORTE DE MADEIRA; PINTURA DA BAIA NO ASFALTO; READEQUAÇÃO DA CALÇADA (RAMPA DE ACESSIBILIDADE).")</f>
        <v>IMPLANTAR PLACA COM SUPORTE DE MADEIRA; PINTURA DA BAIA NO ASFALTO; READEQUAÇÃO DA CALÇADA (RAMPA DE ACESSIBILIDADE).</v>
      </c>
      <c r="R1192" s="5" t="str">
        <f>IFERROR(__xludf.DUMMYFUNCTION("""COMPUTED_VALUE"""),"NENHUMA DAS OPÇÕES")</f>
        <v>NENHUMA DAS OPÇÕES</v>
      </c>
      <c r="S1192" s="7">
        <f>IFERROR(__xludf.DUMMYFUNCTION("""COMPUTED_VALUE"""),44573.0)</f>
        <v>44573</v>
      </c>
      <c r="T1192" s="5"/>
      <c r="U1192" s="7">
        <f>IFERROR(__xludf.DUMMYFUNCTION("""COMPUTED_VALUE"""),44573.0)</f>
        <v>44573</v>
      </c>
      <c r="V1192" s="9" t="str">
        <f>IFERROR(__xludf.DUMMYFUNCTION("""COMPUTED_VALUE"""),"https://drive.google.com/uc?id=13kNvvgSC1hNBm1p9iW4-F5pgeBukTRkV")</f>
        <v>https://drive.google.com/uc?id=13kNvvgSC1hNBm1p9iW4-F5pgeBukTRkV</v>
      </c>
      <c r="W1192" s="5" t="str">
        <f>IFERROR(__xludf.DUMMYFUNCTION("""COMPUTED_VALUE"""),"NÃO")</f>
        <v>NÃO</v>
      </c>
      <c r="X1192" s="5" t="str">
        <f>IFERROR(__xludf.DUMMYFUNCTION("""COMPUTED_VALUE"""),"NÃO SE APLICA")</f>
        <v>NÃO SE APLICA</v>
      </c>
    </row>
    <row r="1193" hidden="1">
      <c r="A1193" s="5">
        <f>IFERROR(__xludf.DUMMYFUNCTION("""COMPUTED_VALUE"""),2.0)</f>
        <v>2</v>
      </c>
      <c r="B1193" s="5" t="str">
        <f>IFERROR(__xludf.DUMMYFUNCTION("""COMPUTED_VALUE"""),"PD013")</f>
        <v>PD013</v>
      </c>
      <c r="C1193" s="5" t="str">
        <f>IFERROR(__xludf.DUMMYFUNCTION("""COMPUTED_VALUE"""),"NÃO POSSUI")</f>
        <v>NÃO POSSUI</v>
      </c>
      <c r="D1193" s="5" t="str">
        <f>IFERROR(__xludf.DUMMYFUNCTION("""COMPUTED_VALUE"""),"SEM PLACA")</f>
        <v>SEM PLACA</v>
      </c>
      <c r="E1193" s="5" t="str">
        <f>IFERROR(__xludf.DUMMYFUNCTION("""COMPUTED_VALUE"""),"SEM BAIA")</f>
        <v>SEM BAIA</v>
      </c>
      <c r="F1193" s="5" t="str">
        <f>IFERROR(__xludf.DUMMYFUNCTION("""COMPUTED_VALUE"""),"NÃO")</f>
        <v>NÃO</v>
      </c>
      <c r="G1193" s="5" t="str">
        <f>IFERROR(__xludf.DUMMYFUNCTION("""COMPUTED_VALUE"""),"NÃO")</f>
        <v>NÃO</v>
      </c>
      <c r="H1193" s="5" t="str">
        <f>IFERROR(__xludf.DUMMYFUNCTION("""COMPUTED_VALUE"""),"PAVIMENTADA")</f>
        <v>PAVIMENTADA</v>
      </c>
      <c r="I1193" s="6" t="str">
        <f>IFERROR(__xludf.DUMMYFUNCTION("""COMPUTED_VALUE"""),"-9.664619")</f>
        <v>-9.664619</v>
      </c>
      <c r="J1193" s="6" t="str">
        <f>IFERROR(__xludf.DUMMYFUNCTION("""COMPUTED_VALUE""")," -35.751323")</f>
        <v> -35.751323</v>
      </c>
      <c r="K1193" s="5" t="str">
        <f>IFERROR(__xludf.DUMMYFUNCTION("""COMPUTED_VALUE"""),"RUA DR. VIRGÍLIO GUEDES, 991")</f>
        <v>RUA DR. VIRGÍLIO GUEDES, 991</v>
      </c>
      <c r="L1193" s="5" t="str">
        <f>IFERROR(__xludf.DUMMYFUNCTION("""COMPUTED_VALUE"""),"COLETORA")</f>
        <v>COLETORA</v>
      </c>
      <c r="M1193" s="5" t="str">
        <f>IFERROR(__xludf.DUMMYFUNCTION("""COMPUTED_VALUE"""),"PRADO")</f>
        <v>PRADO</v>
      </c>
      <c r="N1193" s="5" t="str">
        <f>IFERROR(__xludf.DUMMYFUNCTION("""COMPUTED_VALUE"""),"BAIRRO - CENTRO")</f>
        <v>BAIRRO - CENTRO</v>
      </c>
      <c r="O1193" s="5"/>
      <c r="P1193" s="5" t="str">
        <f>IFERROR(__xludf.DUMMYFUNCTION("""COMPUTED_VALUE"""),"PRIORIDADE MÉDIA")</f>
        <v>PRIORIDADE MÉDIA</v>
      </c>
      <c r="Q1193" s="5" t="str">
        <f>IFERROR(__xludf.DUMMYFUNCTION("""COMPUTED_VALUE"""),"IMPLANTAR PLACA COM SUPORTE DE MADEIRA; PINTURA DA BAIA NO ASFALTO; READEQUAÇÃO DA CALÇADA (RAMPA DE ACESSIBILIDADE).")</f>
        <v>IMPLANTAR PLACA COM SUPORTE DE MADEIRA; PINTURA DA BAIA NO ASFALTO; READEQUAÇÃO DA CALÇADA (RAMPA DE ACESSIBILIDADE).</v>
      </c>
      <c r="R1193" s="5" t="str">
        <f>IFERROR(__xludf.DUMMYFUNCTION("""COMPUTED_VALUE"""),"NENHUMA DAS OPÇÕES")</f>
        <v>NENHUMA DAS OPÇÕES</v>
      </c>
      <c r="S1193" s="7">
        <f>IFERROR(__xludf.DUMMYFUNCTION("""COMPUTED_VALUE"""),44574.0)</f>
        <v>44574</v>
      </c>
      <c r="T1193" s="5"/>
      <c r="U1193" s="7">
        <f>IFERROR(__xludf.DUMMYFUNCTION("""COMPUTED_VALUE"""),44574.0)</f>
        <v>44574</v>
      </c>
      <c r="V1193" s="9" t="str">
        <f>IFERROR(__xludf.DUMMYFUNCTION("""COMPUTED_VALUE"""),"https://drive.google.com/uc?id=11qKy3rBkTgzc2aQWilJQbCEC8ilIIGsQ")</f>
        <v>https://drive.google.com/uc?id=11qKy3rBkTgzc2aQWilJQbCEC8ilIIGsQ</v>
      </c>
      <c r="W1193" s="5" t="str">
        <f>IFERROR(__xludf.DUMMYFUNCTION("""COMPUTED_VALUE"""),"NÃO")</f>
        <v>NÃO</v>
      </c>
      <c r="X1193" s="5" t="str">
        <f>IFERROR(__xludf.DUMMYFUNCTION("""COMPUTED_VALUE"""),"NÃO SE APLICA")</f>
        <v>NÃO SE APLICA</v>
      </c>
    </row>
    <row r="1194" hidden="1">
      <c r="A1194" s="5">
        <f>IFERROR(__xludf.DUMMYFUNCTION("""COMPUTED_VALUE"""),2.0)</f>
        <v>2</v>
      </c>
      <c r="B1194" s="5" t="str">
        <f>IFERROR(__xludf.DUMMYFUNCTION("""COMPUTED_VALUE"""),"PD014")</f>
        <v>PD014</v>
      </c>
      <c r="C1194" s="5" t="str">
        <f>IFERROR(__xludf.DUMMYFUNCTION("""COMPUTED_VALUE"""),"NÃO POSSUI")</f>
        <v>NÃO POSSUI</v>
      </c>
      <c r="D1194" s="5" t="str">
        <f>IFERROR(__xludf.DUMMYFUNCTION("""COMPUTED_VALUE"""),"SEM PLACA")</f>
        <v>SEM PLACA</v>
      </c>
      <c r="E1194" s="5" t="str">
        <f>IFERROR(__xludf.DUMMYFUNCTION("""COMPUTED_VALUE"""),"SEM BAIA")</f>
        <v>SEM BAIA</v>
      </c>
      <c r="F1194" s="5" t="str">
        <f>IFERROR(__xludf.DUMMYFUNCTION("""COMPUTED_VALUE"""),"NÃO")</f>
        <v>NÃO</v>
      </c>
      <c r="G1194" s="5" t="str">
        <f>IFERROR(__xludf.DUMMYFUNCTION("""COMPUTED_VALUE"""),"NÃO")</f>
        <v>NÃO</v>
      </c>
      <c r="H1194" s="5" t="str">
        <f>IFERROR(__xludf.DUMMYFUNCTION("""COMPUTED_VALUE"""),"PAVIMENTADA")</f>
        <v>PAVIMENTADA</v>
      </c>
      <c r="I1194" s="6" t="str">
        <f>IFERROR(__xludf.DUMMYFUNCTION("""COMPUTED_VALUE"""),"-9.664458")</f>
        <v>-9.664458</v>
      </c>
      <c r="J1194" s="6" t="str">
        <f>IFERROR(__xludf.DUMMYFUNCTION("""COMPUTED_VALUE""")," -35.753882")</f>
        <v> -35.753882</v>
      </c>
      <c r="K1194" s="5" t="str">
        <f>IFERROR(__xludf.DUMMYFUNCTION("""COMPUTED_VALUE"""),"RUA DR. VIRGÍLIO GUEDES, S/N")</f>
        <v>RUA DR. VIRGÍLIO GUEDES, S/N</v>
      </c>
      <c r="L1194" s="5" t="str">
        <f>IFERROR(__xludf.DUMMYFUNCTION("""COMPUTED_VALUE"""),"COLETORA")</f>
        <v>COLETORA</v>
      </c>
      <c r="M1194" s="5" t="str">
        <f>IFERROR(__xludf.DUMMYFUNCTION("""COMPUTED_VALUE"""),"PRADO")</f>
        <v>PRADO</v>
      </c>
      <c r="N1194" s="5" t="str">
        <f>IFERROR(__xludf.DUMMYFUNCTION("""COMPUTED_VALUE"""),"BAIRRO - CENTRO")</f>
        <v>BAIRRO - CENTRO</v>
      </c>
      <c r="O1194" s="5" t="str">
        <f>IFERROR(__xludf.DUMMYFUNCTION("""COMPUTED_VALUE"""),"AO LADO DA IGREJA DO EVANGELHO QUADRANGULAR")</f>
        <v>AO LADO DA IGREJA DO EVANGELHO QUADRANGULAR</v>
      </c>
      <c r="P1194" s="5" t="str">
        <f>IFERROR(__xludf.DUMMYFUNCTION("""COMPUTED_VALUE"""),"PRIORIDADE MÉDIA")</f>
        <v>PRIORIDADE MÉDIA</v>
      </c>
      <c r="Q1194" s="5" t="str">
        <f>IFERROR(__xludf.DUMMYFUNCTION("""COMPUTED_VALUE"""),"IMPLANTAR PLACA COM SUPORTE DE MADEIRA; PINTURA DA BAIA NO ASFALTO; READEQUAÇÃO DA CALÇADA (RAMPA DE ACESSIBILIDADE).")</f>
        <v>IMPLANTAR PLACA COM SUPORTE DE MADEIRA; PINTURA DA BAIA NO ASFALTO; READEQUAÇÃO DA CALÇADA (RAMPA DE ACESSIBILIDADE).</v>
      </c>
      <c r="R1194" s="5" t="str">
        <f>IFERROR(__xludf.DUMMYFUNCTION("""COMPUTED_VALUE"""),"NENHUMA DAS OPÇÕES")</f>
        <v>NENHUMA DAS OPÇÕES</v>
      </c>
      <c r="S1194" s="7">
        <f>IFERROR(__xludf.DUMMYFUNCTION("""COMPUTED_VALUE"""),44575.0)</f>
        <v>44575</v>
      </c>
      <c r="T1194" s="5"/>
      <c r="U1194" s="7">
        <f>IFERROR(__xludf.DUMMYFUNCTION("""COMPUTED_VALUE"""),44575.0)</f>
        <v>44575</v>
      </c>
      <c r="V1194" s="9" t="str">
        <f>IFERROR(__xludf.DUMMYFUNCTION("""COMPUTED_VALUE"""),"https://drive.google.com/uc?id=1iG2xkQ-Y7ShTCZkMHPIr8idtjl9-Pfb9")</f>
        <v>https://drive.google.com/uc?id=1iG2xkQ-Y7ShTCZkMHPIr8idtjl9-Pfb9</v>
      </c>
      <c r="W1194" s="5" t="str">
        <f>IFERROR(__xludf.DUMMYFUNCTION("""COMPUTED_VALUE"""),"NÃO")</f>
        <v>NÃO</v>
      </c>
      <c r="X1194" s="5" t="str">
        <f>IFERROR(__xludf.DUMMYFUNCTION("""COMPUTED_VALUE"""),"NÃO SE APLICA")</f>
        <v>NÃO SE APLICA</v>
      </c>
    </row>
    <row r="1195" hidden="1">
      <c r="A1195" s="5">
        <f>IFERROR(__xludf.DUMMYFUNCTION("""COMPUTED_VALUE"""),2.0)</f>
        <v>2</v>
      </c>
      <c r="B1195" s="5" t="str">
        <f>IFERROR(__xludf.DUMMYFUNCTION("""COMPUTED_VALUE"""),"PD015")</f>
        <v>PD015</v>
      </c>
      <c r="C1195" s="5" t="str">
        <f>IFERROR(__xludf.DUMMYFUNCTION("""COMPUTED_VALUE"""),"NÃO POSSUI")</f>
        <v>NÃO POSSUI</v>
      </c>
      <c r="D1195" s="5" t="str">
        <f>IFERROR(__xludf.DUMMYFUNCTION("""COMPUTED_VALUE"""),"SEM PLACA")</f>
        <v>SEM PLACA</v>
      </c>
      <c r="E1195" s="5" t="str">
        <f>IFERROR(__xludf.DUMMYFUNCTION("""COMPUTED_VALUE"""),"SEM BAIA")</f>
        <v>SEM BAIA</v>
      </c>
      <c r="F1195" s="5" t="str">
        <f>IFERROR(__xludf.DUMMYFUNCTION("""COMPUTED_VALUE"""),"NÃO")</f>
        <v>NÃO</v>
      </c>
      <c r="G1195" s="5" t="str">
        <f>IFERROR(__xludf.DUMMYFUNCTION("""COMPUTED_VALUE"""),"NÃO")</f>
        <v>NÃO</v>
      </c>
      <c r="H1195" s="5" t="str">
        <f>IFERROR(__xludf.DUMMYFUNCTION("""COMPUTED_VALUE"""),"PAVIMENTADA")</f>
        <v>PAVIMENTADA</v>
      </c>
      <c r="I1195" s="6" t="str">
        <f>IFERROR(__xludf.DUMMYFUNCTION("""COMPUTED_VALUE"""),"-9.664211")</f>
        <v>-9.664211</v>
      </c>
      <c r="J1195" s="6" t="str">
        <f>IFERROR(__xludf.DUMMYFUNCTION("""COMPUTED_VALUE""")," -35.757017")</f>
        <v> -35.757017</v>
      </c>
      <c r="K1195" s="5" t="str">
        <f>IFERROR(__xludf.DUMMYFUNCTION("""COMPUTED_VALUE"""),"RUA DR. VIRGÍLIO GUEDES, 1571B")</f>
        <v>RUA DR. VIRGÍLIO GUEDES, 1571B</v>
      </c>
      <c r="L1195" s="5" t="str">
        <f>IFERROR(__xludf.DUMMYFUNCTION("""COMPUTED_VALUE"""),"COLETORA")</f>
        <v>COLETORA</v>
      </c>
      <c r="M1195" s="5" t="str">
        <f>IFERROR(__xludf.DUMMYFUNCTION("""COMPUTED_VALUE"""),"PRADO")</f>
        <v>PRADO</v>
      </c>
      <c r="N1195" s="5" t="str">
        <f>IFERROR(__xludf.DUMMYFUNCTION("""COMPUTED_VALUE"""),"BAIRRO - CENTRO")</f>
        <v>BAIRRO - CENTRO</v>
      </c>
      <c r="O1195" s="5" t="str">
        <f>IFERROR(__xludf.DUMMYFUNCTION("""COMPUTED_VALUE"""),"PRÓXIMO A ESCOLA MUNICIPAL PROF. ALMEIDA LEITE")</f>
        <v>PRÓXIMO A ESCOLA MUNICIPAL PROF. ALMEIDA LEITE</v>
      </c>
      <c r="P1195" s="5" t="str">
        <f>IFERROR(__xludf.DUMMYFUNCTION("""COMPUTED_VALUE"""),"PRIORIDADE MÉDIA")</f>
        <v>PRIORIDADE MÉDIA</v>
      </c>
      <c r="Q1195" s="5" t="str">
        <f>IFERROR(__xludf.DUMMYFUNCTION("""COMPUTED_VALUE"""),"IMPLANTAR PLACA COM SUPORTE DE MADEIRA; PINTURA DA BAIA NO ASFALTO; READEQUAÇÃO DA CALÇADA (RAMPA DE ACESSIBILIDADE).")</f>
        <v>IMPLANTAR PLACA COM SUPORTE DE MADEIRA; PINTURA DA BAIA NO ASFALTO; READEQUAÇÃO DA CALÇADA (RAMPA DE ACESSIBILIDADE).</v>
      </c>
      <c r="R1195" s="5" t="str">
        <f>IFERROR(__xludf.DUMMYFUNCTION("""COMPUTED_VALUE"""),"NENHUMA DAS OPÇÕES")</f>
        <v>NENHUMA DAS OPÇÕES</v>
      </c>
      <c r="S1195" s="7">
        <f>IFERROR(__xludf.DUMMYFUNCTION("""COMPUTED_VALUE"""),44576.0)</f>
        <v>44576</v>
      </c>
      <c r="T1195" s="5"/>
      <c r="U1195" s="7">
        <f>IFERROR(__xludf.DUMMYFUNCTION("""COMPUTED_VALUE"""),44576.0)</f>
        <v>44576</v>
      </c>
      <c r="V1195" s="9" t="str">
        <f>IFERROR(__xludf.DUMMYFUNCTION("""COMPUTED_VALUE"""),"https://drive.google.com/uc?id=1VrgXwWejjhbY9c-SKZmU4wsMgIZVJdWB")</f>
        <v>https://drive.google.com/uc?id=1VrgXwWejjhbY9c-SKZmU4wsMgIZVJdWB</v>
      </c>
      <c r="W1195" s="5" t="str">
        <f>IFERROR(__xludf.DUMMYFUNCTION("""COMPUTED_VALUE"""),"NÃO")</f>
        <v>NÃO</v>
      </c>
      <c r="X1195" s="5" t="str">
        <f>IFERROR(__xludf.DUMMYFUNCTION("""COMPUTED_VALUE"""),"NÃO SE APLICA")</f>
        <v>NÃO SE APLICA</v>
      </c>
    </row>
    <row r="1196" ht="15.75" hidden="1" customHeight="1">
      <c r="A1196" s="5">
        <f>IFERROR(__xludf.DUMMYFUNCTION("""COMPUTED_VALUE"""),2.0)</f>
        <v>2</v>
      </c>
      <c r="B1196" s="5" t="str">
        <f>IFERROR(__xludf.DUMMYFUNCTION("""COMPUTED_VALUE"""),"PD016")</f>
        <v>PD016</v>
      </c>
      <c r="C1196" s="5" t="str">
        <f>IFERROR(__xludf.DUMMYFUNCTION("""COMPUTED_VALUE"""),"NÃO POSSUI")</f>
        <v>NÃO POSSUI</v>
      </c>
      <c r="D1196" s="5" t="str">
        <f>IFERROR(__xludf.DUMMYFUNCTION("""COMPUTED_VALUE"""),"FIXADA EM POSTE")</f>
        <v>FIXADA EM POSTE</v>
      </c>
      <c r="E1196" s="5" t="str">
        <f>IFERROR(__xludf.DUMMYFUNCTION("""COMPUTED_VALUE"""),"SEM BAIA")</f>
        <v>SEM BAIA</v>
      </c>
      <c r="F1196" s="5" t="str">
        <f>IFERROR(__xludf.DUMMYFUNCTION("""COMPUTED_VALUE"""),"NÃO")</f>
        <v>NÃO</v>
      </c>
      <c r="G1196" s="5" t="str">
        <f>IFERROR(__xludf.DUMMYFUNCTION("""COMPUTED_VALUE"""),"NÃO")</f>
        <v>NÃO</v>
      </c>
      <c r="H1196" s="5" t="str">
        <f>IFERROR(__xludf.DUMMYFUNCTION("""COMPUTED_VALUE"""),"PAVIMENTADA")</f>
        <v>PAVIMENTADA</v>
      </c>
      <c r="I1196" s="6" t="str">
        <f>IFERROR(__xludf.DUMMYFUNCTION("""COMPUTED_VALUE"""),"-9.665789")</f>
        <v>-9.665789</v>
      </c>
      <c r="J1196" s="6" t="str">
        <f>IFERROR(__xludf.DUMMYFUNCTION("""COMPUTED_VALUE""")," -35.750783")</f>
        <v> -35.750783</v>
      </c>
      <c r="K1196" s="5" t="str">
        <f>IFERROR(__xludf.DUMMYFUNCTION("""COMPUTED_VALUE"""),"AV. PROF. LOUREIRO, 802
")</f>
        <v>AV. PROF. LOUREIRO, 802
</v>
      </c>
      <c r="L1196" s="5" t="str">
        <f>IFERROR(__xludf.DUMMYFUNCTION("""COMPUTED_VALUE"""),"ARTERIAL ")</f>
        <v>ARTERIAL </v>
      </c>
      <c r="M1196" s="5" t="str">
        <f>IFERROR(__xludf.DUMMYFUNCTION("""COMPUTED_VALUE"""),"PRADO")</f>
        <v>PRADO</v>
      </c>
      <c r="N1196" s="5" t="str">
        <f>IFERROR(__xludf.DUMMYFUNCTION("""COMPUTED_VALUE"""),"BAIRRO - CENTRO")</f>
        <v>BAIRRO - CENTRO</v>
      </c>
      <c r="O1196" s="5" t="str">
        <f>IFERROR(__xludf.DUMMYFUNCTION("""COMPUTED_VALUE"""),"PRÓXIMO ROCK LANCHES")</f>
        <v>PRÓXIMO ROCK LANCHES</v>
      </c>
      <c r="P1196" s="5" t="str">
        <f>IFERROR(__xludf.DUMMYFUNCTION("""COMPUTED_VALUE"""),"PRIORIDADE BAIXA")</f>
        <v>PRIORIDADE BAIXA</v>
      </c>
      <c r="Q1196" s="5" t="str">
        <f>IFERROR(__xludf.DUMMYFUNCTION("""COMPUTED_VALUE"""),"PINTURA DA BAIA NO ASFALTO; READEQUAÇÃO DA CALÇADA (RAMPA DE ACESSIBILIDADE E PISO TÁTIL); LIMPEZA DA VEGETAÇÃO QUE NASCEU RENTE AO MEIO FIO.")</f>
        <v>PINTURA DA BAIA NO ASFALTO; READEQUAÇÃO DA CALÇADA (RAMPA DE ACESSIBILIDADE E PISO TÁTIL); LIMPEZA DA VEGETAÇÃO QUE NASCEU RENTE AO MEIO FIO.</v>
      </c>
      <c r="R1196" s="5" t="str">
        <f>IFERROR(__xludf.DUMMYFUNCTION("""COMPUTED_VALUE"""),"NENHUMA DAS OPÇÕES")</f>
        <v>NENHUMA DAS OPÇÕES</v>
      </c>
      <c r="S1196" s="7">
        <f>IFERROR(__xludf.DUMMYFUNCTION("""COMPUTED_VALUE"""),44577.0)</f>
        <v>44577</v>
      </c>
      <c r="T1196" s="5"/>
      <c r="U1196" s="7">
        <f>IFERROR(__xludf.DUMMYFUNCTION("""COMPUTED_VALUE"""),44577.0)</f>
        <v>44577</v>
      </c>
      <c r="V1196" s="9" t="str">
        <f>IFERROR(__xludf.DUMMYFUNCTION("""COMPUTED_VALUE"""),"https://drive.google.com/uc?id=1AgvOjwsMFnVJDZlnFF8qOFcHQx8iTGMu")</f>
        <v>https://drive.google.com/uc?id=1AgvOjwsMFnVJDZlnFF8qOFcHQx8iTGMu</v>
      </c>
      <c r="W1196" s="5" t="str">
        <f>IFERROR(__xludf.DUMMYFUNCTION("""COMPUTED_VALUE"""),"NÃO")</f>
        <v>NÃO</v>
      </c>
      <c r="X1196" s="5" t="str">
        <f>IFERROR(__xludf.DUMMYFUNCTION("""COMPUTED_VALUE"""),"NÃO SE APLICA")</f>
        <v>NÃO SE APLICA</v>
      </c>
    </row>
    <row r="1197" hidden="1">
      <c r="A1197" s="5">
        <f>IFERROR(__xludf.DUMMYFUNCTION("""COMPUTED_VALUE"""),2.0)</f>
        <v>2</v>
      </c>
      <c r="B1197" s="5" t="str">
        <f>IFERROR(__xludf.DUMMYFUNCTION("""COMPUTED_VALUE"""),"PD017")</f>
        <v>PD017</v>
      </c>
      <c r="C1197" s="5" t="str">
        <f>IFERROR(__xludf.DUMMYFUNCTION("""COMPUTED_VALUE"""),"NÃO POSSUI")</f>
        <v>NÃO POSSUI</v>
      </c>
      <c r="D1197" s="5" t="str">
        <f>IFERROR(__xludf.DUMMYFUNCTION("""COMPUTED_VALUE"""),"FIXADA EM POSTE")</f>
        <v>FIXADA EM POSTE</v>
      </c>
      <c r="E1197" s="5" t="str">
        <f>IFERROR(__xludf.DUMMYFUNCTION("""COMPUTED_VALUE"""),"SEM BAIA")</f>
        <v>SEM BAIA</v>
      </c>
      <c r="F1197" s="5" t="str">
        <f>IFERROR(__xludf.DUMMYFUNCTION("""COMPUTED_VALUE"""),"NÃO")</f>
        <v>NÃO</v>
      </c>
      <c r="G1197" s="5" t="str">
        <f>IFERROR(__xludf.DUMMYFUNCTION("""COMPUTED_VALUE"""),"NÃO")</f>
        <v>NÃO</v>
      </c>
      <c r="H1197" s="5" t="str">
        <f>IFERROR(__xludf.DUMMYFUNCTION("""COMPUTED_VALUE"""),"PAVIMENTADA")</f>
        <v>PAVIMENTADA</v>
      </c>
      <c r="I1197" s="6" t="str">
        <f>IFERROR(__xludf.DUMMYFUNCTION("""COMPUTED_VALUE"""),"-9.668989")</f>
        <v>-9.668989</v>
      </c>
      <c r="J1197" s="6" t="str">
        <f>IFERROR(__xludf.DUMMYFUNCTION("""COMPUTED_VALUE"""),"-35.749999")</f>
        <v>-35.749999</v>
      </c>
      <c r="K1197" s="5" t="str">
        <f>IFERROR(__xludf.DUMMYFUNCTION("""COMPUTED_VALUE"""),"RUA MANAUS, 592")</f>
        <v>RUA MANAUS, 592</v>
      </c>
      <c r="L1197" s="5" t="str">
        <f>IFERROR(__xludf.DUMMYFUNCTION("""COMPUTED_VALUE"""),"LOCAL")</f>
        <v>LOCAL</v>
      </c>
      <c r="M1197" s="5" t="str">
        <f>IFERROR(__xludf.DUMMYFUNCTION("""COMPUTED_VALUE"""),"PRADO")</f>
        <v>PRADO</v>
      </c>
      <c r="N1197" s="5" t="str">
        <f>IFERROR(__xludf.DUMMYFUNCTION("""COMPUTED_VALUE"""),"BAIRRO - CENTRO")</f>
        <v>BAIRRO - CENTRO</v>
      </c>
      <c r="O1197" s="5"/>
      <c r="P1197" s="5" t="str">
        <f>IFERROR(__xludf.DUMMYFUNCTION("""COMPUTED_VALUE"""),"PRIORIDADE BAIXA")</f>
        <v>PRIORIDADE BAIXA</v>
      </c>
      <c r="Q1197" s="5" t="str">
        <f>IFERROR(__xludf.DUMMYFUNCTION("""COMPUTED_VALUE"""),"REALOCAR PLACA FIXADA EM POSTE PARA O LOCAL DA IMAGEM 2, E FIXÁ-LA EM SUPORTE DE MADEIRA; PINTURA DA BAIA NO ASFALTO, READEQUAÇÃO DA CALÇADA (RAMPA DE ACESSIBILIADE).")</f>
        <v>REALOCAR PLACA FIXADA EM POSTE PARA O LOCAL DA IMAGEM 2, E FIXÁ-LA EM SUPORTE DE MADEIRA; PINTURA DA BAIA NO ASFALTO, READEQUAÇÃO DA CALÇADA (RAMPA DE ACESSIBILIADE).</v>
      </c>
      <c r="R1197" s="5" t="str">
        <f>IFERROR(__xludf.DUMMYFUNCTION("""COMPUTED_VALUE"""),"NENHUMA DAS OPÇÕES")</f>
        <v>NENHUMA DAS OPÇÕES</v>
      </c>
      <c r="S1197" s="7">
        <f>IFERROR(__xludf.DUMMYFUNCTION("""COMPUTED_VALUE"""),44578.0)</f>
        <v>44578</v>
      </c>
      <c r="T1197" s="5"/>
      <c r="U1197" s="7">
        <f>IFERROR(__xludf.DUMMYFUNCTION("""COMPUTED_VALUE"""),44578.0)</f>
        <v>44578</v>
      </c>
      <c r="V1197" s="9" t="str">
        <f>IFERROR(__xludf.DUMMYFUNCTION("""COMPUTED_VALUE"""),"https://drive.google.com/uc?id=1MCZsw77BOoQfcPhcPQjeug0aA0TfCY02")</f>
        <v>https://drive.google.com/uc?id=1MCZsw77BOoQfcPhcPQjeug0aA0TfCY02</v>
      </c>
      <c r="W1197" s="5" t="str">
        <f>IFERROR(__xludf.DUMMYFUNCTION("""COMPUTED_VALUE"""),"NÃO")</f>
        <v>NÃO</v>
      </c>
      <c r="X1197" s="5" t="str">
        <f>IFERROR(__xludf.DUMMYFUNCTION("""COMPUTED_VALUE"""),"NÃO SE APLICA")</f>
        <v>NÃO SE APLICA</v>
      </c>
    </row>
    <row r="1198" hidden="1">
      <c r="A1198" s="5">
        <f>IFERROR(__xludf.DUMMYFUNCTION("""COMPUTED_VALUE"""),2.0)</f>
        <v>2</v>
      </c>
      <c r="B1198" s="5" t="str">
        <f>IFERROR(__xludf.DUMMYFUNCTION("""COMPUTED_VALUE"""),"PD018")</f>
        <v>PD018</v>
      </c>
      <c r="C1198" s="5" t="str">
        <f>IFERROR(__xludf.DUMMYFUNCTION("""COMPUTED_VALUE"""),"NÃO POSSUI")</f>
        <v>NÃO POSSUI</v>
      </c>
      <c r="D1198" s="5" t="str">
        <f>IFERROR(__xludf.DUMMYFUNCTION("""COMPUTED_VALUE"""),"COM SUPORTE")</f>
        <v>COM SUPORTE</v>
      </c>
      <c r="E1198" s="5" t="str">
        <f>IFERROR(__xludf.DUMMYFUNCTION("""COMPUTED_VALUE"""),"SEM BAIA")</f>
        <v>SEM BAIA</v>
      </c>
      <c r="F1198" s="5" t="str">
        <f>IFERROR(__xludf.DUMMYFUNCTION("""COMPUTED_VALUE"""),"NÃO")</f>
        <v>NÃO</v>
      </c>
      <c r="G1198" s="5" t="str">
        <f>IFERROR(__xludf.DUMMYFUNCTION("""COMPUTED_VALUE"""),"NÃO")</f>
        <v>NÃO</v>
      </c>
      <c r="H1198" s="5" t="str">
        <f>IFERROR(__xludf.DUMMYFUNCTION("""COMPUTED_VALUE"""),"NÃO PAVIMENTADA")</f>
        <v>NÃO PAVIMENTADA</v>
      </c>
      <c r="I1198" s="6" t="str">
        <f>IFERROR(__xludf.DUMMYFUNCTION("""COMPUTED_VALUE"""),"-9.675187")</f>
        <v>-9.675187</v>
      </c>
      <c r="J1198" s="6" t="str">
        <f>IFERROR(__xludf.DUMMYFUNCTION("""COMPUTED_VALUE"""),"-35.753777")</f>
        <v>-35.753777</v>
      </c>
      <c r="K1198" s="5" t="str">
        <f>IFERROR(__xludf.DUMMYFUNCTION("""COMPUTED_VALUE"""),"AV. ROBERTO PONTE LIMA")</f>
        <v>AV. ROBERTO PONTE LIMA</v>
      </c>
      <c r="L1198" s="5" t="str">
        <f>IFERROR(__xludf.DUMMYFUNCTION("""COMPUTED_VALUE"""),"COLETORA")</f>
        <v>COLETORA</v>
      </c>
      <c r="M1198" s="5" t="str">
        <f>IFERROR(__xludf.DUMMYFUNCTION("""COMPUTED_VALUE"""),"PRADO")</f>
        <v>PRADO</v>
      </c>
      <c r="N1198" s="5" t="str">
        <f>IFERROR(__xludf.DUMMYFUNCTION("""COMPUTED_VALUE"""),"BAIRRO - CENTRO")</f>
        <v>BAIRRO - CENTRO</v>
      </c>
      <c r="O1198" s="5" t="str">
        <f>IFERROR(__xludf.DUMMYFUNCTION("""COMPUTED_VALUE"""),"Lado oposto ao residencial Via Costeira")</f>
        <v>Lado oposto ao residencial Via Costeira</v>
      </c>
      <c r="P1198" s="5" t="str">
        <f>IFERROR(__xludf.DUMMYFUNCTION("""COMPUTED_VALUE"""),"PRIORIDADE ALTA")</f>
        <v>PRIORIDADE ALTA</v>
      </c>
      <c r="Q1198" s="5" t="str">
        <f>IFERROR(__xludf.DUMMYFUNCTION("""COMPUTED_VALUE"""),"IMPLANTAÇÃO DE PLACA REALIZADA")</f>
        <v>IMPLANTAÇÃO DE PLACA REALIZADA</v>
      </c>
      <c r="R1198" s="5" t="str">
        <f>IFERROR(__xludf.DUMMYFUNCTION("""COMPUTED_VALUE"""),"NENHUMA DAS OPÇÕES")</f>
        <v>NENHUMA DAS OPÇÕES</v>
      </c>
      <c r="S1198" s="7">
        <f>IFERROR(__xludf.DUMMYFUNCTION("""COMPUTED_VALUE"""),44579.0)</f>
        <v>44579</v>
      </c>
      <c r="T1198" s="5"/>
      <c r="U1198" s="7">
        <f>IFERROR(__xludf.DUMMYFUNCTION("""COMPUTED_VALUE"""),44579.0)</f>
        <v>44579</v>
      </c>
      <c r="V1198" s="9" t="str">
        <f>IFERROR(__xludf.DUMMYFUNCTION("""COMPUTED_VALUE"""),"https://drive.google.com/uc?id=1g53DRKe3pTcENXUQML_Kc7ZyfHYv_d1v")</f>
        <v>https://drive.google.com/uc?id=1g53DRKe3pTcENXUQML_Kc7ZyfHYv_d1v</v>
      </c>
      <c r="W1198" s="5" t="str">
        <f>IFERROR(__xludf.DUMMYFUNCTION("""COMPUTED_VALUE"""),"NÃO")</f>
        <v>NÃO</v>
      </c>
      <c r="X1198" s="5" t="str">
        <f>IFERROR(__xludf.DUMMYFUNCTION("""COMPUTED_VALUE"""),"NÃO SE APLICA")</f>
        <v>NÃO SE APLICA</v>
      </c>
    </row>
    <row r="1199" hidden="1">
      <c r="A1199" s="5">
        <f>IFERROR(__xludf.DUMMYFUNCTION("""COMPUTED_VALUE"""),2.0)</f>
        <v>2</v>
      </c>
      <c r="B1199" s="5" t="str">
        <f>IFERROR(__xludf.DUMMYFUNCTION("""COMPUTED_VALUE"""),"PD019")</f>
        <v>PD019</v>
      </c>
      <c r="C1199" s="5" t="str">
        <f>IFERROR(__xludf.DUMMYFUNCTION("""COMPUTED_VALUE"""),"NÃO POSSUI")</f>
        <v>NÃO POSSUI</v>
      </c>
      <c r="D1199" s="5" t="str">
        <f>IFERROR(__xludf.DUMMYFUNCTION("""COMPUTED_VALUE"""),"FIXADA EM POSTE")</f>
        <v>FIXADA EM POSTE</v>
      </c>
      <c r="E1199" s="5" t="str">
        <f>IFERROR(__xludf.DUMMYFUNCTION("""COMPUTED_VALUE"""),"SEM BAIA")</f>
        <v>SEM BAIA</v>
      </c>
      <c r="F1199" s="5" t="str">
        <f>IFERROR(__xludf.DUMMYFUNCTION("""COMPUTED_VALUE"""),"NÃO")</f>
        <v>NÃO</v>
      </c>
      <c r="G1199" s="5" t="str">
        <f>IFERROR(__xludf.DUMMYFUNCTION("""COMPUTED_VALUE"""),"NÃO")</f>
        <v>NÃO</v>
      </c>
      <c r="H1199" s="5" t="str">
        <f>IFERROR(__xludf.DUMMYFUNCTION("""COMPUTED_VALUE"""),"PAVIMENTADA")</f>
        <v>PAVIMENTADA</v>
      </c>
      <c r="I1199" s="6" t="str">
        <f>IFERROR(__xludf.DUMMYFUNCTION("""COMPUTED_VALUE"""),"-9.675196")</f>
        <v>-9.675196</v>
      </c>
      <c r="J1199" s="6" t="str">
        <f>IFERROR(__xludf.DUMMYFUNCTION("""COMPUTED_VALUE"""),"-35.753847")</f>
        <v>-35.753847</v>
      </c>
      <c r="K1199" s="5" t="str">
        <f>IFERROR(__xludf.DUMMYFUNCTION("""COMPUTED_VALUE"""),"AV. ROBERTO PONTE LIMA")</f>
        <v>AV. ROBERTO PONTE LIMA</v>
      </c>
      <c r="L1199" s="5" t="str">
        <f>IFERROR(__xludf.DUMMYFUNCTION("""COMPUTED_VALUE"""),"COLETORA")</f>
        <v>COLETORA</v>
      </c>
      <c r="M1199" s="5" t="str">
        <f>IFERROR(__xludf.DUMMYFUNCTION("""COMPUTED_VALUE"""),"PRADO")</f>
        <v>PRADO</v>
      </c>
      <c r="N1199" s="5" t="str">
        <f>IFERROR(__xludf.DUMMYFUNCTION("""COMPUTED_VALUE"""),"CENTRO - BAIRRO")</f>
        <v>CENTRO - BAIRRO</v>
      </c>
      <c r="O1199" s="5" t="str">
        <f>IFERROR(__xludf.DUMMYFUNCTION("""COMPUTED_VALUE"""),"Em frente ao residencial Via Costeira")</f>
        <v>Em frente ao residencial Via Costeira</v>
      </c>
      <c r="P1199" s="5" t="str">
        <f>IFERROR(__xludf.DUMMYFUNCTION("""COMPUTED_VALUE"""),"PRIORIDADE ALTA")</f>
        <v>PRIORIDADE ALTA</v>
      </c>
      <c r="Q1199" s="5" t="str">
        <f>IFERROR(__xludf.DUMMYFUNCTION("""COMPUTED_VALUE"""),"IMPLANTAÇÃO DE PLACA REALIZADA")</f>
        <v>IMPLANTAÇÃO DE PLACA REALIZADA</v>
      </c>
      <c r="R1199" s="5" t="str">
        <f>IFERROR(__xludf.DUMMYFUNCTION("""COMPUTED_VALUE"""),"NENHUMA DAS OPÇÕES")</f>
        <v>NENHUMA DAS OPÇÕES</v>
      </c>
      <c r="S1199" s="7">
        <f>IFERROR(__xludf.DUMMYFUNCTION("""COMPUTED_VALUE"""),44580.0)</f>
        <v>44580</v>
      </c>
      <c r="T1199" s="5"/>
      <c r="U1199" s="7">
        <f>IFERROR(__xludf.DUMMYFUNCTION("""COMPUTED_VALUE"""),44580.0)</f>
        <v>44580</v>
      </c>
      <c r="V1199" s="9" t="str">
        <f>IFERROR(__xludf.DUMMYFUNCTION("""COMPUTED_VALUE"""),"https://drive.google.com/uc?id=1HYlkugHT25QsLYfBb4HEMPAIN7V4Lddh")</f>
        <v>https://drive.google.com/uc?id=1HYlkugHT25QsLYfBb4HEMPAIN7V4Lddh</v>
      </c>
      <c r="W1199" s="5" t="str">
        <f>IFERROR(__xludf.DUMMYFUNCTION("""COMPUTED_VALUE"""),"NÃO")</f>
        <v>NÃO</v>
      </c>
      <c r="X1199" s="5" t="str">
        <f>IFERROR(__xludf.DUMMYFUNCTION("""COMPUTED_VALUE"""),"NÃO SE APLICA")</f>
        <v>NÃO SE APLICA</v>
      </c>
    </row>
    <row r="1200" hidden="1">
      <c r="A1200" s="5">
        <f>IFERROR(__xludf.DUMMYFUNCTION("IMPORTRANGE(""https://docs.google.com/spreadsheets/d/1KuoP8JmuiBMv_nZH41Qskz4TwgYIvev8RVYXLU3j10c/edit#gid=972253967"", ""TRAPICHE DA BARRA!A3:X34"")"),2.0)</f>
        <v>2</v>
      </c>
      <c r="B1200" s="5" t="str">
        <f>IFERROR(__xludf.DUMMYFUNCTION("""COMPUTED_VALUE"""),"TR003")</f>
        <v>TR003</v>
      </c>
      <c r="C1200" s="5" t="str">
        <f>IFERROR(__xludf.DUMMYFUNCTION("""COMPUTED_VALUE"""),"NÃO POSSUI")</f>
        <v>NÃO POSSUI</v>
      </c>
      <c r="D1200" s="5" t="str">
        <f>IFERROR(__xludf.DUMMYFUNCTION("""COMPUTED_VALUE"""),"COM SUPORTE")</f>
        <v>COM SUPORTE</v>
      </c>
      <c r="E1200" s="5" t="str">
        <f>IFERROR(__xludf.DUMMYFUNCTION("""COMPUTED_VALUE"""),"SEM BAIA")</f>
        <v>SEM BAIA</v>
      </c>
      <c r="F1200" s="5" t="str">
        <f>IFERROR(__xludf.DUMMYFUNCTION("""COMPUTED_VALUE"""),"NÃO")</f>
        <v>NÃO</v>
      </c>
      <c r="G1200" s="5" t="str">
        <f>IFERROR(__xludf.DUMMYFUNCTION("""COMPUTED_VALUE"""),"NÃO")</f>
        <v>NÃO</v>
      </c>
      <c r="H1200" s="5" t="str">
        <f>IFERROR(__xludf.DUMMYFUNCTION("""COMPUTED_VALUE"""),"PAVIMENTADA")</f>
        <v>PAVIMENTADA</v>
      </c>
      <c r="I1200" s="6" t="str">
        <f>IFERROR(__xludf.DUMMYFUNCTION("""COMPUTED_VALUE"""),"-9.673533")</f>
        <v>-9.673533</v>
      </c>
      <c r="J1200" s="6" t="str">
        <f>IFERROR(__xludf.DUMMYFUNCTION("""COMPUTED_VALUE"""),"-35.762777")</f>
        <v>-35.762777</v>
      </c>
      <c r="K1200" s="5" t="str">
        <f>IFERROR(__xludf.DUMMYFUNCTION("""COMPUTED_VALUE"""),"AV. SENADOR RUI PALMEIRA, 2527C")</f>
        <v>AV. SENADOR RUI PALMEIRA, 2527C</v>
      </c>
      <c r="L1200" s="5" t="str">
        <f>IFERROR(__xludf.DUMMYFUNCTION("""COMPUTED_VALUE"""),"ARTERIAL ")</f>
        <v>ARTERIAL </v>
      </c>
      <c r="M1200" s="5" t="str">
        <f>IFERROR(__xludf.DUMMYFUNCTION("""COMPUTED_VALUE"""),"TRAPICHE DA BARRA")</f>
        <v>TRAPICHE DA BARRA</v>
      </c>
      <c r="N1200" s="5" t="str">
        <f>IFERROR(__xludf.DUMMYFUNCTION("""COMPUTED_VALUE"""),"BAIRRO - CENTRO")</f>
        <v>BAIRRO - CENTRO</v>
      </c>
      <c r="O1200" s="5" t="str">
        <f>IFERROR(__xludf.DUMMYFUNCTION("""COMPUTED_VALUE"""),"EM FRENTE AO GALETO D’LINS")</f>
        <v>EM FRENTE AO GALETO D’LINS</v>
      </c>
      <c r="P1200" s="5" t="str">
        <f>IFERROR(__xludf.DUMMYFUNCTION("""COMPUTED_VALUE"""),"PRIORIDADE MÉDIA")</f>
        <v>PRIORIDADE MÉDIA</v>
      </c>
      <c r="Q1200" s="5" t="str">
        <f>IFERROR(__xludf.DUMMYFUNCTION("""COMPUTED_VALUE"""),"IMPLANTAR PLACA COM SUPORTE DE MADEIRA; PINTURA DA BAIA NO ASFALTO; ADEQUAÇÃO DA CALÇADA (RAMPA DE ACESSIBILIDADE E PISO TÁTIL).")</f>
        <v>IMPLANTAR PLACA COM SUPORTE DE MADEIRA; PINTURA DA BAIA NO ASFALTO; ADEQUAÇÃO DA CALÇADA (RAMPA DE ACESSIBILIDADE E PISO TÁTIL).</v>
      </c>
      <c r="R1200" s="5" t="str">
        <f>IFERROR(__xludf.DUMMYFUNCTION("""COMPUTED_VALUE"""),"NENHUMA DAS OPÇÕES")</f>
        <v>NENHUMA DAS OPÇÕES</v>
      </c>
      <c r="S1200" s="7">
        <f>IFERROR(__xludf.DUMMYFUNCTION("""COMPUTED_VALUE"""),45097.0)</f>
        <v>45097</v>
      </c>
      <c r="T1200" s="5" t="str">
        <f>IFERROR(__xludf.DUMMYFUNCTION("""COMPUTED_VALUE"""),"REALIZADO")</f>
        <v>REALIZADO</v>
      </c>
      <c r="U1200" s="7">
        <f>IFERROR(__xludf.DUMMYFUNCTION("""COMPUTED_VALUE"""),45158.0)</f>
        <v>45158</v>
      </c>
      <c r="V1200" s="9" t="str">
        <f>IFERROR(__xludf.DUMMYFUNCTION("""COMPUTED_VALUE"""),"https://drive.google.com/uc?id=1kVx3mUEDGO_O7AxLRT1xMzQAd2IeIIMQ
")</f>
        <v>https://drive.google.com/uc?id=1kVx3mUEDGO_O7AxLRT1xMzQAd2IeIIMQ
</v>
      </c>
      <c r="W1200" s="5" t="str">
        <f>IFERROR(__xludf.DUMMYFUNCTION("""COMPUTED_VALUE"""),"NÃO")</f>
        <v>NÃO</v>
      </c>
      <c r="X1200" s="5" t="str">
        <f>IFERROR(__xludf.DUMMYFUNCTION("""COMPUTED_VALUE"""),"NÃO SE APLICA")</f>
        <v>NÃO SE APLICA</v>
      </c>
    </row>
    <row r="1201" hidden="1">
      <c r="A1201" s="5">
        <f>IFERROR(__xludf.DUMMYFUNCTION("""COMPUTED_VALUE"""),2.0)</f>
        <v>2</v>
      </c>
      <c r="B1201" s="5" t="str">
        <f>IFERROR(__xludf.DUMMYFUNCTION("""COMPUTED_VALUE"""),"TR004")</f>
        <v>TR004</v>
      </c>
      <c r="C1201" s="5" t="str">
        <f>IFERROR(__xludf.DUMMYFUNCTION("""COMPUTED_VALUE"""),"NÃO POSSUI")</f>
        <v>NÃO POSSUI</v>
      </c>
      <c r="D1201" s="5" t="str">
        <f>IFERROR(__xludf.DUMMYFUNCTION("""COMPUTED_VALUE"""),"SEM PLACA")</f>
        <v>SEM PLACA</v>
      </c>
      <c r="E1201" s="5" t="str">
        <f>IFERROR(__xludf.DUMMYFUNCTION("""COMPUTED_VALUE"""),"SEM BAIA")</f>
        <v>SEM BAIA</v>
      </c>
      <c r="F1201" s="5" t="str">
        <f>IFERROR(__xludf.DUMMYFUNCTION("""COMPUTED_VALUE"""),"NÃO")</f>
        <v>NÃO</v>
      </c>
      <c r="G1201" s="5" t="str">
        <f>IFERROR(__xludf.DUMMYFUNCTION("""COMPUTED_VALUE"""),"NÃO")</f>
        <v>NÃO</v>
      </c>
      <c r="H1201" s="5" t="str">
        <f>IFERROR(__xludf.DUMMYFUNCTION("""COMPUTED_VALUE"""),"PAVIMENTADA COM AVARIAS")</f>
        <v>PAVIMENTADA COM AVARIAS</v>
      </c>
      <c r="I1201" s="6" t="str">
        <f>IFERROR(__xludf.DUMMYFUNCTION("""COMPUTED_VALUE"""),"-9.673220")</f>
        <v>-9.673220</v>
      </c>
      <c r="J1201" s="6" t="str">
        <f>IFERROR(__xludf.DUMMYFUNCTION("""COMPUTED_VALUE"""),"-35.762898")</f>
        <v>-35.762898</v>
      </c>
      <c r="K1201" s="5" t="str">
        <f>IFERROR(__xludf.DUMMYFUNCTION("""COMPUTED_VALUE"""),"AV. SIQUEIRA CAMPOS, 2538A")</f>
        <v>AV. SIQUEIRA CAMPOS, 2538A</v>
      </c>
      <c r="L1201" s="5" t="str">
        <f>IFERROR(__xludf.DUMMYFUNCTION("""COMPUTED_VALUE"""),"ARTERIAL ")</f>
        <v>ARTERIAL </v>
      </c>
      <c r="M1201" s="5" t="str">
        <f>IFERROR(__xludf.DUMMYFUNCTION("""COMPUTED_VALUE"""),"TRAPICHE DA BARRA")</f>
        <v>TRAPICHE DA BARRA</v>
      </c>
      <c r="N1201" s="5" t="str">
        <f>IFERROR(__xludf.DUMMYFUNCTION("""COMPUTED_VALUE"""),"CENTRO - BAIRRO")</f>
        <v>CENTRO - BAIRRO</v>
      </c>
      <c r="O1201" s="5"/>
      <c r="P1201" s="5" t="str">
        <f>IFERROR(__xludf.DUMMYFUNCTION("""COMPUTED_VALUE"""),"PRIORIDADE MÉDIA")</f>
        <v>PRIORIDADE MÉDIA</v>
      </c>
      <c r="Q1201" s="5" t="str">
        <f>IFERROR(__xludf.DUMMYFUNCTION("""COMPUTED_VALUE"""),"IMPLANTAR PLACA FIXADA EM POSTE; PINTURA DA BAIA NO ASFALTO; ADEQUAÇÃO DA CALÇADA (RAMPA DE ACESSIBILIDADE E PISO TÁTIL).")</f>
        <v>IMPLANTAR PLACA FIXADA EM POSTE; PINTURA DA BAIA NO ASFALTO; ADEQUAÇÃO DA CALÇADA (RAMPA DE ACESSIBILIDADE E PISO TÁTIL).</v>
      </c>
      <c r="R1201" s="5" t="str">
        <f>IFERROR(__xludf.DUMMYFUNCTION("""COMPUTED_VALUE"""),"NENHUMA DAS OPÇÕES")</f>
        <v>NENHUMA DAS OPÇÕES</v>
      </c>
      <c r="S1201" s="7">
        <f>IFERROR(__xludf.DUMMYFUNCTION("""COMPUTED_VALUE"""),44565.0)</f>
        <v>44565</v>
      </c>
      <c r="T1201" s="5"/>
      <c r="U1201" s="7">
        <f>IFERROR(__xludf.DUMMYFUNCTION("""COMPUTED_VALUE"""),44565.0)</f>
        <v>44565</v>
      </c>
      <c r="V1201" s="9" t="str">
        <f>IFERROR(__xludf.DUMMYFUNCTION("""COMPUTED_VALUE"""),"https://drive.google.com/uc?id=1NJBlYLaCVvZfIxOy3FaOjTIjyHbAZTUU")</f>
        <v>https://drive.google.com/uc?id=1NJBlYLaCVvZfIxOy3FaOjTIjyHbAZTUU</v>
      </c>
      <c r="W1201" s="5" t="str">
        <f>IFERROR(__xludf.DUMMYFUNCTION("""COMPUTED_VALUE"""),"NÃO")</f>
        <v>NÃO</v>
      </c>
      <c r="X1201" s="5" t="str">
        <f>IFERROR(__xludf.DUMMYFUNCTION("""COMPUTED_VALUE"""),"NÃO SE APLICA")</f>
        <v>NÃO SE APLICA</v>
      </c>
    </row>
    <row r="1202" hidden="1">
      <c r="A1202" s="5">
        <f>IFERROR(__xludf.DUMMYFUNCTION("""COMPUTED_VALUE"""),2.0)</f>
        <v>2</v>
      </c>
      <c r="B1202" s="5" t="str">
        <f>IFERROR(__xludf.DUMMYFUNCTION("""COMPUTED_VALUE"""),"TR005")</f>
        <v>TR005</v>
      </c>
      <c r="C1202" s="5" t="str">
        <f>IFERROR(__xludf.DUMMYFUNCTION("""COMPUTED_VALUE"""),"NÃO POSSUI")</f>
        <v>NÃO POSSUI</v>
      </c>
      <c r="D1202" s="5" t="str">
        <f>IFERROR(__xludf.DUMMYFUNCTION("""COMPUTED_VALUE"""),"SEM PLACA")</f>
        <v>SEM PLACA</v>
      </c>
      <c r="E1202" s="5" t="str">
        <f>IFERROR(__xludf.DUMMYFUNCTION("""COMPUTED_VALUE"""),"SEM BAIA")</f>
        <v>SEM BAIA</v>
      </c>
      <c r="F1202" s="5" t="str">
        <f>IFERROR(__xludf.DUMMYFUNCTION("""COMPUTED_VALUE"""),"NÃO")</f>
        <v>NÃO</v>
      </c>
      <c r="G1202" s="5" t="str">
        <f>IFERROR(__xludf.DUMMYFUNCTION("""COMPUTED_VALUE"""),"NÃO")</f>
        <v>NÃO</v>
      </c>
      <c r="H1202" s="5" t="str">
        <f>IFERROR(__xludf.DUMMYFUNCTION("""COMPUTED_VALUE"""),"PAVIMENTADA")</f>
        <v>PAVIMENTADA</v>
      </c>
      <c r="I1202" s="6" t="str">
        <f>IFERROR(__xludf.DUMMYFUNCTION("""COMPUTED_VALUE"""),"-9.672702")</f>
        <v>-9.672702</v>
      </c>
      <c r="J1202" s="6" t="str">
        <f>IFERROR(__xludf.DUMMYFUNCTION("""COMPUTED_VALUE"""),"-35.761556")</f>
        <v>-35.761556</v>
      </c>
      <c r="K1202" s="5" t="str">
        <f>IFERROR(__xludf.DUMMYFUNCTION("""COMPUTED_VALUE"""),"AV. SIQUEIRA CAMPOS, 2360A")</f>
        <v>AV. SIQUEIRA CAMPOS, 2360A</v>
      </c>
      <c r="L1202" s="5" t="str">
        <f>IFERROR(__xludf.DUMMYFUNCTION("""COMPUTED_VALUE"""),"ARTERIAL ")</f>
        <v>ARTERIAL </v>
      </c>
      <c r="M1202" s="5" t="str">
        <f>IFERROR(__xludf.DUMMYFUNCTION("""COMPUTED_VALUE"""),"TRAPICHE DA BARRA")</f>
        <v>TRAPICHE DA BARRA</v>
      </c>
      <c r="N1202" s="5" t="str">
        <f>IFERROR(__xludf.DUMMYFUNCTION("""COMPUTED_VALUE"""),"CENTRO - BAIRRO")</f>
        <v>CENTRO - BAIRRO</v>
      </c>
      <c r="O1202" s="5" t="str">
        <f>IFERROR(__xludf.DUMMYFUNCTION("""COMPUTED_VALUE"""),"EM FRENTE A ASSEMBLÉIA DE DEUS")</f>
        <v>EM FRENTE A ASSEMBLÉIA DE DEUS</v>
      </c>
      <c r="P1202" s="5" t="str">
        <f>IFERROR(__xludf.DUMMYFUNCTION("""COMPUTED_VALUE"""),"PRIORIDADE MÉDIA")</f>
        <v>PRIORIDADE MÉDIA</v>
      </c>
      <c r="Q1202" s="5" t="str">
        <f>IFERROR(__xludf.DUMMYFUNCTION("""COMPUTED_VALUE"""),"IMPLANTAR PLACA COM SUPORTE DE MADEIRA; PINTURA DA BAIA NO ASFALTO; ADEQUAÇÃO DA CALÇADA (RAMPA DE ACESSIBILIDADE E PISO TÁTIL).")</f>
        <v>IMPLANTAR PLACA COM SUPORTE DE MADEIRA; PINTURA DA BAIA NO ASFALTO; ADEQUAÇÃO DA CALÇADA (RAMPA DE ACESSIBILIDADE E PISO TÁTIL).</v>
      </c>
      <c r="R1202" s="5" t="str">
        <f>IFERROR(__xludf.DUMMYFUNCTION("""COMPUTED_VALUE"""),"IMPLANTAR ABRIGO")</f>
        <v>IMPLANTAR ABRIGO</v>
      </c>
      <c r="S1202" s="7">
        <f>IFERROR(__xludf.DUMMYFUNCTION("""COMPUTED_VALUE"""),44566.0)</f>
        <v>44566</v>
      </c>
      <c r="T1202" s="5"/>
      <c r="U1202" s="7">
        <f>IFERROR(__xludf.DUMMYFUNCTION("""COMPUTED_VALUE"""),44566.0)</f>
        <v>44566</v>
      </c>
      <c r="V1202" s="9" t="str">
        <f>IFERROR(__xludf.DUMMYFUNCTION("""COMPUTED_VALUE"""),"https://drive.google.com/uc?id=1X4LlScTHuoXd39YhZQoAI1Q3o29Iywgk")</f>
        <v>https://drive.google.com/uc?id=1X4LlScTHuoXd39YhZQoAI1Q3o29Iywgk</v>
      </c>
      <c r="W1202" s="5" t="str">
        <f>IFERROR(__xludf.DUMMYFUNCTION("""COMPUTED_VALUE"""),"NÃO")</f>
        <v>NÃO</v>
      </c>
      <c r="X1202" s="5" t="str">
        <f>IFERROR(__xludf.DUMMYFUNCTION("""COMPUTED_VALUE"""),"NÃO SE APLICA")</f>
        <v>NÃO SE APLICA</v>
      </c>
    </row>
    <row r="1203">
      <c r="A1203" s="5">
        <f>IFERROR(__xludf.DUMMYFUNCTION("""COMPUTED_VALUE"""),2.0)</f>
        <v>2</v>
      </c>
      <c r="B1203" s="5" t="str">
        <f>IFERROR(__xludf.DUMMYFUNCTION("""COMPUTED_VALUE"""),"TR006")</f>
        <v>TR006</v>
      </c>
      <c r="C1203" s="5" t="str">
        <f>IFERROR(__xludf.DUMMYFUNCTION("""COMPUTED_VALUE"""),"ABRIGO CONCRETO")</f>
        <v>ABRIGO CONCRETO</v>
      </c>
      <c r="D1203" s="5" t="str">
        <f>IFERROR(__xludf.DUMMYFUNCTION("""COMPUTED_VALUE"""),"SEM PLACA")</f>
        <v>SEM PLACA</v>
      </c>
      <c r="E1203" s="5" t="str">
        <f>IFERROR(__xludf.DUMMYFUNCTION("""COMPUTED_VALUE"""),"SEM BAIA")</f>
        <v>SEM BAIA</v>
      </c>
      <c r="F1203" s="5" t="str">
        <f>IFERROR(__xludf.DUMMYFUNCTION("""COMPUTED_VALUE"""),"NÃO")</f>
        <v>NÃO</v>
      </c>
      <c r="G1203" s="5" t="str">
        <f>IFERROR(__xludf.DUMMYFUNCTION("""COMPUTED_VALUE"""),"NÃO")</f>
        <v>NÃO</v>
      </c>
      <c r="H1203" s="5" t="str">
        <f>IFERROR(__xludf.DUMMYFUNCTION("""COMPUTED_VALUE"""),"PAVIMENTADA")</f>
        <v>PAVIMENTADA</v>
      </c>
      <c r="I1203" s="6" t="str">
        <f>IFERROR(__xludf.DUMMYFUNCTION("""COMPUTED_VALUE"""),"-9.672739")</f>
        <v>-9.672739</v>
      </c>
      <c r="J1203" s="6" t="str">
        <f>IFERROR(__xludf.DUMMYFUNCTION("""COMPUTED_VALUE"""),"-35.761018")</f>
        <v>-35.761018</v>
      </c>
      <c r="K1203" s="5" t="str">
        <f>IFERROR(__xludf.DUMMYFUNCTION("""COMPUTED_VALUE"""),"AV. SIQUEIRA CAMPOS, S/N")</f>
        <v>AV. SIQUEIRA CAMPOS, S/N</v>
      </c>
      <c r="L1203" s="5" t="str">
        <f>IFERROR(__xludf.DUMMYFUNCTION("""COMPUTED_VALUE"""),"ARTERIAL ")</f>
        <v>ARTERIAL </v>
      </c>
      <c r="M1203" s="5" t="str">
        <f>IFERROR(__xludf.DUMMYFUNCTION("""COMPUTED_VALUE"""),"TRAPICHE DA BARRA")</f>
        <v>TRAPICHE DA BARRA</v>
      </c>
      <c r="N1203" s="5" t="str">
        <f>IFERROR(__xludf.DUMMYFUNCTION("""COMPUTED_VALUE"""),"BAIRRO - CENTRO")</f>
        <v>BAIRRO - CENTRO</v>
      </c>
      <c r="O1203" s="5" t="str">
        <f>IFERROR(__xludf.DUMMYFUNCTION("""COMPUTED_VALUE"""),"PRÓXIMO AO  HGE")</f>
        <v>PRÓXIMO AO  HGE</v>
      </c>
      <c r="P1203" s="5" t="str">
        <f>IFERROR(__xludf.DUMMYFUNCTION("""COMPUTED_VALUE"""),"PRIORIDADE BAIXA")</f>
        <v>PRIORIDADE BAIXA</v>
      </c>
      <c r="Q1203" s="5" t="str">
        <f>IFERROR(__xludf.DUMMYFUNCTION("""COMPUTED_VALUE"""),"LIMPEZA DA COBERTA DO ABRIGO; REMOÇÃO DA PINTURA E FAZER NOVA PINTURA; PINTURA DA BAIA NO ASFALTO; ADEQUAÇÃO DA CALÇADA (RAMPA DE ACESSIBILIDADE E PISO TÁTIL).")</f>
        <v>LIMPEZA DA COBERTA DO ABRIGO; REMOÇÃO DA PINTURA E FAZER NOVA PINTURA; PINTURA DA BAIA NO ASFALTO; ADEQUAÇÃO DA CALÇADA (RAMPA DE ACESSIBILIDADE E PISO TÁTIL).</v>
      </c>
      <c r="R1203" s="5" t="str">
        <f>IFERROR(__xludf.DUMMYFUNCTION("""COMPUTED_VALUE"""),"SUBSTITUIR ABRIGO")</f>
        <v>SUBSTITUIR ABRIGO</v>
      </c>
      <c r="S1203" s="7">
        <f>IFERROR(__xludf.DUMMYFUNCTION("""COMPUTED_VALUE"""),44567.0)</f>
        <v>44567</v>
      </c>
      <c r="T1203" s="5"/>
      <c r="U1203" s="7">
        <f>IFERROR(__xludf.DUMMYFUNCTION("""COMPUTED_VALUE"""),44567.0)</f>
        <v>44567</v>
      </c>
      <c r="V1203" s="9" t="str">
        <f>IFERROR(__xludf.DUMMYFUNCTION("""COMPUTED_VALUE"""),"https://drive.google.com/uc?id=1Rxu0o9XJApBtDmO1f0nZIKu_n_mBLGSt")</f>
        <v>https://drive.google.com/uc?id=1Rxu0o9XJApBtDmO1f0nZIKu_n_mBLGSt</v>
      </c>
      <c r="W1203" s="5" t="str">
        <f>IFERROR(__xludf.DUMMYFUNCTION("""COMPUTED_VALUE"""),"NÃO")</f>
        <v>NÃO</v>
      </c>
      <c r="X1203" s="5" t="str">
        <f>IFERROR(__xludf.DUMMYFUNCTION("""COMPUTED_VALUE"""),"NÃO SE APLICA")</f>
        <v>NÃO SE APLICA</v>
      </c>
    </row>
    <row r="1204">
      <c r="A1204" s="5">
        <f>IFERROR(__xludf.DUMMYFUNCTION("""COMPUTED_VALUE"""),2.0)</f>
        <v>2</v>
      </c>
      <c r="B1204" s="5" t="str">
        <f>IFERROR(__xludf.DUMMYFUNCTION("""COMPUTED_VALUE"""),"TR007")</f>
        <v>TR007</v>
      </c>
      <c r="C1204" s="5" t="str">
        <f>IFERROR(__xludf.DUMMYFUNCTION("""COMPUTED_VALUE"""),"ABRIGO METÁLICO PEQUENO PORTE")</f>
        <v>ABRIGO METÁLICO PEQUENO PORTE</v>
      </c>
      <c r="D1204" s="5" t="str">
        <f>IFERROR(__xludf.DUMMYFUNCTION("""COMPUTED_VALUE"""),"SEM PLACA")</f>
        <v>SEM PLACA</v>
      </c>
      <c r="E1204" s="5" t="str">
        <f>IFERROR(__xludf.DUMMYFUNCTION("""COMPUTED_VALUE"""),"SEM BAIA")</f>
        <v>SEM BAIA</v>
      </c>
      <c r="F1204" s="5" t="str">
        <f>IFERROR(__xludf.DUMMYFUNCTION("""COMPUTED_VALUE"""),"NÃO")</f>
        <v>NÃO</v>
      </c>
      <c r="G1204" s="5" t="str">
        <f>IFERROR(__xludf.DUMMYFUNCTION("""COMPUTED_VALUE"""),"NÃO")</f>
        <v>NÃO</v>
      </c>
      <c r="H1204" s="5" t="str">
        <f>IFERROR(__xludf.DUMMYFUNCTION("""COMPUTED_VALUE"""),"PAVIMENTADA")</f>
        <v>PAVIMENTADA</v>
      </c>
      <c r="I1204" s="6" t="str">
        <f>IFERROR(__xludf.DUMMYFUNCTION("""COMPUTED_VALUE"""),"-9.671863")</f>
        <v>-9.671863</v>
      </c>
      <c r="J1204" s="6" t="str">
        <f>IFERROR(__xludf.DUMMYFUNCTION("""COMPUTED_VALUE"""),"-35.758758")</f>
        <v>-35.758758</v>
      </c>
      <c r="K1204" s="5" t="str">
        <f>IFERROR(__xludf.DUMMYFUNCTION("""COMPUTED_VALUE"""),"AV. SIQUEIRA CAMPOS, S/N")</f>
        <v>AV. SIQUEIRA CAMPOS, S/N</v>
      </c>
      <c r="L1204" s="5" t="str">
        <f>IFERROR(__xludf.DUMMYFUNCTION("""COMPUTED_VALUE"""),"ARTERIAL ")</f>
        <v>ARTERIAL </v>
      </c>
      <c r="M1204" s="5" t="str">
        <f>IFERROR(__xludf.DUMMYFUNCTION("""COMPUTED_VALUE"""),"TRAPICHE DA BARRA")</f>
        <v>TRAPICHE DA BARRA</v>
      </c>
      <c r="N1204" s="5" t="str">
        <f>IFERROR(__xludf.DUMMYFUNCTION("""COMPUTED_VALUE"""),"CENTRO - BAIRRO")</f>
        <v>CENTRO - BAIRRO</v>
      </c>
      <c r="O1204" s="5" t="str">
        <f>IFERROR(__xludf.DUMMYFUNCTION("""COMPUTED_VALUE"""),"EM FRENTE AO ESTÁDIO REI PELÉ")</f>
        <v>EM FRENTE AO ESTÁDIO REI PELÉ</v>
      </c>
      <c r="P1204" s="5" t="str">
        <f>IFERROR(__xludf.DUMMYFUNCTION("""COMPUTED_VALUE"""),"PRIORIDADE BAIXA")</f>
        <v>PRIORIDADE BAIXA</v>
      </c>
      <c r="Q1204" s="5" t="str">
        <f>IFERROR(__xludf.DUMMYFUNCTION("""COMPUTED_VALUE"""),"PINTURA DO ABRIGO; PINTURA DA BAIA NO ASFALTO; NIVELAMENTO DA CALÇADA; ADEQUAÇÃO DA CALÇADA (RAMPA DE ACESSIBILIDADE E PISO TÁTIL).")</f>
        <v>PINTURA DO ABRIGO; PINTURA DA BAIA NO ASFALTO; NIVELAMENTO DA CALÇADA; ADEQUAÇÃO DA CALÇADA (RAMPA DE ACESSIBILIDADE E PISO TÁTIL).</v>
      </c>
      <c r="R1204" s="5" t="str">
        <f>IFERROR(__xludf.DUMMYFUNCTION("""COMPUTED_VALUE"""),"NENHUMA DAS OPÇÕES")</f>
        <v>NENHUMA DAS OPÇÕES</v>
      </c>
      <c r="S1204" s="7">
        <f>IFERROR(__xludf.DUMMYFUNCTION("""COMPUTED_VALUE"""),44568.0)</f>
        <v>44568</v>
      </c>
      <c r="T1204" s="5"/>
      <c r="U1204" s="7">
        <f>IFERROR(__xludf.DUMMYFUNCTION("""COMPUTED_VALUE"""),44568.0)</f>
        <v>44568</v>
      </c>
      <c r="V1204" s="9" t="str">
        <f>IFERROR(__xludf.DUMMYFUNCTION("""COMPUTED_VALUE"""),"https://drive.google.com/uc?id=1Cl7q1O7i6qW5zPA3XVK93_xlHor4WVQZ")</f>
        <v>https://drive.google.com/uc?id=1Cl7q1O7i6qW5zPA3XVK93_xlHor4WVQZ</v>
      </c>
      <c r="W1204" s="5" t="str">
        <f>IFERROR(__xludf.DUMMYFUNCTION("""COMPUTED_VALUE"""),"JUNTOS")</f>
        <v>JUNTOS</v>
      </c>
      <c r="X1204" s="5" t="str">
        <f>IFERROR(__xludf.DUMMYFUNCTION("""COMPUTED_VALUE"""),"SIM")</f>
        <v>SIM</v>
      </c>
    </row>
    <row r="1205">
      <c r="A1205" s="5">
        <f>IFERROR(__xludf.DUMMYFUNCTION("""COMPUTED_VALUE"""),2.0)</f>
        <v>2</v>
      </c>
      <c r="B1205" s="5" t="str">
        <f>IFERROR(__xludf.DUMMYFUNCTION("""COMPUTED_VALUE"""),"TR008")</f>
        <v>TR008</v>
      </c>
      <c r="C1205" s="5" t="str">
        <f>IFERROR(__xludf.DUMMYFUNCTION("""COMPUTED_VALUE"""),"ABRIGO CONCRETO")</f>
        <v>ABRIGO CONCRETO</v>
      </c>
      <c r="D1205" s="5" t="str">
        <f>IFERROR(__xludf.DUMMYFUNCTION("""COMPUTED_VALUE"""),"SEM PLACA")</f>
        <v>SEM PLACA</v>
      </c>
      <c r="E1205" s="5" t="str">
        <f>IFERROR(__xludf.DUMMYFUNCTION("""COMPUTED_VALUE"""),"SEM BAIA")</f>
        <v>SEM BAIA</v>
      </c>
      <c r="F1205" s="5" t="str">
        <f>IFERROR(__xludf.DUMMYFUNCTION("""COMPUTED_VALUE"""),"SIM")</f>
        <v>SIM</v>
      </c>
      <c r="G1205" s="5" t="str">
        <f>IFERROR(__xludf.DUMMYFUNCTION("""COMPUTED_VALUE"""),"NÃO")</f>
        <v>NÃO</v>
      </c>
      <c r="H1205" s="5" t="str">
        <f>IFERROR(__xludf.DUMMYFUNCTION("""COMPUTED_VALUE"""),"PAVIMENTADA")</f>
        <v>PAVIMENTADA</v>
      </c>
      <c r="I1205" s="6" t="str">
        <f>IFERROR(__xludf.DUMMYFUNCTION("""COMPUTED_VALUE"""),"-9.671692")</f>
        <v>-9.671692</v>
      </c>
      <c r="J1205" s="6" t="str">
        <f>IFERROR(__xludf.DUMMYFUNCTION("""COMPUTED_VALUE"""),"-35.757499")</f>
        <v>-35.757499</v>
      </c>
      <c r="K1205" s="5" t="str">
        <f>IFERROR(__xludf.DUMMYFUNCTION("""COMPUTED_VALUE"""),"AV. SIQUEIRA CAMPOS, 189")</f>
        <v>AV. SIQUEIRA CAMPOS, 189</v>
      </c>
      <c r="L1205" s="5" t="str">
        <f>IFERROR(__xludf.DUMMYFUNCTION("""COMPUTED_VALUE"""),"ARTERIAL ")</f>
        <v>ARTERIAL </v>
      </c>
      <c r="M1205" s="5" t="str">
        <f>IFERROR(__xludf.DUMMYFUNCTION("""COMPUTED_VALUE"""),"TRAPICHE DA BARRA")</f>
        <v>TRAPICHE DA BARRA</v>
      </c>
      <c r="N1205" s="5" t="str">
        <f>IFERROR(__xludf.DUMMYFUNCTION("""COMPUTED_VALUE"""),"BAIRRO - CENTRO")</f>
        <v>BAIRRO - CENTRO</v>
      </c>
      <c r="O1205" s="5" t="str">
        <f>IFERROR(__xludf.DUMMYFUNCTION("""COMPUTED_VALUE"""),"EM FRENTE A LOJA LOVE STORE")</f>
        <v>EM FRENTE A LOJA LOVE STORE</v>
      </c>
      <c r="P1205" s="5" t="str">
        <f>IFERROR(__xludf.DUMMYFUNCTION("""COMPUTED_VALUE"""),"PRIORIDADE BAIXA")</f>
        <v>PRIORIDADE BAIXA</v>
      </c>
      <c r="Q1205" s="5" t="str">
        <f>IFERROR(__xludf.DUMMYFUNCTION("""COMPUTED_VALUE"""),"LIMPEZA DA COBERTA DO ABRIGO; REMOÇÃO DA PINTURA E FAZER NOVA PINTURA; PINTURA DA BAIA NO ASFALTO; ADEQUAÇÃO DA CALÇADA (PISO TÁTIL).")</f>
        <v>LIMPEZA DA COBERTA DO ABRIGO; REMOÇÃO DA PINTURA E FAZER NOVA PINTURA; PINTURA DA BAIA NO ASFALTO; ADEQUAÇÃO DA CALÇADA (PISO TÁTIL).</v>
      </c>
      <c r="R1205" s="5" t="str">
        <f>IFERROR(__xludf.DUMMYFUNCTION("""COMPUTED_VALUE"""),"SUBSTITUIR ABRIGO")</f>
        <v>SUBSTITUIR ABRIGO</v>
      </c>
      <c r="S1205" s="7">
        <f>IFERROR(__xludf.DUMMYFUNCTION("""COMPUTED_VALUE"""),44569.0)</f>
        <v>44569</v>
      </c>
      <c r="T1205" s="5"/>
      <c r="U1205" s="7">
        <f>IFERROR(__xludf.DUMMYFUNCTION("""COMPUTED_VALUE"""),44569.0)</f>
        <v>44569</v>
      </c>
      <c r="V1205" s="9" t="str">
        <f>IFERROR(__xludf.DUMMYFUNCTION("""COMPUTED_VALUE"""),"https://drive.google.com/uc?id=1TYRUGQflgrO-5vm_2kB93kcB7KROQDri")</f>
        <v>https://drive.google.com/uc?id=1TYRUGQflgrO-5vm_2kB93kcB7KROQDri</v>
      </c>
      <c r="W1205" s="5" t="str">
        <f>IFERROR(__xludf.DUMMYFUNCTION("""COMPUTED_VALUE"""),"NÃO")</f>
        <v>NÃO</v>
      </c>
      <c r="X1205" s="5" t="str">
        <f>IFERROR(__xludf.DUMMYFUNCTION("""COMPUTED_VALUE"""),"NÃO")</f>
        <v>NÃO</v>
      </c>
    </row>
    <row r="1206" hidden="1">
      <c r="A1206" s="5">
        <f>IFERROR(__xludf.DUMMYFUNCTION("""COMPUTED_VALUE"""),2.0)</f>
        <v>2</v>
      </c>
      <c r="B1206" s="5" t="str">
        <f>IFERROR(__xludf.DUMMYFUNCTION("""COMPUTED_VALUE"""),"TR009")</f>
        <v>TR009</v>
      </c>
      <c r="C1206" s="5" t="str">
        <f>IFERROR(__xludf.DUMMYFUNCTION("""COMPUTED_VALUE"""),"NÃO POSSUI")</f>
        <v>NÃO POSSUI</v>
      </c>
      <c r="D1206" s="5" t="str">
        <f>IFERROR(__xludf.DUMMYFUNCTION("""COMPUTED_VALUE"""),"FIXADA EM POSTE")</f>
        <v>FIXADA EM POSTE</v>
      </c>
      <c r="E1206" s="5" t="str">
        <f>IFERROR(__xludf.DUMMYFUNCTION("""COMPUTED_VALUE"""),"SEM BAIA")</f>
        <v>SEM BAIA</v>
      </c>
      <c r="F1206" s="5" t="str">
        <f>IFERROR(__xludf.DUMMYFUNCTION("""COMPUTED_VALUE"""),"NÃO")</f>
        <v>NÃO</v>
      </c>
      <c r="G1206" s="5" t="str">
        <f>IFERROR(__xludf.DUMMYFUNCTION("""COMPUTED_VALUE"""),"NÃO")</f>
        <v>NÃO</v>
      </c>
      <c r="H1206" s="5" t="str">
        <f>IFERROR(__xludf.DUMMYFUNCTION("""COMPUTED_VALUE"""),"PAVIMENTADA")</f>
        <v>PAVIMENTADA</v>
      </c>
      <c r="I1206" s="6" t="str">
        <f>IFERROR(__xludf.DUMMYFUNCTION("""COMPUTED_VALUE"""),"-9.671149")</f>
        <v>-9.671149</v>
      </c>
      <c r="J1206" s="6" t="str">
        <f>IFERROR(__xludf.DUMMYFUNCTION("""COMPUTED_VALUE"""),"-35.756290")</f>
        <v>-35.756290</v>
      </c>
      <c r="K1206" s="5" t="str">
        <f>IFERROR(__xludf.DUMMYFUNCTION("""COMPUTED_VALUE"""),"AV. SIQUEIRA CAMPOS, 1758")</f>
        <v>AV. SIQUEIRA CAMPOS, 1758</v>
      </c>
      <c r="L1206" s="5" t="str">
        <f>IFERROR(__xludf.DUMMYFUNCTION("""COMPUTED_VALUE"""),"ARTERIAL ")</f>
        <v>ARTERIAL </v>
      </c>
      <c r="M1206" s="5" t="str">
        <f>IFERROR(__xludf.DUMMYFUNCTION("""COMPUTED_VALUE"""),"TRAPICHE DA BARRA")</f>
        <v>TRAPICHE DA BARRA</v>
      </c>
      <c r="N1206" s="5" t="str">
        <f>IFERROR(__xludf.DUMMYFUNCTION("""COMPUTED_VALUE"""),"CENTRO - BAIRRO")</f>
        <v>CENTRO - BAIRRO</v>
      </c>
      <c r="O1206" s="5"/>
      <c r="P1206" s="5" t="str">
        <f>IFERROR(__xludf.DUMMYFUNCTION("""COMPUTED_VALUE"""),"PRIORIDADE BAIXA")</f>
        <v>PRIORIDADE BAIXA</v>
      </c>
      <c r="Q1206" s="5" t="str">
        <f>IFERROR(__xludf.DUMMYFUNCTION("""COMPUTED_VALUE"""),"PINTURA DA BAIA NO ASFALTO; ADEQUAÇÃO DA CALÇADA (RAMPA DE ACESSIBILIDADE E PISO TÁTIL).")</f>
        <v>PINTURA DA BAIA NO ASFALTO; ADEQUAÇÃO DA CALÇADA (RAMPA DE ACESSIBILIDADE E PISO TÁTIL).</v>
      </c>
      <c r="R1206" s="5" t="str">
        <f>IFERROR(__xludf.DUMMYFUNCTION("""COMPUTED_VALUE"""),"IMPLANTAR ABRIGO")</f>
        <v>IMPLANTAR ABRIGO</v>
      </c>
      <c r="S1206" s="7">
        <f>IFERROR(__xludf.DUMMYFUNCTION("""COMPUTED_VALUE"""),44570.0)</f>
        <v>44570</v>
      </c>
      <c r="T1206" s="5"/>
      <c r="U1206" s="7">
        <f>IFERROR(__xludf.DUMMYFUNCTION("""COMPUTED_VALUE"""),44570.0)</f>
        <v>44570</v>
      </c>
      <c r="V1206" s="9" t="str">
        <f>IFERROR(__xludf.DUMMYFUNCTION("""COMPUTED_VALUE"""),"https://drive.google.com/uc?id=1qmNlcwiZ0gNFSIIoNSRdT7HBKpxFYYNf")</f>
        <v>https://drive.google.com/uc?id=1qmNlcwiZ0gNFSIIoNSRdT7HBKpxFYYNf</v>
      </c>
      <c r="W1206" s="5" t="str">
        <f>IFERROR(__xludf.DUMMYFUNCTION("""COMPUTED_VALUE"""),"NÃO")</f>
        <v>NÃO</v>
      </c>
      <c r="X1206" s="5" t="str">
        <f>IFERROR(__xludf.DUMMYFUNCTION("""COMPUTED_VALUE"""),"SIM")</f>
        <v>SIM</v>
      </c>
    </row>
    <row r="1207" hidden="1">
      <c r="A1207" s="5">
        <f>IFERROR(__xludf.DUMMYFUNCTION("""COMPUTED_VALUE"""),2.0)</f>
        <v>2</v>
      </c>
      <c r="B1207" s="5" t="str">
        <f>IFERROR(__xludf.DUMMYFUNCTION("""COMPUTED_VALUE"""),"TR010")</f>
        <v>TR010</v>
      </c>
      <c r="C1207" s="5" t="str">
        <f>IFERROR(__xludf.DUMMYFUNCTION("""COMPUTED_VALUE"""),"NÃO POSSUI")</f>
        <v>NÃO POSSUI</v>
      </c>
      <c r="D1207" s="5" t="str">
        <f>IFERROR(__xludf.DUMMYFUNCTION("""COMPUTED_VALUE"""),"FIXADA EM POSTE")</f>
        <v>FIXADA EM POSTE</v>
      </c>
      <c r="E1207" s="5" t="str">
        <f>IFERROR(__xludf.DUMMYFUNCTION("""COMPUTED_VALUE"""),"SEM BAIA")</f>
        <v>SEM BAIA</v>
      </c>
      <c r="F1207" s="5" t="str">
        <f>IFERROR(__xludf.DUMMYFUNCTION("""COMPUTED_VALUE"""),"NÃO")</f>
        <v>NÃO</v>
      </c>
      <c r="G1207" s="5" t="str">
        <f>IFERROR(__xludf.DUMMYFUNCTION("""COMPUTED_VALUE"""),"NÃO")</f>
        <v>NÃO</v>
      </c>
      <c r="H1207" s="5" t="str">
        <f>IFERROR(__xludf.DUMMYFUNCTION("""COMPUTED_VALUE"""),"NÃO PAVIMENTADA")</f>
        <v>NÃO PAVIMENTADA</v>
      </c>
      <c r="I1207" s="6" t="str">
        <f>IFERROR(__xludf.DUMMYFUNCTION("""COMPUTED_VALUE"""),"-9.665347")</f>
        <v>-9.665347</v>
      </c>
      <c r="J1207" s="6" t="str">
        <f>IFERROR(__xludf.DUMMYFUNCTION("""COMPUTED_VALUE"""),"-35.757802")</f>
        <v>-35.757802</v>
      </c>
      <c r="K1207" s="5" t="str">
        <f>IFERROR(__xludf.DUMMYFUNCTION("""COMPUTED_VALUE"""),"RUA BOA VISTA, 100")</f>
        <v>RUA BOA VISTA, 100</v>
      </c>
      <c r="L1207" s="5" t="str">
        <f>IFERROR(__xludf.DUMMYFUNCTION("""COMPUTED_VALUE"""),"COLETORA")</f>
        <v>COLETORA</v>
      </c>
      <c r="M1207" s="5" t="str">
        <f>IFERROR(__xludf.DUMMYFUNCTION("""COMPUTED_VALUE"""),"TRAPICHE DA BARRA")</f>
        <v>TRAPICHE DA BARRA</v>
      </c>
      <c r="N1207" s="5" t="str">
        <f>IFERROR(__xludf.DUMMYFUNCTION("""COMPUTED_VALUE"""),"BAIRRO - CENTRO")</f>
        <v>BAIRRO - CENTRO</v>
      </c>
      <c r="O1207" s="5" t="str">
        <f>IFERROR(__xludf.DUMMYFUNCTION("""COMPUTED_VALUE"""),"IGREJA EBENÉZER RENOVADA ")</f>
        <v>IGREJA EBENÉZER RENOVADA </v>
      </c>
      <c r="P1207" s="5" t="str">
        <f>IFERROR(__xludf.DUMMYFUNCTION("""COMPUTED_VALUE"""),"PRIORIDADE BAIXA")</f>
        <v>PRIORIDADE BAIXA</v>
      </c>
      <c r="Q1207" s="5" t="str">
        <f>IFERROR(__xludf.DUMMYFUNCTION("""COMPUTED_VALUE"""),"PINTURA DA BAIA NO ASFALTO; ADEQUAÇÃO DA CALÇADA (PISO TÁTIL).")</f>
        <v>PINTURA DA BAIA NO ASFALTO; ADEQUAÇÃO DA CALÇADA (PISO TÁTIL).</v>
      </c>
      <c r="R1207" s="5" t="str">
        <f>IFERROR(__xludf.DUMMYFUNCTION("""COMPUTED_VALUE"""),"NENHUMA DAS OPÇÕES")</f>
        <v>NENHUMA DAS OPÇÕES</v>
      </c>
      <c r="S1207" s="7">
        <f>IFERROR(__xludf.DUMMYFUNCTION("""COMPUTED_VALUE"""),44571.0)</f>
        <v>44571</v>
      </c>
      <c r="T1207" s="5"/>
      <c r="U1207" s="7">
        <f>IFERROR(__xludf.DUMMYFUNCTION("""COMPUTED_VALUE"""),44571.0)</f>
        <v>44571</v>
      </c>
      <c r="V1207" s="9" t="str">
        <f>IFERROR(__xludf.DUMMYFUNCTION("""COMPUTED_VALUE"""),"https://drive.google.com/uc?id=1Ztuj4eNZHHXv_nGWEPRAamkUFgDx0bCI")</f>
        <v>https://drive.google.com/uc?id=1Ztuj4eNZHHXv_nGWEPRAamkUFgDx0bCI</v>
      </c>
      <c r="W1207" s="5" t="str">
        <f>IFERROR(__xludf.DUMMYFUNCTION("""COMPUTED_VALUE"""),"NÃO")</f>
        <v>NÃO</v>
      </c>
      <c r="X1207" s="5" t="str">
        <f>IFERROR(__xludf.DUMMYFUNCTION("""COMPUTED_VALUE"""),"NÃO")</f>
        <v>NÃO</v>
      </c>
    </row>
    <row r="1208">
      <c r="A1208" s="5">
        <f>IFERROR(__xludf.DUMMYFUNCTION("""COMPUTED_VALUE"""),2.0)</f>
        <v>2</v>
      </c>
      <c r="B1208" s="5" t="str">
        <f>IFERROR(__xludf.DUMMYFUNCTION("""COMPUTED_VALUE"""),"TR011")</f>
        <v>TR011</v>
      </c>
      <c r="C1208" s="5" t="str">
        <f>IFERROR(__xludf.DUMMYFUNCTION("""COMPUTED_VALUE"""),"ABRIGO METÁLICO PEQUENO PORTE")</f>
        <v>ABRIGO METÁLICO PEQUENO PORTE</v>
      </c>
      <c r="D1208" s="5" t="str">
        <f>IFERROR(__xludf.DUMMYFUNCTION("""COMPUTED_VALUE"""),"SEM PLACA")</f>
        <v>SEM PLACA</v>
      </c>
      <c r="E1208" s="5" t="str">
        <f>IFERROR(__xludf.DUMMYFUNCTION("""COMPUTED_VALUE"""),"SEM BAIA")</f>
        <v>SEM BAIA</v>
      </c>
      <c r="F1208" s="5" t="str">
        <f>IFERROR(__xludf.DUMMYFUNCTION("""COMPUTED_VALUE"""),"NÃO")</f>
        <v>NÃO</v>
      </c>
      <c r="G1208" s="5" t="str">
        <f>IFERROR(__xludf.DUMMYFUNCTION("""COMPUTED_VALUE"""),"SIM")</f>
        <v>SIM</v>
      </c>
      <c r="H1208" s="5" t="str">
        <f>IFERROR(__xludf.DUMMYFUNCTION("""COMPUTED_VALUE"""),"PAVIMENTADA")</f>
        <v>PAVIMENTADA</v>
      </c>
      <c r="I1208" s="6" t="str">
        <f>IFERROR(__xludf.DUMMYFUNCTION("""COMPUTED_VALUE"""),"-9.667388")</f>
        <v>-9.667388</v>
      </c>
      <c r="J1208" s="6" t="str">
        <f>IFERROR(__xludf.DUMMYFUNCTION("""COMPUTED_VALUE"""),"-35.757793")</f>
        <v>-35.757793</v>
      </c>
      <c r="K1208" s="5" t="str">
        <f>IFERROR(__xludf.DUMMYFUNCTION("""COMPUTED_VALUE"""),"RUA BOA VISTA, S/N")</f>
        <v>RUA BOA VISTA, S/N</v>
      </c>
      <c r="L1208" s="5" t="str">
        <f>IFERROR(__xludf.DUMMYFUNCTION("""COMPUTED_VALUE"""),"COLETORA")</f>
        <v>COLETORA</v>
      </c>
      <c r="M1208" s="5" t="str">
        <f>IFERROR(__xludf.DUMMYFUNCTION("""COMPUTED_VALUE"""),"TRAPICHE DA BARRA")</f>
        <v>TRAPICHE DA BARRA</v>
      </c>
      <c r="N1208" s="5" t="str">
        <f>IFERROR(__xludf.DUMMYFUNCTION("""COMPUTED_VALUE"""),"BAIRRO - CENTRO")</f>
        <v>BAIRRO - CENTRO</v>
      </c>
      <c r="O1208" s="5" t="str">
        <f>IFERROR(__xludf.DUMMYFUNCTION("""COMPUTED_VALUE"""),"INÍCIO DA CABO REIS")</f>
        <v>INÍCIO DA CABO REIS</v>
      </c>
      <c r="P1208" s="5" t="str">
        <f>IFERROR(__xludf.DUMMYFUNCTION("""COMPUTED_VALUE"""),"PRIORIDADE BAIXA")</f>
        <v>PRIORIDADE BAIXA</v>
      </c>
      <c r="Q1208" s="5" t="str">
        <f>IFERROR(__xludf.DUMMYFUNCTION("""COMPUTED_VALUE"""),"REMOVER PINTURA ANTIGA DO ABRIGO E FAZER UMA NOVA; PINTURA DA BAIA NO ASFALTO; ADEQUAÇÃO DA CALÇADA (RAMPA DE ACESSIBILIDADE; REMOÇÃO DO PISO TÁTIL E INTALÇÃO NOVA.")</f>
        <v>REMOVER PINTURA ANTIGA DO ABRIGO E FAZER UMA NOVA; PINTURA DA BAIA NO ASFALTO; ADEQUAÇÃO DA CALÇADA (RAMPA DE ACESSIBILIDADE; REMOÇÃO DO PISO TÁTIL E INTALÇÃO NOVA.</v>
      </c>
      <c r="R1208" s="5" t="str">
        <f>IFERROR(__xludf.DUMMYFUNCTION("""COMPUTED_VALUE"""),"NENHUMA DAS OPÇÕES")</f>
        <v>NENHUMA DAS OPÇÕES</v>
      </c>
      <c r="S1208" s="7">
        <f>IFERROR(__xludf.DUMMYFUNCTION("""COMPUTED_VALUE"""),44572.0)</f>
        <v>44572</v>
      </c>
      <c r="T1208" s="5" t="str">
        <f>IFERROR(__xludf.DUMMYFUNCTION("""COMPUTED_VALUE"""),"SOLICITADO")</f>
        <v>SOLICITADO</v>
      </c>
      <c r="U1208" s="7">
        <f>IFERROR(__xludf.DUMMYFUNCTION("""COMPUTED_VALUE"""),44572.0)</f>
        <v>44572</v>
      </c>
      <c r="V1208" s="9" t="str">
        <f>IFERROR(__xludf.DUMMYFUNCTION("""COMPUTED_VALUE"""),"https://drive.google.com/uc?id=1mPFBO3wBiP816-0H-o-lmj7lvWKmIwbF
")</f>
        <v>https://drive.google.com/uc?id=1mPFBO3wBiP816-0H-o-lmj7lvWKmIwbF
</v>
      </c>
      <c r="W1208" s="5" t="str">
        <f>IFERROR(__xludf.DUMMYFUNCTION("""COMPUTED_VALUE"""),"NÃO")</f>
        <v>NÃO</v>
      </c>
      <c r="X1208" s="5" t="str">
        <f>IFERROR(__xludf.DUMMYFUNCTION("""COMPUTED_VALUE"""),"NÃO")</f>
        <v>NÃO</v>
      </c>
    </row>
    <row r="1209" hidden="1">
      <c r="A1209" s="5">
        <f>IFERROR(__xludf.DUMMYFUNCTION("""COMPUTED_VALUE"""),2.0)</f>
        <v>2</v>
      </c>
      <c r="B1209" s="5" t="str">
        <f>IFERROR(__xludf.DUMMYFUNCTION("""COMPUTED_VALUE"""),"TR012")</f>
        <v>TR012</v>
      </c>
      <c r="C1209" s="5" t="str">
        <f>IFERROR(__xludf.DUMMYFUNCTION("""COMPUTED_VALUE"""),"NÃO POSSUI")</f>
        <v>NÃO POSSUI</v>
      </c>
      <c r="D1209" s="5" t="str">
        <f>IFERROR(__xludf.DUMMYFUNCTION("""COMPUTED_VALUE"""),"SEM PLACA")</f>
        <v>SEM PLACA</v>
      </c>
      <c r="E1209" s="5" t="str">
        <f>IFERROR(__xludf.DUMMYFUNCTION("""COMPUTED_VALUE"""),"SEM BAIA")</f>
        <v>SEM BAIA</v>
      </c>
      <c r="F1209" s="5" t="str">
        <f>IFERROR(__xludf.DUMMYFUNCTION("""COMPUTED_VALUE"""),"NÃO")</f>
        <v>NÃO</v>
      </c>
      <c r="G1209" s="5" t="str">
        <f>IFERROR(__xludf.DUMMYFUNCTION("""COMPUTED_VALUE"""),"NÃO")</f>
        <v>NÃO</v>
      </c>
      <c r="H1209" s="5" t="str">
        <f>IFERROR(__xludf.DUMMYFUNCTION("""COMPUTED_VALUE"""),"NÃO PAVIMENTADA")</f>
        <v>NÃO PAVIMENTADA</v>
      </c>
      <c r="I1209" s="6" t="str">
        <f>IFERROR(__xludf.DUMMYFUNCTION("""COMPUTED_VALUE"""),"-9.671158")</f>
        <v>-9.671158</v>
      </c>
      <c r="J1209" s="6" t="str">
        <f>IFERROR(__xludf.DUMMYFUNCTION("""COMPUTED_VALUE"""),"-35.756959")</f>
        <v>-35.756959</v>
      </c>
      <c r="K1209" s="5" t="str">
        <f>IFERROR(__xludf.DUMMYFUNCTION("""COMPUTED_VALUE"""),"RUA JOSÉ P. L. PASSOS, S/N")</f>
        <v>RUA JOSÉ P. L. PASSOS, S/N</v>
      </c>
      <c r="L1209" s="5" t="str">
        <f>IFERROR(__xludf.DUMMYFUNCTION("""COMPUTED_VALUE"""),"COLETORA")</f>
        <v>COLETORA</v>
      </c>
      <c r="M1209" s="5" t="str">
        <f>IFERROR(__xludf.DUMMYFUNCTION("""COMPUTED_VALUE"""),"TRAPICHE DA BARRA")</f>
        <v>TRAPICHE DA BARRA</v>
      </c>
      <c r="N1209" s="5" t="str">
        <f>IFERROR(__xludf.DUMMYFUNCTION("""COMPUTED_VALUE"""),"CENTRO - BAIRRO")</f>
        <v>CENTRO - BAIRRO</v>
      </c>
      <c r="O1209" s="5" t="str">
        <f>IFERROR(__xludf.DUMMYFUNCTION("""COMPUTED_VALUE"""),"SEARA VEÍCULOS")</f>
        <v>SEARA VEÍCULOS</v>
      </c>
      <c r="P1209" s="5" t="str">
        <f>IFERROR(__xludf.DUMMYFUNCTION("""COMPUTED_VALUE"""),"PRIORIDADE MÉDIA")</f>
        <v>PRIORIDADE MÉDIA</v>
      </c>
      <c r="Q1209" s="5" t="str">
        <f>IFERROR(__xludf.DUMMYFUNCTION("""COMPUTED_VALUE"""),"IMPLANTAR PLACA COM SUPORTE DE MADEIRA; PINTURA DA BAIA NO ASFALTO; PAVIMENTAÇÃO DA CALÇADA; ADEQUAÇÃO DA CALÇADA (RAMPA DE ACESSIBILIDADE E PISO TÁTIL).")</f>
        <v>IMPLANTAR PLACA COM SUPORTE DE MADEIRA; PINTURA DA BAIA NO ASFALTO; PAVIMENTAÇÃO DA CALÇADA; ADEQUAÇÃO DA CALÇADA (RAMPA DE ACESSIBILIDADE E PISO TÁTIL).</v>
      </c>
      <c r="R1209" s="5" t="str">
        <f>IFERROR(__xludf.DUMMYFUNCTION("""COMPUTED_VALUE"""),"NENHUMA DAS OPÇÕES")</f>
        <v>NENHUMA DAS OPÇÕES</v>
      </c>
      <c r="S1209" s="7">
        <f>IFERROR(__xludf.DUMMYFUNCTION("""COMPUTED_VALUE"""),44573.0)</f>
        <v>44573</v>
      </c>
      <c r="T1209" s="5"/>
      <c r="U1209" s="7">
        <f>IFERROR(__xludf.DUMMYFUNCTION("""COMPUTED_VALUE"""),44573.0)</f>
        <v>44573</v>
      </c>
      <c r="V1209" s="9" t="str">
        <f>IFERROR(__xludf.DUMMYFUNCTION("""COMPUTED_VALUE"""),"https://drive.google.com/uc?id=1H1V8j1c-YYXXJiR41S2m2xvvSS1tIXOK")</f>
        <v>https://drive.google.com/uc?id=1H1V8j1c-YYXXJiR41S2m2xvvSS1tIXOK</v>
      </c>
      <c r="W1209" s="5" t="str">
        <f>IFERROR(__xludf.DUMMYFUNCTION("""COMPUTED_VALUE"""),"NÃO")</f>
        <v>NÃO</v>
      </c>
      <c r="X1209" s="5" t="str">
        <f>IFERROR(__xludf.DUMMYFUNCTION("""COMPUTED_VALUE"""),"NÃO SE APLICA")</f>
        <v>NÃO SE APLICA</v>
      </c>
    </row>
    <row r="1210" hidden="1">
      <c r="A1210" s="5">
        <f>IFERROR(__xludf.DUMMYFUNCTION("""COMPUTED_VALUE"""),2.0)</f>
        <v>2</v>
      </c>
      <c r="B1210" s="5" t="str">
        <f>IFERROR(__xludf.DUMMYFUNCTION("""COMPUTED_VALUE"""),"TR013")</f>
        <v>TR013</v>
      </c>
      <c r="C1210" s="5" t="str">
        <f>IFERROR(__xludf.DUMMYFUNCTION("""COMPUTED_VALUE"""),"NÃO POSSUI")</f>
        <v>NÃO POSSUI</v>
      </c>
      <c r="D1210" s="5" t="str">
        <f>IFERROR(__xludf.DUMMYFUNCTION("""COMPUTED_VALUE"""),"COM SUPORTE")</f>
        <v>COM SUPORTE</v>
      </c>
      <c r="E1210" s="5" t="str">
        <f>IFERROR(__xludf.DUMMYFUNCTION("""COMPUTED_VALUE"""),"SEM BAIA")</f>
        <v>SEM BAIA</v>
      </c>
      <c r="F1210" s="5" t="str">
        <f>IFERROR(__xludf.DUMMYFUNCTION("""COMPUTED_VALUE"""),"NÃO")</f>
        <v>NÃO</v>
      </c>
      <c r="G1210" s="5" t="str">
        <f>IFERROR(__xludf.DUMMYFUNCTION("""COMPUTED_VALUE"""),"NÃO")</f>
        <v>NÃO</v>
      </c>
      <c r="H1210" s="5" t="str">
        <f>IFERROR(__xludf.DUMMYFUNCTION("""COMPUTED_VALUE"""),"PAVIMENTADA")</f>
        <v>PAVIMENTADA</v>
      </c>
      <c r="I1210" s="6" t="str">
        <f>IFERROR(__xludf.DUMMYFUNCTION("""COMPUTED_VALUE"""),"-9.672291")</f>
        <v>-9.672291</v>
      </c>
      <c r="J1210" s="6" t="str">
        <f>IFERROR(__xludf.DUMMYFUNCTION("""COMPUTED_VALUE"""),"-35.765031")</f>
        <v>-35.765031</v>
      </c>
      <c r="K1210" s="5" t="str">
        <f>IFERROR(__xludf.DUMMYFUNCTION("""COMPUTED_VALUE"""),"AV. SENADOR RUI PALMEIRA, S/N")</f>
        <v>AV. SENADOR RUI PALMEIRA, S/N</v>
      </c>
      <c r="L1210" s="5" t="str">
        <f>IFERROR(__xludf.DUMMYFUNCTION("""COMPUTED_VALUE"""),"ARTERIAL ")</f>
        <v>ARTERIAL </v>
      </c>
      <c r="M1210" s="5" t="str">
        <f>IFERROR(__xludf.DUMMYFUNCTION("""COMPUTED_VALUE"""),"TRAPICHE DA BARRA")</f>
        <v>TRAPICHE DA BARRA</v>
      </c>
      <c r="N1210" s="5" t="str">
        <f>IFERROR(__xludf.DUMMYFUNCTION("""COMPUTED_VALUE"""),"CENTRO - BAIRRO")</f>
        <v>CENTRO - BAIRRO</v>
      </c>
      <c r="O1210" s="5" t="str">
        <f>IFERROR(__xludf.DUMMYFUNCTION("""COMPUTED_VALUE"""),"PRACINHA EM FRENTE AO DEPÓSITO DOIS IRMÃOS; EM FRENTE A ESC. ESTADUAL Mª LYRA DE ALMEIDA")</f>
        <v>PRACINHA EM FRENTE AO DEPÓSITO DOIS IRMÃOS; EM FRENTE A ESC. ESTADUAL Mª LYRA DE ALMEIDA</v>
      </c>
      <c r="P1210" s="5" t="str">
        <f>IFERROR(__xludf.DUMMYFUNCTION("""COMPUTED_VALUE"""),"PRIORIDADE MÉDIA")</f>
        <v>PRIORIDADE MÉDIA</v>
      </c>
      <c r="Q1210" s="5" t="str">
        <f>IFERROR(__xludf.DUMMYFUNCTION("""COMPUTED_VALUE"""),"IMPLANTAR ABRIGO; IMPLANTAR PLACA FIXADA EM POSTE; PINTURA DA BAIA NO ASFALTO; ADEQUAÇÃO DA CALÇADA (RAMPA DE ACESSIBILIDADE E PISO TÁTIL); REFORMA NO CANTEIRO DEIXANDO PASSAGEM PARA UM CADEIRANTE PASSAR.")</f>
        <v>IMPLANTAR ABRIGO; IMPLANTAR PLACA FIXADA EM POSTE; PINTURA DA BAIA NO ASFALTO; ADEQUAÇÃO DA CALÇADA (RAMPA DE ACESSIBILIDADE E PISO TÁTIL); REFORMA NO CANTEIRO DEIXANDO PASSAGEM PARA UM CADEIRANTE PASSAR.</v>
      </c>
      <c r="R1210" s="5" t="str">
        <f>IFERROR(__xludf.DUMMYFUNCTION("""COMPUTED_VALUE"""),"IMPLANTAR ABRIGO")</f>
        <v>IMPLANTAR ABRIGO</v>
      </c>
      <c r="S1210" s="7">
        <f>IFERROR(__xludf.DUMMYFUNCTION("""COMPUTED_VALUE"""),44574.0)</f>
        <v>44574</v>
      </c>
      <c r="T1210" s="5"/>
      <c r="U1210" s="7">
        <f>IFERROR(__xludf.DUMMYFUNCTION("""COMPUTED_VALUE"""),44574.0)</f>
        <v>44574</v>
      </c>
      <c r="V1210" s="9" t="str">
        <f>IFERROR(__xludf.DUMMYFUNCTION("""COMPUTED_VALUE"""),"https://drive.google.com/uc?id=1Km4iRu2oWMiyLpZiGiDvryBe8wmyT1Im")</f>
        <v>https://drive.google.com/uc?id=1Km4iRu2oWMiyLpZiGiDvryBe8wmyT1Im</v>
      </c>
      <c r="W1210" s="5" t="str">
        <f>IFERROR(__xludf.DUMMYFUNCTION("""COMPUTED_VALUE"""),"NÃO")</f>
        <v>NÃO</v>
      </c>
      <c r="X1210" s="5" t="str">
        <f>IFERROR(__xludf.DUMMYFUNCTION("""COMPUTED_VALUE"""),"NÃO SE APLICA")</f>
        <v>NÃO SE APLICA</v>
      </c>
    </row>
    <row r="1211">
      <c r="A1211" s="5">
        <f>IFERROR(__xludf.DUMMYFUNCTION("""COMPUTED_VALUE"""),2.0)</f>
        <v>2</v>
      </c>
      <c r="B1211" s="5" t="str">
        <f>IFERROR(__xludf.DUMMYFUNCTION("""COMPUTED_VALUE"""),"TR014")</f>
        <v>TR014</v>
      </c>
      <c r="C1211" s="5" t="str">
        <f>IFERROR(__xludf.DUMMYFUNCTION("""COMPUTED_VALUE"""),"ABRIGO CONCRETO")</f>
        <v>ABRIGO CONCRETO</v>
      </c>
      <c r="D1211" s="5" t="str">
        <f>IFERROR(__xludf.DUMMYFUNCTION("""COMPUTED_VALUE"""),"SEM PLACA")</f>
        <v>SEM PLACA</v>
      </c>
      <c r="E1211" s="5" t="str">
        <f>IFERROR(__xludf.DUMMYFUNCTION("""COMPUTED_VALUE"""),"SEM BAIA")</f>
        <v>SEM BAIA</v>
      </c>
      <c r="F1211" s="5" t="str">
        <f>IFERROR(__xludf.DUMMYFUNCTION("""COMPUTED_VALUE"""),"NÃO")</f>
        <v>NÃO</v>
      </c>
      <c r="G1211" s="5" t="str">
        <f>IFERROR(__xludf.DUMMYFUNCTION("""COMPUTED_VALUE"""),"NÃO")</f>
        <v>NÃO</v>
      </c>
      <c r="H1211" s="5" t="str">
        <f>IFERROR(__xludf.DUMMYFUNCTION("""COMPUTED_VALUE"""),"PAVIMENTADA")</f>
        <v>PAVIMENTADA</v>
      </c>
      <c r="I1211" s="6" t="str">
        <f>IFERROR(__xludf.DUMMYFUNCTION("""COMPUTED_VALUE"""),"-9.669701")</f>
        <v>-9.669701</v>
      </c>
      <c r="J1211" s="6" t="str">
        <f>IFERROR(__xludf.DUMMYFUNCTION("""COMPUTED_VALUE"""),"-35.764574")</f>
        <v>-35.764574</v>
      </c>
      <c r="K1211" s="5" t="str">
        <f>IFERROR(__xludf.DUMMYFUNCTION("""COMPUTED_VALUE"""),"AV. SENADOR RUI PALMEIRA, S/N")</f>
        <v>AV. SENADOR RUI PALMEIRA, S/N</v>
      </c>
      <c r="L1211" s="5" t="str">
        <f>IFERROR(__xludf.DUMMYFUNCTION("""COMPUTED_VALUE"""),"ARTERIAL ")</f>
        <v>ARTERIAL </v>
      </c>
      <c r="M1211" s="5" t="str">
        <f>IFERROR(__xludf.DUMMYFUNCTION("""COMPUTED_VALUE"""),"TRAPICHE DA BARRA")</f>
        <v>TRAPICHE DA BARRA</v>
      </c>
      <c r="N1211" s="5" t="str">
        <f>IFERROR(__xludf.DUMMYFUNCTION("""COMPUTED_VALUE"""),"CENTRO - BAIRRO")</f>
        <v>CENTRO - BAIRRO</v>
      </c>
      <c r="O1211" s="5" t="str">
        <f>IFERROR(__xludf.DUMMYFUNCTION("""COMPUTED_VALUE"""),"BARBEARIA DO JHON")</f>
        <v>BARBEARIA DO JHON</v>
      </c>
      <c r="P1211" s="5" t="str">
        <f>IFERROR(__xludf.DUMMYFUNCTION("""COMPUTED_VALUE"""),"PRIORIDADE BAIXA")</f>
        <v>PRIORIDADE BAIXA</v>
      </c>
      <c r="Q1211" s="5" t="str">
        <f>IFERROR(__xludf.DUMMYFUNCTION("""COMPUTED_VALUE"""),"LIMPEZA DA COBERTA DO ABRIGO; REMOVER PINTURA ANTIGA E FAZER NOVA PINTURA; PINTURA DA BAIA NO ASFALTO; ADEQUAÇÃO DA CALÇADA (RAMPA DE ACESSIBILIDADE E PISO TÁTIL); REFORMA NO CANTEIRO DEIXANDO PASSAGEM PARA UM CADEIRANTE PASSAR.")</f>
        <v>LIMPEZA DA COBERTA DO ABRIGO; REMOVER PINTURA ANTIGA E FAZER NOVA PINTURA; PINTURA DA BAIA NO ASFALTO; ADEQUAÇÃO DA CALÇADA (RAMPA DE ACESSIBILIDADE E PISO TÁTIL); REFORMA NO CANTEIRO DEIXANDO PASSAGEM PARA UM CADEIRANTE PASSAR.</v>
      </c>
      <c r="R1211" s="5" t="str">
        <f>IFERROR(__xludf.DUMMYFUNCTION("""COMPUTED_VALUE"""),"SUBSTITUIR ABRIGO")</f>
        <v>SUBSTITUIR ABRIGO</v>
      </c>
      <c r="S1211" s="7">
        <f>IFERROR(__xludf.DUMMYFUNCTION("""COMPUTED_VALUE"""),44575.0)</f>
        <v>44575</v>
      </c>
      <c r="T1211" s="5"/>
      <c r="U1211" s="7">
        <f>IFERROR(__xludf.DUMMYFUNCTION("""COMPUTED_VALUE"""),44575.0)</f>
        <v>44575</v>
      </c>
      <c r="V1211" s="9" t="str">
        <f>IFERROR(__xludf.DUMMYFUNCTION("""COMPUTED_VALUE"""),"https://drive.google.com/uc?id=1uWeMs6zvasaOzd8oTViU1OQBIo642DQz")</f>
        <v>https://drive.google.com/uc?id=1uWeMs6zvasaOzd8oTViU1OQBIo642DQz</v>
      </c>
      <c r="W1211" s="5" t="str">
        <f>IFERROR(__xludf.DUMMYFUNCTION("""COMPUTED_VALUE"""),"NÃO")</f>
        <v>NÃO</v>
      </c>
      <c r="X1211" s="5" t="str">
        <f>IFERROR(__xludf.DUMMYFUNCTION("""COMPUTED_VALUE"""),"NÃO SE APLICA")</f>
        <v>NÃO SE APLICA</v>
      </c>
    </row>
    <row r="1212" hidden="1">
      <c r="A1212" s="5">
        <f>IFERROR(__xludf.DUMMYFUNCTION("""COMPUTED_VALUE"""),2.0)</f>
        <v>2</v>
      </c>
      <c r="B1212" s="5" t="str">
        <f>IFERROR(__xludf.DUMMYFUNCTION("""COMPUTED_VALUE"""),"TR015")</f>
        <v>TR015</v>
      </c>
      <c r="C1212" s="5" t="str">
        <f>IFERROR(__xludf.DUMMYFUNCTION("""COMPUTED_VALUE"""),"NÃO POSSUI")</f>
        <v>NÃO POSSUI</v>
      </c>
      <c r="D1212" s="5" t="str">
        <f>IFERROR(__xludf.DUMMYFUNCTION("""COMPUTED_VALUE"""),"FIXADA EM POSTE")</f>
        <v>FIXADA EM POSTE</v>
      </c>
      <c r="E1212" s="5" t="str">
        <f>IFERROR(__xludf.DUMMYFUNCTION("""COMPUTED_VALUE"""),"SEM BAIA")</f>
        <v>SEM BAIA</v>
      </c>
      <c r="F1212" s="5" t="str">
        <f>IFERROR(__xludf.DUMMYFUNCTION("""COMPUTED_VALUE"""),"NÃO")</f>
        <v>NÃO</v>
      </c>
      <c r="G1212" s="5" t="str">
        <f>IFERROR(__xludf.DUMMYFUNCTION("""COMPUTED_VALUE"""),"NÃO")</f>
        <v>NÃO</v>
      </c>
      <c r="H1212" s="5" t="str">
        <f>IFERROR(__xludf.DUMMYFUNCTION("""COMPUTED_VALUE"""),"PAVIMENTADA")</f>
        <v>PAVIMENTADA</v>
      </c>
      <c r="I1212" s="6" t="str">
        <f>IFERROR(__xludf.DUMMYFUNCTION("""COMPUTED_VALUE"""),"-9.667887")</f>
        <v>-9.667887</v>
      </c>
      <c r="J1212" s="6" t="str">
        <f>IFERROR(__xludf.DUMMYFUNCTION("""COMPUTED_VALUE"""),"-35.764312")</f>
        <v>-35.764312</v>
      </c>
      <c r="K1212" s="5" t="str">
        <f>IFERROR(__xludf.DUMMYFUNCTION("""COMPUTED_VALUE"""),"AV. SENADOR RUI PALMEIRA, S/N")</f>
        <v>AV. SENADOR RUI PALMEIRA, S/N</v>
      </c>
      <c r="L1212" s="5" t="str">
        <f>IFERROR(__xludf.DUMMYFUNCTION("""COMPUTED_VALUE"""),"ARTERIAL ")</f>
        <v>ARTERIAL </v>
      </c>
      <c r="M1212" s="5" t="str">
        <f>IFERROR(__xludf.DUMMYFUNCTION("""COMPUTED_VALUE"""),"TRAPICHE DA BARRA")</f>
        <v>TRAPICHE DA BARRA</v>
      </c>
      <c r="N1212" s="5" t="str">
        <f>IFERROR(__xludf.DUMMYFUNCTION("""COMPUTED_VALUE"""),"CENTRO - BAIRRO")</f>
        <v>CENTRO - BAIRRO</v>
      </c>
      <c r="O1212" s="5" t="str">
        <f>IFERROR(__xludf.DUMMYFUNCTION("""COMPUTED_VALUE"""),"SLF FRIOS EM GERAL")</f>
        <v>SLF FRIOS EM GERAL</v>
      </c>
      <c r="P1212" s="5" t="str">
        <f>IFERROR(__xludf.DUMMYFUNCTION("""COMPUTED_VALUE"""),"PRIORIDADE BAIXA")</f>
        <v>PRIORIDADE BAIXA</v>
      </c>
      <c r="Q1212" s="5" t="str">
        <f>IFERROR(__xludf.DUMMYFUNCTION("""COMPUTED_VALUE"""),"PINTURA DA BAIA NO ASFALTO; ADEQUAÇÃO DA CALÇADA (RAMPA DE ACESSIBILIDADE E PISO TÁTIL); REFORMA NO CANTEIRO DEIXANDO PASSAGEM PARA UM CADEIRANTE PASSAR.")</f>
        <v>PINTURA DA BAIA NO ASFALTO; ADEQUAÇÃO DA CALÇADA (RAMPA DE ACESSIBILIDADE E PISO TÁTIL); REFORMA NO CANTEIRO DEIXANDO PASSAGEM PARA UM CADEIRANTE PASSAR.</v>
      </c>
      <c r="R1212" s="5" t="str">
        <f>IFERROR(__xludf.DUMMYFUNCTION("""COMPUTED_VALUE"""),"IMPLANTAR ABRIGO")</f>
        <v>IMPLANTAR ABRIGO</v>
      </c>
      <c r="S1212" s="7">
        <f>IFERROR(__xludf.DUMMYFUNCTION("""COMPUTED_VALUE"""),44576.0)</f>
        <v>44576</v>
      </c>
      <c r="T1212" s="5"/>
      <c r="U1212" s="7">
        <f>IFERROR(__xludf.DUMMYFUNCTION("""COMPUTED_VALUE"""),44576.0)</f>
        <v>44576</v>
      </c>
      <c r="V1212" s="9" t="str">
        <f>IFERROR(__xludf.DUMMYFUNCTION("""COMPUTED_VALUE"""),"https://drive.google.com/uc?id=1FoKfSA3tirHBPS6tQmOAabEk4baZkbBR")</f>
        <v>https://drive.google.com/uc?id=1FoKfSA3tirHBPS6tQmOAabEk4baZkbBR</v>
      </c>
      <c r="W1212" s="5" t="str">
        <f>IFERROR(__xludf.DUMMYFUNCTION("""COMPUTED_VALUE"""),"NÃO")</f>
        <v>NÃO</v>
      </c>
      <c r="X1212" s="5" t="str">
        <f>IFERROR(__xludf.DUMMYFUNCTION("""COMPUTED_VALUE"""),"NÃO SE APLICA")</f>
        <v>NÃO SE APLICA</v>
      </c>
    </row>
    <row r="1213" hidden="1">
      <c r="A1213" s="5">
        <f>IFERROR(__xludf.DUMMYFUNCTION("""COMPUTED_VALUE"""),2.0)</f>
        <v>2</v>
      </c>
      <c r="B1213" s="5" t="str">
        <f>IFERROR(__xludf.DUMMYFUNCTION("""COMPUTED_VALUE"""),"TR016")</f>
        <v>TR016</v>
      </c>
      <c r="C1213" s="5" t="str">
        <f>IFERROR(__xludf.DUMMYFUNCTION("""COMPUTED_VALUE"""),"NÃO POSSUI")</f>
        <v>NÃO POSSUI</v>
      </c>
      <c r="D1213" s="5" t="str">
        <f>IFERROR(__xludf.DUMMYFUNCTION("""COMPUTED_VALUE"""),"FIXADA EM POSTE")</f>
        <v>FIXADA EM POSTE</v>
      </c>
      <c r="E1213" s="5" t="str">
        <f>IFERROR(__xludf.DUMMYFUNCTION("""COMPUTED_VALUE"""),"SEM BAIA")</f>
        <v>SEM BAIA</v>
      </c>
      <c r="F1213" s="5" t="str">
        <f>IFERROR(__xludf.DUMMYFUNCTION("""COMPUTED_VALUE"""),"NÃO")</f>
        <v>NÃO</v>
      </c>
      <c r="G1213" s="5" t="str">
        <f>IFERROR(__xludf.DUMMYFUNCTION("""COMPUTED_VALUE"""),"NÃO")</f>
        <v>NÃO</v>
      </c>
      <c r="H1213" s="5" t="str">
        <f>IFERROR(__xludf.DUMMYFUNCTION("""COMPUTED_VALUE"""),"PAVIMENTADA")</f>
        <v>PAVIMENTADA</v>
      </c>
      <c r="I1213" s="6" t="str">
        <f>IFERROR(__xludf.DUMMYFUNCTION("""COMPUTED_VALUE"""),"-9.667887")</f>
        <v>-9.667887</v>
      </c>
      <c r="J1213" s="6" t="str">
        <f>IFERROR(__xludf.DUMMYFUNCTION("""COMPUTED_VALUE"""),"-35.764312")</f>
        <v>-35.764312</v>
      </c>
      <c r="K1213" s="5" t="str">
        <f>IFERROR(__xludf.DUMMYFUNCTION("""COMPUTED_VALUE"""),"AV. SENADOR RUI PALMEIRA, S/N")</f>
        <v>AV. SENADOR RUI PALMEIRA, S/N</v>
      </c>
      <c r="L1213" s="5" t="str">
        <f>IFERROR(__xludf.DUMMYFUNCTION("""COMPUTED_VALUE"""),"ARTERIAL ")</f>
        <v>ARTERIAL </v>
      </c>
      <c r="M1213" s="5" t="str">
        <f>IFERROR(__xludf.DUMMYFUNCTION("""COMPUTED_VALUE"""),"TRAPICHE DA BARRA")</f>
        <v>TRAPICHE DA BARRA</v>
      </c>
      <c r="N1213" s="5" t="str">
        <f>IFERROR(__xludf.DUMMYFUNCTION("""COMPUTED_VALUE"""),"CENTRO - BAIRRO")</f>
        <v>CENTRO - BAIRRO</v>
      </c>
      <c r="O1213" s="5"/>
      <c r="P1213" s="5" t="str">
        <f>IFERROR(__xludf.DUMMYFUNCTION("""COMPUTED_VALUE"""),"PRIORIDADE BAIXA")</f>
        <v>PRIORIDADE BAIXA</v>
      </c>
      <c r="Q1213" s="5" t="str">
        <f>IFERROR(__xludf.DUMMYFUNCTION("""COMPUTED_VALUE"""),"IMPLANTAR ABRIGO; PINTURA DA BAIA NO ASFALTO; ADEQUAÇÃO DA CALÇADA (RAMPA DE ACESSIBILIDADE E PISO TÁTIL); REFORMA NO CANTEIRO DEIXANDO PASSAGEM PARA UM CADEIRANTE PASSAR.")</f>
        <v>IMPLANTAR ABRIGO; PINTURA DA BAIA NO ASFALTO; ADEQUAÇÃO DA CALÇADA (RAMPA DE ACESSIBILIDADE E PISO TÁTIL); REFORMA NO CANTEIRO DEIXANDO PASSAGEM PARA UM CADEIRANTE PASSAR.</v>
      </c>
      <c r="R1213" s="5" t="str">
        <f>IFERROR(__xludf.DUMMYFUNCTION("""COMPUTED_VALUE"""),"IMPLANTAR ABRIGO")</f>
        <v>IMPLANTAR ABRIGO</v>
      </c>
      <c r="S1213" s="7">
        <f>IFERROR(__xludf.DUMMYFUNCTION("""COMPUTED_VALUE"""),44577.0)</f>
        <v>44577</v>
      </c>
      <c r="T1213" s="5"/>
      <c r="U1213" s="7">
        <f>IFERROR(__xludf.DUMMYFUNCTION("""COMPUTED_VALUE"""),44577.0)</f>
        <v>44577</v>
      </c>
      <c r="V1213" s="9" t="str">
        <f>IFERROR(__xludf.DUMMYFUNCTION("""COMPUTED_VALUE"""),"https://drive.google.com/uc?id=1AdGKQjg0rUxRrHb0ZIFXKzUqLjymUlSF")</f>
        <v>https://drive.google.com/uc?id=1AdGKQjg0rUxRrHb0ZIFXKzUqLjymUlSF</v>
      </c>
      <c r="W1213" s="5" t="str">
        <f>IFERROR(__xludf.DUMMYFUNCTION("""COMPUTED_VALUE"""),"NÃO")</f>
        <v>NÃO</v>
      </c>
      <c r="X1213" s="5" t="str">
        <f>IFERROR(__xludf.DUMMYFUNCTION("""COMPUTED_VALUE"""),"NÃO SE APLICA")</f>
        <v>NÃO SE APLICA</v>
      </c>
    </row>
    <row r="1214" hidden="1">
      <c r="A1214" s="5">
        <f>IFERROR(__xludf.DUMMYFUNCTION("""COMPUTED_VALUE"""),2.0)</f>
        <v>2</v>
      </c>
      <c r="B1214" s="5" t="str">
        <f>IFERROR(__xludf.DUMMYFUNCTION("""COMPUTED_VALUE"""),"TR017")</f>
        <v>TR017</v>
      </c>
      <c r="C1214" s="5" t="str">
        <f>IFERROR(__xludf.DUMMYFUNCTION("""COMPUTED_VALUE"""),"NÃO POSSUI")</f>
        <v>NÃO POSSUI</v>
      </c>
      <c r="D1214" s="5" t="str">
        <f>IFERROR(__xludf.DUMMYFUNCTION("""COMPUTED_VALUE"""),"FIXADA EM POSTE")</f>
        <v>FIXADA EM POSTE</v>
      </c>
      <c r="E1214" s="5" t="str">
        <f>IFERROR(__xludf.DUMMYFUNCTION("""COMPUTED_VALUE"""),"SEM BAIA")</f>
        <v>SEM BAIA</v>
      </c>
      <c r="F1214" s="5" t="str">
        <f>IFERROR(__xludf.DUMMYFUNCTION("""COMPUTED_VALUE"""),"NÃO")</f>
        <v>NÃO</v>
      </c>
      <c r="G1214" s="5" t="str">
        <f>IFERROR(__xludf.DUMMYFUNCTION("""COMPUTED_VALUE"""),"NÃO")</f>
        <v>NÃO</v>
      </c>
      <c r="H1214" s="5" t="str">
        <f>IFERROR(__xludf.DUMMYFUNCTION("""COMPUTED_VALUE"""),"NÃO PAVIMENTADA")</f>
        <v>NÃO PAVIMENTADA</v>
      </c>
      <c r="I1214" s="6" t="str">
        <f>IFERROR(__xludf.DUMMYFUNCTION("""COMPUTED_VALUE"""),"-9.673526")</f>
        <v>-9.673526</v>
      </c>
      <c r="J1214" s="6" t="str">
        <f>IFERROR(__xludf.DUMMYFUNCTION("""COMPUTED_VALUE"""),"-35.764177")</f>
        <v>-35.764177</v>
      </c>
      <c r="K1214" s="5" t="str">
        <f>IFERROR(__xludf.DUMMYFUNCTION("""COMPUTED_VALUE"""),"AV. SENADOR RUI PALMEIRA")</f>
        <v>AV. SENADOR RUI PALMEIRA</v>
      </c>
      <c r="L1214" s="5" t="str">
        <f>IFERROR(__xludf.DUMMYFUNCTION("""COMPUTED_VALUE"""),"ARTERIAL ")</f>
        <v>ARTERIAL </v>
      </c>
      <c r="M1214" s="5" t="str">
        <f>IFERROR(__xludf.DUMMYFUNCTION("""COMPUTED_VALUE"""),"TRAPICHE DA BARRA")</f>
        <v>TRAPICHE DA BARRA</v>
      </c>
      <c r="N1214" s="5" t="str">
        <f>IFERROR(__xludf.DUMMYFUNCTION("""COMPUTED_VALUE"""),"CENTRO - BAIRRO")</f>
        <v>CENTRO - BAIRRO</v>
      </c>
      <c r="O1214" s="5" t="str">
        <f>IFERROR(__xludf.DUMMYFUNCTION("""COMPUTED_VALUE"""),"REAL CONSTRUÇÕES")</f>
        <v>REAL CONSTRUÇÕES</v>
      </c>
      <c r="P1214" s="5" t="str">
        <f>IFERROR(__xludf.DUMMYFUNCTION("""COMPUTED_VALUE"""),"PRIORIDADE MÉDIA")</f>
        <v>PRIORIDADE MÉDIA</v>
      </c>
      <c r="Q1214" s="5" t="str">
        <f>IFERROR(__xludf.DUMMYFUNCTION("""COMPUTED_VALUE"""),"IMPLANTAR PLACA FIXADA NO SEGUNDO POSTE APÓS PONTO DE REFERÊNCIA; IMPLANTAR ABRIGO; PINTURA DA BAIA NO ASFALTO; PAVIEMENTAÇÃO DA CALÇADA; ADEQUAÇÃO DA CALÇADA (RAMPA DE ACESSIBILIDADE E PISO TÁTIL); REFORMA NO CANTEIRO DEIXANDO PASSAGEM PARA UM CADEIRANTE"&amp;" PASSAR.")</f>
        <v>IMPLANTAR PLACA FIXADA NO SEGUNDO POSTE APÓS PONTO DE REFERÊNCIA; IMPLANTAR ABRIGO; PINTURA DA BAIA NO ASFALTO; PAVIEMENTAÇÃO DA CALÇADA; ADEQUAÇÃO DA CALÇADA (RAMPA DE ACESSIBILIDADE E PISO TÁTIL); REFORMA NO CANTEIRO DEIXANDO PASSAGEM PARA UM CADEIRANTE PASSAR.</v>
      </c>
      <c r="R1214" s="5" t="str">
        <f>IFERROR(__xludf.DUMMYFUNCTION("""COMPUTED_VALUE"""),"NENHUMA DAS OPÇÕES")</f>
        <v>NENHUMA DAS OPÇÕES</v>
      </c>
      <c r="S1214" s="7">
        <f>IFERROR(__xludf.DUMMYFUNCTION("""COMPUTED_VALUE"""),44578.0)</f>
        <v>44578</v>
      </c>
      <c r="T1214" s="5"/>
      <c r="U1214" s="7">
        <f>IFERROR(__xludf.DUMMYFUNCTION("""COMPUTED_VALUE"""),45158.0)</f>
        <v>45158</v>
      </c>
      <c r="V1214" s="9" t="str">
        <f>IFERROR(__xludf.DUMMYFUNCTION("""COMPUTED_VALUE"""),"https://drive.google.com/uc?id=1oqwo1ku_-_BloHRrAx2MCl43q-3bfGRV")</f>
        <v>https://drive.google.com/uc?id=1oqwo1ku_-_BloHRrAx2MCl43q-3bfGRV</v>
      </c>
      <c r="W1214" s="5" t="str">
        <f>IFERROR(__xludf.DUMMYFUNCTION("""COMPUTED_VALUE"""),"NÃO")</f>
        <v>NÃO</v>
      </c>
      <c r="X1214" s="5" t="str">
        <f>IFERROR(__xludf.DUMMYFUNCTION("""COMPUTED_VALUE"""),"NÃO SE APLICA")</f>
        <v>NÃO SE APLICA</v>
      </c>
    </row>
    <row r="1215" hidden="1">
      <c r="A1215" s="5">
        <f>IFERROR(__xludf.DUMMYFUNCTION("""COMPUTED_VALUE"""),2.0)</f>
        <v>2</v>
      </c>
      <c r="B1215" s="5" t="str">
        <f>IFERROR(__xludf.DUMMYFUNCTION("""COMPUTED_VALUE"""),"TR018")</f>
        <v>TR018</v>
      </c>
      <c r="C1215" s="5" t="str">
        <f>IFERROR(__xludf.DUMMYFUNCTION("""COMPUTED_VALUE"""),"NÃO POSSUI")</f>
        <v>NÃO POSSUI</v>
      </c>
      <c r="D1215" s="5" t="str">
        <f>IFERROR(__xludf.DUMMYFUNCTION("""COMPUTED_VALUE"""),"FIXADA EM POSTE")</f>
        <v>FIXADA EM POSTE</v>
      </c>
      <c r="E1215" s="5" t="str">
        <f>IFERROR(__xludf.DUMMYFUNCTION("""COMPUTED_VALUE"""),"SEM BAIA")</f>
        <v>SEM BAIA</v>
      </c>
      <c r="F1215" s="5" t="str">
        <f>IFERROR(__xludf.DUMMYFUNCTION("""COMPUTED_VALUE"""),"NÃO")</f>
        <v>NÃO</v>
      </c>
      <c r="G1215" s="5" t="str">
        <f>IFERROR(__xludf.DUMMYFUNCTION("""COMPUTED_VALUE"""),"NÃO")</f>
        <v>NÃO</v>
      </c>
      <c r="H1215" s="5" t="str">
        <f>IFERROR(__xludf.DUMMYFUNCTION("""COMPUTED_VALUE"""),"PAVIMENTADA COM AVARIAS")</f>
        <v>PAVIMENTADA COM AVARIAS</v>
      </c>
      <c r="I1215" s="6" t="str">
        <f>IFERROR(__xludf.DUMMYFUNCTION("""COMPUTED_VALUE"""),"-9.673687")</f>
        <v>-9.673687</v>
      </c>
      <c r="J1215" s="6" t="str">
        <f>IFERROR(__xludf.DUMMYFUNCTION("""COMPUTED_VALUE"""),"-35.763533")</f>
        <v>-35.763533</v>
      </c>
      <c r="K1215" s="5" t="str">
        <f>IFERROR(__xludf.DUMMYFUNCTION("""COMPUTED_VALUE"""),"AV. SENADOR RUI PALMEIRA, S/N")</f>
        <v>AV. SENADOR RUI PALMEIRA, S/N</v>
      </c>
      <c r="L1215" s="5" t="str">
        <f>IFERROR(__xludf.DUMMYFUNCTION("""COMPUTED_VALUE"""),"ARTERIAL ")</f>
        <v>ARTERIAL </v>
      </c>
      <c r="M1215" s="5" t="str">
        <f>IFERROR(__xludf.DUMMYFUNCTION("""COMPUTED_VALUE"""),"TRAPICHE DA BARRA")</f>
        <v>TRAPICHE DA BARRA</v>
      </c>
      <c r="N1215" s="5" t="str">
        <f>IFERROR(__xludf.DUMMYFUNCTION("""COMPUTED_VALUE"""),"BAIRRO - CENTRO")</f>
        <v>BAIRRO - CENTRO</v>
      </c>
      <c r="O1215" s="5" t="str">
        <f>IFERROR(__xludf.DUMMYFUNCTION("""COMPUTED_VALUE"""),"MAGO MOTOBIKE")</f>
        <v>MAGO MOTOBIKE</v>
      </c>
      <c r="P1215" s="5" t="str">
        <f>IFERROR(__xludf.DUMMYFUNCTION("""COMPUTED_VALUE"""),"PRIORIDADE BAIXA")</f>
        <v>PRIORIDADE BAIXA</v>
      </c>
      <c r="Q1215" s="5" t="str">
        <f>IFERROR(__xludf.DUMMYFUNCTION("""COMPUTED_VALUE"""),"SUBSTITUIR DA PLACA FIXADA NO POSTE; PINTURA DA BAIA NO ASFALTO; REFORMA NA CALÇADA; ADEQUAÇÃO DA CALÇADA (RAMPA DE ACESSIBILIDADE E PISO TÁTIL).")</f>
        <v>SUBSTITUIR DA PLACA FIXADA NO POSTE; PINTURA DA BAIA NO ASFALTO; REFORMA NA CALÇADA; ADEQUAÇÃO DA CALÇADA (RAMPA DE ACESSIBILIDADE E PISO TÁTIL).</v>
      </c>
      <c r="R1215" s="5" t="str">
        <f>IFERROR(__xludf.DUMMYFUNCTION("""COMPUTED_VALUE"""),"IMPLANTAR ABRIGO")</f>
        <v>IMPLANTAR ABRIGO</v>
      </c>
      <c r="S1215" s="7">
        <f>IFERROR(__xludf.DUMMYFUNCTION("""COMPUTED_VALUE"""),44579.0)</f>
        <v>44579</v>
      </c>
      <c r="T1215" s="5"/>
      <c r="U1215" s="7">
        <f>IFERROR(__xludf.DUMMYFUNCTION("""COMPUTED_VALUE"""),44579.0)</f>
        <v>44579</v>
      </c>
      <c r="V1215" s="9" t="str">
        <f>IFERROR(__xludf.DUMMYFUNCTION("""COMPUTED_VALUE"""),"https://drive.google.com/uc?id=1dIMo_eOf_vc5fYaOLRrk0gsASkB0PwT1")</f>
        <v>https://drive.google.com/uc?id=1dIMo_eOf_vc5fYaOLRrk0gsASkB0PwT1</v>
      </c>
      <c r="W1215" s="5" t="str">
        <f>IFERROR(__xludf.DUMMYFUNCTION("""COMPUTED_VALUE"""),"NÃO")</f>
        <v>NÃO</v>
      </c>
      <c r="X1215" s="5" t="str">
        <f>IFERROR(__xludf.DUMMYFUNCTION("""COMPUTED_VALUE"""),"NÃO SE APLICA")</f>
        <v>NÃO SE APLICA</v>
      </c>
    </row>
    <row r="1216">
      <c r="A1216" s="5">
        <f>IFERROR(__xludf.DUMMYFUNCTION("""COMPUTED_VALUE"""),2.0)</f>
        <v>2</v>
      </c>
      <c r="B1216" s="5" t="str">
        <f>IFERROR(__xludf.DUMMYFUNCTION("""COMPUTED_VALUE"""),"TR019")</f>
        <v>TR019</v>
      </c>
      <c r="C1216" s="5" t="str">
        <f>IFERROR(__xludf.DUMMYFUNCTION("""COMPUTED_VALUE"""),"ABRIGO CONCRETO")</f>
        <v>ABRIGO CONCRETO</v>
      </c>
      <c r="D1216" s="5" t="str">
        <f>IFERROR(__xludf.DUMMYFUNCTION("""COMPUTED_VALUE"""),"SEM PLACA")</f>
        <v>SEM PLACA</v>
      </c>
      <c r="E1216" s="5" t="str">
        <f>IFERROR(__xludf.DUMMYFUNCTION("""COMPUTED_VALUE"""),"SEM BAIA")</f>
        <v>SEM BAIA</v>
      </c>
      <c r="F1216" s="5" t="str">
        <f>IFERROR(__xludf.DUMMYFUNCTION("""COMPUTED_VALUE"""),"NÃO")</f>
        <v>NÃO</v>
      </c>
      <c r="G1216" s="5" t="str">
        <f>IFERROR(__xludf.DUMMYFUNCTION("""COMPUTED_VALUE"""),"NÃO")</f>
        <v>NÃO</v>
      </c>
      <c r="H1216" s="5" t="str">
        <f>IFERROR(__xludf.DUMMYFUNCTION("""COMPUTED_VALUE"""),"NÃO PAVIMENTADA")</f>
        <v>NÃO PAVIMENTADA</v>
      </c>
      <c r="I1216" s="6" t="str">
        <f>IFERROR(__xludf.DUMMYFUNCTION("""COMPUTED_VALUE"""),"-9.670918")</f>
        <v>-9.670918</v>
      </c>
      <c r="J1216" s="6" t="str">
        <f>IFERROR(__xludf.DUMMYFUNCTION("""COMPUTED_VALUE"""),"-35.765145")</f>
        <v>-35.765145</v>
      </c>
      <c r="K1216" s="5" t="str">
        <f>IFERROR(__xludf.DUMMYFUNCTION("""COMPUTED_VALUE"""),"AV. SENADOR RUI PALMEIRA")</f>
        <v>AV. SENADOR RUI PALMEIRA</v>
      </c>
      <c r="L1216" s="5" t="str">
        <f>IFERROR(__xludf.DUMMYFUNCTION("""COMPUTED_VALUE"""),"ARTERIAL ")</f>
        <v>ARTERIAL </v>
      </c>
      <c r="M1216" s="5" t="str">
        <f>IFERROR(__xludf.DUMMYFUNCTION("""COMPUTED_VALUE"""),"TRAPICHE DA BARRA")</f>
        <v>TRAPICHE DA BARRA</v>
      </c>
      <c r="N1216" s="5" t="str">
        <f>IFERROR(__xludf.DUMMYFUNCTION("""COMPUTED_VALUE"""),"BAIRRO - CENTRO")</f>
        <v>BAIRRO - CENTRO</v>
      </c>
      <c r="O1216" s="5" t="str">
        <f>IFERROR(__xludf.DUMMYFUNCTION("""COMPUTED_VALUE"""),"ESC. ESTADUAL MARIA RITA LYRA DE ALMEIDA")</f>
        <v>ESC. ESTADUAL MARIA RITA LYRA DE ALMEIDA</v>
      </c>
      <c r="P1216" s="5" t="str">
        <f>IFERROR(__xludf.DUMMYFUNCTION("""COMPUTED_VALUE"""),"PRIORIDADE BAIXA")</f>
        <v>PRIORIDADE BAIXA</v>
      </c>
      <c r="Q1216" s="5" t="str">
        <f>IFERROR(__xludf.DUMMYFUNCTION("""COMPUTED_VALUE"""),"LIMPEZA DA COBERTA DO ABRIGO; REMOVER PINTURA ANTIGA E FAZER NOVA PINTURA; PINTURA DA BAIA NO ASFALTO; PAVIMENTAÇÃO DA CALÇADA; ADEQUAÇÃO DA CALÇADA (RAMPA DE ACESSIBILIDADE E PISO TÁTIL); REFORMA NO CANTEIRO DEIXANDO PASSAGEM PARA UM CADEIRANTE PASSAR.")</f>
        <v>LIMPEZA DA COBERTA DO ABRIGO; REMOVER PINTURA ANTIGA E FAZER NOVA PINTURA; PINTURA DA BAIA NO ASFALTO; PAVIMENTAÇÃO DA CALÇADA; ADEQUAÇÃO DA CALÇADA (RAMPA DE ACESSIBILIDADE E PISO TÁTIL); REFORMA NO CANTEIRO DEIXANDO PASSAGEM PARA UM CADEIRANTE PASSAR.</v>
      </c>
      <c r="R1216" s="5" t="str">
        <f>IFERROR(__xludf.DUMMYFUNCTION("""COMPUTED_VALUE"""),"SUBSTITUIR ABRIGO")</f>
        <v>SUBSTITUIR ABRIGO</v>
      </c>
      <c r="S1216" s="7">
        <f>IFERROR(__xludf.DUMMYFUNCTION("""COMPUTED_VALUE"""),44580.0)</f>
        <v>44580</v>
      </c>
      <c r="T1216" s="5"/>
      <c r="U1216" s="7">
        <f>IFERROR(__xludf.DUMMYFUNCTION("""COMPUTED_VALUE"""),44580.0)</f>
        <v>44580</v>
      </c>
      <c r="V1216" s="9" t="str">
        <f>IFERROR(__xludf.DUMMYFUNCTION("""COMPUTED_VALUE"""),"https://drive.google.com/uc?id=1MKfICqSseDf0F1SCa5y6n54oWXAmHDSf")</f>
        <v>https://drive.google.com/uc?id=1MKfICqSseDf0F1SCa5y6n54oWXAmHDSf</v>
      </c>
      <c r="W1216" s="5" t="str">
        <f>IFERROR(__xludf.DUMMYFUNCTION("""COMPUTED_VALUE"""),"NÃO")</f>
        <v>NÃO</v>
      </c>
      <c r="X1216" s="5" t="str">
        <f>IFERROR(__xludf.DUMMYFUNCTION("""COMPUTED_VALUE"""),"NÃO SE APLICA")</f>
        <v>NÃO SE APLICA</v>
      </c>
    </row>
    <row r="1217" hidden="1">
      <c r="A1217" s="5">
        <f>IFERROR(__xludf.DUMMYFUNCTION("""COMPUTED_VALUE"""),2.0)</f>
        <v>2</v>
      </c>
      <c r="B1217" s="5" t="str">
        <f>IFERROR(__xludf.DUMMYFUNCTION("""COMPUTED_VALUE"""),"TR020")</f>
        <v>TR020</v>
      </c>
      <c r="C1217" s="5" t="str">
        <f>IFERROR(__xludf.DUMMYFUNCTION("""COMPUTED_VALUE"""),"NÃO POSSUI")</f>
        <v>NÃO POSSUI</v>
      </c>
      <c r="D1217" s="5" t="str">
        <f>IFERROR(__xludf.DUMMYFUNCTION("""COMPUTED_VALUE"""),"SEM PLACA")</f>
        <v>SEM PLACA</v>
      </c>
      <c r="E1217" s="5" t="str">
        <f>IFERROR(__xludf.DUMMYFUNCTION("""COMPUTED_VALUE"""),"SEM BAIA")</f>
        <v>SEM BAIA</v>
      </c>
      <c r="F1217" s="5" t="str">
        <f>IFERROR(__xludf.DUMMYFUNCTION("""COMPUTED_VALUE"""),"NÃO")</f>
        <v>NÃO</v>
      </c>
      <c r="G1217" s="5" t="str">
        <f>IFERROR(__xludf.DUMMYFUNCTION("""COMPUTED_VALUE"""),"NÃO")</f>
        <v>NÃO</v>
      </c>
      <c r="H1217" s="5" t="str">
        <f>IFERROR(__xludf.DUMMYFUNCTION("""COMPUTED_VALUE"""),"NÃO PAVIMENTADA")</f>
        <v>NÃO PAVIMENTADA</v>
      </c>
      <c r="I1217" s="6" t="str">
        <f>IFERROR(__xludf.DUMMYFUNCTION("""COMPUTED_VALUE"""),"-9.668517")</f>
        <v>-9.668517</v>
      </c>
      <c r="J1217" s="6" t="str">
        <f>IFERROR(__xludf.DUMMYFUNCTION("""COMPUTED_VALUE"""),"-35.764741")</f>
        <v>-35.764741</v>
      </c>
      <c r="K1217" s="5" t="str">
        <f>IFERROR(__xludf.DUMMYFUNCTION("""COMPUTED_VALUE"""),"AV. SENADOR RUI PALMEIRA")</f>
        <v>AV. SENADOR RUI PALMEIRA</v>
      </c>
      <c r="L1217" s="5" t="str">
        <f>IFERROR(__xludf.DUMMYFUNCTION("""COMPUTED_VALUE"""),"ARTERIAL ")</f>
        <v>ARTERIAL </v>
      </c>
      <c r="M1217" s="5" t="str">
        <f>IFERROR(__xludf.DUMMYFUNCTION("""COMPUTED_VALUE"""),"TRAPICHE DA BARRA")</f>
        <v>TRAPICHE DA BARRA</v>
      </c>
      <c r="N1217" s="5" t="str">
        <f>IFERROR(__xludf.DUMMYFUNCTION("""COMPUTED_VALUE"""),"BAIRRO - CENTRO")</f>
        <v>BAIRRO - CENTRO</v>
      </c>
      <c r="O1217" s="5" t="str">
        <f>IFERROR(__xludf.DUMMYFUNCTION("""COMPUTED_VALUE"""),"ESCOLA ESTADUAL MARIA RITA LYRA DE ALMEIDA")</f>
        <v>ESCOLA ESTADUAL MARIA RITA LYRA DE ALMEIDA</v>
      </c>
      <c r="P1217" s="5" t="str">
        <f>IFERROR(__xludf.DUMMYFUNCTION("""COMPUTED_VALUE"""),"PRIORIDADE MÉDIA")</f>
        <v>PRIORIDADE MÉDIA</v>
      </c>
      <c r="Q1217" s="5" t="str">
        <f>IFERROR(__xludf.DUMMYFUNCTION("""COMPUTED_VALUE"""),"IMPLANTAR ABRIGO; IMPLANTAR PLACA COM SUPORTE DE MADEIRA; PINTURA DA BAIA NO ASFALTO; PAVIMENTAÇÃO DA CALÇADA; ADEQUAÇÃO DA CALÇADA (RAMPA DE ACESSIBILIDADE E PISO TÁTIL); REFORMA NO CANTEIRO DEIXANDO PASSAGEM PARA UM CADEIRANTE PASSAR.")</f>
        <v>IMPLANTAR ABRIGO; IMPLANTAR PLACA COM SUPORTE DE MADEIRA; PINTURA DA BAIA NO ASFALTO; PAVIMENTAÇÃO DA CALÇADA; ADEQUAÇÃO DA CALÇADA (RAMPA DE ACESSIBILIDADE E PISO TÁTIL); REFORMA NO CANTEIRO DEIXANDO PASSAGEM PARA UM CADEIRANTE PASSAR.</v>
      </c>
      <c r="R1217" s="5" t="str">
        <f>IFERROR(__xludf.DUMMYFUNCTION("""COMPUTED_VALUE"""),"IMPLANTAR ABRIGO")</f>
        <v>IMPLANTAR ABRIGO</v>
      </c>
      <c r="S1217" s="7">
        <f>IFERROR(__xludf.DUMMYFUNCTION("""COMPUTED_VALUE"""),44581.0)</f>
        <v>44581</v>
      </c>
      <c r="T1217" s="5"/>
      <c r="U1217" s="7">
        <f>IFERROR(__xludf.DUMMYFUNCTION("""COMPUTED_VALUE"""),44581.0)</f>
        <v>44581</v>
      </c>
      <c r="V1217" s="9" t="str">
        <f>IFERROR(__xludf.DUMMYFUNCTION("""COMPUTED_VALUE"""),"https://drive.google.com/uc?id=1vIgF7v6038wSJdZvQ-kiuzrVMLgNfAga")</f>
        <v>https://drive.google.com/uc?id=1vIgF7v6038wSJdZvQ-kiuzrVMLgNfAga</v>
      </c>
      <c r="W1217" s="5" t="str">
        <f>IFERROR(__xludf.DUMMYFUNCTION("""COMPUTED_VALUE"""),"NÃO")</f>
        <v>NÃO</v>
      </c>
      <c r="X1217" s="5" t="str">
        <f>IFERROR(__xludf.DUMMYFUNCTION("""COMPUTED_VALUE"""),"NÃO SE APLICA")</f>
        <v>NÃO SE APLICA</v>
      </c>
    </row>
    <row r="1218" hidden="1">
      <c r="A1218" s="5">
        <f>IFERROR(__xludf.DUMMYFUNCTION("""COMPUTED_VALUE"""),2.0)</f>
        <v>2</v>
      </c>
      <c r="B1218" s="5" t="str">
        <f>IFERROR(__xludf.DUMMYFUNCTION("""COMPUTED_VALUE"""),"TR021")</f>
        <v>TR021</v>
      </c>
      <c r="C1218" s="5" t="str">
        <f>IFERROR(__xludf.DUMMYFUNCTION("""COMPUTED_VALUE"""),"NÃO POSSUI")</f>
        <v>NÃO POSSUI</v>
      </c>
      <c r="D1218" s="5" t="str">
        <f>IFERROR(__xludf.DUMMYFUNCTION("""COMPUTED_VALUE"""),"SEM PLACA")</f>
        <v>SEM PLACA</v>
      </c>
      <c r="E1218" s="5" t="str">
        <f>IFERROR(__xludf.DUMMYFUNCTION("""COMPUTED_VALUE"""),"SEM BAIA")</f>
        <v>SEM BAIA</v>
      </c>
      <c r="F1218" s="5" t="str">
        <f>IFERROR(__xludf.DUMMYFUNCTION("""COMPUTED_VALUE"""),"NÃO")</f>
        <v>NÃO</v>
      </c>
      <c r="G1218" s="5" t="str">
        <f>IFERROR(__xludf.DUMMYFUNCTION("""COMPUTED_VALUE"""),"NÃO")</f>
        <v>NÃO</v>
      </c>
      <c r="H1218" s="5" t="str">
        <f>IFERROR(__xludf.DUMMYFUNCTION("""COMPUTED_VALUE"""),"PAVIMENTADA COM AVARIAS")</f>
        <v>PAVIMENTADA COM AVARIAS</v>
      </c>
      <c r="I1218" s="6" t="str">
        <f>IFERROR(__xludf.DUMMYFUNCTION("""COMPUTED_VALUE"""),"-9.664164")</f>
        <v>-9.664164</v>
      </c>
      <c r="J1218" s="6" t="str">
        <f>IFERROR(__xludf.DUMMYFUNCTION("""COMPUTED_VALUE"""),"-35.764449")</f>
        <v>-35.764449</v>
      </c>
      <c r="K1218" s="5" t="str">
        <f>IFERROR(__xludf.DUMMYFUNCTION("""COMPUTED_VALUE"""),"AV. SENADOR RUI PALMEIRA")</f>
        <v>AV. SENADOR RUI PALMEIRA</v>
      </c>
      <c r="L1218" s="5" t="str">
        <f>IFERROR(__xludf.DUMMYFUNCTION("""COMPUTED_VALUE"""),"ARTERIAL ")</f>
        <v>ARTERIAL </v>
      </c>
      <c r="M1218" s="5" t="str">
        <f>IFERROR(__xludf.DUMMYFUNCTION("""COMPUTED_VALUE"""),"TRAPICHE DA BARRA")</f>
        <v>TRAPICHE DA BARRA</v>
      </c>
      <c r="N1218" s="5" t="str">
        <f>IFERROR(__xludf.DUMMYFUNCTION("""COMPUTED_VALUE"""),"BAIRRO - CENTRO")</f>
        <v>BAIRRO - CENTRO</v>
      </c>
      <c r="O1218" s="5" t="str">
        <f>IFERROR(__xludf.DUMMYFUNCTION("""COMPUTED_VALUE"""),"1º BATALHÃO DA POLÍCIA MILITAR")</f>
        <v>1º BATALHÃO DA POLÍCIA MILITAR</v>
      </c>
      <c r="P1218" s="5" t="str">
        <f>IFERROR(__xludf.DUMMYFUNCTION("""COMPUTED_VALUE"""),"PRIORIDADE MÉDIA")</f>
        <v>PRIORIDADE MÉDIA</v>
      </c>
      <c r="Q1218" s="5" t="str">
        <f>IFERROR(__xludf.DUMMYFUNCTION("""COMPUTED_VALUE"""),"IMPLANTAR ABRIGO; IMPLANTAR PLACA COM SUPORTE DE MADEIRA; PINTURA DA BAIA NO ASFALTO; PAVIMENTAÇÃO DA CALÇADA; ADEQUAÇÃO DA CALÇADA (RAMPA DE ACESSIBILIDADE E PISO TÁTIL); REFORMA NO CANTEIRO DEIXANDO PASSAGEM PARA UM CADEIRANTE PASSAR.")</f>
        <v>IMPLANTAR ABRIGO; IMPLANTAR PLACA COM SUPORTE DE MADEIRA; PINTURA DA BAIA NO ASFALTO; PAVIMENTAÇÃO DA CALÇADA; ADEQUAÇÃO DA CALÇADA (RAMPA DE ACESSIBILIDADE E PISO TÁTIL); REFORMA NO CANTEIRO DEIXANDO PASSAGEM PARA UM CADEIRANTE PASSAR.</v>
      </c>
      <c r="R1218" s="5" t="str">
        <f>IFERROR(__xludf.DUMMYFUNCTION("""COMPUTED_VALUE"""),"IMPLANTAR ABRIGO")</f>
        <v>IMPLANTAR ABRIGO</v>
      </c>
      <c r="S1218" s="7">
        <f>IFERROR(__xludf.DUMMYFUNCTION("""COMPUTED_VALUE"""),44582.0)</f>
        <v>44582</v>
      </c>
      <c r="T1218" s="5"/>
      <c r="U1218" s="7">
        <f>IFERROR(__xludf.DUMMYFUNCTION("""COMPUTED_VALUE"""),44582.0)</f>
        <v>44582</v>
      </c>
      <c r="V1218" s="9" t="str">
        <f>IFERROR(__xludf.DUMMYFUNCTION("""COMPUTED_VALUE"""),"https://drive.google.com/uc?id=1jvj1r8JN-aG8d1agua8JALI8jL-KuFnI")</f>
        <v>https://drive.google.com/uc?id=1jvj1r8JN-aG8d1agua8JALI8jL-KuFnI</v>
      </c>
      <c r="W1218" s="5" t="str">
        <f>IFERROR(__xludf.DUMMYFUNCTION("""COMPUTED_VALUE"""),"NÃO")</f>
        <v>NÃO</v>
      </c>
      <c r="X1218" s="5" t="str">
        <f>IFERROR(__xludf.DUMMYFUNCTION("""COMPUTED_VALUE"""),"NÃO SE APLICA")</f>
        <v>NÃO SE APLICA</v>
      </c>
    </row>
    <row r="1219" hidden="1">
      <c r="A1219" s="5">
        <f>IFERROR(__xludf.DUMMYFUNCTION("""COMPUTED_VALUE"""),2.0)</f>
        <v>2</v>
      </c>
      <c r="B1219" s="5" t="str">
        <f>IFERROR(__xludf.DUMMYFUNCTION("""COMPUTED_VALUE"""),"TR022")</f>
        <v>TR022</v>
      </c>
      <c r="C1219" s="5" t="str">
        <f>IFERROR(__xludf.DUMMYFUNCTION("""COMPUTED_VALUE"""),"NÃO POSSUI")</f>
        <v>NÃO POSSUI</v>
      </c>
      <c r="D1219" s="5" t="str">
        <f>IFERROR(__xludf.DUMMYFUNCTION("""COMPUTED_VALUE"""),"FIXADA EM POSTE")</f>
        <v>FIXADA EM POSTE</v>
      </c>
      <c r="E1219" s="5" t="str">
        <f>IFERROR(__xludf.DUMMYFUNCTION("""COMPUTED_VALUE"""),"SEM BAIA")</f>
        <v>SEM BAIA</v>
      </c>
      <c r="F1219" s="5" t="str">
        <f>IFERROR(__xludf.DUMMYFUNCTION("""COMPUTED_VALUE"""),"NÃO")</f>
        <v>NÃO</v>
      </c>
      <c r="G1219" s="5" t="str">
        <f>IFERROR(__xludf.DUMMYFUNCTION("""COMPUTED_VALUE"""),"NÃO")</f>
        <v>NÃO</v>
      </c>
      <c r="H1219" s="5" t="str">
        <f>IFERROR(__xludf.DUMMYFUNCTION("""COMPUTED_VALUE"""),"PAVIMENTADA")</f>
        <v>PAVIMENTADA</v>
      </c>
      <c r="I1219" s="6" t="str">
        <f>IFERROR(__xludf.DUMMYFUNCTION("""COMPUTED_VALUE"""),"-9.672028")</f>
        <v>-9.672028</v>
      </c>
      <c r="J1219" s="6" t="str">
        <f>IFERROR(__xludf.DUMMYFUNCTION("""COMPUTED_VALUE"""),"-35.760534")</f>
        <v>-35.760534</v>
      </c>
      <c r="K1219" s="5" t="str">
        <f>IFERROR(__xludf.DUMMYFUNCTION("""COMPUTED_VALUE"""),"TRAV. CONS. JOSÉ FRANCISCO VIEIRA")</f>
        <v>TRAV. CONS. JOSÉ FRANCISCO VIEIRA</v>
      </c>
      <c r="L1219" s="5" t="str">
        <f>IFERROR(__xludf.DUMMYFUNCTION("""COMPUTED_VALUE"""),"COLETORA")</f>
        <v>COLETORA</v>
      </c>
      <c r="M1219" s="5" t="str">
        <f>IFERROR(__xludf.DUMMYFUNCTION("""COMPUTED_VALUE"""),"TRAPICHE DA BARRA")</f>
        <v>TRAPICHE DA BARRA</v>
      </c>
      <c r="N1219" s="5" t="str">
        <f>IFERROR(__xludf.DUMMYFUNCTION("""COMPUTED_VALUE"""),"BAIRRO - CENTRO")</f>
        <v>BAIRRO - CENTRO</v>
      </c>
      <c r="O1219" s="5" t="str">
        <f>IFERROR(__xludf.DUMMYFUNCTION("""COMPUTED_VALUE"""),"RUA AO LADO DO ESTÁDIO REI PELÉ")</f>
        <v>RUA AO LADO DO ESTÁDIO REI PELÉ</v>
      </c>
      <c r="P1219" s="5" t="str">
        <f>IFERROR(__xludf.DUMMYFUNCTION("""COMPUTED_VALUE"""),"PRIORIDADE MÉDIA")</f>
        <v>PRIORIDADE MÉDIA</v>
      </c>
      <c r="Q1219" s="5" t="str">
        <f>IFERROR(__xludf.DUMMYFUNCTION("""COMPUTED_VALUE"""),"SUBSTITUIR DA PLACA FIXADA NO POSTE; PINTURA DA BAIA NO ASFALTO; ADEQUAÇÃO DA CALÇADA (RAMPA DE ACESSIBILIDADE E PISO TÁTIL); LIMPEZA DA VEGETAÇÃO.")</f>
        <v>SUBSTITUIR DA PLACA FIXADA NO POSTE; PINTURA DA BAIA NO ASFALTO; ADEQUAÇÃO DA CALÇADA (RAMPA DE ACESSIBILIDADE E PISO TÁTIL); LIMPEZA DA VEGETAÇÃO.</v>
      </c>
      <c r="R1219" s="5" t="str">
        <f>IFERROR(__xludf.DUMMYFUNCTION("""COMPUTED_VALUE"""),"NENHUMA DAS OPÇÕES")</f>
        <v>NENHUMA DAS OPÇÕES</v>
      </c>
      <c r="S1219" s="7">
        <f>IFERROR(__xludf.DUMMYFUNCTION("""COMPUTED_VALUE"""),44583.0)</f>
        <v>44583</v>
      </c>
      <c r="T1219" s="5"/>
      <c r="U1219" s="7">
        <f>IFERROR(__xludf.DUMMYFUNCTION("""COMPUTED_VALUE"""),44583.0)</f>
        <v>44583</v>
      </c>
      <c r="V1219" s="9" t="str">
        <f>IFERROR(__xludf.DUMMYFUNCTION("""COMPUTED_VALUE"""),"https://drive.google.com/uc?id=1HfyvqgwYP18jZ5XT1h4afND2whUzk2cw")</f>
        <v>https://drive.google.com/uc?id=1HfyvqgwYP18jZ5XT1h4afND2whUzk2cw</v>
      </c>
      <c r="W1219" s="5" t="str">
        <f>IFERROR(__xludf.DUMMYFUNCTION("""COMPUTED_VALUE"""),"NÃO")</f>
        <v>NÃO</v>
      </c>
      <c r="X1219" s="5" t="str">
        <f>IFERROR(__xludf.DUMMYFUNCTION("""COMPUTED_VALUE"""),"NÃO SE APLICA")</f>
        <v>NÃO SE APLICA</v>
      </c>
    </row>
    <row r="1220" hidden="1">
      <c r="A1220" s="5">
        <f>IFERROR(__xludf.DUMMYFUNCTION("""COMPUTED_VALUE"""),2.0)</f>
        <v>2</v>
      </c>
      <c r="B1220" s="5" t="str">
        <f>IFERROR(__xludf.DUMMYFUNCTION("""COMPUTED_VALUE"""),"TR023")</f>
        <v>TR023</v>
      </c>
      <c r="C1220" s="5" t="str">
        <f>IFERROR(__xludf.DUMMYFUNCTION("""COMPUTED_VALUE"""),"NÃO POSSUI")</f>
        <v>NÃO POSSUI</v>
      </c>
      <c r="D1220" s="5" t="str">
        <f>IFERROR(__xludf.DUMMYFUNCTION("""COMPUTED_VALUE"""),"SEM PLACA")</f>
        <v>SEM PLACA</v>
      </c>
      <c r="E1220" s="5" t="str">
        <f>IFERROR(__xludf.DUMMYFUNCTION("""COMPUTED_VALUE"""),"SEM BAIA")</f>
        <v>SEM BAIA</v>
      </c>
      <c r="F1220" s="5" t="str">
        <f>IFERROR(__xludf.DUMMYFUNCTION("""COMPUTED_VALUE"""),"NÃO")</f>
        <v>NÃO</v>
      </c>
      <c r="G1220" s="5" t="str">
        <f>IFERROR(__xludf.DUMMYFUNCTION("""COMPUTED_VALUE"""),"NÃO")</f>
        <v>NÃO</v>
      </c>
      <c r="H1220" s="5" t="str">
        <f>IFERROR(__xludf.DUMMYFUNCTION("""COMPUTED_VALUE"""),"PAVIMENTADA")</f>
        <v>PAVIMENTADA</v>
      </c>
      <c r="I1220" s="6" t="str">
        <f>IFERROR(__xludf.DUMMYFUNCTION("""COMPUTED_VALUE"""),"-9.669272")</f>
        <v>-9.669272</v>
      </c>
      <c r="J1220" s="6" t="str">
        <f>IFERROR(__xludf.DUMMYFUNCTION("""COMPUTED_VALUE"""),"-35.758221")</f>
        <v>-35.758221</v>
      </c>
      <c r="K1220" s="5" t="str">
        <f>IFERROR(__xludf.DUMMYFUNCTION("""COMPUTED_VALUE"""),"TRAV. CONS. JOSÉ FRANCISCO VIEIRA")</f>
        <v>TRAV. CONS. JOSÉ FRANCISCO VIEIRA</v>
      </c>
      <c r="L1220" s="5" t="str">
        <f>IFERROR(__xludf.DUMMYFUNCTION("""COMPUTED_VALUE"""),"COLETORA")</f>
        <v>COLETORA</v>
      </c>
      <c r="M1220" s="5" t="str">
        <f>IFERROR(__xludf.DUMMYFUNCTION("""COMPUTED_VALUE"""),"TRAPICHE DA BARRA")</f>
        <v>TRAPICHE DA BARRA</v>
      </c>
      <c r="N1220" s="5" t="str">
        <f>IFERROR(__xludf.DUMMYFUNCTION("""COMPUTED_VALUE"""),"BAIRRO - CENTRO")</f>
        <v>BAIRRO - CENTRO</v>
      </c>
      <c r="O1220" s="5" t="str">
        <f>IFERROR(__xludf.DUMMYFUNCTION("""COMPUTED_VALUE"""),"ESTÁDIO REI PELÉ")</f>
        <v>ESTÁDIO REI PELÉ</v>
      </c>
      <c r="P1220" s="5" t="str">
        <f>IFERROR(__xludf.DUMMYFUNCTION("""COMPUTED_VALUE"""),"PRIORIDADE MÉDIA")</f>
        <v>PRIORIDADE MÉDIA</v>
      </c>
      <c r="Q1220" s="5" t="str">
        <f>IFERROR(__xludf.DUMMYFUNCTION("""COMPUTED_VALUE"""),"IMPLANTAR PLACA COM SUPORTE DE MADEIRA; PINTURA DA BAIA NO ASFALTO; ADEQUAÇÃO DA CALÇADA (PISO TÁTIL).")</f>
        <v>IMPLANTAR PLACA COM SUPORTE DE MADEIRA; PINTURA DA BAIA NO ASFALTO; ADEQUAÇÃO DA CALÇADA (PISO TÁTIL).</v>
      </c>
      <c r="R1220" s="5" t="str">
        <f>IFERROR(__xludf.DUMMYFUNCTION("""COMPUTED_VALUE"""),"NENHUMA DAS OPÇÕES")</f>
        <v>NENHUMA DAS OPÇÕES</v>
      </c>
      <c r="S1220" s="7">
        <f>IFERROR(__xludf.DUMMYFUNCTION("""COMPUTED_VALUE"""),44584.0)</f>
        <v>44584</v>
      </c>
      <c r="T1220" s="5"/>
      <c r="U1220" s="7">
        <f>IFERROR(__xludf.DUMMYFUNCTION("""COMPUTED_VALUE"""),44584.0)</f>
        <v>44584</v>
      </c>
      <c r="V1220" s="9" t="str">
        <f>IFERROR(__xludf.DUMMYFUNCTION("""COMPUTED_VALUE"""),"https://drive.google.com/uc?id=1N-77Rl-EDzBR3sPbDAdxxApVH6H7kDyX")</f>
        <v>https://drive.google.com/uc?id=1N-77Rl-EDzBR3sPbDAdxxApVH6H7kDyX</v>
      </c>
      <c r="W1220" s="5" t="str">
        <f>IFERROR(__xludf.DUMMYFUNCTION("""COMPUTED_VALUE"""),"NÃO")</f>
        <v>NÃO</v>
      </c>
      <c r="X1220" s="5" t="str">
        <f>IFERROR(__xludf.DUMMYFUNCTION("""COMPUTED_VALUE"""),"NÃO SE APLICA")</f>
        <v>NÃO SE APLICA</v>
      </c>
    </row>
    <row r="1221" hidden="1">
      <c r="A1221" s="5">
        <f>IFERROR(__xludf.DUMMYFUNCTION("""COMPUTED_VALUE"""),2.0)</f>
        <v>2</v>
      </c>
      <c r="B1221" s="5" t="str">
        <f>IFERROR(__xludf.DUMMYFUNCTION("""COMPUTED_VALUE"""),"TR024")</f>
        <v>TR024</v>
      </c>
      <c r="C1221" s="5" t="str">
        <f>IFERROR(__xludf.DUMMYFUNCTION("""COMPUTED_VALUE"""),"NÃO POSSUI")</f>
        <v>NÃO POSSUI</v>
      </c>
      <c r="D1221" s="5" t="str">
        <f>IFERROR(__xludf.DUMMYFUNCTION("""COMPUTED_VALUE"""),"FIXADA EM POSTE")</f>
        <v>FIXADA EM POSTE</v>
      </c>
      <c r="E1221" s="5" t="str">
        <f>IFERROR(__xludf.DUMMYFUNCTION("""COMPUTED_VALUE"""),"SEM BAIA")</f>
        <v>SEM BAIA</v>
      </c>
      <c r="F1221" s="5" t="str">
        <f>IFERROR(__xludf.DUMMYFUNCTION("""COMPUTED_VALUE"""),"NÃO")</f>
        <v>NÃO</v>
      </c>
      <c r="G1221" s="5" t="str">
        <f>IFERROR(__xludf.DUMMYFUNCTION("""COMPUTED_VALUE"""),"NÃO")</f>
        <v>NÃO</v>
      </c>
      <c r="H1221" s="5" t="str">
        <f>IFERROR(__xludf.DUMMYFUNCTION("""COMPUTED_VALUE"""),"PAVIMENTADA")</f>
        <v>PAVIMENTADA</v>
      </c>
      <c r="I1221" s="6" t="str">
        <f>IFERROR(__xludf.DUMMYFUNCTION("""COMPUTED_VALUE"""),"-9.669901")</f>
        <v>-9.669901</v>
      </c>
      <c r="J1221" s="6" t="str">
        <f>IFERROR(__xludf.DUMMYFUNCTION("""COMPUTED_VALUE"""),"-35.760472")</f>
        <v>-35.760472</v>
      </c>
      <c r="K1221" s="5" t="str">
        <f>IFERROR(__xludf.DUMMYFUNCTION("""COMPUTED_VALUE"""),"RUA CEL. JOSÉ FRANCISCO VIEIRA, 77")</f>
        <v>RUA CEL. JOSÉ FRANCISCO VIEIRA, 77</v>
      </c>
      <c r="L1221" s="5" t="str">
        <f>IFERROR(__xludf.DUMMYFUNCTION("""COMPUTED_VALUE"""),"COLETORA")</f>
        <v>COLETORA</v>
      </c>
      <c r="M1221" s="5" t="str">
        <f>IFERROR(__xludf.DUMMYFUNCTION("""COMPUTED_VALUE"""),"TRAPICHE DA BARRA")</f>
        <v>TRAPICHE DA BARRA</v>
      </c>
      <c r="N1221" s="5" t="str">
        <f>IFERROR(__xludf.DUMMYFUNCTION("""COMPUTED_VALUE"""),"CENTRO - BAIRRO")</f>
        <v>CENTRO - BAIRRO</v>
      </c>
      <c r="O1221" s="5" t="str">
        <f>IFERROR(__xludf.DUMMYFUNCTION("""COMPUTED_VALUE"""),"POR TRÁS DO ESTÁDIO REI PELÉ")</f>
        <v>POR TRÁS DO ESTÁDIO REI PELÉ</v>
      </c>
      <c r="P1221" s="5" t="str">
        <f>IFERROR(__xludf.DUMMYFUNCTION("""COMPUTED_VALUE"""),"PRIORIDADE BAIXA")</f>
        <v>PRIORIDADE BAIXA</v>
      </c>
      <c r="Q1221" s="5" t="str">
        <f>IFERROR(__xludf.DUMMYFUNCTION("""COMPUTED_VALUE"""),"RETIRAR PLACA FIXADA EM POSTE (IMAGEM 1) E COLOCAR UMA NOVA COM SUPORTE DE MADEIRA NO LOCAL DA IMAGEM 2; PINTURA DA BAIA NO ASFALTO; ADEQUAÇÃO DA CALÇADA (RAMPA DE ACESSIBILIDADE).")</f>
        <v>RETIRAR PLACA FIXADA EM POSTE (IMAGEM 1) E COLOCAR UMA NOVA COM SUPORTE DE MADEIRA NO LOCAL DA IMAGEM 2; PINTURA DA BAIA NO ASFALTO; ADEQUAÇÃO DA CALÇADA (RAMPA DE ACESSIBILIDADE).</v>
      </c>
      <c r="R1221" s="5" t="str">
        <f>IFERROR(__xludf.DUMMYFUNCTION("""COMPUTED_VALUE"""),"NENHUMA DAS OPÇÕES")</f>
        <v>NENHUMA DAS OPÇÕES</v>
      </c>
      <c r="S1221" s="7">
        <f>IFERROR(__xludf.DUMMYFUNCTION("""COMPUTED_VALUE"""),44585.0)</f>
        <v>44585</v>
      </c>
      <c r="T1221" s="5"/>
      <c r="U1221" s="7">
        <f>IFERROR(__xludf.DUMMYFUNCTION("""COMPUTED_VALUE"""),44585.0)</f>
        <v>44585</v>
      </c>
      <c r="V1221" s="9" t="str">
        <f>IFERROR(__xludf.DUMMYFUNCTION("""COMPUTED_VALUE"""),"https://drive.google.com/uc?id=1V3G9mjcFVFmoGiniHNX1jKjVXVLH40mB")</f>
        <v>https://drive.google.com/uc?id=1V3G9mjcFVFmoGiniHNX1jKjVXVLH40mB</v>
      </c>
      <c r="W1221" s="5" t="str">
        <f>IFERROR(__xludf.DUMMYFUNCTION("""COMPUTED_VALUE"""),"NÃO")</f>
        <v>NÃO</v>
      </c>
      <c r="X1221" s="5" t="str">
        <f>IFERROR(__xludf.DUMMYFUNCTION("""COMPUTED_VALUE"""),"NÃO SE APLICA")</f>
        <v>NÃO SE APLICA</v>
      </c>
    </row>
    <row r="1222" hidden="1">
      <c r="A1222" s="5">
        <f>IFERROR(__xludf.DUMMYFUNCTION("""COMPUTED_VALUE"""),2.0)</f>
        <v>2</v>
      </c>
      <c r="B1222" s="5" t="str">
        <f>IFERROR(__xludf.DUMMYFUNCTION("""COMPUTED_VALUE"""),"TR025")</f>
        <v>TR025</v>
      </c>
      <c r="C1222" s="5" t="str">
        <f>IFERROR(__xludf.DUMMYFUNCTION("""COMPUTED_VALUE"""),"NÃO POSSUI")</f>
        <v>NÃO POSSUI</v>
      </c>
      <c r="D1222" s="5" t="str">
        <f>IFERROR(__xludf.DUMMYFUNCTION("""COMPUTED_VALUE"""),"SEM PLACA")</f>
        <v>SEM PLACA</v>
      </c>
      <c r="E1222" s="5" t="str">
        <f>IFERROR(__xludf.DUMMYFUNCTION("""COMPUTED_VALUE"""),"SEM BAIA")</f>
        <v>SEM BAIA</v>
      </c>
      <c r="F1222" s="5" t="str">
        <f>IFERROR(__xludf.DUMMYFUNCTION("""COMPUTED_VALUE"""),"NÃO")</f>
        <v>NÃO</v>
      </c>
      <c r="G1222" s="5" t="str">
        <f>IFERROR(__xludf.DUMMYFUNCTION("""COMPUTED_VALUE"""),"NÃO")</f>
        <v>NÃO</v>
      </c>
      <c r="H1222" s="5" t="str">
        <f>IFERROR(__xludf.DUMMYFUNCTION("""COMPUTED_VALUE"""),"PAVIMENTADA")</f>
        <v>PAVIMENTADA</v>
      </c>
      <c r="I1222" s="6" t="str">
        <f>IFERROR(__xludf.DUMMYFUNCTION("""COMPUTED_VALUE"""),"-9.677643")</f>
        <v>-9.677643</v>
      </c>
      <c r="J1222" s="6" t="str">
        <f>IFERROR(__xludf.DUMMYFUNCTION("""COMPUTED_VALUE"""),"-35.755513")</f>
        <v>-35.755513</v>
      </c>
      <c r="K1222" s="5" t="str">
        <f>IFERROR(__xludf.DUMMYFUNCTION("""COMPUTED_VALUE"""),"AV. ASSIS CHATEAUBRIAND, S/N")</f>
        <v>AV. ASSIS CHATEAUBRIAND, S/N</v>
      </c>
      <c r="L1222" s="5" t="str">
        <f>IFERROR(__xludf.DUMMYFUNCTION("""COMPUTED_VALUE"""),"ARTERIAL ")</f>
        <v>ARTERIAL </v>
      </c>
      <c r="M1222" s="5" t="str">
        <f>IFERROR(__xludf.DUMMYFUNCTION("""COMPUTED_VALUE"""),"TRAPICHE DA BARRA")</f>
        <v>TRAPICHE DA BARRA</v>
      </c>
      <c r="N1222" s="5" t="str">
        <f>IFERROR(__xludf.DUMMYFUNCTION("""COMPUTED_VALUE"""),"BAIRRO - CENTRO")</f>
        <v>BAIRRO - CENTRO</v>
      </c>
      <c r="O1222" s="5" t="str">
        <f>IFERROR(__xludf.DUMMYFUNCTION("""COMPUTED_VALUE"""),"LADO OPOSTO A VILA DOS PESCADORES")</f>
        <v>LADO OPOSTO A VILA DOS PESCADORES</v>
      </c>
      <c r="P1222" s="5" t="str">
        <f>IFERROR(__xludf.DUMMYFUNCTION("""COMPUTED_VALUE"""),"PRIORIDADE MÉDIA")</f>
        <v>PRIORIDADE MÉDIA</v>
      </c>
      <c r="Q1222" s="5" t="str">
        <f>IFERROR(__xludf.DUMMYFUNCTION("""COMPUTED_VALUE"""),"IMPLANTAÇÃO DE PLACA REALIZADA")</f>
        <v>IMPLANTAÇÃO DE PLACA REALIZADA</v>
      </c>
      <c r="R1222" s="5" t="str">
        <f>IFERROR(__xludf.DUMMYFUNCTION("""COMPUTED_VALUE"""),"IMPLANTAR ABRIGO")</f>
        <v>IMPLANTAR ABRIGO</v>
      </c>
      <c r="S1222" s="7">
        <f>IFERROR(__xludf.DUMMYFUNCTION("""COMPUTED_VALUE"""),44586.0)</f>
        <v>44586</v>
      </c>
      <c r="T1222" s="5"/>
      <c r="U1222" s="7">
        <f>IFERROR(__xludf.DUMMYFUNCTION("""COMPUTED_VALUE"""),44586.0)</f>
        <v>44586</v>
      </c>
      <c r="V1222" s="9" t="str">
        <f>IFERROR(__xludf.DUMMYFUNCTION("""COMPUTED_VALUE"""),"https://drive.google.com/uc?id=1DzmK4AyuJuw-WINV6iNTL27OQf0J7JeR")</f>
        <v>https://drive.google.com/uc?id=1DzmK4AyuJuw-WINV6iNTL27OQf0J7JeR</v>
      </c>
      <c r="W1222" s="5" t="str">
        <f>IFERROR(__xludf.DUMMYFUNCTION("""COMPUTED_VALUE"""),"NÃO")</f>
        <v>NÃO</v>
      </c>
      <c r="X1222" s="5" t="str">
        <f>IFERROR(__xludf.DUMMYFUNCTION("""COMPUTED_VALUE"""),"NÃO SE APLICA")</f>
        <v>NÃO SE APLICA</v>
      </c>
    </row>
    <row r="1223" hidden="1">
      <c r="A1223" s="5">
        <f>IFERROR(__xludf.DUMMYFUNCTION("""COMPUTED_VALUE"""),2.0)</f>
        <v>2</v>
      </c>
      <c r="B1223" s="5" t="str">
        <f>IFERROR(__xludf.DUMMYFUNCTION("""COMPUTED_VALUE"""),"TR027")</f>
        <v>TR027</v>
      </c>
      <c r="C1223" s="5" t="str">
        <f>IFERROR(__xludf.DUMMYFUNCTION("""COMPUTED_VALUE"""),"NÃO POSSUI")</f>
        <v>NÃO POSSUI</v>
      </c>
      <c r="D1223" s="5" t="str">
        <f>IFERROR(__xludf.DUMMYFUNCTION("""COMPUTED_VALUE"""),"COM SUPORTE")</f>
        <v>COM SUPORTE</v>
      </c>
      <c r="E1223" s="5" t="str">
        <f>IFERROR(__xludf.DUMMYFUNCTION("""COMPUTED_VALUE"""),"SEM BAIA")</f>
        <v>SEM BAIA</v>
      </c>
      <c r="F1223" s="5" t="str">
        <f>IFERROR(__xludf.DUMMYFUNCTION("""COMPUTED_VALUE"""),"NÃO")</f>
        <v>NÃO</v>
      </c>
      <c r="G1223" s="5" t="str">
        <f>IFERROR(__xludf.DUMMYFUNCTION("""COMPUTED_VALUE"""),"NÃO")</f>
        <v>NÃO</v>
      </c>
      <c r="H1223" s="5" t="str">
        <f>IFERROR(__xludf.DUMMYFUNCTION("""COMPUTED_VALUE"""),"PAVIMENTADA")</f>
        <v>PAVIMENTADA</v>
      </c>
      <c r="I1223" s="6" t="str">
        <f>IFERROR(__xludf.DUMMYFUNCTION("""COMPUTED_VALUE"""),"-9.677419")</f>
        <v>-9.677419</v>
      </c>
      <c r="J1223" s="6" t="str">
        <f>IFERROR(__xludf.DUMMYFUNCTION("""COMPUTED_VALUE"""),"-35.755553")</f>
        <v>-35.755553</v>
      </c>
      <c r="K1223" s="5" t="str">
        <f>IFERROR(__xludf.DUMMYFUNCTION("""COMPUTED_VALUE"""),"RUA BOA VISTA, 106")</f>
        <v>RUA BOA VISTA, 106</v>
      </c>
      <c r="L1223" s="5" t="str">
        <f>IFERROR(__xludf.DUMMYFUNCTION("""COMPUTED_VALUE"""),"COLETORA")</f>
        <v>COLETORA</v>
      </c>
      <c r="M1223" s="5" t="str">
        <f>IFERROR(__xludf.DUMMYFUNCTION("""COMPUTED_VALUE"""),"TRAPICHE DA BARRA")</f>
        <v>TRAPICHE DA BARRA</v>
      </c>
      <c r="N1223" s="5" t="str">
        <f>IFERROR(__xludf.DUMMYFUNCTION("""COMPUTED_VALUE"""),"BAIRRO - CENTRO")</f>
        <v>BAIRRO - CENTRO</v>
      </c>
      <c r="O1223" s="5" t="str">
        <f>IFERROR(__xludf.DUMMYFUNCTION("""COMPUTED_VALUE"""),"EM FRENTE A VILA DOS PESCADORES")</f>
        <v>EM FRENTE A VILA DOS PESCADORES</v>
      </c>
      <c r="P1223" s="5" t="str">
        <f>IFERROR(__xludf.DUMMYFUNCTION("""COMPUTED_VALUE"""),"PRIORIDADE MÉDIA")</f>
        <v>PRIORIDADE MÉDIA</v>
      </c>
      <c r="Q1223" s="5" t="str">
        <f>IFERROR(__xludf.DUMMYFUNCTION("""COMPUTED_VALUE"""),"IMPLANTAÇÃO DE PLACA REALIZADA")</f>
        <v>IMPLANTAÇÃO DE PLACA REALIZADA</v>
      </c>
      <c r="R1223" s="5" t="str">
        <f>IFERROR(__xludf.DUMMYFUNCTION("""COMPUTED_VALUE"""),"IMPLANTAR ABRIGO")</f>
        <v>IMPLANTAR ABRIGO</v>
      </c>
      <c r="S1223" s="7">
        <f>IFERROR(__xludf.DUMMYFUNCTION("""COMPUTED_VALUE"""),44588.0)</f>
        <v>44588</v>
      </c>
      <c r="T1223" s="5"/>
      <c r="U1223" s="7">
        <f>IFERROR(__xludf.DUMMYFUNCTION("""COMPUTED_VALUE"""),44588.0)</f>
        <v>44588</v>
      </c>
      <c r="V1223" s="9" t="str">
        <f>IFERROR(__xludf.DUMMYFUNCTION("""COMPUTED_VALUE"""),"https://drive.google.com/uc?id=1eyn0KEnzG3_8XfKsyYwHQg6eYQPob9cM")</f>
        <v>https://drive.google.com/uc?id=1eyn0KEnzG3_8XfKsyYwHQg6eYQPob9cM</v>
      </c>
      <c r="W1223" s="5" t="str">
        <f>IFERROR(__xludf.DUMMYFUNCTION("""COMPUTED_VALUE"""),"NÃO")</f>
        <v>NÃO</v>
      </c>
      <c r="X1223" s="5" t="str">
        <f>IFERROR(__xludf.DUMMYFUNCTION("""COMPUTED_VALUE"""),"NÃO SE APLICA")</f>
        <v>NÃO SE APLICA</v>
      </c>
    </row>
    <row r="1224" hidden="1">
      <c r="A1224" s="5">
        <f>IFERROR(__xludf.DUMMYFUNCTION("""COMPUTED_VALUE"""),2.0)</f>
        <v>2</v>
      </c>
      <c r="B1224" s="5" t="str">
        <f>IFERROR(__xludf.DUMMYFUNCTION("""COMPUTED_VALUE"""),"TR028")</f>
        <v>TR028</v>
      </c>
      <c r="C1224" s="5" t="str">
        <f>IFERROR(__xludf.DUMMYFUNCTION("""COMPUTED_VALUE"""),"NÃO POSSUI")</f>
        <v>NÃO POSSUI</v>
      </c>
      <c r="D1224" s="5" t="str">
        <f>IFERROR(__xludf.DUMMYFUNCTION("""COMPUTED_VALUE"""),"SEM PLACA")</f>
        <v>SEM PLACA</v>
      </c>
      <c r="E1224" s="5" t="str">
        <f>IFERROR(__xludf.DUMMYFUNCTION("""COMPUTED_VALUE"""),"SEM BAIA")</f>
        <v>SEM BAIA</v>
      </c>
      <c r="F1224" s="5" t="str">
        <f>IFERROR(__xludf.DUMMYFUNCTION("""COMPUTED_VALUE"""),"NÃO")</f>
        <v>NÃO</v>
      </c>
      <c r="G1224" s="5" t="str">
        <f>IFERROR(__xludf.DUMMYFUNCTION("""COMPUTED_VALUE"""),"NÃO")</f>
        <v>NÃO</v>
      </c>
      <c r="H1224" s="5" t="str">
        <f>IFERROR(__xludf.DUMMYFUNCTION("""COMPUTED_VALUE"""),"PAVIMENTADA")</f>
        <v>PAVIMENTADA</v>
      </c>
      <c r="I1224" s="6" t="str">
        <f>IFERROR(__xludf.DUMMYFUNCTION("""COMPUTED_VALUE"""),"-9.675417")</f>
        <v>-9.675417</v>
      </c>
      <c r="J1224" s="6" t="str">
        <f>IFERROR(__xludf.DUMMYFUNCTION("""COMPUTED_VALUE"""),"-35.755765")</f>
        <v>-35.755765</v>
      </c>
      <c r="K1224" s="5" t="str">
        <f>IFERROR(__xludf.DUMMYFUNCTION("""COMPUTED_VALUE"""),"RUA BOA VISTA, 107")</f>
        <v>RUA BOA VISTA, 107</v>
      </c>
      <c r="L1224" s="5" t="str">
        <f>IFERROR(__xludf.DUMMYFUNCTION("""COMPUTED_VALUE"""),"COLETORA")</f>
        <v>COLETORA</v>
      </c>
      <c r="M1224" s="5" t="str">
        <f>IFERROR(__xludf.DUMMYFUNCTION("""COMPUTED_VALUE"""),"TRAPICHE DA BARRA")</f>
        <v>TRAPICHE DA BARRA</v>
      </c>
      <c r="N1224" s="5" t="str">
        <f>IFERROR(__xludf.DUMMYFUNCTION("""COMPUTED_VALUE"""),"BAIRRO - CENTRO")</f>
        <v>BAIRRO - CENTRO</v>
      </c>
      <c r="O1224" s="5" t="str">
        <f>IFERROR(__xludf.DUMMYFUNCTION("""COMPUTED_VALUE"""),"AO LADO DA CASA 450")</f>
        <v>AO LADO DA CASA 450</v>
      </c>
      <c r="P1224" s="5" t="str">
        <f>IFERROR(__xludf.DUMMYFUNCTION("""COMPUTED_VALUE"""),"PRIORIDADE MÉDIA")</f>
        <v>PRIORIDADE MÉDIA</v>
      </c>
      <c r="Q1224" s="5" t="str">
        <f>IFERROR(__xludf.DUMMYFUNCTION("""COMPUTED_VALUE"""),"IMPLANTAÇÃO DE PLACA REALIZADA")</f>
        <v>IMPLANTAÇÃO DE PLACA REALIZADA</v>
      </c>
      <c r="R1224" s="5" t="str">
        <f>IFERROR(__xludf.DUMMYFUNCTION("""COMPUTED_VALUE"""),"NENHUMA DAS OPÇÕES")</f>
        <v>NENHUMA DAS OPÇÕES</v>
      </c>
      <c r="S1224" s="7">
        <f>IFERROR(__xludf.DUMMYFUNCTION("""COMPUTED_VALUE"""),44589.0)</f>
        <v>44589</v>
      </c>
      <c r="T1224" s="5"/>
      <c r="U1224" s="7">
        <f>IFERROR(__xludf.DUMMYFUNCTION("""COMPUTED_VALUE"""),44589.0)</f>
        <v>44589</v>
      </c>
      <c r="V1224" s="9" t="str">
        <f>IFERROR(__xludf.DUMMYFUNCTION("""COMPUTED_VALUE"""),"https://drive.google.com/uc?id=15Ycpxsj650gmnxeCFWNSFO5Lf0mqTZLu")</f>
        <v>https://drive.google.com/uc?id=15Ycpxsj650gmnxeCFWNSFO5Lf0mqTZLu</v>
      </c>
      <c r="W1224" s="5" t="str">
        <f>IFERROR(__xludf.DUMMYFUNCTION("""COMPUTED_VALUE"""),"NÃO")</f>
        <v>NÃO</v>
      </c>
      <c r="X1224" s="5" t="str">
        <f>IFERROR(__xludf.DUMMYFUNCTION("""COMPUTED_VALUE"""),"NÃO SE APLICA")</f>
        <v>NÃO SE APLICA</v>
      </c>
    </row>
    <row r="1225" hidden="1">
      <c r="A1225" s="5">
        <f>IFERROR(__xludf.DUMMYFUNCTION("""COMPUTED_VALUE"""),2.0)</f>
        <v>2</v>
      </c>
      <c r="B1225" s="5" t="str">
        <f>IFERROR(__xludf.DUMMYFUNCTION("""COMPUTED_VALUE"""),"TR029")</f>
        <v>TR029</v>
      </c>
      <c r="C1225" s="5" t="str">
        <f>IFERROR(__xludf.DUMMYFUNCTION("""COMPUTED_VALUE"""),"NÃO POSSUI")</f>
        <v>NÃO POSSUI</v>
      </c>
      <c r="D1225" s="5" t="str">
        <f>IFERROR(__xludf.DUMMYFUNCTION("""COMPUTED_VALUE"""),"COM SUPORTE")</f>
        <v>COM SUPORTE</v>
      </c>
      <c r="E1225" s="5" t="str">
        <f>IFERROR(__xludf.DUMMYFUNCTION("""COMPUTED_VALUE"""),"SEM BAIA")</f>
        <v>SEM BAIA</v>
      </c>
      <c r="F1225" s="5" t="str">
        <f>IFERROR(__xludf.DUMMYFUNCTION("""COMPUTED_VALUE"""),"NÃO")</f>
        <v>NÃO</v>
      </c>
      <c r="G1225" s="5" t="str">
        <f>IFERROR(__xludf.DUMMYFUNCTION("""COMPUTED_VALUE"""),"NÃO")</f>
        <v>NÃO</v>
      </c>
      <c r="H1225" s="5" t="str">
        <f>IFERROR(__xludf.DUMMYFUNCTION("""COMPUTED_VALUE"""),"PAVIMENTADA")</f>
        <v>PAVIMENTADA</v>
      </c>
      <c r="I1225" s="6" t="str">
        <f>IFERROR(__xludf.DUMMYFUNCTION("""COMPUTED_VALUE"""),"-9.675498")</f>
        <v>-9.675498</v>
      </c>
      <c r="J1225" s="6" t="str">
        <f>IFERROR(__xludf.DUMMYFUNCTION("""COMPUTED_VALUE"""),"-35.756278")</f>
        <v>-35.756278</v>
      </c>
      <c r="K1225" s="5" t="str">
        <f>IFERROR(__xludf.DUMMYFUNCTION("""COMPUTED_VALUE"""),"RUA BOA VISTA, 108")</f>
        <v>RUA BOA VISTA, 108</v>
      </c>
      <c r="L1225" s="5" t="str">
        <f>IFERROR(__xludf.DUMMYFUNCTION("""COMPUTED_VALUE"""),"COLETORA")</f>
        <v>COLETORA</v>
      </c>
      <c r="M1225" s="5" t="str">
        <f>IFERROR(__xludf.DUMMYFUNCTION("""COMPUTED_VALUE"""),"TRAPICHE DA BARRA")</f>
        <v>TRAPICHE DA BARRA</v>
      </c>
      <c r="N1225" s="5" t="str">
        <f>IFERROR(__xludf.DUMMYFUNCTION("""COMPUTED_VALUE"""),"BAIRRO - CENTRO")</f>
        <v>BAIRRO - CENTRO</v>
      </c>
      <c r="O1225" s="5" t="str">
        <f>IFERROR(__xludf.DUMMYFUNCTION("""COMPUTED_VALUE"""),"EM FRENTE A CASA 495")</f>
        <v>EM FRENTE A CASA 495</v>
      </c>
      <c r="P1225" s="5" t="str">
        <f>IFERROR(__xludf.DUMMYFUNCTION("""COMPUTED_VALUE"""),"PRIORIDADE MÉDIA")</f>
        <v>PRIORIDADE MÉDIA</v>
      </c>
      <c r="Q1225" s="5" t="str">
        <f>IFERROR(__xludf.DUMMYFUNCTION("""COMPUTED_VALUE"""),"IMPLANTAÇÃO DE PLACA REALIZADA")</f>
        <v>IMPLANTAÇÃO DE PLACA REALIZADA</v>
      </c>
      <c r="R1225" s="5" t="str">
        <f>IFERROR(__xludf.DUMMYFUNCTION("""COMPUTED_VALUE"""),"NENHUMA DAS OPÇÕES")</f>
        <v>NENHUMA DAS OPÇÕES</v>
      </c>
      <c r="S1225" s="7">
        <f>IFERROR(__xludf.DUMMYFUNCTION("""COMPUTED_VALUE"""),44590.0)</f>
        <v>44590</v>
      </c>
      <c r="T1225" s="5"/>
      <c r="U1225" s="7">
        <f>IFERROR(__xludf.DUMMYFUNCTION("""COMPUTED_VALUE"""),44590.0)</f>
        <v>44590</v>
      </c>
      <c r="V1225" s="9" t="str">
        <f>IFERROR(__xludf.DUMMYFUNCTION("""COMPUTED_VALUE"""),"https://drive.google.com/uc?id=1nSiLsZt-IdKajhj-_j64jkmTrNH1H2Bl")</f>
        <v>https://drive.google.com/uc?id=1nSiLsZt-IdKajhj-_j64jkmTrNH1H2Bl</v>
      </c>
      <c r="W1225" s="5" t="str">
        <f>IFERROR(__xludf.DUMMYFUNCTION("""COMPUTED_VALUE"""),"NÃO")</f>
        <v>NÃO</v>
      </c>
      <c r="X1225" s="5" t="str">
        <f>IFERROR(__xludf.DUMMYFUNCTION("""COMPUTED_VALUE"""),"NÃO SE APLICA")</f>
        <v>NÃO SE APLICA</v>
      </c>
    </row>
    <row r="1226" hidden="1">
      <c r="A1226" s="5">
        <f>IFERROR(__xludf.DUMMYFUNCTION("""COMPUTED_VALUE"""),2.0)</f>
        <v>2</v>
      </c>
      <c r="B1226" s="5" t="str">
        <f>IFERROR(__xludf.DUMMYFUNCTION("""COMPUTED_VALUE"""),"TR030")</f>
        <v>TR030</v>
      </c>
      <c r="C1226" s="5" t="str">
        <f>IFERROR(__xludf.DUMMYFUNCTION("""COMPUTED_VALUE"""),"NÃO POSSUI")</f>
        <v>NÃO POSSUI</v>
      </c>
      <c r="D1226" s="5" t="str">
        <f>IFERROR(__xludf.DUMMYFUNCTION("""COMPUTED_VALUE"""),"SEM PLACA")</f>
        <v>SEM PLACA</v>
      </c>
      <c r="E1226" s="5" t="str">
        <f>IFERROR(__xludf.DUMMYFUNCTION("""COMPUTED_VALUE"""),"SEM BAIA")</f>
        <v>SEM BAIA</v>
      </c>
      <c r="F1226" s="5" t="str">
        <f>IFERROR(__xludf.DUMMYFUNCTION("""COMPUTED_VALUE"""),"NÃO")</f>
        <v>NÃO</v>
      </c>
      <c r="G1226" s="5" t="str">
        <f>IFERROR(__xludf.DUMMYFUNCTION("""COMPUTED_VALUE"""),"NÃO")</f>
        <v>NÃO</v>
      </c>
      <c r="H1226" s="5" t="str">
        <f>IFERROR(__xludf.DUMMYFUNCTION("""COMPUTED_VALUE"""),"PAVIMENTADA")</f>
        <v>PAVIMENTADA</v>
      </c>
      <c r="I1226" s="6" t="str">
        <f>IFERROR(__xludf.DUMMYFUNCTION("""COMPUTED_VALUE"""),"-9.676289")</f>
        <v>-9.676289</v>
      </c>
      <c r="J1226" s="6" t="str">
        <f>IFERROR(__xludf.DUMMYFUNCTION("""COMPUTED_VALUE"""),"-35.758851")</f>
        <v>-35.758851</v>
      </c>
      <c r="K1226" s="5" t="str">
        <f>IFERROR(__xludf.DUMMYFUNCTION("""COMPUTED_VALUE"""),"RUA BOA VISTA, 109")</f>
        <v>RUA BOA VISTA, 109</v>
      </c>
      <c r="L1226" s="5" t="str">
        <f>IFERROR(__xludf.DUMMYFUNCTION("""COMPUTED_VALUE"""),"COLETORA")</f>
        <v>COLETORA</v>
      </c>
      <c r="M1226" s="5" t="str">
        <f>IFERROR(__xludf.DUMMYFUNCTION("""COMPUTED_VALUE"""),"TRAPICHE DA BARRA")</f>
        <v>TRAPICHE DA BARRA</v>
      </c>
      <c r="N1226" s="5" t="str">
        <f>IFERROR(__xludf.DUMMYFUNCTION("""COMPUTED_VALUE"""),"BAIRRO - CENTRO")</f>
        <v>BAIRRO - CENTRO</v>
      </c>
      <c r="O1226" s="5" t="str">
        <f>IFERROR(__xludf.DUMMYFUNCTION("""COMPUTED_VALUE"""),"EM FRENTE A CASA 447A")</f>
        <v>EM FRENTE A CASA 447A</v>
      </c>
      <c r="P1226" s="5" t="str">
        <f>IFERROR(__xludf.DUMMYFUNCTION("""COMPUTED_VALUE"""),"PRIORIDADE MÉDIA")</f>
        <v>PRIORIDADE MÉDIA</v>
      </c>
      <c r="Q1226" s="5" t="str">
        <f>IFERROR(__xludf.DUMMYFUNCTION("""COMPUTED_VALUE"""),"IMPLANTAÇÃO DE PLACA REALIZADA")</f>
        <v>IMPLANTAÇÃO DE PLACA REALIZADA</v>
      </c>
      <c r="R1226" s="5" t="str">
        <f>IFERROR(__xludf.DUMMYFUNCTION("""COMPUTED_VALUE"""),"NENHUMA DAS OPÇÕES")</f>
        <v>NENHUMA DAS OPÇÕES</v>
      </c>
      <c r="S1226" s="7">
        <f>IFERROR(__xludf.DUMMYFUNCTION("""COMPUTED_VALUE"""),44591.0)</f>
        <v>44591</v>
      </c>
      <c r="T1226" s="5"/>
      <c r="U1226" s="7">
        <f>IFERROR(__xludf.DUMMYFUNCTION("""COMPUTED_VALUE"""),44591.0)</f>
        <v>44591</v>
      </c>
      <c r="V1226" s="9" t="str">
        <f>IFERROR(__xludf.DUMMYFUNCTION("""COMPUTED_VALUE"""),"https://drive.google.com/uc?id=1egGnDtWjVP-msjvaXon2-9_OaUe1uGrj")</f>
        <v>https://drive.google.com/uc?id=1egGnDtWjVP-msjvaXon2-9_OaUe1uGrj</v>
      </c>
      <c r="W1226" s="5" t="str">
        <f>IFERROR(__xludf.DUMMYFUNCTION("""COMPUTED_VALUE"""),"NÃO")</f>
        <v>NÃO</v>
      </c>
      <c r="X1226" s="5" t="str">
        <f>IFERROR(__xludf.DUMMYFUNCTION("""COMPUTED_VALUE"""),"NÃO SE APLICA")</f>
        <v>NÃO SE APLICA</v>
      </c>
    </row>
    <row r="1227" hidden="1">
      <c r="A1227" s="5">
        <f>IFERROR(__xludf.DUMMYFUNCTION("""COMPUTED_VALUE"""),2.0)</f>
        <v>2</v>
      </c>
      <c r="B1227" s="5" t="str">
        <f>IFERROR(__xludf.DUMMYFUNCTION("""COMPUTED_VALUE"""),"TR031")</f>
        <v>TR031</v>
      </c>
      <c r="C1227" s="5" t="str">
        <f>IFERROR(__xludf.DUMMYFUNCTION("""COMPUTED_VALUE"""),"NÃO POSSUI")</f>
        <v>NÃO POSSUI</v>
      </c>
      <c r="D1227" s="5" t="str">
        <f>IFERROR(__xludf.DUMMYFUNCTION("""COMPUTED_VALUE"""),"SEM PLACA")</f>
        <v>SEM PLACA</v>
      </c>
      <c r="E1227" s="5" t="str">
        <f>IFERROR(__xludf.DUMMYFUNCTION("""COMPUTED_VALUE"""),"SEM BAIA")</f>
        <v>SEM BAIA</v>
      </c>
      <c r="F1227" s="5" t="str">
        <f>IFERROR(__xludf.DUMMYFUNCTION("""COMPUTED_VALUE"""),"NÃO")</f>
        <v>NÃO</v>
      </c>
      <c r="G1227" s="5" t="str">
        <f>IFERROR(__xludf.DUMMYFUNCTION("""COMPUTED_VALUE"""),"NÃO")</f>
        <v>NÃO</v>
      </c>
      <c r="H1227" s="5" t="str">
        <f>IFERROR(__xludf.DUMMYFUNCTION("""COMPUTED_VALUE"""),"PAVIMENTADA")</f>
        <v>PAVIMENTADA</v>
      </c>
      <c r="I1227" s="6" t="str">
        <f>IFERROR(__xludf.DUMMYFUNCTION("""COMPUTED_VALUE"""),"-9.676275")</f>
        <v>-9.676275</v>
      </c>
      <c r="J1227" s="6" t="str">
        <f>IFERROR(__xludf.DUMMYFUNCTION("""COMPUTED_VALUE"""),"-35.758864")</f>
        <v>-35.758864</v>
      </c>
      <c r="K1227" s="5" t="str">
        <f>IFERROR(__xludf.DUMMYFUNCTION("""COMPUTED_VALUE"""),"RUA BOA VISTA, 110")</f>
        <v>RUA BOA VISTA, 110</v>
      </c>
      <c r="L1227" s="5" t="str">
        <f>IFERROR(__xludf.DUMMYFUNCTION("""COMPUTED_VALUE"""),"COLETORA")</f>
        <v>COLETORA</v>
      </c>
      <c r="M1227" s="5" t="str">
        <f>IFERROR(__xludf.DUMMYFUNCTION("""COMPUTED_VALUE"""),"TRAPICHE DA BARRA")</f>
        <v>TRAPICHE DA BARRA</v>
      </c>
      <c r="N1227" s="5" t="str">
        <f>IFERROR(__xludf.DUMMYFUNCTION("""COMPUTED_VALUE"""),"BAIRRO - CENTRO")</f>
        <v>BAIRRO - CENTRO</v>
      </c>
      <c r="O1227" s="5" t="str">
        <f>IFERROR(__xludf.DUMMYFUNCTION("""COMPUTED_VALUE"""),"EM FRENTE A CASA 429")</f>
        <v>EM FRENTE A CASA 429</v>
      </c>
      <c r="P1227" s="5" t="str">
        <f>IFERROR(__xludf.DUMMYFUNCTION("""COMPUTED_VALUE"""),"PRIORIDADE MÉDIA")</f>
        <v>PRIORIDADE MÉDIA</v>
      </c>
      <c r="Q1227" s="5" t="str">
        <f>IFERROR(__xludf.DUMMYFUNCTION("""COMPUTED_VALUE"""),"IMPLANTAÇÃO DE PLACA REALIZADA")</f>
        <v>IMPLANTAÇÃO DE PLACA REALIZADA</v>
      </c>
      <c r="R1227" s="5" t="str">
        <f>IFERROR(__xludf.DUMMYFUNCTION("""COMPUTED_VALUE"""),"NENHUMA DAS OPÇÕES")</f>
        <v>NENHUMA DAS OPÇÕES</v>
      </c>
      <c r="S1227" s="7">
        <f>IFERROR(__xludf.DUMMYFUNCTION("""COMPUTED_VALUE"""),44592.0)</f>
        <v>44592</v>
      </c>
      <c r="T1227" s="5"/>
      <c r="U1227" s="7">
        <f>IFERROR(__xludf.DUMMYFUNCTION("""COMPUTED_VALUE"""),44592.0)</f>
        <v>44592</v>
      </c>
      <c r="V1227" s="9" t="str">
        <f>IFERROR(__xludf.DUMMYFUNCTION("""COMPUTED_VALUE"""),"https://drive.google.com/uc?id=10GrdVD2F5sudHkUejgorM7lEI-UMl7xd")</f>
        <v>https://drive.google.com/uc?id=10GrdVD2F5sudHkUejgorM7lEI-UMl7xd</v>
      </c>
      <c r="W1227" s="5" t="str">
        <f>IFERROR(__xludf.DUMMYFUNCTION("""COMPUTED_VALUE"""),"NÃO")</f>
        <v>NÃO</v>
      </c>
      <c r="X1227" s="5" t="str">
        <f>IFERROR(__xludf.DUMMYFUNCTION("""COMPUTED_VALUE"""),"NÃO SE APLICA")</f>
        <v>NÃO SE APLICA</v>
      </c>
    </row>
    <row r="1228" hidden="1">
      <c r="A1228" s="5">
        <f>IFERROR(__xludf.DUMMYFUNCTION("""COMPUTED_VALUE"""),2.0)</f>
        <v>2</v>
      </c>
      <c r="B1228" s="5" t="str">
        <f>IFERROR(__xludf.DUMMYFUNCTION("""COMPUTED_VALUE"""),"TR032")</f>
        <v>TR032</v>
      </c>
      <c r="C1228" s="5" t="str">
        <f>IFERROR(__xludf.DUMMYFUNCTION("""COMPUTED_VALUE"""),"NÃO POSSUI")</f>
        <v>NÃO POSSUI</v>
      </c>
      <c r="D1228" s="5" t="str">
        <f>IFERROR(__xludf.DUMMYFUNCTION("""COMPUTED_VALUE"""),"FIXADA EM POSTE")</f>
        <v>FIXADA EM POSTE</v>
      </c>
      <c r="E1228" s="5" t="str">
        <f>IFERROR(__xludf.DUMMYFUNCTION("""COMPUTED_VALUE"""),"SEM BAIA")</f>
        <v>SEM BAIA</v>
      </c>
      <c r="F1228" s="5" t="str">
        <f>IFERROR(__xludf.DUMMYFUNCTION("""COMPUTED_VALUE"""),"NÃO")</f>
        <v>NÃO</v>
      </c>
      <c r="G1228" s="5" t="str">
        <f>IFERROR(__xludf.DUMMYFUNCTION("""COMPUTED_VALUE"""),"NÃO")</f>
        <v>NÃO</v>
      </c>
      <c r="H1228" s="5" t="str">
        <f>IFERROR(__xludf.DUMMYFUNCTION("""COMPUTED_VALUE"""),"PAVIMENTADA")</f>
        <v>PAVIMENTADA</v>
      </c>
      <c r="I1228" s="6" t="str">
        <f>IFERROR(__xludf.DUMMYFUNCTION("""COMPUTED_VALUE"""),"-9.673656")</f>
        <v>-9.673656</v>
      </c>
      <c r="J1228" s="6" t="str">
        <f>IFERROR(__xludf.DUMMYFUNCTION("""COMPUTED_VALUE"""),"-35.764140")</f>
        <v>-35.764140</v>
      </c>
      <c r="K1228" s="5" t="str">
        <f>IFERROR(__xludf.DUMMYFUNCTION("""COMPUTED_VALUE"""),"AV. SENADOR RUI PALMEIRA")</f>
        <v>AV. SENADOR RUI PALMEIRA</v>
      </c>
      <c r="L1228" s="5" t="str">
        <f>IFERROR(__xludf.DUMMYFUNCTION("""COMPUTED_VALUE"""),"ARTERIAL ")</f>
        <v>ARTERIAL </v>
      </c>
      <c r="M1228" s="5" t="str">
        <f>IFERROR(__xludf.DUMMYFUNCTION("""COMPUTED_VALUE"""),"TRAPICHE DA BARRA")</f>
        <v>TRAPICHE DA BARRA</v>
      </c>
      <c r="N1228" s="5" t="str">
        <f>IFERROR(__xludf.DUMMYFUNCTION("""COMPUTED_VALUE"""),"BAIRRO - CENTRO")</f>
        <v>BAIRRO - CENTRO</v>
      </c>
      <c r="O1228" s="5" t="str">
        <f>IFERROR(__xludf.DUMMYFUNCTION("""COMPUTED_VALUE"""),"EM FRENTE A MERCEARIA DO PAULISTA")</f>
        <v>EM FRENTE A MERCEARIA DO PAULISTA</v>
      </c>
      <c r="P1228" s="5" t="str">
        <f>IFERROR(__xludf.DUMMYFUNCTION("""COMPUTED_VALUE"""),"PRIORIDADE MÉDIA")</f>
        <v>PRIORIDADE MÉDIA</v>
      </c>
      <c r="Q1228" s="5" t="str">
        <f>IFERROR(__xludf.DUMMYFUNCTION("""COMPUTED_VALUE"""),"IMPLANTAÇÃO DE PLACA REALIZADA")</f>
        <v>IMPLANTAÇÃO DE PLACA REALIZADA</v>
      </c>
      <c r="R1228" s="5" t="str">
        <f>IFERROR(__xludf.DUMMYFUNCTION("""COMPUTED_VALUE"""),"NENHUMA DAS OPÇÕES")</f>
        <v>NENHUMA DAS OPÇÕES</v>
      </c>
      <c r="S1228" s="7">
        <f>IFERROR(__xludf.DUMMYFUNCTION("""COMPUTED_VALUE"""),45097.0)</f>
        <v>45097</v>
      </c>
      <c r="T1228" s="5" t="str">
        <f>IFERROR(__xludf.DUMMYFUNCTION("""COMPUTED_VALUE"""),"REALIZADO")</f>
        <v>REALIZADO</v>
      </c>
      <c r="U1228" s="7">
        <f>IFERROR(__xludf.DUMMYFUNCTION("""COMPUTED_VALUE"""),45158.0)</f>
        <v>45158</v>
      </c>
      <c r="V1228" s="9" t="str">
        <f>IFERROR(__xludf.DUMMYFUNCTION("""COMPUTED_VALUE"""),"https://drive.google.com/uc?id=18yYEiTx-AB2ixGMWgBnBVmtGHmXB0KQE")</f>
        <v>https://drive.google.com/uc?id=18yYEiTx-AB2ixGMWgBnBVmtGHmXB0KQE</v>
      </c>
      <c r="W1228" s="5" t="str">
        <f>IFERROR(__xludf.DUMMYFUNCTION("""COMPUTED_VALUE"""),"NÃO")</f>
        <v>NÃO</v>
      </c>
      <c r="X1228" s="5" t="str">
        <f>IFERROR(__xludf.DUMMYFUNCTION("""COMPUTED_VALUE"""),"NÃO SE APLICA")</f>
        <v>NÃO SE APLICA</v>
      </c>
    </row>
    <row r="1229" hidden="1">
      <c r="A1229" s="5">
        <f>IFERROR(__xludf.DUMMYFUNCTION("""COMPUTED_VALUE"""),2.0)</f>
        <v>2</v>
      </c>
      <c r="B1229" s="5" t="str">
        <f>IFERROR(__xludf.DUMMYFUNCTION("""COMPUTED_VALUE"""),"TR033")</f>
        <v>TR033</v>
      </c>
      <c r="C1229" s="5" t="str">
        <f>IFERROR(__xludf.DUMMYFUNCTION("""COMPUTED_VALUE"""),"NÃO POSSUI")</f>
        <v>NÃO POSSUI</v>
      </c>
      <c r="D1229" s="5" t="str">
        <f>IFERROR(__xludf.DUMMYFUNCTION("""COMPUTED_VALUE"""),"COM SUPORTE")</f>
        <v>COM SUPORTE</v>
      </c>
      <c r="E1229" s="5" t="str">
        <f>IFERROR(__xludf.DUMMYFUNCTION("""COMPUTED_VALUE"""),"SEM BAIA")</f>
        <v>SEM BAIA</v>
      </c>
      <c r="F1229" s="5" t="str">
        <f>IFERROR(__xludf.DUMMYFUNCTION("""COMPUTED_VALUE"""),"NÃO")</f>
        <v>NÃO</v>
      </c>
      <c r="G1229" s="5" t="str">
        <f>IFERROR(__xludf.DUMMYFUNCTION("""COMPUTED_VALUE"""),"NÃO")</f>
        <v>NÃO</v>
      </c>
      <c r="H1229" s="5" t="str">
        <f>IFERROR(__xludf.DUMMYFUNCTION("""COMPUTED_VALUE"""),"PAVIMENTADA")</f>
        <v>PAVIMENTADA</v>
      </c>
      <c r="I1229" s="6" t="str">
        <f>IFERROR(__xludf.DUMMYFUNCTION("""COMPUTED_VALUE"""),"-9.6659048")</f>
        <v>-9.6659048</v>
      </c>
      <c r="J1229" s="6" t="str">
        <f>IFERROR(__xludf.DUMMYFUNCTION("""COMPUTED_VALUE"""),"-35.7640124")</f>
        <v>-35.7640124</v>
      </c>
      <c r="K1229" s="5" t="str">
        <f>IFERROR(__xludf.DUMMYFUNCTION("""COMPUTED_VALUE"""),"Av. Senador Rui Palmeira")</f>
        <v>Av. Senador Rui Palmeira</v>
      </c>
      <c r="L1229" s="5" t="str">
        <f>IFERROR(__xludf.DUMMYFUNCTION("""COMPUTED_VALUE"""),"ARTERIAL ")</f>
        <v>ARTERIAL </v>
      </c>
      <c r="M1229" s="5" t="str">
        <f>IFERROR(__xludf.DUMMYFUNCTION("""COMPUTED_VALUE"""),"TRAPICHE DA BARRA")</f>
        <v>TRAPICHE DA BARRA</v>
      </c>
      <c r="N1229" s="5" t="str">
        <f>IFERROR(__xludf.DUMMYFUNCTION("""COMPUTED_VALUE"""),"BAIRRO - CENTRO")</f>
        <v>BAIRRO - CENTRO</v>
      </c>
      <c r="O1229" s="5" t="str">
        <f>IFERROR(__xludf.DUMMYFUNCTION("""COMPUTED_VALUE"""),"Próximo a quadra de esportes")</f>
        <v>Próximo a quadra de esportes</v>
      </c>
      <c r="P1229" s="5" t="str">
        <f>IFERROR(__xludf.DUMMYFUNCTION("""COMPUTED_VALUE"""),"PRIORIDADE BAIXA")</f>
        <v>PRIORIDADE BAIXA</v>
      </c>
      <c r="Q1229" s="5" t="str">
        <f>IFERROR(__xludf.DUMMYFUNCTION("""COMPUTED_VALUE"""),"realizar foto oficial ")</f>
        <v>realizar foto oficial </v>
      </c>
      <c r="R1229" s="5" t="str">
        <f>IFERROR(__xludf.DUMMYFUNCTION("""COMPUTED_VALUE"""),"NENHUMA DAS OPÇÕES")</f>
        <v>NENHUMA DAS OPÇÕES</v>
      </c>
      <c r="S1229" s="5"/>
      <c r="T1229" s="5"/>
      <c r="U1229" s="5"/>
      <c r="V1229" s="9" t="str">
        <f>IFERROR(__xludf.DUMMYFUNCTION("""COMPUTED_VALUE"""),"https://drive.google.com/uc?id=1tZ-3E0N-bzgPdL1eKEx6caWmBKIjricg")</f>
        <v>https://drive.google.com/uc?id=1tZ-3E0N-bzgPdL1eKEx6caWmBKIjricg</v>
      </c>
      <c r="W1229" s="5" t="str">
        <f>IFERROR(__xludf.DUMMYFUNCTION("""COMPUTED_VALUE"""),"NÃO")</f>
        <v>NÃO</v>
      </c>
      <c r="X1229" s="5" t="str">
        <f>IFERROR(__xludf.DUMMYFUNCTION("""COMPUTED_VALUE"""),"NÃO SE APLICA")</f>
        <v>NÃO SE APLICA</v>
      </c>
    </row>
    <row r="1230" hidden="1">
      <c r="A1230" s="5">
        <f>IFERROR(__xludf.DUMMYFUNCTION("""COMPUTED_VALUE"""),2.0)</f>
        <v>2</v>
      </c>
      <c r="B1230" s="5" t="str">
        <f>IFERROR(__xludf.DUMMYFUNCTION("""COMPUTED_VALUE"""),"TR034")</f>
        <v>TR034</v>
      </c>
      <c r="C1230" s="5" t="str">
        <f>IFERROR(__xludf.DUMMYFUNCTION("""COMPUTED_VALUE"""),"NÃO POSSUI")</f>
        <v>NÃO POSSUI</v>
      </c>
      <c r="D1230" s="5" t="str">
        <f>IFERROR(__xludf.DUMMYFUNCTION("""COMPUTED_VALUE"""),"COM SUPORTE")</f>
        <v>COM SUPORTE</v>
      </c>
      <c r="E1230" s="5" t="str">
        <f>IFERROR(__xludf.DUMMYFUNCTION("""COMPUTED_VALUE"""),"SEM BAIA")</f>
        <v>SEM BAIA</v>
      </c>
      <c r="F1230" s="5" t="str">
        <f>IFERROR(__xludf.DUMMYFUNCTION("""COMPUTED_VALUE"""),"NÃO")</f>
        <v>NÃO</v>
      </c>
      <c r="G1230" s="5" t="str">
        <f>IFERROR(__xludf.DUMMYFUNCTION("""COMPUTED_VALUE"""),"NÃO")</f>
        <v>NÃO</v>
      </c>
      <c r="H1230" s="5" t="str">
        <f>IFERROR(__xludf.DUMMYFUNCTION("""COMPUTED_VALUE"""),"PAVIMENTADA")</f>
        <v>PAVIMENTADA</v>
      </c>
      <c r="I1230" s="6" t="str">
        <f>IFERROR(__xludf.DUMMYFUNCTION("""COMPUTED_VALUE"""),"-9.6705146")</f>
        <v>-9.6705146</v>
      </c>
      <c r="J1230" s="6" t="str">
        <f>IFERROR(__xludf.DUMMYFUNCTION("""COMPUTED_VALUE"""),"-35.7570418")</f>
        <v>-35.7570418</v>
      </c>
      <c r="K1230" s="5" t="str">
        <f>IFERROR(__xludf.DUMMYFUNCTION("""COMPUTED_VALUE"""),"RUA CABO REIS ")</f>
        <v>RUA CABO REIS </v>
      </c>
      <c r="L1230" s="5" t="str">
        <f>IFERROR(__xludf.DUMMYFUNCTION("""COMPUTED_VALUE"""),"COLETORA")</f>
        <v>COLETORA</v>
      </c>
      <c r="M1230" s="5" t="str">
        <f>IFERROR(__xludf.DUMMYFUNCTION("""COMPUTED_VALUE"""),"TRAPICHE DA BARRA")</f>
        <v>TRAPICHE DA BARRA</v>
      </c>
      <c r="N1230" s="5" t="str">
        <f>IFERROR(__xludf.DUMMYFUNCTION("""COMPUTED_VALUE"""),"BAIRRO - CENTRO")</f>
        <v>BAIRRO - CENTRO</v>
      </c>
      <c r="O1230" s="5" t="str">
        <f>IFERROR(__xludf.DUMMYFUNCTION("""COMPUTED_VALUE"""),"INÍCIO DA CABO REIS - SENTIDO VERGEL")</f>
        <v>INÍCIO DA CABO REIS - SENTIDO VERGEL</v>
      </c>
      <c r="P1230" s="5" t="str">
        <f>IFERROR(__xludf.DUMMYFUNCTION("""COMPUTED_VALUE"""),"PRIORIDADE BAIXA")</f>
        <v>PRIORIDADE BAIXA</v>
      </c>
      <c r="Q1230" s="5"/>
      <c r="R1230" s="5" t="str">
        <f>IFERROR(__xludf.DUMMYFUNCTION("""COMPUTED_VALUE"""),"NENHUMA DAS OPÇÕES")</f>
        <v>NENHUMA DAS OPÇÕES</v>
      </c>
      <c r="S1230" s="5"/>
      <c r="T1230" s="5"/>
      <c r="U1230" s="5"/>
      <c r="V1230" s="9" t="str">
        <f>IFERROR(__xludf.DUMMYFUNCTION("""COMPUTED_VALUE"""),"https://drive.google.com/uc?id=1ipCBBQVsqD5alviB_XMIpamXWqgbhLAg
")</f>
        <v>https://drive.google.com/uc?id=1ipCBBQVsqD5alviB_XMIpamXWqgbhLAg
</v>
      </c>
      <c r="W1230" s="5" t="str">
        <f>IFERROR(__xludf.DUMMYFUNCTION("""COMPUTED_VALUE"""),"NÃO")</f>
        <v>NÃO</v>
      </c>
      <c r="X1230" s="5" t="str">
        <f>IFERROR(__xludf.DUMMYFUNCTION("""COMPUTED_VALUE"""),"NÃO SE APLICA")</f>
        <v>NÃO SE APLICA</v>
      </c>
    </row>
    <row r="1231" hidden="1">
      <c r="A1231" s="5">
        <f>IFERROR(__xludf.DUMMYFUNCTION("""COMPUTED_VALUE"""),2.0)</f>
        <v>2</v>
      </c>
      <c r="B1231" s="5" t="str">
        <f>IFERROR(__xludf.DUMMYFUNCTION("""COMPUTED_VALUE"""),"TR035")</f>
        <v>TR035</v>
      </c>
      <c r="C1231" s="5" t="str">
        <f>IFERROR(__xludf.DUMMYFUNCTION("""COMPUTED_VALUE"""),"NÃO POSSUI")</f>
        <v>NÃO POSSUI</v>
      </c>
      <c r="D1231" s="5" t="str">
        <f>IFERROR(__xludf.DUMMYFUNCTION("""COMPUTED_VALUE"""),"COM SUPORTE")</f>
        <v>COM SUPORTE</v>
      </c>
      <c r="E1231" s="5" t="str">
        <f>IFERROR(__xludf.DUMMYFUNCTION("""COMPUTED_VALUE"""),"SEM BAIA")</f>
        <v>SEM BAIA</v>
      </c>
      <c r="F1231" s="5" t="str">
        <f>IFERROR(__xludf.DUMMYFUNCTION("""COMPUTED_VALUE"""),"NÃO")</f>
        <v>NÃO</v>
      </c>
      <c r="G1231" s="5" t="str">
        <f>IFERROR(__xludf.DUMMYFUNCTION("""COMPUTED_VALUE"""),"NÃO")</f>
        <v>NÃO</v>
      </c>
      <c r="H1231" s="5" t="str">
        <f>IFERROR(__xludf.DUMMYFUNCTION("""COMPUTED_VALUE"""),"PAVIMENTADA COM AVARIAS")</f>
        <v>PAVIMENTADA COM AVARIAS</v>
      </c>
      <c r="I1231" s="6" t="str">
        <f>IFERROR(__xludf.DUMMYFUNCTION("""COMPUTED_VALUE"""),"-9.6682088")</f>
        <v>-9.6682088</v>
      </c>
      <c r="J1231" s="6" t="str">
        <f>IFERROR(__xludf.DUMMYFUNCTION("""COMPUTED_VALUE"""),"-35.7576013")</f>
        <v>-35.7576013</v>
      </c>
      <c r="K1231" s="5" t="str">
        <f>IFERROR(__xludf.DUMMYFUNCTION("""COMPUTED_VALUE"""),"RUA CABO REIS ")</f>
        <v>RUA CABO REIS </v>
      </c>
      <c r="L1231" s="5" t="str">
        <f>IFERROR(__xludf.DUMMYFUNCTION("""COMPUTED_VALUE"""),"COLETORA")</f>
        <v>COLETORA</v>
      </c>
      <c r="M1231" s="5" t="str">
        <f>IFERROR(__xludf.DUMMYFUNCTION("""COMPUTED_VALUE"""),"TRAPICHE DA BARRA")</f>
        <v>TRAPICHE DA BARRA</v>
      </c>
      <c r="N1231" s="5" t="str">
        <f>IFERROR(__xludf.DUMMYFUNCTION("""COMPUTED_VALUE"""),"BAIRRO - CENTRO")</f>
        <v>BAIRRO - CENTRO</v>
      </c>
      <c r="O1231" s="5" t="str">
        <f>IFERROR(__xludf.DUMMYFUNCTION("""COMPUTED_VALUE"""),"ARENA VITÓRIA")</f>
        <v>ARENA VITÓRIA</v>
      </c>
      <c r="P1231" s="5" t="str">
        <f>IFERROR(__xludf.DUMMYFUNCTION("""COMPUTED_VALUE"""),"PRIORIDADE BAIXA")</f>
        <v>PRIORIDADE BAIXA</v>
      </c>
      <c r="Q1231" s="5" t="str">
        <f>IFERROR(__xludf.DUMMYFUNCTION("""COMPUTED_VALUE"""),"READEQUAÇÃO DA CALÇADA")</f>
        <v>READEQUAÇÃO DA CALÇADA</v>
      </c>
      <c r="R1231" s="5" t="str">
        <f>IFERROR(__xludf.DUMMYFUNCTION("""COMPUTED_VALUE"""),"NENHUMA DAS OPÇÕES")</f>
        <v>NENHUMA DAS OPÇÕES</v>
      </c>
      <c r="S1231" s="5"/>
      <c r="T1231" s="5"/>
      <c r="U1231" s="5"/>
      <c r="V1231" s="9" t="str">
        <f>IFERROR(__xludf.DUMMYFUNCTION("""COMPUTED_VALUE"""),"https://drive.google.com/file/d/1ihUzdqwLusgQqDhdTudj3CkArIjiOpE6/view?usp=sharing")</f>
        <v>https://drive.google.com/file/d/1ihUzdqwLusgQqDhdTudj3CkArIjiOpE6/view?usp=sharing</v>
      </c>
      <c r="W1231" s="5" t="str">
        <f>IFERROR(__xludf.DUMMYFUNCTION("""COMPUTED_VALUE"""),"NÃO")</f>
        <v>NÃO</v>
      </c>
      <c r="X1231" s="5" t="str">
        <f>IFERROR(__xludf.DUMMYFUNCTION("""COMPUTED_VALUE"""),"NÃO SE APLICA")</f>
        <v>NÃO SE APLICA</v>
      </c>
    </row>
    <row r="1232" hidden="1">
      <c r="A1232" s="5">
        <f>IFERROR(__xludf.DUMMYFUNCTION("IMPORTRANGE(""https://docs.google.com/spreadsheets/d/1KuoP8JmuiBMv_nZH41Qskz4TwgYIvev8RVYXLU3j10c/edit#gid=1469864628"", ""VERGEL DO LAGO!A3:X26"")"),2.0)</f>
        <v>2</v>
      </c>
      <c r="B1232" s="5" t="str">
        <f>IFERROR(__xludf.DUMMYFUNCTION("""COMPUTED_VALUE"""),"VL001")</f>
        <v>VL001</v>
      </c>
      <c r="C1232" s="5" t="str">
        <f>IFERROR(__xludf.DUMMYFUNCTION("""COMPUTED_VALUE"""),"NÃO POSSUI")</f>
        <v>NÃO POSSUI</v>
      </c>
      <c r="D1232" s="5" t="str">
        <f>IFERROR(__xludf.DUMMYFUNCTION("""COMPUTED_VALUE"""),"SEM PLACA")</f>
        <v>SEM PLACA</v>
      </c>
      <c r="E1232" s="5" t="str">
        <f>IFERROR(__xludf.DUMMYFUNCTION("""COMPUTED_VALUE"""),"SEM BAIA")</f>
        <v>SEM BAIA</v>
      </c>
      <c r="F1232" s="5" t="str">
        <f>IFERROR(__xludf.DUMMYFUNCTION("""COMPUTED_VALUE"""),"NÃO")</f>
        <v>NÃO</v>
      </c>
      <c r="G1232" s="5" t="str">
        <f>IFERROR(__xludf.DUMMYFUNCTION("""COMPUTED_VALUE"""),"NÃO")</f>
        <v>NÃO</v>
      </c>
      <c r="H1232" s="5" t="str">
        <f>IFERROR(__xludf.DUMMYFUNCTION("""COMPUTED_VALUE"""),"PAVIMENTADA COM AVARIAS")</f>
        <v>PAVIMENTADA COM AVARIAS</v>
      </c>
      <c r="I1232" s="6" t="str">
        <f>IFERROR(__xludf.DUMMYFUNCTION("""COMPUTED_VALUE"""),"-9.654322")</f>
        <v>-9.654322</v>
      </c>
      <c r="J1232" s="6" t="str">
        <f>IFERROR(__xludf.DUMMYFUNCTION("""COMPUTED_VALUE"""),"-35.758386")</f>
        <v>-35.758386</v>
      </c>
      <c r="K1232" s="5" t="str">
        <f>IFERROR(__xludf.DUMMYFUNCTION("""COMPUTED_VALUE"""),"TRAVESSA MONTE CASTELO")</f>
        <v>TRAVESSA MONTE CASTELO</v>
      </c>
      <c r="L1232" s="5" t="str">
        <f>IFERROR(__xludf.DUMMYFUNCTION("""COMPUTED_VALUE"""),"COLETORA")</f>
        <v>COLETORA</v>
      </c>
      <c r="M1232" s="5" t="str">
        <f>IFERROR(__xludf.DUMMYFUNCTION("""COMPUTED_VALUE"""),"VERGEL DO LAGO")</f>
        <v>VERGEL DO LAGO</v>
      </c>
      <c r="N1232" s="5" t="str">
        <f>IFERROR(__xludf.DUMMYFUNCTION("""COMPUTED_VALUE"""),"BAIRRO - CENTRO")</f>
        <v>BAIRRO - CENTRO</v>
      </c>
      <c r="O1232" s="5" t="str">
        <f>IFERROR(__xludf.DUMMYFUNCTION("""COMPUTED_VALUE"""),"EM FRENTE AO CHURRASQUINHO DEL CABEÇA")</f>
        <v>EM FRENTE AO CHURRASQUINHO DEL CABEÇA</v>
      </c>
      <c r="P1232" s="5" t="str">
        <f>IFERROR(__xludf.DUMMYFUNCTION("""COMPUTED_VALUE"""),"PRIORIDADE MÉDIA")</f>
        <v>PRIORIDADE MÉDIA</v>
      </c>
      <c r="Q1232" s="5" t="str">
        <f>IFERROR(__xludf.DUMMYFUNCTION("""COMPUTED_VALUE"""),"NECESSÁRIO IMPLANTAR PLACA FIXADA EM SUPORTE DE MADEIRA, ADEQUAÇÃO (ACESSIBILIDADE E PISO TÁTIL) DA CALÇADA E PINTURA DA BAIA NO ASFALTO.")</f>
        <v>NECESSÁRIO IMPLANTAR PLACA FIXADA EM SUPORTE DE MADEIRA, ADEQUAÇÃO (ACESSIBILIDADE E PISO TÁTIL) DA CALÇADA E PINTURA DA BAIA NO ASFALTO.</v>
      </c>
      <c r="R1232" s="5" t="str">
        <f>IFERROR(__xludf.DUMMYFUNCTION("""COMPUTED_VALUE"""),"IMPLANTAR ABRIGO")</f>
        <v>IMPLANTAR ABRIGO</v>
      </c>
      <c r="S1232" s="7">
        <f>IFERROR(__xludf.DUMMYFUNCTION("""COMPUTED_VALUE"""),44562.0)</f>
        <v>44562</v>
      </c>
      <c r="T1232" s="5"/>
      <c r="U1232" s="7">
        <f>IFERROR(__xludf.DUMMYFUNCTION("""COMPUTED_VALUE"""),44562.0)</f>
        <v>44562</v>
      </c>
      <c r="V1232" s="9" t="str">
        <f>IFERROR(__xludf.DUMMYFUNCTION("""COMPUTED_VALUE"""),"https://drive.google.com/uc?id=1WjFSmUKiyMoZnCw_AXziMmgmh2OUPb-C")</f>
        <v>https://drive.google.com/uc?id=1WjFSmUKiyMoZnCw_AXziMmgmh2OUPb-C</v>
      </c>
      <c r="W1232" s="5" t="str">
        <f>IFERROR(__xludf.DUMMYFUNCTION("""COMPUTED_VALUE"""),"NÃO")</f>
        <v>NÃO</v>
      </c>
      <c r="X1232" s="5" t="str">
        <f>IFERROR(__xludf.DUMMYFUNCTION("""COMPUTED_VALUE"""),"NÃO SE APLICA")</f>
        <v>NÃO SE APLICA</v>
      </c>
    </row>
    <row r="1233" hidden="1">
      <c r="A1233" s="5">
        <f>IFERROR(__xludf.DUMMYFUNCTION("""COMPUTED_VALUE"""),2.0)</f>
        <v>2</v>
      </c>
      <c r="B1233" s="5" t="str">
        <f>IFERROR(__xludf.DUMMYFUNCTION("""COMPUTED_VALUE"""),"VL002")</f>
        <v>VL002</v>
      </c>
      <c r="C1233" s="5" t="str">
        <f>IFERROR(__xludf.DUMMYFUNCTION("""COMPUTED_VALUE"""),"NÃO POSSUI")</f>
        <v>NÃO POSSUI</v>
      </c>
      <c r="D1233" s="5" t="str">
        <f>IFERROR(__xludf.DUMMYFUNCTION("""COMPUTED_VALUE"""),"SEM PLACA")</f>
        <v>SEM PLACA</v>
      </c>
      <c r="E1233" s="5" t="str">
        <f>IFERROR(__xludf.DUMMYFUNCTION("""COMPUTED_VALUE"""),"SEM BAIA")</f>
        <v>SEM BAIA</v>
      </c>
      <c r="F1233" s="5" t="str">
        <f>IFERROR(__xludf.DUMMYFUNCTION("""COMPUTED_VALUE"""),"SIM")</f>
        <v>SIM</v>
      </c>
      <c r="G1233" s="5" t="str">
        <f>IFERROR(__xludf.DUMMYFUNCTION("""COMPUTED_VALUE"""),"NÃO")</f>
        <v>NÃO</v>
      </c>
      <c r="H1233" s="5" t="str">
        <f>IFERROR(__xludf.DUMMYFUNCTION("""COMPUTED_VALUE"""),"PAVIMENTADA")</f>
        <v>PAVIMENTADA</v>
      </c>
      <c r="I1233" s="6" t="str">
        <f>IFERROR(__xludf.DUMMYFUNCTION("""COMPUTED_VALUE"""),"-9.654646")</f>
        <v>-9.654646</v>
      </c>
      <c r="J1233" s="6" t="str">
        <f>IFERROR(__xludf.DUMMYFUNCTION("""COMPUTED_VALUE"""),"-35.757879")</f>
        <v>-35.757879</v>
      </c>
      <c r="K1233" s="5" t="str">
        <f>IFERROR(__xludf.DUMMYFUNCTION("""COMPUTED_VALUE"""),"AVENIDA MONTE CASTELO, 525")</f>
        <v>AVENIDA MONTE CASTELO, 525</v>
      </c>
      <c r="L1233" s="5" t="str">
        <f>IFERROR(__xludf.DUMMYFUNCTION("""COMPUTED_VALUE"""),"COLETORA")</f>
        <v>COLETORA</v>
      </c>
      <c r="M1233" s="5" t="str">
        <f>IFERROR(__xludf.DUMMYFUNCTION("""COMPUTED_VALUE"""),"VERGEL DO LAGO")</f>
        <v>VERGEL DO LAGO</v>
      </c>
      <c r="N1233" s="5" t="str">
        <f>IFERROR(__xludf.DUMMYFUNCTION("""COMPUTED_VALUE"""),"CENTRO - BAIRRO")</f>
        <v>CENTRO - BAIRRO</v>
      </c>
      <c r="O1233" s="5" t="str">
        <f>IFERROR(__xludf.DUMMYFUNCTION("""COMPUTED_VALUE"""),"EM FRENTE A LOJA SUPORTE TECH CELL")</f>
        <v>EM FRENTE A LOJA SUPORTE TECH CELL</v>
      </c>
      <c r="P1233" s="5" t="str">
        <f>IFERROR(__xludf.DUMMYFUNCTION("""COMPUTED_VALUE"""),"PRIORIDADE MÉDIA")</f>
        <v>PRIORIDADE MÉDIA</v>
      </c>
      <c r="Q1233" s="5" t="str">
        <f>IFERROR(__xludf.DUMMYFUNCTION("""COMPUTED_VALUE"""),"NECESSÁRIO IMPLANTAR PLACA FIXADA EM SUPORTE DE MADEIRA, ADEQUAÇÃO (ACESSIBILIDADE E PISO TÁTIL) DA CALÇADA E PINTURA DA BAIA NO ASFALTO.")</f>
        <v>NECESSÁRIO IMPLANTAR PLACA FIXADA EM SUPORTE DE MADEIRA, ADEQUAÇÃO (ACESSIBILIDADE E PISO TÁTIL) DA CALÇADA E PINTURA DA BAIA NO ASFALTO.</v>
      </c>
      <c r="R1233" s="5" t="str">
        <f>IFERROR(__xludf.DUMMYFUNCTION("""COMPUTED_VALUE"""),"NENHUMA DAS OPÇÕES")</f>
        <v>NENHUMA DAS OPÇÕES</v>
      </c>
      <c r="S1233" s="7">
        <f>IFERROR(__xludf.DUMMYFUNCTION("""COMPUTED_VALUE"""),44563.0)</f>
        <v>44563</v>
      </c>
      <c r="T1233" s="5"/>
      <c r="U1233" s="7">
        <f>IFERROR(__xludf.DUMMYFUNCTION("""COMPUTED_VALUE"""),44563.0)</f>
        <v>44563</v>
      </c>
      <c r="V1233" s="9" t="str">
        <f>IFERROR(__xludf.DUMMYFUNCTION("""COMPUTED_VALUE"""),"https://drive.google.com/uc?id=1TqerK8Q4CjN-8tq_x3llKUVxko9ABJ12")</f>
        <v>https://drive.google.com/uc?id=1TqerK8Q4CjN-8tq_x3llKUVxko9ABJ12</v>
      </c>
      <c r="W1233" s="5" t="str">
        <f>IFERROR(__xludf.DUMMYFUNCTION("""COMPUTED_VALUE"""),"NÃO")</f>
        <v>NÃO</v>
      </c>
      <c r="X1233" s="5" t="str">
        <f>IFERROR(__xludf.DUMMYFUNCTION("""COMPUTED_VALUE"""),"NÃO SE APLICA")</f>
        <v>NÃO SE APLICA</v>
      </c>
    </row>
    <row r="1234" hidden="1">
      <c r="A1234" s="5">
        <f>IFERROR(__xludf.DUMMYFUNCTION("""COMPUTED_VALUE"""),2.0)</f>
        <v>2</v>
      </c>
      <c r="B1234" s="5" t="str">
        <f>IFERROR(__xludf.DUMMYFUNCTION("""COMPUTED_VALUE"""),"VL003")</f>
        <v>VL003</v>
      </c>
      <c r="C1234" s="5" t="str">
        <f>IFERROR(__xludf.DUMMYFUNCTION("""COMPUTED_VALUE"""),"NÃO POSSUI")</f>
        <v>NÃO POSSUI</v>
      </c>
      <c r="D1234" s="5" t="str">
        <f>IFERROR(__xludf.DUMMYFUNCTION("""COMPUTED_VALUE"""),"FIXADA EM POSTE")</f>
        <v>FIXADA EM POSTE</v>
      </c>
      <c r="E1234" s="5" t="str">
        <f>IFERROR(__xludf.DUMMYFUNCTION("""COMPUTED_VALUE"""),"SEM BAIA")</f>
        <v>SEM BAIA</v>
      </c>
      <c r="F1234" s="5" t="str">
        <f>IFERROR(__xludf.DUMMYFUNCTION("""COMPUTED_VALUE"""),"NÃO")</f>
        <v>NÃO</v>
      </c>
      <c r="G1234" s="5" t="str">
        <f>IFERROR(__xludf.DUMMYFUNCTION("""COMPUTED_VALUE"""),"NÃO")</f>
        <v>NÃO</v>
      </c>
      <c r="H1234" s="5" t="str">
        <f>IFERROR(__xludf.DUMMYFUNCTION("""COMPUTED_VALUE"""),"PAVIMENTADA")</f>
        <v>PAVIMENTADA</v>
      </c>
      <c r="I1234" s="6" t="str">
        <f>IFERROR(__xludf.DUMMYFUNCTION("""COMPUTED_VALUE"""),"-9.656112")</f>
        <v>-9.656112</v>
      </c>
      <c r="J1234" s="6" t="str">
        <f>IFERROR(__xludf.DUMMYFUNCTION("""COMPUTED_VALUE"""),"-35.756721")</f>
        <v>-35.756721</v>
      </c>
      <c r="K1234" s="5" t="str">
        <f>IFERROR(__xludf.DUMMYFUNCTION("""COMPUTED_VALUE"""),"AVENIDA MONTE CASTELO, 710")</f>
        <v>AVENIDA MONTE CASTELO, 710</v>
      </c>
      <c r="L1234" s="5" t="str">
        <f>IFERROR(__xludf.DUMMYFUNCTION("""COMPUTED_VALUE"""),"COLETORA")</f>
        <v>COLETORA</v>
      </c>
      <c r="M1234" s="5" t="str">
        <f>IFERROR(__xludf.DUMMYFUNCTION("""COMPUTED_VALUE"""),"VERGEL DO LAGO")</f>
        <v>VERGEL DO LAGO</v>
      </c>
      <c r="N1234" s="5" t="str">
        <f>IFERROR(__xludf.DUMMYFUNCTION("""COMPUTED_VALUE"""),"BAIRRO - CENTRO")</f>
        <v>BAIRRO - CENTRO</v>
      </c>
      <c r="O1234" s="5" t="str">
        <f>IFERROR(__xludf.DUMMYFUNCTION("""COMPUTED_VALUE"""),"EM FRENTE A ESCOLA PAPA JOÃO XXIII")</f>
        <v>EM FRENTE A ESCOLA PAPA JOÃO XXIII</v>
      </c>
      <c r="P1234" s="5" t="str">
        <f>IFERROR(__xludf.DUMMYFUNCTION("""COMPUTED_VALUE"""),"PRIORIDADE BAIXA")</f>
        <v>PRIORIDADE BAIXA</v>
      </c>
      <c r="Q1234" s="5" t="str">
        <f>IFERROR(__xludf.DUMMYFUNCTION("""COMPUTED_VALUE"""),"NECESSÁRIO SUBSTITUIR PLACA FIXADA EM POSTE, ADEQUAÇÃO (ACESSIBILIDADE E PISO TÁTIL) DA CALÇADA E PINTURA DA BAIA NO ASFALTO.")</f>
        <v>NECESSÁRIO SUBSTITUIR PLACA FIXADA EM POSTE, ADEQUAÇÃO (ACESSIBILIDADE E PISO TÁTIL) DA CALÇADA E PINTURA DA BAIA NO ASFALTO.</v>
      </c>
      <c r="R1234" s="5" t="str">
        <f>IFERROR(__xludf.DUMMYFUNCTION("""COMPUTED_VALUE"""),"NENHUMA DAS OPÇÕES")</f>
        <v>NENHUMA DAS OPÇÕES</v>
      </c>
      <c r="S1234" s="7">
        <f>IFERROR(__xludf.DUMMYFUNCTION("""COMPUTED_VALUE"""),44564.0)</f>
        <v>44564</v>
      </c>
      <c r="T1234" s="5"/>
      <c r="U1234" s="7">
        <f>IFERROR(__xludf.DUMMYFUNCTION("""COMPUTED_VALUE"""),44564.0)</f>
        <v>44564</v>
      </c>
      <c r="V1234" s="9" t="str">
        <f>IFERROR(__xludf.DUMMYFUNCTION("""COMPUTED_VALUE"""),"https://drive.google.com/uc?id=1b79dCNJObRsjf_S3ZoymCEE5AvLtuA9v")</f>
        <v>https://drive.google.com/uc?id=1b79dCNJObRsjf_S3ZoymCEE5AvLtuA9v</v>
      </c>
      <c r="W1234" s="5" t="str">
        <f>IFERROR(__xludf.DUMMYFUNCTION("""COMPUTED_VALUE"""),"NÃO")</f>
        <v>NÃO</v>
      </c>
      <c r="X1234" s="5" t="str">
        <f>IFERROR(__xludf.DUMMYFUNCTION("""COMPUTED_VALUE"""),"NÃO SE APLICA")</f>
        <v>NÃO SE APLICA</v>
      </c>
    </row>
    <row r="1235" hidden="1">
      <c r="A1235" s="5">
        <f>IFERROR(__xludf.DUMMYFUNCTION("""COMPUTED_VALUE"""),2.0)</f>
        <v>2</v>
      </c>
      <c r="B1235" s="5" t="str">
        <f>IFERROR(__xludf.DUMMYFUNCTION("""COMPUTED_VALUE"""),"VL004")</f>
        <v>VL004</v>
      </c>
      <c r="C1235" s="5" t="str">
        <f>IFERROR(__xludf.DUMMYFUNCTION("""COMPUTED_VALUE"""),"NÃO POSSUI")</f>
        <v>NÃO POSSUI</v>
      </c>
      <c r="D1235" s="5" t="str">
        <f>IFERROR(__xludf.DUMMYFUNCTION("""COMPUTED_VALUE"""),"SEM PLACA")</f>
        <v>SEM PLACA</v>
      </c>
      <c r="E1235" s="5" t="str">
        <f>IFERROR(__xludf.DUMMYFUNCTION("""COMPUTED_VALUE"""),"SEM BAIA")</f>
        <v>SEM BAIA</v>
      </c>
      <c r="F1235" s="5" t="str">
        <f>IFERROR(__xludf.DUMMYFUNCTION("""COMPUTED_VALUE"""),"NÃO")</f>
        <v>NÃO</v>
      </c>
      <c r="G1235" s="5" t="str">
        <f>IFERROR(__xludf.DUMMYFUNCTION("""COMPUTED_VALUE"""),"NÃO")</f>
        <v>NÃO</v>
      </c>
      <c r="H1235" s="5" t="str">
        <f>IFERROR(__xludf.DUMMYFUNCTION("""COMPUTED_VALUE"""),"PAVIMENTADA")</f>
        <v>PAVIMENTADA</v>
      </c>
      <c r="I1235" s="6" t="str">
        <f>IFERROR(__xludf.DUMMYFUNCTION("""COMPUTED_VALUE"""),"-9.656140")</f>
        <v>-9.656140</v>
      </c>
      <c r="J1235" s="6" t="str">
        <f>IFERROR(__xludf.DUMMYFUNCTION("""COMPUTED_VALUE"""),"-35.756642")</f>
        <v>-35.756642</v>
      </c>
      <c r="K1235" s="5" t="str">
        <f>IFERROR(__xludf.DUMMYFUNCTION("""COMPUTED_VALUE"""),"AVENIDA MONTE CASTELO, 775")</f>
        <v>AVENIDA MONTE CASTELO, 775</v>
      </c>
      <c r="L1235" s="5" t="str">
        <f>IFERROR(__xludf.DUMMYFUNCTION("""COMPUTED_VALUE"""),"COLETORA")</f>
        <v>COLETORA</v>
      </c>
      <c r="M1235" s="5" t="str">
        <f>IFERROR(__xludf.DUMMYFUNCTION("""COMPUTED_VALUE"""),"VERGEL DO LAGO")</f>
        <v>VERGEL DO LAGO</v>
      </c>
      <c r="N1235" s="5" t="str">
        <f>IFERROR(__xludf.DUMMYFUNCTION("""COMPUTED_VALUE"""),"CENTRO - BAIRRO")</f>
        <v>CENTRO - BAIRRO</v>
      </c>
      <c r="O1235" s="5" t="str">
        <f>IFERROR(__xludf.DUMMYFUNCTION("""COMPUTED_VALUE"""),"EM FRENTE AO AÇAÍ DO XEFE")</f>
        <v>EM FRENTE AO AÇAÍ DO XEFE</v>
      </c>
      <c r="P1235" s="5" t="str">
        <f>IFERROR(__xludf.DUMMYFUNCTION("""COMPUTED_VALUE"""),"PRIORIDADE MÉDIA")</f>
        <v>PRIORIDADE MÉDIA</v>
      </c>
      <c r="Q1235" s="5" t="str">
        <f>IFERROR(__xludf.DUMMYFUNCTION("""COMPUTED_VALUE"""),"NECESSÁRIO IMPLANTAR PLACA FIXADA EM POSTE EXISTENTE, ADEQUAÇÃO (ACESSIBILIDADE E PISO TÁTIL) DA CALÇADA E PINTURA DA BAIA NO ASFALTO.")</f>
        <v>NECESSÁRIO IMPLANTAR PLACA FIXADA EM POSTE EXISTENTE, ADEQUAÇÃO (ACESSIBILIDADE E PISO TÁTIL) DA CALÇADA E PINTURA DA BAIA NO ASFALTO.</v>
      </c>
      <c r="R1235" s="5" t="str">
        <f>IFERROR(__xludf.DUMMYFUNCTION("""COMPUTED_VALUE"""),"NENHUMA DAS OPÇÕES")</f>
        <v>NENHUMA DAS OPÇÕES</v>
      </c>
      <c r="S1235" s="7">
        <f>IFERROR(__xludf.DUMMYFUNCTION("""COMPUTED_VALUE"""),44565.0)</f>
        <v>44565</v>
      </c>
      <c r="T1235" s="5"/>
      <c r="U1235" s="7">
        <f>IFERROR(__xludf.DUMMYFUNCTION("""COMPUTED_VALUE"""),44565.0)</f>
        <v>44565</v>
      </c>
      <c r="V1235" s="9" t="str">
        <f>IFERROR(__xludf.DUMMYFUNCTION("""COMPUTED_VALUE"""),"https://drive.google.com/uc?id=13pcu0FQQKDoXSkZfyGnZ3wc2ykat_KK_")</f>
        <v>https://drive.google.com/uc?id=13pcu0FQQKDoXSkZfyGnZ3wc2ykat_KK_</v>
      </c>
      <c r="W1235" s="5" t="str">
        <f>IFERROR(__xludf.DUMMYFUNCTION("""COMPUTED_VALUE"""),"NÃO")</f>
        <v>NÃO</v>
      </c>
      <c r="X1235" s="5" t="str">
        <f>IFERROR(__xludf.DUMMYFUNCTION("""COMPUTED_VALUE"""),"NÃO SE APLICA")</f>
        <v>NÃO SE APLICA</v>
      </c>
    </row>
    <row r="1236" hidden="1">
      <c r="A1236" s="5">
        <f>IFERROR(__xludf.DUMMYFUNCTION("""COMPUTED_VALUE"""),2.0)</f>
        <v>2</v>
      </c>
      <c r="B1236" s="5" t="str">
        <f>IFERROR(__xludf.DUMMYFUNCTION("""COMPUTED_VALUE"""),"VL005")</f>
        <v>VL005</v>
      </c>
      <c r="C1236" s="5" t="str">
        <f>IFERROR(__xludf.DUMMYFUNCTION("""COMPUTED_VALUE"""),"NÃO POSSUI")</f>
        <v>NÃO POSSUI</v>
      </c>
      <c r="D1236" s="5" t="str">
        <f>IFERROR(__xludf.DUMMYFUNCTION("""COMPUTED_VALUE"""),"COM SUPORTE")</f>
        <v>COM SUPORTE</v>
      </c>
      <c r="E1236" s="5" t="str">
        <f>IFERROR(__xludf.DUMMYFUNCTION("""COMPUTED_VALUE"""),"SEM BAIA")</f>
        <v>SEM BAIA</v>
      </c>
      <c r="F1236" s="5" t="str">
        <f>IFERROR(__xludf.DUMMYFUNCTION("""COMPUTED_VALUE"""),"SIM")</f>
        <v>SIM</v>
      </c>
      <c r="G1236" s="5" t="str">
        <f>IFERROR(__xludf.DUMMYFUNCTION("""COMPUTED_VALUE"""),"SIM")</f>
        <v>SIM</v>
      </c>
      <c r="H1236" s="5" t="str">
        <f>IFERROR(__xludf.DUMMYFUNCTION("""COMPUTED_VALUE"""),"PAVIMENTADA")</f>
        <v>PAVIMENTADA</v>
      </c>
      <c r="I1236" s="6" t="str">
        <f>IFERROR(__xludf.DUMMYFUNCTION("""COMPUTED_VALUE"""),"-9.657521")</f>
        <v>-9.657521</v>
      </c>
      <c r="J1236" s="6" t="str">
        <f>IFERROR(__xludf.DUMMYFUNCTION("""COMPUTED_VALUE"""),"-35.755390")</f>
        <v>-35.755390</v>
      </c>
      <c r="K1236" s="5" t="str">
        <f>IFERROR(__xludf.DUMMYFUNCTION("""COMPUTED_VALUE"""),"AVENIDA MONTE CASTELO, S/N")</f>
        <v>AVENIDA MONTE CASTELO, S/N</v>
      </c>
      <c r="L1236" s="5" t="str">
        <f>IFERROR(__xludf.DUMMYFUNCTION("""COMPUTED_VALUE"""),"COLETORA")</f>
        <v>COLETORA</v>
      </c>
      <c r="M1236" s="5" t="str">
        <f>IFERROR(__xludf.DUMMYFUNCTION("""COMPUTED_VALUE"""),"VERGEL DO LAGO")</f>
        <v>VERGEL DO LAGO</v>
      </c>
      <c r="N1236" s="5" t="str">
        <f>IFERROR(__xludf.DUMMYFUNCTION("""COMPUTED_VALUE"""),"CENTRO - BAIRRO")</f>
        <v>CENTRO - BAIRRO</v>
      </c>
      <c r="O1236" s="5" t="str">
        <f>IFERROR(__xludf.DUMMYFUNCTION("""COMPUTED_VALUE"""),"EM FRENTE A ESCOLA MUNICIPAL RUI PALMEIRA")</f>
        <v>EM FRENTE A ESCOLA MUNICIPAL RUI PALMEIRA</v>
      </c>
      <c r="P1236" s="5" t="str">
        <f>IFERROR(__xludf.DUMMYFUNCTION("""COMPUTED_VALUE"""),"PRIORIDADE BAIXA")</f>
        <v>PRIORIDADE BAIXA</v>
      </c>
      <c r="Q1236" s="5" t="str">
        <f>IFERROR(__xludf.DUMMYFUNCTION("""COMPUTED_VALUE"""),"NECESSÁRIO SUBSTITUIR PLACA FIXADA EM SUPORTE DE MADEIRA, ADEQUAÇÃO (ACESSIBILIDADE E PISO TÁTIL) DA CALÇADA E PINTURA DA BAIA NO ASFALTO.")</f>
        <v>NECESSÁRIO SUBSTITUIR PLACA FIXADA EM SUPORTE DE MADEIRA, ADEQUAÇÃO (ACESSIBILIDADE E PISO TÁTIL) DA CALÇADA E PINTURA DA BAIA NO ASFALTO.</v>
      </c>
      <c r="R1236" s="5" t="str">
        <f>IFERROR(__xludf.DUMMYFUNCTION("""COMPUTED_VALUE"""),"IMPLANTAR ABRIGO")</f>
        <v>IMPLANTAR ABRIGO</v>
      </c>
      <c r="S1236" s="7">
        <f>IFERROR(__xludf.DUMMYFUNCTION("""COMPUTED_VALUE"""),44566.0)</f>
        <v>44566</v>
      </c>
      <c r="T1236" s="5"/>
      <c r="U1236" s="7">
        <f>IFERROR(__xludf.DUMMYFUNCTION("""COMPUTED_VALUE"""),44566.0)</f>
        <v>44566</v>
      </c>
      <c r="V1236" s="9" t="str">
        <f>IFERROR(__xludf.DUMMYFUNCTION("""COMPUTED_VALUE"""),"https://drive.google.com/uc?id=1_MsrQpca3qtKqsSCKORRx4Dgpc_YQMcL")</f>
        <v>https://drive.google.com/uc?id=1_MsrQpca3qtKqsSCKORRx4Dgpc_YQMcL</v>
      </c>
      <c r="W1236" s="5" t="str">
        <f>IFERROR(__xludf.DUMMYFUNCTION("""COMPUTED_VALUE"""),"NÃO")</f>
        <v>NÃO</v>
      </c>
      <c r="X1236" s="5" t="str">
        <f>IFERROR(__xludf.DUMMYFUNCTION("""COMPUTED_VALUE"""),"NÃO SE APLICA")</f>
        <v>NÃO SE APLICA</v>
      </c>
    </row>
    <row r="1237" hidden="1">
      <c r="A1237" s="5">
        <f>IFERROR(__xludf.DUMMYFUNCTION("""COMPUTED_VALUE"""),2.0)</f>
        <v>2</v>
      </c>
      <c r="B1237" s="5" t="str">
        <f>IFERROR(__xludf.DUMMYFUNCTION("""COMPUTED_VALUE"""),"VL006")</f>
        <v>VL006</v>
      </c>
      <c r="C1237" s="5" t="str">
        <f>IFERROR(__xludf.DUMMYFUNCTION("""COMPUTED_VALUE"""),"NÃO POSSUI")</f>
        <v>NÃO POSSUI</v>
      </c>
      <c r="D1237" s="5" t="str">
        <f>IFERROR(__xludf.DUMMYFUNCTION("""COMPUTED_VALUE"""),"SEM PLACA")</f>
        <v>SEM PLACA</v>
      </c>
      <c r="E1237" s="5" t="str">
        <f>IFERROR(__xludf.DUMMYFUNCTION("""COMPUTED_VALUE"""),"SEM BAIA")</f>
        <v>SEM BAIA</v>
      </c>
      <c r="F1237" s="5" t="str">
        <f>IFERROR(__xludf.DUMMYFUNCTION("""COMPUTED_VALUE"""),"NÃO")</f>
        <v>NÃO</v>
      </c>
      <c r="G1237" s="5" t="str">
        <f>IFERROR(__xludf.DUMMYFUNCTION("""COMPUTED_VALUE"""),"NÃO")</f>
        <v>NÃO</v>
      </c>
      <c r="H1237" s="5" t="str">
        <f>IFERROR(__xludf.DUMMYFUNCTION("""COMPUTED_VALUE"""),"PAVIMENTADA")</f>
        <v>PAVIMENTADA</v>
      </c>
      <c r="I1237" s="6" t="str">
        <f>IFERROR(__xludf.DUMMYFUNCTION("""COMPUTED_VALUE"""),"-9.653673")</f>
        <v>-9.653673</v>
      </c>
      <c r="J1237" s="6" t="str">
        <f>IFERROR(__xludf.DUMMYFUNCTION("""COMPUTED_VALUE"""),"-35.757410")</f>
        <v>-35.757410</v>
      </c>
      <c r="K1237" s="5" t="str">
        <f>IFERROR(__xludf.DUMMYFUNCTION("""COMPUTED_VALUE"""),"RUA GETÚLIO CORREIA LIMA, 216")</f>
        <v>RUA GETÚLIO CORREIA LIMA, 216</v>
      </c>
      <c r="L1237" s="5" t="str">
        <f>IFERROR(__xludf.DUMMYFUNCTION("""COMPUTED_VALUE"""),"COLETORA")</f>
        <v>COLETORA</v>
      </c>
      <c r="M1237" s="5" t="str">
        <f>IFERROR(__xludf.DUMMYFUNCTION("""COMPUTED_VALUE"""),"VERGEL DO LAGO")</f>
        <v>VERGEL DO LAGO</v>
      </c>
      <c r="N1237" s="5" t="str">
        <f>IFERROR(__xludf.DUMMYFUNCTION("""COMPUTED_VALUE"""),"CENTRO - BAIRRO")</f>
        <v>CENTRO - BAIRRO</v>
      </c>
      <c r="O1237" s="5" t="str">
        <f>IFERROR(__xludf.DUMMYFUNCTION("""COMPUTED_VALUE"""),"PRÓXIMO AO MERCADINHO ESQUINA DO PÃO")</f>
        <v>PRÓXIMO AO MERCADINHO ESQUINA DO PÃO</v>
      </c>
      <c r="P1237" s="5" t="str">
        <f>IFERROR(__xludf.DUMMYFUNCTION("""COMPUTED_VALUE"""),"PRIORIDADE MÉDIA")</f>
        <v>PRIORIDADE MÉDIA</v>
      </c>
      <c r="Q1237" s="5" t="str">
        <f>IFERROR(__xludf.DUMMYFUNCTION("""COMPUTED_VALUE"""),"IMPLANTAR PLACA FIXADA EM SUPORTE DE MADEIRA NA CALÇADA DO MURO AMARELO, ADEQUAÇÃO (ACESSIBILIDADE E PISO TÁTIL) DA CALÇADA E PINTURA DA BAIA NO ASFALTO.")</f>
        <v>IMPLANTAR PLACA FIXADA EM SUPORTE DE MADEIRA NA CALÇADA DO MURO AMARELO, ADEQUAÇÃO (ACESSIBILIDADE E PISO TÁTIL) DA CALÇADA E PINTURA DA BAIA NO ASFALTO.</v>
      </c>
      <c r="R1237" s="5" t="str">
        <f>IFERROR(__xludf.DUMMYFUNCTION("""COMPUTED_VALUE"""),"NENHUMA DAS OPÇÕES")</f>
        <v>NENHUMA DAS OPÇÕES</v>
      </c>
      <c r="S1237" s="7">
        <f>IFERROR(__xludf.DUMMYFUNCTION("""COMPUTED_VALUE"""),44567.0)</f>
        <v>44567</v>
      </c>
      <c r="T1237" s="5"/>
      <c r="U1237" s="7">
        <f>IFERROR(__xludf.DUMMYFUNCTION("""COMPUTED_VALUE"""),44567.0)</f>
        <v>44567</v>
      </c>
      <c r="V1237" s="9" t="str">
        <f>IFERROR(__xludf.DUMMYFUNCTION("""COMPUTED_VALUE"""),"https://drive.google.com/uc?id=18PJ8v1xR5lvhQtBMEEUjhDej_yABEjR2")</f>
        <v>https://drive.google.com/uc?id=18PJ8v1xR5lvhQtBMEEUjhDej_yABEjR2</v>
      </c>
      <c r="W1237" s="5" t="str">
        <f>IFERROR(__xludf.DUMMYFUNCTION("""COMPUTED_VALUE"""),"NÃO")</f>
        <v>NÃO</v>
      </c>
      <c r="X1237" s="5" t="str">
        <f>IFERROR(__xludf.DUMMYFUNCTION("""COMPUTED_VALUE"""),"NÃO SE APLICA")</f>
        <v>NÃO SE APLICA</v>
      </c>
    </row>
    <row r="1238" hidden="1">
      <c r="A1238" s="5">
        <f>IFERROR(__xludf.DUMMYFUNCTION("""COMPUTED_VALUE"""),2.0)</f>
        <v>2</v>
      </c>
      <c r="B1238" s="5" t="str">
        <f>IFERROR(__xludf.DUMMYFUNCTION("""COMPUTED_VALUE"""),"VL007")</f>
        <v>VL007</v>
      </c>
      <c r="C1238" s="5" t="str">
        <f>IFERROR(__xludf.DUMMYFUNCTION("""COMPUTED_VALUE"""),"NÃO POSSUI")</f>
        <v>NÃO POSSUI</v>
      </c>
      <c r="D1238" s="5" t="str">
        <f>IFERROR(__xludf.DUMMYFUNCTION("""COMPUTED_VALUE"""),"SEM PLACA")</f>
        <v>SEM PLACA</v>
      </c>
      <c r="E1238" s="5" t="str">
        <f>IFERROR(__xludf.DUMMYFUNCTION("""COMPUTED_VALUE"""),"SEM BAIA")</f>
        <v>SEM BAIA</v>
      </c>
      <c r="F1238" s="5" t="str">
        <f>IFERROR(__xludf.DUMMYFUNCTION("""COMPUTED_VALUE"""),"NÃO")</f>
        <v>NÃO</v>
      </c>
      <c r="G1238" s="5" t="str">
        <f>IFERROR(__xludf.DUMMYFUNCTION("""COMPUTED_VALUE"""),"NÃO")</f>
        <v>NÃO</v>
      </c>
      <c r="H1238" s="5" t="str">
        <f>IFERROR(__xludf.DUMMYFUNCTION("""COMPUTED_VALUE"""),"PAVIMENTADA")</f>
        <v>PAVIMENTADA</v>
      </c>
      <c r="I1238" s="6" t="str">
        <f>IFERROR(__xludf.DUMMYFUNCTION("""COMPUTED_VALUE"""),"-9.654062")</f>
        <v>-9.654062</v>
      </c>
      <c r="J1238" s="6" t="str">
        <f>IFERROR(__xludf.DUMMYFUNCTION("""COMPUTED_VALUE"""),"-35.755472")</f>
        <v>-35.755472</v>
      </c>
      <c r="K1238" s="5" t="str">
        <f>IFERROR(__xludf.DUMMYFUNCTION("""COMPUTED_VALUE"""),"ALAMEDA JOSÉ CORREIA DE MELO")</f>
        <v>ALAMEDA JOSÉ CORREIA DE MELO</v>
      </c>
      <c r="L1238" s="5" t="str">
        <f>IFERROR(__xludf.DUMMYFUNCTION("""COMPUTED_VALUE"""),"COLETORA")</f>
        <v>COLETORA</v>
      </c>
      <c r="M1238" s="5" t="str">
        <f>IFERROR(__xludf.DUMMYFUNCTION("""COMPUTED_VALUE"""),"VERGEL DO LAGO")</f>
        <v>VERGEL DO LAGO</v>
      </c>
      <c r="N1238" s="5" t="str">
        <f>IFERROR(__xludf.DUMMYFUNCTION("""COMPUTED_VALUE"""),"CENTRO - BAIRRO")</f>
        <v>CENTRO - BAIRRO</v>
      </c>
      <c r="O1238" s="5" t="str">
        <f>IFERROR(__xludf.DUMMYFUNCTION("""COMPUTED_VALUE"""),"PRÓXIMO AO ESCOLA EDUCATIVA LÍRIO DOS VALES")</f>
        <v>PRÓXIMO AO ESCOLA EDUCATIVA LÍRIO DOS VALES</v>
      </c>
      <c r="P1238" s="5" t="str">
        <f>IFERROR(__xludf.DUMMYFUNCTION("""COMPUTED_VALUE"""),"PRIORIDADE MÉDIA")</f>
        <v>PRIORIDADE MÉDIA</v>
      </c>
      <c r="Q1238" s="5" t="str">
        <f>IFERROR(__xludf.DUMMYFUNCTION("""COMPUTED_VALUE"""),"IMPLANTAR PLACA FIXADA EM SUPORTE DE MADEIRA, ADEQUAÇÃO (ACESSIBILIDADE E PISO TÁTIL) DA CALÇADA E PINTURA DA BAIA NO ASFALTO.")</f>
        <v>IMPLANTAR PLACA FIXADA EM SUPORTE DE MADEIRA, ADEQUAÇÃO (ACESSIBILIDADE E PISO TÁTIL) DA CALÇADA E PINTURA DA BAIA NO ASFALTO.</v>
      </c>
      <c r="R1238" s="5" t="str">
        <f>IFERROR(__xludf.DUMMYFUNCTION("""COMPUTED_VALUE"""),"NENHUMA DAS OPÇÕES")</f>
        <v>NENHUMA DAS OPÇÕES</v>
      </c>
      <c r="S1238" s="7">
        <f>IFERROR(__xludf.DUMMYFUNCTION("""COMPUTED_VALUE"""),44568.0)</f>
        <v>44568</v>
      </c>
      <c r="T1238" s="5"/>
      <c r="U1238" s="7">
        <f>IFERROR(__xludf.DUMMYFUNCTION("""COMPUTED_VALUE"""),44568.0)</f>
        <v>44568</v>
      </c>
      <c r="V1238" s="9" t="str">
        <f>IFERROR(__xludf.DUMMYFUNCTION("""COMPUTED_VALUE"""),"https://drive.google.com/uc?id=1CWfhGHsBmL9c5MKjYjcvVlbEdDTDcObd")</f>
        <v>https://drive.google.com/uc?id=1CWfhGHsBmL9c5MKjYjcvVlbEdDTDcObd</v>
      </c>
      <c r="W1238" s="5" t="str">
        <f>IFERROR(__xludf.DUMMYFUNCTION("""COMPUTED_VALUE"""),"NÃO")</f>
        <v>NÃO</v>
      </c>
      <c r="X1238" s="5" t="str">
        <f>IFERROR(__xludf.DUMMYFUNCTION("""COMPUTED_VALUE"""),"NÃO SE APLICA")</f>
        <v>NÃO SE APLICA</v>
      </c>
    </row>
    <row r="1239" hidden="1">
      <c r="A1239" s="5">
        <f>IFERROR(__xludf.DUMMYFUNCTION("""COMPUTED_VALUE"""),2.0)</f>
        <v>2</v>
      </c>
      <c r="B1239" s="5" t="str">
        <f>IFERROR(__xludf.DUMMYFUNCTION("""COMPUTED_VALUE"""),"VL008")</f>
        <v>VL008</v>
      </c>
      <c r="C1239" s="5" t="str">
        <f>IFERROR(__xludf.DUMMYFUNCTION("""COMPUTED_VALUE"""),"NÃO POSSUI")</f>
        <v>NÃO POSSUI</v>
      </c>
      <c r="D1239" s="5" t="str">
        <f>IFERROR(__xludf.DUMMYFUNCTION("""COMPUTED_VALUE"""),"SEM PLACA")</f>
        <v>SEM PLACA</v>
      </c>
      <c r="E1239" s="5" t="str">
        <f>IFERROR(__xludf.DUMMYFUNCTION("""COMPUTED_VALUE"""),"SEM BAIA")</f>
        <v>SEM BAIA</v>
      </c>
      <c r="F1239" s="5" t="str">
        <f>IFERROR(__xludf.DUMMYFUNCTION("""COMPUTED_VALUE"""),"NÃO")</f>
        <v>NÃO</v>
      </c>
      <c r="G1239" s="5" t="str">
        <f>IFERROR(__xludf.DUMMYFUNCTION("""COMPUTED_VALUE"""),"NÃO")</f>
        <v>NÃO</v>
      </c>
      <c r="H1239" s="5" t="str">
        <f>IFERROR(__xludf.DUMMYFUNCTION("""COMPUTED_VALUE"""),"PAVIMENTADA")</f>
        <v>PAVIMENTADA</v>
      </c>
      <c r="I1239" s="6" t="str">
        <f>IFERROR(__xludf.DUMMYFUNCTION("""COMPUTED_VALUE"""),"-9.656687")</f>
        <v>-9.656687</v>
      </c>
      <c r="J1239" s="6" t="str">
        <f>IFERROR(__xludf.DUMMYFUNCTION("""COMPUTED_VALUE"""),"-35.754478")</f>
        <v>-35.754478</v>
      </c>
      <c r="K1239" s="5" t="str">
        <f>IFERROR(__xludf.DUMMYFUNCTION("""COMPUTED_VALUE"""),"RUA FELIX BANDEIRA, 602")</f>
        <v>RUA FELIX BANDEIRA, 602</v>
      </c>
      <c r="L1239" s="5" t="str">
        <f>IFERROR(__xludf.DUMMYFUNCTION("""COMPUTED_VALUE"""),"COLETORA")</f>
        <v>COLETORA</v>
      </c>
      <c r="M1239" s="5" t="str">
        <f>IFERROR(__xludf.DUMMYFUNCTION("""COMPUTED_VALUE"""),"VERGEL DO LAGO")</f>
        <v>VERGEL DO LAGO</v>
      </c>
      <c r="N1239" s="5" t="str">
        <f>IFERROR(__xludf.DUMMYFUNCTION("""COMPUTED_VALUE"""),"CENTRO - BAIRRO")</f>
        <v>CENTRO - BAIRRO</v>
      </c>
      <c r="O1239" s="5" t="str">
        <f>IFERROR(__xludf.DUMMYFUNCTION("""COMPUTED_VALUE"""),"PRÓXIMO A LOJA REIS ALIMENTOS")</f>
        <v>PRÓXIMO A LOJA REIS ALIMENTOS</v>
      </c>
      <c r="P1239" s="5" t="str">
        <f>IFERROR(__xludf.DUMMYFUNCTION("""COMPUTED_VALUE"""),"PRIORIDADE MÉDIA")</f>
        <v>PRIORIDADE MÉDIA</v>
      </c>
      <c r="Q1239" s="5" t="str">
        <f>IFERROR(__xludf.DUMMYFUNCTION("""COMPUTED_VALUE"""),"IMPLANTAR PLACA FIXADA EM SUPORTE DE MADEIRA, ADEQUAÇÃO (ACESSIBILIDADE E PISO TÁTIL) DA CALÇADA E PINTURA DA BAIA NO ASFALTO.")</f>
        <v>IMPLANTAR PLACA FIXADA EM SUPORTE DE MADEIRA, ADEQUAÇÃO (ACESSIBILIDADE E PISO TÁTIL) DA CALÇADA E PINTURA DA BAIA NO ASFALTO.</v>
      </c>
      <c r="R1239" s="5" t="str">
        <f>IFERROR(__xludf.DUMMYFUNCTION("""COMPUTED_VALUE"""),"NENHUMA DAS OPÇÕES")</f>
        <v>NENHUMA DAS OPÇÕES</v>
      </c>
      <c r="S1239" s="7">
        <f>IFERROR(__xludf.DUMMYFUNCTION("""COMPUTED_VALUE"""),44569.0)</f>
        <v>44569</v>
      </c>
      <c r="T1239" s="5"/>
      <c r="U1239" s="7">
        <f>IFERROR(__xludf.DUMMYFUNCTION("""COMPUTED_VALUE"""),44569.0)</f>
        <v>44569</v>
      </c>
      <c r="V1239" s="9" t="str">
        <f>IFERROR(__xludf.DUMMYFUNCTION("""COMPUTED_VALUE"""),"https://drive.google.com/uc?id=1PmhbIuXxSpKWIo74vAOaGHblvHBozl1A")</f>
        <v>https://drive.google.com/uc?id=1PmhbIuXxSpKWIo74vAOaGHblvHBozl1A</v>
      </c>
      <c r="W1239" s="5" t="str">
        <f>IFERROR(__xludf.DUMMYFUNCTION("""COMPUTED_VALUE"""),"NÃO")</f>
        <v>NÃO</v>
      </c>
      <c r="X1239" s="5" t="str">
        <f>IFERROR(__xludf.DUMMYFUNCTION("""COMPUTED_VALUE"""),"NÃO SE APLICA")</f>
        <v>NÃO SE APLICA</v>
      </c>
    </row>
    <row r="1240">
      <c r="A1240" s="5">
        <f>IFERROR(__xludf.DUMMYFUNCTION("""COMPUTED_VALUE"""),2.0)</f>
        <v>2</v>
      </c>
      <c r="B1240" s="5" t="str">
        <f>IFERROR(__xludf.DUMMYFUNCTION("""COMPUTED_VALUE"""),"VL009")</f>
        <v>VL009</v>
      </c>
      <c r="C1240" s="5" t="str">
        <f>IFERROR(__xludf.DUMMYFUNCTION("""COMPUTED_VALUE"""),"ABRIGO METÁLICO PEQUENO PORTE")</f>
        <v>ABRIGO METÁLICO PEQUENO PORTE</v>
      </c>
      <c r="D1240" s="5" t="str">
        <f>IFERROR(__xludf.DUMMYFUNCTION("""COMPUTED_VALUE"""),"SEM PLACA")</f>
        <v>SEM PLACA</v>
      </c>
      <c r="E1240" s="5" t="str">
        <f>IFERROR(__xludf.DUMMYFUNCTION("""COMPUTED_VALUE"""),"SEM BAIA")</f>
        <v>SEM BAIA</v>
      </c>
      <c r="F1240" s="5" t="str">
        <f>IFERROR(__xludf.DUMMYFUNCTION("""COMPUTED_VALUE"""),"SIM")</f>
        <v>SIM</v>
      </c>
      <c r="G1240" s="5" t="str">
        <f>IFERROR(__xludf.DUMMYFUNCTION("""COMPUTED_VALUE"""),"NÃO")</f>
        <v>NÃO</v>
      </c>
      <c r="H1240" s="5" t="str">
        <f>IFERROR(__xludf.DUMMYFUNCTION("""COMPUTED_VALUE"""),"PAVIMENTADA")</f>
        <v>PAVIMENTADA</v>
      </c>
      <c r="I1240" s="6" t="str">
        <f>IFERROR(__xludf.DUMMYFUNCTION("""COMPUTED_VALUE"""),"-9.658887")</f>
        <v>-9.658887</v>
      </c>
      <c r="J1240" s="6" t="str">
        <f>IFERROR(__xludf.DUMMYFUNCTION("""COMPUTED_VALUE"""),"-35.754797")</f>
        <v>-35.754797</v>
      </c>
      <c r="K1240" s="5" t="str">
        <f>IFERROR(__xludf.DUMMYFUNCTION("""COMPUTED_VALUE"""),"RUA CABO REIS, S/N")</f>
        <v>RUA CABO REIS, S/N</v>
      </c>
      <c r="L1240" s="5" t="str">
        <f>IFERROR(__xludf.DUMMYFUNCTION("""COMPUTED_VALUE"""),"COLETORA")</f>
        <v>COLETORA</v>
      </c>
      <c r="M1240" s="5" t="str">
        <f>IFERROR(__xludf.DUMMYFUNCTION("""COMPUTED_VALUE"""),"VERGEL DO LAGO")</f>
        <v>VERGEL DO LAGO</v>
      </c>
      <c r="N1240" s="5" t="str">
        <f>IFERROR(__xludf.DUMMYFUNCTION("""COMPUTED_VALUE"""),"CENTRO - BAIRRO")</f>
        <v>CENTRO - BAIRRO</v>
      </c>
      <c r="O1240" s="5" t="str">
        <f>IFERROR(__xludf.DUMMYFUNCTION("""COMPUTED_VALUE"""),"PRÓXIMO AO SUPERMERCADO UNICOMPRAS")</f>
        <v>PRÓXIMO AO SUPERMERCADO UNICOMPRAS</v>
      </c>
      <c r="P1240" s="5" t="str">
        <f>IFERROR(__xludf.DUMMYFUNCTION("""COMPUTED_VALUE"""),"PRIORIDADE BAIXA")</f>
        <v>PRIORIDADE BAIXA</v>
      </c>
      <c r="Q1240" s="5" t="str">
        <f>IFERROR(__xludf.DUMMYFUNCTION("""COMPUTED_VALUE"""),"IMPLANTAR PLACA FIXADA EM SUPORTE DE MADEIRA; ADEQUAÇÃO (ACESSIBILIDADE E PISO TÁTIL) DA CALÇADA; PINTURA DA BAIA NO ASFALTO; REPINTURA DO ABRIGO.")</f>
        <v>IMPLANTAR PLACA FIXADA EM SUPORTE DE MADEIRA; ADEQUAÇÃO (ACESSIBILIDADE E PISO TÁTIL) DA CALÇADA; PINTURA DA BAIA NO ASFALTO; REPINTURA DO ABRIGO.</v>
      </c>
      <c r="R1240" s="5" t="str">
        <f>IFERROR(__xludf.DUMMYFUNCTION("""COMPUTED_VALUE"""),"IMPLANTAR ABRIGO")</f>
        <v>IMPLANTAR ABRIGO</v>
      </c>
      <c r="S1240" s="7">
        <f>IFERROR(__xludf.DUMMYFUNCTION("""COMPUTED_VALUE"""),44570.0)</f>
        <v>44570</v>
      </c>
      <c r="T1240" s="5"/>
      <c r="U1240" s="7">
        <f>IFERROR(__xludf.DUMMYFUNCTION("""COMPUTED_VALUE"""),44570.0)</f>
        <v>44570</v>
      </c>
      <c r="V1240" s="9" t="str">
        <f>IFERROR(__xludf.DUMMYFUNCTION("""COMPUTED_VALUE"""),"https://drive.google.com/uc?id=1tt73cf76RyV7CR60i3zr-fTFBCIrU8Gz")</f>
        <v>https://drive.google.com/uc?id=1tt73cf76RyV7CR60i3zr-fTFBCIrU8Gz</v>
      </c>
      <c r="W1240" s="5" t="str">
        <f>IFERROR(__xludf.DUMMYFUNCTION("""COMPUTED_VALUE"""),"NÃO")</f>
        <v>NÃO</v>
      </c>
      <c r="X1240" s="5" t="str">
        <f>IFERROR(__xludf.DUMMYFUNCTION("""COMPUTED_VALUE"""),"NÃO")</f>
        <v>NÃO</v>
      </c>
    </row>
    <row r="1241" hidden="1">
      <c r="A1241" s="5">
        <f>IFERROR(__xludf.DUMMYFUNCTION("""COMPUTED_VALUE"""),2.0)</f>
        <v>2</v>
      </c>
      <c r="B1241" s="5" t="str">
        <f>IFERROR(__xludf.DUMMYFUNCTION("""COMPUTED_VALUE"""),"VL010")</f>
        <v>VL010</v>
      </c>
      <c r="C1241" s="5" t="str">
        <f>IFERROR(__xludf.DUMMYFUNCTION("""COMPUTED_VALUE"""),"NÃO POSSUI")</f>
        <v>NÃO POSSUI</v>
      </c>
      <c r="D1241" s="5" t="str">
        <f>IFERROR(__xludf.DUMMYFUNCTION("""COMPUTED_VALUE"""),"SEM PLACA")</f>
        <v>SEM PLACA</v>
      </c>
      <c r="E1241" s="5" t="str">
        <f>IFERROR(__xludf.DUMMYFUNCTION("""COMPUTED_VALUE"""),"SEM BAIA")</f>
        <v>SEM BAIA</v>
      </c>
      <c r="F1241" s="5" t="str">
        <f>IFERROR(__xludf.DUMMYFUNCTION("""COMPUTED_VALUE"""),"SIM")</f>
        <v>SIM</v>
      </c>
      <c r="G1241" s="5" t="str">
        <f>IFERROR(__xludf.DUMMYFUNCTION("""COMPUTED_VALUE"""),"NÃO")</f>
        <v>NÃO</v>
      </c>
      <c r="H1241" s="5" t="str">
        <f>IFERROR(__xludf.DUMMYFUNCTION("""COMPUTED_VALUE"""),"PAVIMENTADA")</f>
        <v>PAVIMENTADA</v>
      </c>
      <c r="I1241" s="6" t="str">
        <f>IFERROR(__xludf.DUMMYFUNCTION("""COMPUTED_VALUE"""),"-9.659522")</f>
        <v>-9.659522</v>
      </c>
      <c r="J1241" s="6" t="str">
        <f>IFERROR(__xludf.DUMMYFUNCTION("""COMPUTED_VALUE"""),"-35.757689")</f>
        <v>-35.757689</v>
      </c>
      <c r="K1241" s="5" t="str">
        <f>IFERROR(__xludf.DUMMYFUNCTION("""COMPUTED_VALUE"""),"RUA MARQUÊS POMBAL, S/N")</f>
        <v>RUA MARQUÊS POMBAL, S/N</v>
      </c>
      <c r="L1241" s="5" t="str">
        <f>IFERROR(__xludf.DUMMYFUNCTION("""COMPUTED_VALUE"""),"COLETORA")</f>
        <v>COLETORA</v>
      </c>
      <c r="M1241" s="5" t="str">
        <f>IFERROR(__xludf.DUMMYFUNCTION("""COMPUTED_VALUE"""),"VERGEL DO LAGO")</f>
        <v>VERGEL DO LAGO</v>
      </c>
      <c r="N1241" s="5" t="str">
        <f>IFERROR(__xludf.DUMMYFUNCTION("""COMPUTED_VALUE"""),"CENTRO - BAIRRO")</f>
        <v>CENTRO - BAIRRO</v>
      </c>
      <c r="O1241" s="5" t="str">
        <f>IFERROR(__xludf.DUMMYFUNCTION("""COMPUTED_VALUE"""),"EM FRENTE A ESCOLA ESTADUAL DOM ADELMO MACHADO")</f>
        <v>EM FRENTE A ESCOLA ESTADUAL DOM ADELMO MACHADO</v>
      </c>
      <c r="P1241" s="5" t="str">
        <f>IFERROR(__xludf.DUMMYFUNCTION("""COMPUTED_VALUE"""),"PRIORIDADE MÉDIA")</f>
        <v>PRIORIDADE MÉDIA</v>
      </c>
      <c r="Q1241" s="5" t="str">
        <f>IFERROR(__xludf.DUMMYFUNCTION("""COMPUTED_VALUE"""),"IMPLANTAR PLACA FIXADA EM SUPORTE DE MADEIRA; LIMPEZA E ADEQUAÇÃO DA CALÇADA (ACESSIBILIDADE E PISO TÁTIL); E PINTURA DA BAIA NO ASFALTO.")</f>
        <v>IMPLANTAR PLACA FIXADA EM SUPORTE DE MADEIRA; LIMPEZA E ADEQUAÇÃO DA CALÇADA (ACESSIBILIDADE E PISO TÁTIL); E PINTURA DA BAIA NO ASFALTO.</v>
      </c>
      <c r="R1241" s="5" t="str">
        <f>IFERROR(__xludf.DUMMYFUNCTION("""COMPUTED_VALUE"""),"NENHUMA DAS OPÇÕES")</f>
        <v>NENHUMA DAS OPÇÕES</v>
      </c>
      <c r="S1241" s="7">
        <f>IFERROR(__xludf.DUMMYFUNCTION("""COMPUTED_VALUE"""),44571.0)</f>
        <v>44571</v>
      </c>
      <c r="T1241" s="5"/>
      <c r="U1241" s="7">
        <f>IFERROR(__xludf.DUMMYFUNCTION("""COMPUTED_VALUE"""),44571.0)</f>
        <v>44571</v>
      </c>
      <c r="V1241" s="9" t="str">
        <f>IFERROR(__xludf.DUMMYFUNCTION("""COMPUTED_VALUE"""),"https://drive.google.com/uc?id=1wfk4xloXUyLUkBqJwiR0KWm2Zu00h5eZ")</f>
        <v>https://drive.google.com/uc?id=1wfk4xloXUyLUkBqJwiR0KWm2Zu00h5eZ</v>
      </c>
      <c r="W1241" s="5" t="str">
        <f>IFERROR(__xludf.DUMMYFUNCTION("""COMPUTED_VALUE"""),"NÃO")</f>
        <v>NÃO</v>
      </c>
      <c r="X1241" s="5" t="str">
        <f>IFERROR(__xludf.DUMMYFUNCTION("""COMPUTED_VALUE"""),"NÃO SE APLICA")</f>
        <v>NÃO SE APLICA</v>
      </c>
    </row>
    <row r="1242" hidden="1">
      <c r="A1242" s="5">
        <f>IFERROR(__xludf.DUMMYFUNCTION("""COMPUTED_VALUE"""),2.0)</f>
        <v>2</v>
      </c>
      <c r="B1242" s="5" t="str">
        <f>IFERROR(__xludf.DUMMYFUNCTION("""COMPUTED_VALUE"""),"VL011")</f>
        <v>VL011</v>
      </c>
      <c r="C1242" s="5" t="str">
        <f>IFERROR(__xludf.DUMMYFUNCTION("""COMPUTED_VALUE"""),"NÃO POSSUI")</f>
        <v>NÃO POSSUI</v>
      </c>
      <c r="D1242" s="5" t="str">
        <f>IFERROR(__xludf.DUMMYFUNCTION("""COMPUTED_VALUE"""),"SEM PLACA")</f>
        <v>SEM PLACA</v>
      </c>
      <c r="E1242" s="5" t="str">
        <f>IFERROR(__xludf.DUMMYFUNCTION("""COMPUTED_VALUE"""),"SEM BAIA")</f>
        <v>SEM BAIA</v>
      </c>
      <c r="F1242" s="5" t="str">
        <f>IFERROR(__xludf.DUMMYFUNCTION("""COMPUTED_VALUE"""),"NÃO")</f>
        <v>NÃO</v>
      </c>
      <c r="G1242" s="5" t="str">
        <f>IFERROR(__xludf.DUMMYFUNCTION("""COMPUTED_VALUE"""),"NÃO")</f>
        <v>NÃO</v>
      </c>
      <c r="H1242" s="5" t="str">
        <f>IFERROR(__xludf.DUMMYFUNCTION("""COMPUTED_VALUE"""),"PAVIMENTADA")</f>
        <v>PAVIMENTADA</v>
      </c>
      <c r="I1242" s="6" t="str">
        <f>IFERROR(__xludf.DUMMYFUNCTION("""COMPUTED_VALUE"""),"-9.657562")</f>
        <v>-9.657562</v>
      </c>
      <c r="J1242" s="6" t="str">
        <f>IFERROR(__xludf.DUMMYFUNCTION("""COMPUTED_VALUE"""),"-35.761099")</f>
        <v>-35.761099</v>
      </c>
      <c r="K1242" s="5" t="str">
        <f>IFERROR(__xludf.DUMMYFUNCTION("""COMPUTED_VALUE"""),"AV. MIN. MARIO ANDREAZA, 43")</f>
        <v>AV. MIN. MARIO ANDREAZA, 43</v>
      </c>
      <c r="L1242" s="5" t="str">
        <f>IFERROR(__xludf.DUMMYFUNCTION("""COMPUTED_VALUE"""),"COLETORA")</f>
        <v>COLETORA</v>
      </c>
      <c r="M1242" s="5" t="str">
        <f>IFERROR(__xludf.DUMMYFUNCTION("""COMPUTED_VALUE"""),"VERGEL DO LAGO")</f>
        <v>VERGEL DO LAGO</v>
      </c>
      <c r="N1242" s="5" t="str">
        <f>IFERROR(__xludf.DUMMYFUNCTION("""COMPUTED_VALUE"""),"BAIRRO - CENTRO")</f>
        <v>BAIRRO - CENTRO</v>
      </c>
      <c r="O1242" s="5"/>
      <c r="P1242" s="5" t="str">
        <f>IFERROR(__xludf.DUMMYFUNCTION("""COMPUTED_VALUE"""),"PRIORIDADE MÉDIA")</f>
        <v>PRIORIDADE MÉDIA</v>
      </c>
      <c r="Q1242" s="5" t="str">
        <f>IFERROR(__xludf.DUMMYFUNCTION("""COMPUTED_VALUE"""),"IMPLANTAR PLACA FIXADA EM SUPORTE DE MADEIRA; LIMPEZA E ADEQUAÇÃO DA CALÇADA (ACESSIBILIDADE E PISO TÁTIL); E PINTURA DA BAIA NO ASFALTO.")</f>
        <v>IMPLANTAR PLACA FIXADA EM SUPORTE DE MADEIRA; LIMPEZA E ADEQUAÇÃO DA CALÇADA (ACESSIBILIDADE E PISO TÁTIL); E PINTURA DA BAIA NO ASFALTO.</v>
      </c>
      <c r="R1242" s="5" t="str">
        <f>IFERROR(__xludf.DUMMYFUNCTION("""COMPUTED_VALUE"""),"NENHUMA DAS OPÇÕES")</f>
        <v>NENHUMA DAS OPÇÕES</v>
      </c>
      <c r="S1242" s="7">
        <f>IFERROR(__xludf.DUMMYFUNCTION("""COMPUTED_VALUE"""),44572.0)</f>
        <v>44572</v>
      </c>
      <c r="T1242" s="5"/>
      <c r="U1242" s="7">
        <f>IFERROR(__xludf.DUMMYFUNCTION("""COMPUTED_VALUE"""),44572.0)</f>
        <v>44572</v>
      </c>
      <c r="V1242" s="9" t="str">
        <f>IFERROR(__xludf.DUMMYFUNCTION("""COMPUTED_VALUE"""),"https://drive.google.com/file/d/18fhIfIaFSCbEcpr9eEyedAedxSahM_m6/view")</f>
        <v>https://drive.google.com/file/d/18fhIfIaFSCbEcpr9eEyedAedxSahM_m6/view</v>
      </c>
      <c r="W1242" s="5" t="str">
        <f>IFERROR(__xludf.DUMMYFUNCTION("""COMPUTED_VALUE"""),"SIM")</f>
        <v>SIM</v>
      </c>
      <c r="X1242" s="5" t="str">
        <f>IFERROR(__xludf.DUMMYFUNCTION("""COMPUTED_VALUE"""),"NÃO SE APLICA")</f>
        <v>NÃO SE APLICA</v>
      </c>
    </row>
    <row r="1243" hidden="1">
      <c r="A1243" s="5">
        <f>IFERROR(__xludf.DUMMYFUNCTION("""COMPUTED_VALUE"""),2.0)</f>
        <v>2</v>
      </c>
      <c r="B1243" s="5" t="str">
        <f>IFERROR(__xludf.DUMMYFUNCTION("""COMPUTED_VALUE"""),"VL012")</f>
        <v>VL012</v>
      </c>
      <c r="C1243" s="5" t="str">
        <f>IFERROR(__xludf.DUMMYFUNCTION("""COMPUTED_VALUE"""),"NÃO POSSUI")</f>
        <v>NÃO POSSUI</v>
      </c>
      <c r="D1243" s="5" t="str">
        <f>IFERROR(__xludf.DUMMYFUNCTION("""COMPUTED_VALUE"""),"SEM PLACA")</f>
        <v>SEM PLACA</v>
      </c>
      <c r="E1243" s="5" t="str">
        <f>IFERROR(__xludf.DUMMYFUNCTION("""COMPUTED_VALUE"""),"SEM BAIA")</f>
        <v>SEM BAIA</v>
      </c>
      <c r="F1243" s="5" t="str">
        <f>IFERROR(__xludf.DUMMYFUNCTION("""COMPUTED_VALUE"""),"NÃO")</f>
        <v>NÃO</v>
      </c>
      <c r="G1243" s="5" t="str">
        <f>IFERROR(__xludf.DUMMYFUNCTION("""COMPUTED_VALUE"""),"NÃO")</f>
        <v>NÃO</v>
      </c>
      <c r="H1243" s="5" t="str">
        <f>IFERROR(__xludf.DUMMYFUNCTION("""COMPUTED_VALUE"""),"PAVIMENTADA COM AVARIAS")</f>
        <v>PAVIMENTADA COM AVARIAS</v>
      </c>
      <c r="I1243" s="6" t="str">
        <f>IFERROR(__xludf.DUMMYFUNCTION("""COMPUTED_VALUE"""),"-9.658237")</f>
        <v>-9.658237</v>
      </c>
      <c r="J1243" s="6" t="str">
        <f>IFERROR(__xludf.DUMMYFUNCTION("""COMPUTED_VALUE"""),"-35.760674")</f>
        <v>-35.760674</v>
      </c>
      <c r="K1243" s="5" t="str">
        <f>IFERROR(__xludf.DUMMYFUNCTION("""COMPUTED_VALUE"""),"RUA R TEOBALDO BARBOSA, 43")</f>
        <v>RUA R TEOBALDO BARBOSA, 43</v>
      </c>
      <c r="L1243" s="5" t="str">
        <f>IFERROR(__xludf.DUMMYFUNCTION("""COMPUTED_VALUE"""),"LOCAL")</f>
        <v>LOCAL</v>
      </c>
      <c r="M1243" s="5" t="str">
        <f>IFERROR(__xludf.DUMMYFUNCTION("""COMPUTED_VALUE"""),"VERGEL DO LAGO")</f>
        <v>VERGEL DO LAGO</v>
      </c>
      <c r="N1243" s="5" t="str">
        <f>IFERROR(__xludf.DUMMYFUNCTION("""COMPUTED_VALUE"""),"BAIRRO - CENTRO")</f>
        <v>BAIRRO - CENTRO</v>
      </c>
      <c r="O1243" s="5"/>
      <c r="P1243" s="5" t="str">
        <f>IFERROR(__xludf.DUMMYFUNCTION("""COMPUTED_VALUE"""),"PRIORIDADE MÉDIA")</f>
        <v>PRIORIDADE MÉDIA</v>
      </c>
      <c r="Q1243" s="5" t="str">
        <f>IFERROR(__xludf.DUMMYFUNCTION("""COMPUTED_VALUE"""),"IMPLANTAR PLACA FIXADA EM SUPORTE DE MADEIRA; LIMPEZA E ADEQUAÇÃO DA CALÇADA (ACESSIBILIDADE E PISO TÁTIL); E PINTURA DA BAIA NO ASFALTO.")</f>
        <v>IMPLANTAR PLACA FIXADA EM SUPORTE DE MADEIRA; LIMPEZA E ADEQUAÇÃO DA CALÇADA (ACESSIBILIDADE E PISO TÁTIL); E PINTURA DA BAIA NO ASFALTO.</v>
      </c>
      <c r="R1243" s="5" t="str">
        <f>IFERROR(__xludf.DUMMYFUNCTION("""COMPUTED_VALUE"""),"IMPLANTAR ABRIGO")</f>
        <v>IMPLANTAR ABRIGO</v>
      </c>
      <c r="S1243" s="7">
        <f>IFERROR(__xludf.DUMMYFUNCTION("""COMPUTED_VALUE"""),44573.0)</f>
        <v>44573</v>
      </c>
      <c r="T1243" s="5"/>
      <c r="U1243" s="7">
        <f>IFERROR(__xludf.DUMMYFUNCTION("""COMPUTED_VALUE"""),44573.0)</f>
        <v>44573</v>
      </c>
      <c r="V1243" s="9" t="str">
        <f>IFERROR(__xludf.DUMMYFUNCTION("""COMPUTED_VALUE"""),"https://drive.google.com/uc?id=1KsyOHzwIEhVucjbMOkQX__x1voSifBcM")</f>
        <v>https://drive.google.com/uc?id=1KsyOHzwIEhVucjbMOkQX__x1voSifBcM</v>
      </c>
      <c r="W1243" s="5" t="str">
        <f>IFERROR(__xludf.DUMMYFUNCTION("""COMPUTED_VALUE"""),"NÃO")</f>
        <v>NÃO</v>
      </c>
      <c r="X1243" s="5" t="str">
        <f>IFERROR(__xludf.DUMMYFUNCTION("""COMPUTED_VALUE"""),"NÃO SE APLICA")</f>
        <v>NÃO SE APLICA</v>
      </c>
    </row>
    <row r="1244">
      <c r="A1244" s="5">
        <f>IFERROR(__xludf.DUMMYFUNCTION("""COMPUTED_VALUE"""),2.0)</f>
        <v>2</v>
      </c>
      <c r="B1244" s="5" t="str">
        <f>IFERROR(__xludf.DUMMYFUNCTION("""COMPUTED_VALUE"""),"VL013")</f>
        <v>VL013</v>
      </c>
      <c r="C1244" s="5" t="str">
        <f>IFERROR(__xludf.DUMMYFUNCTION("""COMPUTED_VALUE"""),"ABRIGO CONCRETO")</f>
        <v>ABRIGO CONCRETO</v>
      </c>
      <c r="D1244" s="5" t="str">
        <f>IFERROR(__xludf.DUMMYFUNCTION("""COMPUTED_VALUE"""),"SEM PLACA")</f>
        <v>SEM PLACA</v>
      </c>
      <c r="E1244" s="5" t="str">
        <f>IFERROR(__xludf.DUMMYFUNCTION("""COMPUTED_VALUE"""),"SEM BAIA")</f>
        <v>SEM BAIA</v>
      </c>
      <c r="F1244" s="5" t="str">
        <f>IFERROR(__xludf.DUMMYFUNCTION("""COMPUTED_VALUE"""),"NÃO")</f>
        <v>NÃO</v>
      </c>
      <c r="G1244" s="5" t="str">
        <f>IFERROR(__xludf.DUMMYFUNCTION("""COMPUTED_VALUE"""),"NÃO")</f>
        <v>NÃO</v>
      </c>
      <c r="H1244" s="5" t="str">
        <f>IFERROR(__xludf.DUMMYFUNCTION("""COMPUTED_VALUE"""),"PAVIMENTADA")</f>
        <v>PAVIMENTADA</v>
      </c>
      <c r="I1244" s="6" t="str">
        <f>IFERROR(__xludf.DUMMYFUNCTION("""COMPUTED_VALUE"""),"-9.655928")</f>
        <v>-9.655928</v>
      </c>
      <c r="J1244" s="6" t="str">
        <f>IFERROR(__xludf.DUMMYFUNCTION("""COMPUTED_VALUE"""),"-35.764986")</f>
        <v>-35.764986</v>
      </c>
      <c r="K1244" s="5" t="str">
        <f>IFERROR(__xludf.DUMMYFUNCTION("""COMPUTED_VALUE"""),"AV. MIN. MARIO ANDREAZA, 43")</f>
        <v>AV. MIN. MARIO ANDREAZA, 43</v>
      </c>
      <c r="L1244" s="5" t="str">
        <f>IFERROR(__xludf.DUMMYFUNCTION("""COMPUTED_VALUE"""),"COLETORA")</f>
        <v>COLETORA</v>
      </c>
      <c r="M1244" s="5" t="str">
        <f>IFERROR(__xludf.DUMMYFUNCTION("""COMPUTED_VALUE"""),"VERGEL DO LAGO")</f>
        <v>VERGEL DO LAGO</v>
      </c>
      <c r="N1244" s="5" t="str">
        <f>IFERROR(__xludf.DUMMYFUNCTION("""COMPUTED_VALUE"""),"BAIRRO - CENTRO")</f>
        <v>BAIRRO - CENTRO</v>
      </c>
      <c r="O1244" s="5" t="str">
        <f>IFERROR(__xludf.DUMMYFUNCTION("""COMPUTED_VALUE"""),"PRÓXIMO A IGREJA  VIRGEM DOS POBRES")</f>
        <v>PRÓXIMO A IGREJA  VIRGEM DOS POBRES</v>
      </c>
      <c r="P1244" s="5" t="str">
        <f>IFERROR(__xludf.DUMMYFUNCTION("""COMPUTED_VALUE"""),"PRIORIDADE BAIXA")</f>
        <v>PRIORIDADE BAIXA</v>
      </c>
      <c r="Q1244" s="5" t="str">
        <f>IFERROR(__xludf.DUMMYFUNCTION("""COMPUTED_VALUE"""),"IMPLANTAR PLACA FIXADA EM SUPORTE DE MADEIRA; LIMPEZA E ADEQUAÇÃO DA CALÇADA (ACESSIBILIDADE E PISO TÁTIL); E PINTURA DA BAIA NO ASFALTO.")</f>
        <v>IMPLANTAR PLACA FIXADA EM SUPORTE DE MADEIRA; LIMPEZA E ADEQUAÇÃO DA CALÇADA (ACESSIBILIDADE E PISO TÁTIL); E PINTURA DA BAIA NO ASFALTO.</v>
      </c>
      <c r="R1244" s="5" t="str">
        <f>IFERROR(__xludf.DUMMYFUNCTION("""COMPUTED_VALUE"""),"SUBSTITUIR ABRIGO")</f>
        <v>SUBSTITUIR ABRIGO</v>
      </c>
      <c r="S1244" s="7">
        <f>IFERROR(__xludf.DUMMYFUNCTION("""COMPUTED_VALUE"""),44574.0)</f>
        <v>44574</v>
      </c>
      <c r="T1244" s="5"/>
      <c r="U1244" s="7">
        <f>IFERROR(__xludf.DUMMYFUNCTION("""COMPUTED_VALUE"""),44574.0)</f>
        <v>44574</v>
      </c>
      <c r="V1244" s="9" t="str">
        <f>IFERROR(__xludf.DUMMYFUNCTION("""COMPUTED_VALUE"""),"https://drive.google.com/uc?id=1vJWzW3VMjbVhri21pUZFAcnRY6EqNPHQ")</f>
        <v>https://drive.google.com/uc?id=1vJWzW3VMjbVhri21pUZFAcnRY6EqNPHQ</v>
      </c>
      <c r="W1244" s="5" t="str">
        <f>IFERROR(__xludf.DUMMYFUNCTION("""COMPUTED_VALUE"""),"NÃO")</f>
        <v>NÃO</v>
      </c>
      <c r="X1244" s="5" t="str">
        <f>IFERROR(__xludf.DUMMYFUNCTION("""COMPUTED_VALUE"""),"NÃO SE APLICA")</f>
        <v>NÃO SE APLICA</v>
      </c>
    </row>
    <row r="1245" hidden="1">
      <c r="A1245" s="5">
        <f>IFERROR(__xludf.DUMMYFUNCTION("""COMPUTED_VALUE"""),2.0)</f>
        <v>2</v>
      </c>
      <c r="B1245" s="5" t="str">
        <f>IFERROR(__xludf.DUMMYFUNCTION("""COMPUTED_VALUE"""),"VL014")</f>
        <v>VL014</v>
      </c>
      <c r="C1245" s="5" t="str">
        <f>IFERROR(__xludf.DUMMYFUNCTION("""COMPUTED_VALUE"""),"NÃO POSSUI")</f>
        <v>NÃO POSSUI</v>
      </c>
      <c r="D1245" s="5" t="str">
        <f>IFERROR(__xludf.DUMMYFUNCTION("""COMPUTED_VALUE"""),"SEM PLACA")</f>
        <v>SEM PLACA</v>
      </c>
      <c r="E1245" s="5" t="str">
        <f>IFERROR(__xludf.DUMMYFUNCTION("""COMPUTED_VALUE"""),"SEM BAIA")</f>
        <v>SEM BAIA</v>
      </c>
      <c r="F1245" s="5" t="str">
        <f>IFERROR(__xludf.DUMMYFUNCTION("""COMPUTED_VALUE"""),"NÃO")</f>
        <v>NÃO</v>
      </c>
      <c r="G1245" s="5" t="str">
        <f>IFERROR(__xludf.DUMMYFUNCTION("""COMPUTED_VALUE"""),"NÃO")</f>
        <v>NÃO</v>
      </c>
      <c r="H1245" s="5" t="str">
        <f>IFERROR(__xludf.DUMMYFUNCTION("""COMPUTED_VALUE"""),"PAVIMENTADA")</f>
        <v>PAVIMENTADA</v>
      </c>
      <c r="I1245" s="6" t="str">
        <f>IFERROR(__xludf.DUMMYFUNCTION("""COMPUTED_VALUE"""),"-9.656178")</f>
        <v>-9.656178</v>
      </c>
      <c r="J1245" s="6" t="str">
        <f>IFERROR(__xludf.DUMMYFUNCTION("""COMPUTED_VALUE"""),"-35.764225")</f>
        <v>-35.764225</v>
      </c>
      <c r="K1245" s="5" t="str">
        <f>IFERROR(__xludf.DUMMYFUNCTION("""COMPUTED_VALUE"""),"AV. MONTE CASTELO")</f>
        <v>AV. MONTE CASTELO</v>
      </c>
      <c r="L1245" s="5" t="str">
        <f>IFERROR(__xludf.DUMMYFUNCTION("""COMPUTED_VALUE"""),"COLETORA")</f>
        <v>COLETORA</v>
      </c>
      <c r="M1245" s="5" t="str">
        <f>IFERROR(__xludf.DUMMYFUNCTION("""COMPUTED_VALUE"""),"VERGEL DO LAGO")</f>
        <v>VERGEL DO LAGO</v>
      </c>
      <c r="N1245" s="5" t="str">
        <f>IFERROR(__xludf.DUMMYFUNCTION("""COMPUTED_VALUE"""),"BAIRRO - CENTRO")</f>
        <v>BAIRRO - CENTRO</v>
      </c>
      <c r="O1245" s="5" t="str">
        <f>IFERROR(__xludf.DUMMYFUNCTION("""COMPUTED_VALUE"""),"ASSOCIAÇÃO DAS MULHERES DO CONJ. VIRGEM DOS POBRES")</f>
        <v>ASSOCIAÇÃO DAS MULHERES DO CONJ. VIRGEM DOS POBRES</v>
      </c>
      <c r="P1245" s="5" t="str">
        <f>IFERROR(__xludf.DUMMYFUNCTION("""COMPUTED_VALUE"""),"PRIORIDADE MÉDIA")</f>
        <v>PRIORIDADE MÉDIA</v>
      </c>
      <c r="Q1245" s="5" t="str">
        <f>IFERROR(__xludf.DUMMYFUNCTION("""COMPUTED_VALUE"""),"IMPLANTAR PLACA FIXADA EM SUPORTE DE MADEIRA; LIMPEZA E ADEQUAÇÃO DA CALÇADA (PISO TÁTIL); E PINTURA DA BAIA NO ASFALTO.")</f>
        <v>IMPLANTAR PLACA FIXADA EM SUPORTE DE MADEIRA; LIMPEZA E ADEQUAÇÃO DA CALÇADA (PISO TÁTIL); E PINTURA DA BAIA NO ASFALTO.</v>
      </c>
      <c r="R1245" s="5" t="str">
        <f>IFERROR(__xludf.DUMMYFUNCTION("""COMPUTED_VALUE"""),"IMPLANTAR ABRIGO")</f>
        <v>IMPLANTAR ABRIGO</v>
      </c>
      <c r="S1245" s="7">
        <f>IFERROR(__xludf.DUMMYFUNCTION("""COMPUTED_VALUE"""),44575.0)</f>
        <v>44575</v>
      </c>
      <c r="T1245" s="5"/>
      <c r="U1245" s="7">
        <f>IFERROR(__xludf.DUMMYFUNCTION("""COMPUTED_VALUE"""),44575.0)</f>
        <v>44575</v>
      </c>
      <c r="V1245" s="9" t="str">
        <f>IFERROR(__xludf.DUMMYFUNCTION("""COMPUTED_VALUE"""),"https://drive.google.com/uc?id=1hP3kBkckDepE87RnVtNacYsCI8JEMtCH")</f>
        <v>https://drive.google.com/uc?id=1hP3kBkckDepE87RnVtNacYsCI8JEMtCH</v>
      </c>
      <c r="W1245" s="5" t="str">
        <f>IFERROR(__xludf.DUMMYFUNCTION("""COMPUTED_VALUE"""),"NÃO")</f>
        <v>NÃO</v>
      </c>
      <c r="X1245" s="5" t="str">
        <f>IFERROR(__xludf.DUMMYFUNCTION("""COMPUTED_VALUE"""),"NÃO SE APLICA")</f>
        <v>NÃO SE APLICA</v>
      </c>
    </row>
    <row r="1246" ht="18.0" hidden="1" customHeight="1">
      <c r="A1246" s="5">
        <f>IFERROR(__xludf.DUMMYFUNCTION("""COMPUTED_VALUE"""),2.0)</f>
        <v>2</v>
      </c>
      <c r="B1246" s="5" t="str">
        <f>IFERROR(__xludf.DUMMYFUNCTION("""COMPUTED_VALUE"""),"VL015")</f>
        <v>VL015</v>
      </c>
      <c r="C1246" s="5" t="str">
        <f>IFERROR(__xludf.DUMMYFUNCTION("""COMPUTED_VALUE"""),"NÃO POSSUI")</f>
        <v>NÃO POSSUI</v>
      </c>
      <c r="D1246" s="5" t="str">
        <f>IFERROR(__xludf.DUMMYFUNCTION("""COMPUTED_VALUE"""),"SEM PLACA")</f>
        <v>SEM PLACA</v>
      </c>
      <c r="E1246" s="5" t="str">
        <f>IFERROR(__xludf.DUMMYFUNCTION("""COMPUTED_VALUE"""),"SEM BAIA")</f>
        <v>SEM BAIA</v>
      </c>
      <c r="F1246" s="5" t="str">
        <f>IFERROR(__xludf.DUMMYFUNCTION("""COMPUTED_VALUE"""),"NÃO")</f>
        <v>NÃO</v>
      </c>
      <c r="G1246" s="5" t="str">
        <f>IFERROR(__xludf.DUMMYFUNCTION("""COMPUTED_VALUE"""),"NÃO")</f>
        <v>NÃO</v>
      </c>
      <c r="H1246" s="5" t="str">
        <f>IFERROR(__xludf.DUMMYFUNCTION("""COMPUTED_VALUE"""),"PAVIMENTADA COM AVARIAS")</f>
        <v>PAVIMENTADA COM AVARIAS</v>
      </c>
      <c r="I1246" s="6" t="str">
        <f>IFERROR(__xludf.DUMMYFUNCTION("""COMPUTED_VALUE"""),"-9.65588")</f>
        <v>-9.65588</v>
      </c>
      <c r="J1246" s="6" t="str">
        <f>IFERROR(__xludf.DUMMYFUNCTION("""COMPUTED_VALUE"""),"-35.75688")</f>
        <v>-35.75688</v>
      </c>
      <c r="K1246" s="5" t="str">
        <f>IFERROR(__xludf.DUMMYFUNCTION("""COMPUTED_VALUE"""),"AV. MONTE CASTELO")</f>
        <v>AV. MONTE CASTELO</v>
      </c>
      <c r="L1246" s="5" t="str">
        <f>IFERROR(__xludf.DUMMYFUNCTION("""COMPUTED_VALUE"""),"COLETORA")</f>
        <v>COLETORA</v>
      </c>
      <c r="M1246" s="5" t="str">
        <f>IFERROR(__xludf.DUMMYFUNCTION("""COMPUTED_VALUE"""),"VERGEL DO LAGO")</f>
        <v>VERGEL DO LAGO</v>
      </c>
      <c r="N1246" s="5" t="str">
        <f>IFERROR(__xludf.DUMMYFUNCTION("""COMPUTED_VALUE"""),"BAIRRO - CENTRO")</f>
        <v>BAIRRO - CENTRO</v>
      </c>
      <c r="O1246" s="5" t="str">
        <f>IFERROR(__xludf.DUMMYFUNCTION("""COMPUTED_VALUE"""),"EM FRENTE A RENANFARMA E MAMUSKA CONSTRUÇÕES")</f>
        <v>EM FRENTE A RENANFARMA E MAMUSKA CONSTRUÇÕES</v>
      </c>
      <c r="P1246" s="5" t="str">
        <f>IFERROR(__xludf.DUMMYFUNCTION("""COMPUTED_VALUE"""),"PRIORIDADE MÉDIA")</f>
        <v>PRIORIDADE MÉDIA</v>
      </c>
      <c r="Q1246" s="5" t="str">
        <f>IFERROR(__xludf.DUMMYFUNCTION("""COMPUTED_VALUE"""),"IMPLANTAR PLACA FIXADA EM SUPORTE DE MADEIRA; LIMPEZA E ADEQUAÇÃO DA CALÇADA (RAMPA DE ACESSIBILIDADE E PISO TÁTIL); E PINTURA DA BAIA NO ASFALTO.")</f>
        <v>IMPLANTAR PLACA FIXADA EM SUPORTE DE MADEIRA; LIMPEZA E ADEQUAÇÃO DA CALÇADA (RAMPA DE ACESSIBILIDADE E PISO TÁTIL); E PINTURA DA BAIA NO ASFALTO.</v>
      </c>
      <c r="R1246" s="5" t="str">
        <f>IFERROR(__xludf.DUMMYFUNCTION("""COMPUTED_VALUE"""),"IMPLANTAR ABRIGO")</f>
        <v>IMPLANTAR ABRIGO</v>
      </c>
      <c r="S1246" s="7">
        <f>IFERROR(__xludf.DUMMYFUNCTION("""COMPUTED_VALUE"""),44576.0)</f>
        <v>44576</v>
      </c>
      <c r="T1246" s="5"/>
      <c r="U1246" s="7">
        <f>IFERROR(__xludf.DUMMYFUNCTION("""COMPUTED_VALUE"""),44576.0)</f>
        <v>44576</v>
      </c>
      <c r="V1246" s="9" t="str">
        <f>IFERROR(__xludf.DUMMYFUNCTION("""COMPUTED_VALUE"""),"https://drive.google.com/uc?id=1shSyJX9pmNgBb9lVvPOO9n-8z0ZQPPKP")</f>
        <v>https://drive.google.com/uc?id=1shSyJX9pmNgBb9lVvPOO9n-8z0ZQPPKP</v>
      </c>
      <c r="W1246" s="5" t="str">
        <f>IFERROR(__xludf.DUMMYFUNCTION("""COMPUTED_VALUE"""),"NÃO")</f>
        <v>NÃO</v>
      </c>
      <c r="X1246" s="5" t="str">
        <f>IFERROR(__xludf.DUMMYFUNCTION("""COMPUTED_VALUE"""),"NÃO SE APLICA")</f>
        <v>NÃO SE APLICA</v>
      </c>
    </row>
    <row r="1247" hidden="1">
      <c r="A1247" s="5">
        <f>IFERROR(__xludf.DUMMYFUNCTION("""COMPUTED_VALUE"""),2.0)</f>
        <v>2</v>
      </c>
      <c r="B1247" s="5" t="str">
        <f>IFERROR(__xludf.DUMMYFUNCTION("""COMPUTED_VALUE"""),"VL016")</f>
        <v>VL016</v>
      </c>
      <c r="C1247" s="5" t="str">
        <f>IFERROR(__xludf.DUMMYFUNCTION("""COMPUTED_VALUE"""),"NÃO POSSUI")</f>
        <v>NÃO POSSUI</v>
      </c>
      <c r="D1247" s="5" t="str">
        <f>IFERROR(__xludf.DUMMYFUNCTION("""COMPUTED_VALUE"""),"COM SUPORTE")</f>
        <v>COM SUPORTE</v>
      </c>
      <c r="E1247" s="5" t="str">
        <f>IFERROR(__xludf.DUMMYFUNCTION("""COMPUTED_VALUE"""),"SEM BAIA")</f>
        <v>SEM BAIA</v>
      </c>
      <c r="F1247" s="5" t="str">
        <f>IFERROR(__xludf.DUMMYFUNCTION("""COMPUTED_VALUE"""),"NÃO")</f>
        <v>NÃO</v>
      </c>
      <c r="G1247" s="5" t="str">
        <f>IFERROR(__xludf.DUMMYFUNCTION("""COMPUTED_VALUE"""),"NÃO")</f>
        <v>NÃO</v>
      </c>
      <c r="H1247" s="5" t="str">
        <f>IFERROR(__xludf.DUMMYFUNCTION("""COMPUTED_VALUE"""),"PAVIMENTADA")</f>
        <v>PAVIMENTADA</v>
      </c>
      <c r="I1247" s="6" t="str">
        <f>IFERROR(__xludf.DUMMYFUNCTION("""COMPUTED_VALUE"""),"-9.65412")</f>
        <v>-9.65412</v>
      </c>
      <c r="J1247" s="6" t="str">
        <f>IFERROR(__xludf.DUMMYFUNCTION("""COMPUTED_VALUE"""),"-35.76463")</f>
        <v>-35.76463</v>
      </c>
      <c r="K1247" s="5" t="str">
        <f>IFERROR(__xludf.DUMMYFUNCTION("""COMPUTED_VALUE"""),"AVENIDA SENADOR RUI PALMEIRA, S/N")</f>
        <v>AVENIDA SENADOR RUI PALMEIRA, S/N</v>
      </c>
      <c r="L1247" s="5" t="str">
        <f>IFERROR(__xludf.DUMMYFUNCTION("""COMPUTED_VALUE"""),"ARTERIAL ")</f>
        <v>ARTERIAL </v>
      </c>
      <c r="M1247" s="5" t="str">
        <f>IFERROR(__xludf.DUMMYFUNCTION("""COMPUTED_VALUE"""),"VERGEL DO LAGO")</f>
        <v>VERGEL DO LAGO</v>
      </c>
      <c r="N1247" s="5" t="str">
        <f>IFERROR(__xludf.DUMMYFUNCTION("""COMPUTED_VALUE"""),"CENTRO - BAIRRO")</f>
        <v>CENTRO - BAIRRO</v>
      </c>
      <c r="O1247" s="5" t="str">
        <f>IFERROR(__xludf.DUMMYFUNCTION("""COMPUTED_VALUE"""),"EM FRENTE A JR MARISCOS")</f>
        <v>EM FRENTE A JR MARISCOS</v>
      </c>
      <c r="P1247" s="5" t="str">
        <f>IFERROR(__xludf.DUMMYFUNCTION("""COMPUTED_VALUE"""),"PRIORIDADE BAIXA")</f>
        <v>PRIORIDADE BAIXA</v>
      </c>
      <c r="Q1247" s="5" t="str">
        <f>IFERROR(__xludf.DUMMYFUNCTION("""COMPUTED_VALUE"""),"REALOCAR PLACA FIXADA EM SUPORTE DE MADEIRA; LIMPEZA E ADEQUAÇÃO DA CALÇADA (RAMPA DE ACESSIBILIDADE E PISO TÁTIL); E PINTURA DA BAIA NO ASFALTO.")</f>
        <v>REALOCAR PLACA FIXADA EM SUPORTE DE MADEIRA; LIMPEZA E ADEQUAÇÃO DA CALÇADA (RAMPA DE ACESSIBILIDADE E PISO TÁTIL); E PINTURA DA BAIA NO ASFALTO.</v>
      </c>
      <c r="R1247" s="5" t="str">
        <f>IFERROR(__xludf.DUMMYFUNCTION("""COMPUTED_VALUE"""),"NENHUMA DAS OPÇÕES")</f>
        <v>NENHUMA DAS OPÇÕES</v>
      </c>
      <c r="S1247" s="7">
        <f>IFERROR(__xludf.DUMMYFUNCTION("""COMPUTED_VALUE"""),44577.0)</f>
        <v>44577</v>
      </c>
      <c r="T1247" s="5"/>
      <c r="U1247" s="7">
        <f>IFERROR(__xludf.DUMMYFUNCTION("""COMPUTED_VALUE"""),44577.0)</f>
        <v>44577</v>
      </c>
      <c r="V1247" s="9" t="str">
        <f>IFERROR(__xludf.DUMMYFUNCTION("""COMPUTED_VALUE"""),"https://drive.google.com/uc?id=1FAtazvuXSbdDwuUPfWnEpvCJXIj2y1EO")</f>
        <v>https://drive.google.com/uc?id=1FAtazvuXSbdDwuUPfWnEpvCJXIj2y1EO</v>
      </c>
      <c r="W1247" s="5" t="str">
        <f>IFERROR(__xludf.DUMMYFUNCTION("""COMPUTED_VALUE"""),"NÃO")</f>
        <v>NÃO</v>
      </c>
      <c r="X1247" s="5" t="str">
        <f>IFERROR(__xludf.DUMMYFUNCTION("""COMPUTED_VALUE"""),"NÃO SE APLICA")</f>
        <v>NÃO SE APLICA</v>
      </c>
    </row>
    <row r="1248" hidden="1">
      <c r="A1248" s="5">
        <f>IFERROR(__xludf.DUMMYFUNCTION("""COMPUTED_VALUE"""),2.0)</f>
        <v>2</v>
      </c>
      <c r="B1248" s="5" t="str">
        <f>IFERROR(__xludf.DUMMYFUNCTION("""COMPUTED_VALUE"""),"VL017")</f>
        <v>VL017</v>
      </c>
      <c r="C1248" s="5" t="str">
        <f>IFERROR(__xludf.DUMMYFUNCTION("""COMPUTED_VALUE"""),"NÃO POSSUI")</f>
        <v>NÃO POSSUI</v>
      </c>
      <c r="D1248" s="5" t="str">
        <f>IFERROR(__xludf.DUMMYFUNCTION("""COMPUTED_VALUE"""),"SEM PLACA")</f>
        <v>SEM PLACA</v>
      </c>
      <c r="E1248" s="5" t="str">
        <f>IFERROR(__xludf.DUMMYFUNCTION("""COMPUTED_VALUE"""),"SEM BAIA")</f>
        <v>SEM BAIA</v>
      </c>
      <c r="F1248" s="5" t="str">
        <f>IFERROR(__xludf.DUMMYFUNCTION("""COMPUTED_VALUE"""),"NÃO")</f>
        <v>NÃO</v>
      </c>
      <c r="G1248" s="5" t="str">
        <f>IFERROR(__xludf.DUMMYFUNCTION("""COMPUTED_VALUE"""),"NÃO")</f>
        <v>NÃO</v>
      </c>
      <c r="H1248" s="5" t="str">
        <f>IFERROR(__xludf.DUMMYFUNCTION("""COMPUTED_VALUE"""),"PAVIMENTADA")</f>
        <v>PAVIMENTADA</v>
      </c>
      <c r="I1248" s="6" t="str">
        <f>IFERROR(__xludf.DUMMYFUNCTION("""COMPUTED_VALUE"""),"-9.657124")</f>
        <v>-9.657124</v>
      </c>
      <c r="J1248" s="6" t="str">
        <f>IFERROR(__xludf.DUMMYFUNCTION("""COMPUTED_VALUE"""),"-35.755879")</f>
        <v>-35.755879</v>
      </c>
      <c r="K1248" s="5" t="str">
        <f>IFERROR(__xludf.DUMMYFUNCTION("""COMPUTED_VALUE"""),"AV. MONTE CASTELO,")</f>
        <v>AV. MONTE CASTELO,</v>
      </c>
      <c r="L1248" s="5" t="str">
        <f>IFERROR(__xludf.DUMMYFUNCTION("""COMPUTED_VALUE"""),"COLETORA")</f>
        <v>COLETORA</v>
      </c>
      <c r="M1248" s="5" t="str">
        <f>IFERROR(__xludf.DUMMYFUNCTION("""COMPUTED_VALUE"""),"VERGEL DO LAGO")</f>
        <v>VERGEL DO LAGO</v>
      </c>
      <c r="N1248" s="5" t="str">
        <f>IFERROR(__xludf.DUMMYFUNCTION("""COMPUTED_VALUE"""),"BAIRRO - CENTRO")</f>
        <v>BAIRRO - CENTRO</v>
      </c>
      <c r="O1248" s="5" t="str">
        <f>IFERROR(__xludf.DUMMYFUNCTION("""COMPUTED_VALUE"""),"EM FRENTE AO CENTRO EDUCACIONAL FRANCISCO ASSIS")</f>
        <v>EM FRENTE AO CENTRO EDUCACIONAL FRANCISCO ASSIS</v>
      </c>
      <c r="P1248" s="5" t="str">
        <f>IFERROR(__xludf.DUMMYFUNCTION("""COMPUTED_VALUE"""),"PRIORIDADE MÉDIA")</f>
        <v>PRIORIDADE MÉDIA</v>
      </c>
      <c r="Q1248" s="5" t="str">
        <f>IFERROR(__xludf.DUMMYFUNCTION("""COMPUTED_VALUE"""),"IMPLANTAR PLACA; FAZER PINTURA DA BAIA NO ASFALTO.")</f>
        <v>IMPLANTAR PLACA; FAZER PINTURA DA BAIA NO ASFALTO.</v>
      </c>
      <c r="R1248" s="5" t="str">
        <f>IFERROR(__xludf.DUMMYFUNCTION("""COMPUTED_VALUE"""),"IMPLANTAR ABRIGO")</f>
        <v>IMPLANTAR ABRIGO</v>
      </c>
      <c r="S1248" s="7">
        <f>IFERROR(__xludf.DUMMYFUNCTION("""COMPUTED_VALUE"""),44578.0)</f>
        <v>44578</v>
      </c>
      <c r="T1248" s="5"/>
      <c r="U1248" s="7">
        <f>IFERROR(__xludf.DUMMYFUNCTION("""COMPUTED_VALUE"""),44578.0)</f>
        <v>44578</v>
      </c>
      <c r="V1248" s="9" t="str">
        <f>IFERROR(__xludf.DUMMYFUNCTION("""COMPUTED_VALUE"""),"https://drive.google.com/uc?id=1c4SYA5K92d7IOowYoUk6o_cCNVp7Z4El")</f>
        <v>https://drive.google.com/uc?id=1c4SYA5K92d7IOowYoUk6o_cCNVp7Z4El</v>
      </c>
      <c r="W1248" s="5" t="str">
        <f>IFERROR(__xludf.DUMMYFUNCTION("""COMPUTED_VALUE"""),"NÃO")</f>
        <v>NÃO</v>
      </c>
      <c r="X1248" s="5" t="str">
        <f>IFERROR(__xludf.DUMMYFUNCTION("""COMPUTED_VALUE"""),"NÃO SE APLICA")</f>
        <v>NÃO SE APLICA</v>
      </c>
    </row>
    <row r="1249">
      <c r="A1249" s="5">
        <f>IFERROR(__xludf.DUMMYFUNCTION("""COMPUTED_VALUE"""),2.0)</f>
        <v>2</v>
      </c>
      <c r="B1249" s="5" t="str">
        <f>IFERROR(__xludf.DUMMYFUNCTION("""COMPUTED_VALUE"""),"VL018")</f>
        <v>VL018</v>
      </c>
      <c r="C1249" s="5" t="str">
        <f>IFERROR(__xludf.DUMMYFUNCTION("""COMPUTED_VALUE"""),"ABRIGO PERSONALIZADO")</f>
        <v>ABRIGO PERSONALIZADO</v>
      </c>
      <c r="D1249" s="5" t="str">
        <f>IFERROR(__xludf.DUMMYFUNCTION("""COMPUTED_VALUE"""),"SEM PLACA")</f>
        <v>SEM PLACA</v>
      </c>
      <c r="E1249" s="5" t="str">
        <f>IFERROR(__xludf.DUMMYFUNCTION("""COMPUTED_VALUE"""),"SEM BAIA")</f>
        <v>SEM BAIA</v>
      </c>
      <c r="F1249" s="5" t="str">
        <f>IFERROR(__xludf.DUMMYFUNCTION("""COMPUTED_VALUE"""),"NÃO")</f>
        <v>NÃO</v>
      </c>
      <c r="G1249" s="5" t="str">
        <f>IFERROR(__xludf.DUMMYFUNCTION("""COMPUTED_VALUE"""),"NÃO")</f>
        <v>NÃO</v>
      </c>
      <c r="H1249" s="5" t="str">
        <f>IFERROR(__xludf.DUMMYFUNCTION("""COMPUTED_VALUE"""),"PAVIMENTADA COM AVARIAS")</f>
        <v>PAVIMENTADA COM AVARIAS</v>
      </c>
      <c r="I1249" s="6" t="str">
        <f>IFERROR(__xludf.DUMMYFUNCTION("""COMPUTED_VALUE"""),"-9.657920")</f>
        <v>-9.657920</v>
      </c>
      <c r="J1249" s="6" t="str">
        <f>IFERROR(__xludf.DUMMYFUNCTION("""COMPUTED_VALUE"""),"-35.755262")</f>
        <v>-35.755262</v>
      </c>
      <c r="K1249" s="5" t="str">
        <f>IFERROR(__xludf.DUMMYFUNCTION("""COMPUTED_VALUE"""),"AV. MONTE CASTELO")</f>
        <v>AV. MONTE CASTELO</v>
      </c>
      <c r="L1249" s="5" t="str">
        <f>IFERROR(__xludf.DUMMYFUNCTION("""COMPUTED_VALUE"""),"COLETORA")</f>
        <v>COLETORA</v>
      </c>
      <c r="M1249" s="5" t="str">
        <f>IFERROR(__xludf.DUMMYFUNCTION("""COMPUTED_VALUE"""),"VERGEL DO LAGO")</f>
        <v>VERGEL DO LAGO</v>
      </c>
      <c r="N1249" s="5" t="str">
        <f>IFERROR(__xludf.DUMMYFUNCTION("""COMPUTED_VALUE"""),"CENTRO - BAIRRO")</f>
        <v>CENTRO - BAIRRO</v>
      </c>
      <c r="O1249" s="5" t="str">
        <f>IFERROR(__xludf.DUMMYFUNCTION("""COMPUTED_VALUE"""),"EM FRENTE A CASA DOS POBRES")</f>
        <v>EM FRENTE A CASA DOS POBRES</v>
      </c>
      <c r="P1249" s="5" t="str">
        <f>IFERROR(__xludf.DUMMYFUNCTION("""COMPUTED_VALUE"""),"PRIORIDADE BAIXA")</f>
        <v>PRIORIDADE BAIXA</v>
      </c>
      <c r="Q1249" s="5" t="str">
        <f>IFERROR(__xludf.DUMMYFUNCTION("""COMPUTED_VALUE"""),"REALIZAR REPAROS NA ESTRUTURA; IMPLANTAR PLACA FIXADA EM SUPORTE DE MADEIRA; REALIZAR PINTURA DO ABRIGO.")</f>
        <v>REALIZAR REPAROS NA ESTRUTURA; IMPLANTAR PLACA FIXADA EM SUPORTE DE MADEIRA; REALIZAR PINTURA DO ABRIGO.</v>
      </c>
      <c r="R1249" s="5" t="str">
        <f>IFERROR(__xludf.DUMMYFUNCTION("""COMPUTED_VALUE"""),"IMPLANTAR ABRIGO")</f>
        <v>IMPLANTAR ABRIGO</v>
      </c>
      <c r="S1249" s="7">
        <f>IFERROR(__xludf.DUMMYFUNCTION("""COMPUTED_VALUE"""),44579.0)</f>
        <v>44579</v>
      </c>
      <c r="T1249" s="5"/>
      <c r="U1249" s="7">
        <f>IFERROR(__xludf.DUMMYFUNCTION("""COMPUTED_VALUE"""),44579.0)</f>
        <v>44579</v>
      </c>
      <c r="V1249" s="9" t="str">
        <f>IFERROR(__xludf.DUMMYFUNCTION("""COMPUTED_VALUE"""),"https://drive.google.com/uc?id=1yMatLVsseL2egoSlHrjS3oFK-d8ZdwEb")</f>
        <v>https://drive.google.com/uc?id=1yMatLVsseL2egoSlHrjS3oFK-d8ZdwEb</v>
      </c>
      <c r="W1249" s="5" t="str">
        <f>IFERROR(__xludf.DUMMYFUNCTION("""COMPUTED_VALUE"""),"NÃO")</f>
        <v>NÃO</v>
      </c>
      <c r="X1249" s="5" t="str">
        <f>IFERROR(__xludf.DUMMYFUNCTION("""COMPUTED_VALUE"""),"NÃO SE APLICA")</f>
        <v>NÃO SE APLICA</v>
      </c>
    </row>
    <row r="1250" hidden="1">
      <c r="A1250" s="5">
        <f>IFERROR(__xludf.DUMMYFUNCTION("""COMPUTED_VALUE"""),2.0)</f>
        <v>2</v>
      </c>
      <c r="B1250" s="5" t="str">
        <f>IFERROR(__xludf.DUMMYFUNCTION("""COMPUTED_VALUE"""),"VL019")</f>
        <v>VL019</v>
      </c>
      <c r="C1250" s="5" t="str">
        <f>IFERROR(__xludf.DUMMYFUNCTION("""COMPUTED_VALUE"""),"NÃO POSSUI")</f>
        <v>NÃO POSSUI</v>
      </c>
      <c r="D1250" s="5" t="str">
        <f>IFERROR(__xludf.DUMMYFUNCTION("""COMPUTED_VALUE"""),"SEM PLACA")</f>
        <v>SEM PLACA</v>
      </c>
      <c r="E1250" s="5" t="str">
        <f>IFERROR(__xludf.DUMMYFUNCTION("""COMPUTED_VALUE"""),"SEM BAIA")</f>
        <v>SEM BAIA</v>
      </c>
      <c r="F1250" s="5" t="str">
        <f>IFERROR(__xludf.DUMMYFUNCTION("""COMPUTED_VALUE"""),"NÃO")</f>
        <v>NÃO</v>
      </c>
      <c r="G1250" s="5" t="str">
        <f>IFERROR(__xludf.DUMMYFUNCTION("""COMPUTED_VALUE"""),"NÃO")</f>
        <v>NÃO</v>
      </c>
      <c r="H1250" s="5" t="str">
        <f>IFERROR(__xludf.DUMMYFUNCTION("""COMPUTED_VALUE"""),"PAVIMENTADA")</f>
        <v>PAVIMENTADA</v>
      </c>
      <c r="I1250" s="6" t="str">
        <f>IFERROR(__xludf.DUMMYFUNCTION("""COMPUTED_VALUE"""),"-9.655810")</f>
        <v>-9.655810</v>
      </c>
      <c r="J1250" s="6" t="str">
        <f>IFERROR(__xludf.DUMMYFUNCTION("""COMPUTED_VALUE"""),"-35.756821")</f>
        <v>-35.756821</v>
      </c>
      <c r="K1250" s="5" t="str">
        <f>IFERROR(__xludf.DUMMYFUNCTION("""COMPUTED_VALUE"""),"AVENIDA MONTE CASTELO")</f>
        <v>AVENIDA MONTE CASTELO</v>
      </c>
      <c r="L1250" s="5" t="str">
        <f>IFERROR(__xludf.DUMMYFUNCTION("""COMPUTED_VALUE"""),"COLETORA")</f>
        <v>COLETORA</v>
      </c>
      <c r="M1250" s="5" t="str">
        <f>IFERROR(__xludf.DUMMYFUNCTION("""COMPUTED_VALUE"""),"VERGEL DO LAGO")</f>
        <v>VERGEL DO LAGO</v>
      </c>
      <c r="N1250" s="5" t="str">
        <f>IFERROR(__xludf.DUMMYFUNCTION("""COMPUTED_VALUE"""),"BAIRRO - CENTRO")</f>
        <v>BAIRRO - CENTRO</v>
      </c>
      <c r="O1250" s="5" t="str">
        <f>IFERROR(__xludf.DUMMYFUNCTION("""COMPUTED_VALUE"""),"EM FRENTE AO MAMUSKA CONSTRUÇÕES")</f>
        <v>EM FRENTE AO MAMUSKA CONSTRUÇÕES</v>
      </c>
      <c r="P1250" s="5" t="str">
        <f>IFERROR(__xludf.DUMMYFUNCTION("""COMPUTED_VALUE"""),"PRIORIDADE MÉDIA")</f>
        <v>PRIORIDADE MÉDIA</v>
      </c>
      <c r="Q1250" s="5" t="str">
        <f>IFERROR(__xludf.DUMMYFUNCTION("""COMPUTED_VALUE"""),"IMPLANTAR PLACA; FAZER PINTURA DA BAIA NO ASFALTO; READEQUAR CALÇADA (RAMPA DE ACESSIBILIDADE E PISO TÁTIL).")</f>
        <v>IMPLANTAR PLACA; FAZER PINTURA DA BAIA NO ASFALTO; READEQUAR CALÇADA (RAMPA DE ACESSIBILIDADE E PISO TÁTIL).</v>
      </c>
      <c r="R1250" s="5" t="str">
        <f>IFERROR(__xludf.DUMMYFUNCTION("""COMPUTED_VALUE"""),"IMPLANTAR ABRIGO")</f>
        <v>IMPLANTAR ABRIGO</v>
      </c>
      <c r="S1250" s="7">
        <f>IFERROR(__xludf.DUMMYFUNCTION("""COMPUTED_VALUE"""),44580.0)</f>
        <v>44580</v>
      </c>
      <c r="T1250" s="5"/>
      <c r="U1250" s="7">
        <f>IFERROR(__xludf.DUMMYFUNCTION("""COMPUTED_VALUE"""),44580.0)</f>
        <v>44580</v>
      </c>
      <c r="V1250" s="9" t="str">
        <f>IFERROR(__xludf.DUMMYFUNCTION("""COMPUTED_VALUE"""),"https://drive.google.com/uc?id=1CVEMzSodsEn07YgEOosfOqF3uYFb5HcK")</f>
        <v>https://drive.google.com/uc?id=1CVEMzSodsEn07YgEOosfOqF3uYFb5HcK</v>
      </c>
      <c r="W1250" s="5" t="str">
        <f>IFERROR(__xludf.DUMMYFUNCTION("""COMPUTED_VALUE"""),"NÃO")</f>
        <v>NÃO</v>
      </c>
      <c r="X1250" s="5" t="str">
        <f>IFERROR(__xludf.DUMMYFUNCTION("""COMPUTED_VALUE"""),"NÃO SE APLICA")</f>
        <v>NÃO SE APLICA</v>
      </c>
    </row>
    <row r="1251" hidden="1">
      <c r="A1251" s="5">
        <f>IFERROR(__xludf.DUMMYFUNCTION("""COMPUTED_VALUE"""),2.0)</f>
        <v>2</v>
      </c>
      <c r="B1251" s="5" t="str">
        <f>IFERROR(__xludf.DUMMYFUNCTION("""COMPUTED_VALUE"""),"VL020")</f>
        <v>VL020</v>
      </c>
      <c r="C1251" s="5" t="str">
        <f>IFERROR(__xludf.DUMMYFUNCTION("""COMPUTED_VALUE"""),"NÃO POSSUI")</f>
        <v>NÃO POSSUI</v>
      </c>
      <c r="D1251" s="5" t="str">
        <f>IFERROR(__xludf.DUMMYFUNCTION("""COMPUTED_VALUE"""),"COM SUPORTE")</f>
        <v>COM SUPORTE</v>
      </c>
      <c r="E1251" s="5" t="str">
        <f>IFERROR(__xludf.DUMMYFUNCTION("""COMPUTED_VALUE"""),"BAIA CONSTRUÍDA")</f>
        <v>BAIA CONSTRUÍDA</v>
      </c>
      <c r="F1251" s="5" t="str">
        <f>IFERROR(__xludf.DUMMYFUNCTION("""COMPUTED_VALUE"""),"NÃO")</f>
        <v>NÃO</v>
      </c>
      <c r="G1251" s="5" t="str">
        <f>IFERROR(__xludf.DUMMYFUNCTION("""COMPUTED_VALUE"""),"NÃO")</f>
        <v>NÃO</v>
      </c>
      <c r="H1251" s="5" t="str">
        <f>IFERROR(__xludf.DUMMYFUNCTION("""COMPUTED_VALUE"""),"PAVIMENTADA COM AVARIAS")</f>
        <v>PAVIMENTADA COM AVARIAS</v>
      </c>
      <c r="I1251" s="6" t="str">
        <f>IFERROR(__xludf.DUMMYFUNCTION("""COMPUTED_VALUE"""),"-9.654556")</f>
        <v>-9.654556</v>
      </c>
      <c r="J1251" s="6" t="str">
        <f>IFERROR(__xludf.DUMMYFUNCTION("""COMPUTED_VALUE"""),"-35.752927 ")</f>
        <v>-35.752927 </v>
      </c>
      <c r="K1251" s="5" t="str">
        <f>IFERROR(__xludf.DUMMYFUNCTION("""COMPUTED_VALUE"""),"AV. SENADOR RUI PALMEIRA")</f>
        <v>AV. SENADOR RUI PALMEIRA</v>
      </c>
      <c r="L1251" s="5" t="str">
        <f>IFERROR(__xludf.DUMMYFUNCTION("""COMPUTED_VALUE"""),"ARTERIAL ")</f>
        <v>ARTERIAL </v>
      </c>
      <c r="M1251" s="5" t="str">
        <f>IFERROR(__xludf.DUMMYFUNCTION("""COMPUTED_VALUE"""),"VERGEL DO LAGO")</f>
        <v>VERGEL DO LAGO</v>
      </c>
      <c r="N1251" s="5" t="str">
        <f>IFERROR(__xludf.DUMMYFUNCTION("""COMPUTED_VALUE"""),"CENTRO - BAIRRO")</f>
        <v>CENTRO - BAIRRO</v>
      </c>
      <c r="O1251" s="5" t="str">
        <f>IFERROR(__xludf.DUMMYFUNCTION("""COMPUTED_VALUE"""),"LADO OPOSTO AO PRIMO PNEUS")</f>
        <v>LADO OPOSTO AO PRIMO PNEUS</v>
      </c>
      <c r="P1251" s="5" t="str">
        <f>IFERROR(__xludf.DUMMYFUNCTION("""COMPUTED_VALUE"""),"PRIORIDADE BAIXA")</f>
        <v>PRIORIDADE BAIXA</v>
      </c>
      <c r="Q1251" s="5" t="str">
        <f>IFERROR(__xludf.DUMMYFUNCTION("""COMPUTED_VALUE"""),"IMPLANTAÇÃO DE PLACA COM BARROTE")</f>
        <v>IMPLANTAÇÃO DE PLACA COM BARROTE</v>
      </c>
      <c r="R1251" s="5" t="str">
        <f>IFERROR(__xludf.DUMMYFUNCTION("""COMPUTED_VALUE"""),"NENHUMA DAS OPÇÕES")</f>
        <v>NENHUMA DAS OPÇÕES</v>
      </c>
      <c r="S1251" s="7">
        <f>IFERROR(__xludf.DUMMYFUNCTION("""COMPUTED_VALUE"""),45057.0)</f>
        <v>45057</v>
      </c>
      <c r="T1251" s="5"/>
      <c r="U1251" s="7">
        <f>IFERROR(__xludf.DUMMYFUNCTION("""COMPUTED_VALUE"""),45057.0)</f>
        <v>45057</v>
      </c>
      <c r="V1251" s="9" t="str">
        <f>IFERROR(__xludf.DUMMYFUNCTION("""COMPUTED_VALUE"""),"https://drive.google.com/uc?id=11SZYG1AqwhOv5rOVaP7egjgBVu8lCCGt")</f>
        <v>https://drive.google.com/uc?id=11SZYG1AqwhOv5rOVaP7egjgBVu8lCCGt</v>
      </c>
      <c r="W1251" s="5" t="str">
        <f>IFERROR(__xludf.DUMMYFUNCTION("""COMPUTED_VALUE"""),"NÃO")</f>
        <v>NÃO</v>
      </c>
      <c r="X1251" s="5"/>
    </row>
    <row r="1252" hidden="1">
      <c r="A1252" s="5">
        <f>IFERROR(__xludf.DUMMYFUNCTION("""COMPUTED_VALUE"""),2.0)</f>
        <v>2</v>
      </c>
      <c r="B1252" s="5" t="str">
        <f>IFERROR(__xludf.DUMMYFUNCTION("""COMPUTED_VALUE"""),"VL021")</f>
        <v>VL021</v>
      </c>
      <c r="C1252" s="5" t="str">
        <f>IFERROR(__xludf.DUMMYFUNCTION("""COMPUTED_VALUE"""),"NÃO POSSUI")</f>
        <v>NÃO POSSUI</v>
      </c>
      <c r="D1252" s="5" t="str">
        <f>IFERROR(__xludf.DUMMYFUNCTION("""COMPUTED_VALUE"""),"FIXADA EM POSTE")</f>
        <v>FIXADA EM POSTE</v>
      </c>
      <c r="E1252" s="5" t="str">
        <f>IFERROR(__xludf.DUMMYFUNCTION("""COMPUTED_VALUE"""),"SEM BAIA")</f>
        <v>SEM BAIA</v>
      </c>
      <c r="F1252" s="5" t="str">
        <f>IFERROR(__xludf.DUMMYFUNCTION("""COMPUTED_VALUE"""),"NÃO")</f>
        <v>NÃO</v>
      </c>
      <c r="G1252" s="5" t="str">
        <f>IFERROR(__xludf.DUMMYFUNCTION("""COMPUTED_VALUE"""),"NÃO")</f>
        <v>NÃO</v>
      </c>
      <c r="H1252" s="5" t="str">
        <f>IFERROR(__xludf.DUMMYFUNCTION("""COMPUTED_VALUE"""),"PAVIMENTADA")</f>
        <v>PAVIMENTADA</v>
      </c>
      <c r="I1252" s="6" t="str">
        <f>IFERROR(__xludf.DUMMYFUNCTION("""COMPUTED_VALUE"""),"-9.650453")</f>
        <v>-9.650453</v>
      </c>
      <c r="J1252" s="6" t="str">
        <f>IFERROR(__xludf.DUMMYFUNCTION("""COMPUTED_VALUE"""),"-35.760960 ")</f>
        <v>-35.760960 </v>
      </c>
      <c r="K1252" s="5" t="str">
        <f>IFERROR(__xludf.DUMMYFUNCTION("""COMPUTED_VALUE"""),"AV. SENADOR RUI PALMEIRA")</f>
        <v>AV. SENADOR RUI PALMEIRA</v>
      </c>
      <c r="L1252" s="5" t="str">
        <f>IFERROR(__xludf.DUMMYFUNCTION("""COMPUTED_VALUE"""),"ARTERIAL ")</f>
        <v>ARTERIAL </v>
      </c>
      <c r="M1252" s="5" t="str">
        <f>IFERROR(__xludf.DUMMYFUNCTION("""COMPUTED_VALUE"""),"VERGEL DO LAGO")</f>
        <v>VERGEL DO LAGO</v>
      </c>
      <c r="N1252" s="5" t="str">
        <f>IFERROR(__xludf.DUMMYFUNCTION("""COMPUTED_VALUE"""),"BAIRRO - CENTRO")</f>
        <v>BAIRRO - CENTRO</v>
      </c>
      <c r="O1252" s="5" t="str">
        <f>IFERROR(__xludf.DUMMYFUNCTION("""COMPUTED_VALUE"""),"PRÓXIMO A CASA 940")</f>
        <v>PRÓXIMO A CASA 940</v>
      </c>
      <c r="P1252" s="5" t="str">
        <f>IFERROR(__xludf.DUMMYFUNCTION("""COMPUTED_VALUE"""),"PRIORIDADE BAIXA")</f>
        <v>PRIORIDADE BAIXA</v>
      </c>
      <c r="Q1252" s="5" t="str">
        <f>IFERROR(__xludf.DUMMYFUNCTION("""COMPUTED_VALUE"""),"IMPLANTAÇÃO DE PLACA COM BARROTE")</f>
        <v>IMPLANTAÇÃO DE PLACA COM BARROTE</v>
      </c>
      <c r="R1252" s="5" t="str">
        <f>IFERROR(__xludf.DUMMYFUNCTION("""COMPUTED_VALUE"""),"NENHUMA DAS OPÇÕES")</f>
        <v>NENHUMA DAS OPÇÕES</v>
      </c>
      <c r="S1252" s="7">
        <f>IFERROR(__xludf.DUMMYFUNCTION("""COMPUTED_VALUE"""),45058.0)</f>
        <v>45058</v>
      </c>
      <c r="T1252" s="5" t="str">
        <f>IFERROR(__xludf.DUMMYFUNCTION("""COMPUTED_VALUE"""),"REALIZADO")</f>
        <v>REALIZADO</v>
      </c>
      <c r="U1252" s="7">
        <f>IFERROR(__xludf.DUMMYFUNCTION("""COMPUTED_VALUE"""),45158.0)</f>
        <v>45158</v>
      </c>
      <c r="V1252" s="9" t="str">
        <f>IFERROR(__xludf.DUMMYFUNCTION("""COMPUTED_VALUE"""),"https://drive.google.com/uc?id=1Wzto9ccdQHUxmoM7FAcetQSU7AV7MA5b")</f>
        <v>https://drive.google.com/uc?id=1Wzto9ccdQHUxmoM7FAcetQSU7AV7MA5b</v>
      </c>
      <c r="W1252" s="5" t="str">
        <f>IFERROR(__xludf.DUMMYFUNCTION("""COMPUTED_VALUE"""),"NÃO")</f>
        <v>NÃO</v>
      </c>
      <c r="X1252" s="5" t="str">
        <f>IFERROR(__xludf.DUMMYFUNCTION("""COMPUTED_VALUE"""),"NÃO SE APLICA")</f>
        <v>NÃO SE APLICA</v>
      </c>
    </row>
    <row r="1253" hidden="1">
      <c r="A1253" s="5">
        <f>IFERROR(__xludf.DUMMYFUNCTION("""COMPUTED_VALUE"""),2.0)</f>
        <v>2</v>
      </c>
      <c r="B1253" s="5" t="str">
        <f>IFERROR(__xludf.DUMMYFUNCTION("""COMPUTED_VALUE"""),"VL022")</f>
        <v>VL022</v>
      </c>
      <c r="C1253" s="5" t="str">
        <f>IFERROR(__xludf.DUMMYFUNCTION("""COMPUTED_VALUE"""),"NÃO POSSUI")</f>
        <v>NÃO POSSUI</v>
      </c>
      <c r="D1253" s="5" t="str">
        <f>IFERROR(__xludf.DUMMYFUNCTION("""COMPUTED_VALUE"""),"COM SUPORTE")</f>
        <v>COM SUPORTE</v>
      </c>
      <c r="E1253" s="5" t="str">
        <f>IFERROR(__xludf.DUMMYFUNCTION("""COMPUTED_VALUE"""),"SEM BAIA")</f>
        <v>SEM BAIA</v>
      </c>
      <c r="F1253" s="5" t="str">
        <f>IFERROR(__xludf.DUMMYFUNCTION("""COMPUTED_VALUE"""),"NÃO")</f>
        <v>NÃO</v>
      </c>
      <c r="G1253" s="5" t="str">
        <f>IFERROR(__xludf.DUMMYFUNCTION("""COMPUTED_VALUE"""),"NÃO")</f>
        <v>NÃO</v>
      </c>
      <c r="H1253" s="5" t="str">
        <f>IFERROR(__xludf.DUMMYFUNCTION("""COMPUTED_VALUE"""),"PAVIMENTADA")</f>
        <v>PAVIMENTADA</v>
      </c>
      <c r="I1253" s="6" t="str">
        <f>IFERROR(__xludf.DUMMYFUNCTION("""COMPUTED_VALUE"""),"-9.653450")</f>
        <v>-9.653450</v>
      </c>
      <c r="J1253" s="6" t="str">
        <f>IFERROR(__xludf.DUMMYFUNCTION("""COMPUTED_VALUE"""),"-35.753668")</f>
        <v>-35.753668</v>
      </c>
      <c r="K1253" s="5" t="str">
        <f>IFERROR(__xludf.DUMMYFUNCTION("""COMPUTED_VALUE"""),"AV. SENADOR RUI PALMEIRA")</f>
        <v>AV. SENADOR RUI PALMEIRA</v>
      </c>
      <c r="L1253" s="5" t="str">
        <f>IFERROR(__xludf.DUMMYFUNCTION("""COMPUTED_VALUE"""),"ARTERIAL ")</f>
        <v>ARTERIAL </v>
      </c>
      <c r="M1253" s="5" t="str">
        <f>IFERROR(__xludf.DUMMYFUNCTION("""COMPUTED_VALUE"""),"VERGEL DO LAGO")</f>
        <v>VERGEL DO LAGO</v>
      </c>
      <c r="N1253" s="5" t="str">
        <f>IFERROR(__xludf.DUMMYFUNCTION("""COMPUTED_VALUE"""),"BAIRRO - CENTRO")</f>
        <v>BAIRRO - CENTRO</v>
      </c>
      <c r="O1253" s="5" t="str">
        <f>IFERROR(__xludf.DUMMYFUNCTION("""COMPUTED_VALUE"""),"EM FRENTE A IGREJA ")</f>
        <v>EM FRENTE A IGREJA </v>
      </c>
      <c r="P1253" s="5" t="str">
        <f>IFERROR(__xludf.DUMMYFUNCTION("""COMPUTED_VALUE"""),"PRIORIDADE BAIXA")</f>
        <v>PRIORIDADE BAIXA</v>
      </c>
      <c r="Q1253" s="5" t="str">
        <f>IFERROR(__xludf.DUMMYFUNCTION("""COMPUTED_VALUE"""),"IMPLANTAÇÃO DE PLACA COM BARROTE")</f>
        <v>IMPLANTAÇÃO DE PLACA COM BARROTE</v>
      </c>
      <c r="R1253" s="5" t="str">
        <f>IFERROR(__xludf.DUMMYFUNCTION("""COMPUTED_VALUE"""),"NENHUMA DAS OPÇÕES")</f>
        <v>NENHUMA DAS OPÇÕES</v>
      </c>
      <c r="S1253" s="7">
        <f>IFERROR(__xludf.DUMMYFUNCTION("""COMPUTED_VALUE"""),45059.0)</f>
        <v>45059</v>
      </c>
      <c r="T1253" s="5" t="str">
        <f>IFERROR(__xludf.DUMMYFUNCTION("""COMPUTED_VALUE"""),"REALIZADO")</f>
        <v>REALIZADO</v>
      </c>
      <c r="U1253" s="7">
        <f>IFERROR(__xludf.DUMMYFUNCTION("""COMPUTED_VALUE"""),45158.0)</f>
        <v>45158</v>
      </c>
      <c r="V1253" s="9" t="str">
        <f>IFERROR(__xludf.DUMMYFUNCTION("""COMPUTED_VALUE"""),"https://drive.google.com/uc?id=1yMmE3482LNKwallEb6lZZOdc2_j2XqDX")</f>
        <v>https://drive.google.com/uc?id=1yMmE3482LNKwallEb6lZZOdc2_j2XqDX</v>
      </c>
      <c r="W1253" s="5" t="str">
        <f>IFERROR(__xludf.DUMMYFUNCTION("""COMPUTED_VALUE"""),"NÃO")</f>
        <v>NÃO</v>
      </c>
      <c r="X1253" s="5" t="str">
        <f>IFERROR(__xludf.DUMMYFUNCTION("""COMPUTED_VALUE"""),"NÃO SE APLICA")</f>
        <v>NÃO SE APLICA</v>
      </c>
    </row>
    <row r="1254" hidden="1">
      <c r="A1254" s="5">
        <f>IFERROR(__xludf.DUMMYFUNCTION("""COMPUTED_VALUE"""),2.0)</f>
        <v>2</v>
      </c>
      <c r="B1254" s="5" t="str">
        <f>IFERROR(__xludf.DUMMYFUNCTION("""COMPUTED_VALUE"""),"VL023")</f>
        <v>VL023</v>
      </c>
      <c r="C1254" s="5" t="str">
        <f>IFERROR(__xludf.DUMMYFUNCTION("""COMPUTED_VALUE"""),"NÃO POSSUI")</f>
        <v>NÃO POSSUI</v>
      </c>
      <c r="D1254" s="5" t="str">
        <f>IFERROR(__xludf.DUMMYFUNCTION("""COMPUTED_VALUE"""),"FIXADA EM POSTE")</f>
        <v>FIXADA EM POSTE</v>
      </c>
      <c r="E1254" s="5" t="str">
        <f>IFERROR(__xludf.DUMMYFUNCTION("""COMPUTED_VALUE"""),"SEM BAIA")</f>
        <v>SEM BAIA</v>
      </c>
      <c r="F1254" s="5" t="str">
        <f>IFERROR(__xludf.DUMMYFUNCTION("""COMPUTED_VALUE"""),"SIM")</f>
        <v>SIM</v>
      </c>
      <c r="G1254" s="5" t="str">
        <f>IFERROR(__xludf.DUMMYFUNCTION("""COMPUTED_VALUE"""),"SIM")</f>
        <v>SIM</v>
      </c>
      <c r="H1254" s="5" t="str">
        <f>IFERROR(__xludf.DUMMYFUNCTION("""COMPUTED_VALUE"""),"PAVIMENTADA")</f>
        <v>PAVIMENTADA</v>
      </c>
      <c r="I1254" s="6" t="str">
        <f>IFERROR(__xludf.DUMMYFUNCTION("""COMPUTED_VALUE"""),"-9.653118")</f>
        <v>-9.653118</v>
      </c>
      <c r="J1254" s="6" t="str">
        <f>IFERROR(__xludf.DUMMYFUNCTION("""COMPUTED_VALUE"""),"-35.763491")</f>
        <v>-35.763491</v>
      </c>
      <c r="K1254" s="5" t="str">
        <f>IFERROR(__xludf.DUMMYFUNCTION("""COMPUTED_VALUE"""),"AV. SENADOR RUI PALMEIRA")</f>
        <v>AV. SENADOR RUI PALMEIRA</v>
      </c>
      <c r="L1254" s="5" t="str">
        <f>IFERROR(__xludf.DUMMYFUNCTION("""COMPUTED_VALUE"""),"ARTERIAL ")</f>
        <v>ARTERIAL </v>
      </c>
      <c r="M1254" s="5" t="str">
        <f>IFERROR(__xludf.DUMMYFUNCTION("""COMPUTED_VALUE"""),"VERGEL DO LAGO")</f>
        <v>VERGEL DO LAGO</v>
      </c>
      <c r="N1254" s="5" t="str">
        <f>IFERROR(__xludf.DUMMYFUNCTION("""COMPUTED_VALUE"""),"CENTRO - BAIRRO")</f>
        <v>CENTRO - BAIRRO</v>
      </c>
      <c r="O1254" s="5" t="str">
        <f>IFERROR(__xludf.DUMMYFUNCTION("""COMPUTED_VALUE"""),"EM FRENTE AO HOTEL MUNDAÚ")</f>
        <v>EM FRENTE AO HOTEL MUNDAÚ</v>
      </c>
      <c r="P1254" s="5" t="str">
        <f>IFERROR(__xludf.DUMMYFUNCTION("""COMPUTED_VALUE"""),"PRIORIDADE BAIXA")</f>
        <v>PRIORIDADE BAIXA</v>
      </c>
      <c r="Q1254" s="5" t="str">
        <f>IFERROR(__xludf.DUMMYFUNCTION("""COMPUTED_VALUE"""),"IMPLANTAÇÃO DE PLACA COM BARROTE")</f>
        <v>IMPLANTAÇÃO DE PLACA COM BARROTE</v>
      </c>
      <c r="R1254" s="5" t="str">
        <f>IFERROR(__xludf.DUMMYFUNCTION("""COMPUTED_VALUE"""),"NENHUMA DAS OPÇÕES")</f>
        <v>NENHUMA DAS OPÇÕES</v>
      </c>
      <c r="S1254" s="7">
        <f>IFERROR(__xludf.DUMMYFUNCTION("""COMPUTED_VALUE"""),45060.0)</f>
        <v>45060</v>
      </c>
      <c r="T1254" s="5" t="str">
        <f>IFERROR(__xludf.DUMMYFUNCTION("""COMPUTED_VALUE"""),"REALIZADO")</f>
        <v>REALIZADO</v>
      </c>
      <c r="U1254" s="7">
        <f>IFERROR(__xludf.DUMMYFUNCTION("""COMPUTED_VALUE"""),45158.0)</f>
        <v>45158</v>
      </c>
      <c r="V1254" s="9" t="str">
        <f>IFERROR(__xludf.DUMMYFUNCTION("""COMPUTED_VALUE"""),"https://drive.google.com/uc?id=d/1j6eljb2AyfXrD5pDcJcCPAeqjTuEcPWM")</f>
        <v>https://drive.google.com/uc?id=d/1j6eljb2AyfXrD5pDcJcCPAeqjTuEcPWM</v>
      </c>
      <c r="W1254" s="5" t="str">
        <f>IFERROR(__xludf.DUMMYFUNCTION("""COMPUTED_VALUE"""),"NÃO")</f>
        <v>NÃO</v>
      </c>
      <c r="X1254" s="5" t="str">
        <f>IFERROR(__xludf.DUMMYFUNCTION("""COMPUTED_VALUE"""),"NÃO SE APLICA")</f>
        <v>NÃO SE APLICA</v>
      </c>
    </row>
    <row r="1255" ht="17.25" hidden="1" customHeight="1">
      <c r="A1255" s="5">
        <f>IFERROR(__xludf.DUMMYFUNCTION("""COMPUTED_VALUE"""),2.0)</f>
        <v>2</v>
      </c>
      <c r="B1255" s="5" t="str">
        <f>IFERROR(__xludf.DUMMYFUNCTION("""COMPUTED_VALUE"""),"VL024")</f>
        <v>VL024</v>
      </c>
      <c r="C1255" s="5" t="str">
        <f>IFERROR(__xludf.DUMMYFUNCTION("""COMPUTED_VALUE"""),"NÃO POSSUI")</f>
        <v>NÃO POSSUI</v>
      </c>
      <c r="D1255" s="5" t="str">
        <f>IFERROR(__xludf.DUMMYFUNCTION("""COMPUTED_VALUE"""),"COM SUPORTE")</f>
        <v>COM SUPORTE</v>
      </c>
      <c r="E1255" s="5" t="str">
        <f>IFERROR(__xludf.DUMMYFUNCTION("""COMPUTED_VALUE"""),"BAIA CONSTRUÍDA")</f>
        <v>BAIA CONSTRUÍDA</v>
      </c>
      <c r="F1255" s="5" t="str">
        <f>IFERROR(__xludf.DUMMYFUNCTION("""COMPUTED_VALUE"""),"NÃO")</f>
        <v>NÃO</v>
      </c>
      <c r="G1255" s="5" t="str">
        <f>IFERROR(__xludf.DUMMYFUNCTION("""COMPUTED_VALUE"""),"NÃO")</f>
        <v>NÃO</v>
      </c>
      <c r="H1255" s="5" t="str">
        <f>IFERROR(__xludf.DUMMYFUNCTION("""COMPUTED_VALUE"""),"PAVIMENTADA")</f>
        <v>PAVIMENTADA</v>
      </c>
      <c r="I1255" s="6" t="str">
        <f>IFERROR(__xludf.DUMMYFUNCTION("""COMPUTED_VALUE"""),"-9.650205")</f>
        <v>-9.650205</v>
      </c>
      <c r="J1255" s="6" t="str">
        <f>IFERROR(__xludf.DUMMYFUNCTION("""COMPUTED_VALUE"""),"-35.755143")</f>
        <v>-35.755143</v>
      </c>
      <c r="K1255" s="5" t="str">
        <f>IFERROR(__xludf.DUMMYFUNCTION("""COMPUTED_VALUE"""),"AV. SENADOR RUI PALMEIRA")</f>
        <v>AV. SENADOR RUI PALMEIRA</v>
      </c>
      <c r="L1255" s="5" t="str">
        <f>IFERROR(__xludf.DUMMYFUNCTION("""COMPUTED_VALUE"""),"ARTERIAL ")</f>
        <v>ARTERIAL </v>
      </c>
      <c r="M1255" s="5" t="str">
        <f>IFERROR(__xludf.DUMMYFUNCTION("""COMPUTED_VALUE"""),"VERGEL DO LAGO")</f>
        <v>VERGEL DO LAGO</v>
      </c>
      <c r="N1255" s="5" t="str">
        <f>IFERROR(__xludf.DUMMYFUNCTION("""COMPUTED_VALUE"""),"CENTRO - BAIRRO")</f>
        <v>CENTRO - BAIRRO</v>
      </c>
      <c r="O1255" s="5" t="str">
        <f>IFERROR(__xludf.DUMMYFUNCTION("""COMPUTED_VALUE"""),"EM FRENTE AO Monumento ao milênio
")</f>
        <v>EM FRENTE AO Monumento ao milênio
</v>
      </c>
      <c r="P1255" s="5" t="str">
        <f>IFERROR(__xludf.DUMMYFUNCTION("""COMPUTED_VALUE"""),"PRIORIDADE BAIXA")</f>
        <v>PRIORIDADE BAIXA</v>
      </c>
      <c r="Q1255" s="5" t="str">
        <f>IFERROR(__xludf.DUMMYFUNCTION("""COMPUTED_VALUE"""),"IMPLANTAÇÃO DE PLACA COM BARROTE")</f>
        <v>IMPLANTAÇÃO DE PLACA COM BARROTE</v>
      </c>
      <c r="R1255" s="5" t="str">
        <f>IFERROR(__xludf.DUMMYFUNCTION("""COMPUTED_VALUE"""),"NENHUMA DAS OPÇÕES")</f>
        <v>NENHUMA DAS OPÇÕES</v>
      </c>
      <c r="S1255" s="7">
        <f>IFERROR(__xludf.DUMMYFUNCTION("""COMPUTED_VALUE"""),45061.0)</f>
        <v>45061</v>
      </c>
      <c r="T1255" s="5" t="str">
        <f>IFERROR(__xludf.DUMMYFUNCTION("""COMPUTED_VALUE"""),"REALIZADO")</f>
        <v>REALIZADO</v>
      </c>
      <c r="U1255" s="7">
        <f>IFERROR(__xludf.DUMMYFUNCTION("""COMPUTED_VALUE"""),45158.0)</f>
        <v>45158</v>
      </c>
      <c r="V1255" s="9" t="str">
        <f>IFERROR(__xludf.DUMMYFUNCTION("""COMPUTED_VALUE"""),"https://drive.google.com/uc?id=1LKqW_rDx8b-iVYZXC7HggYL4M15iSkdp")</f>
        <v>https://drive.google.com/uc?id=1LKqW_rDx8b-iVYZXC7HggYL4M15iSkdp</v>
      </c>
      <c r="W1255" s="5" t="str">
        <f>IFERROR(__xludf.DUMMYFUNCTION("""COMPUTED_VALUE"""),"NÃO")</f>
        <v>NÃO</v>
      </c>
      <c r="X1255" s="5" t="str">
        <f>IFERROR(__xludf.DUMMYFUNCTION("""COMPUTED_VALUE"""),"NÃO SE APLICA")</f>
        <v>NÃO SE APLICA</v>
      </c>
    </row>
    <row r="1256">
      <c r="A1256" s="13">
        <f>IFERROR(__xludf.DUMMYFUNCTION("IMPORTRANGE(""https://docs.google.com/spreadsheets/d/1mdBY0PJzlDiHezRddgrNuVbV7dNEdLAOyTnpPefaMX0/edit#gid=1945605910"", ""CANAÃ!A2:W12"")"),3.0)</f>
        <v>3</v>
      </c>
      <c r="B1256" s="5" t="str">
        <f>IFERROR(__xludf.DUMMYFUNCTION("""COMPUTED_VALUE"""),"CÃ001")</f>
        <v>CÃ001</v>
      </c>
      <c r="C1256" s="5" t="str">
        <f>IFERROR(__xludf.DUMMYFUNCTION("""COMPUTED_VALUE"""),"ABRIGO CONCRETO")</f>
        <v>ABRIGO CONCRETO</v>
      </c>
      <c r="D1256" s="5" t="str">
        <f>IFERROR(__xludf.DUMMYFUNCTION("""COMPUTED_VALUE"""),"SEM PLACA")</f>
        <v>SEM PLACA</v>
      </c>
      <c r="E1256" s="5" t="str">
        <f>IFERROR(__xludf.DUMMYFUNCTION("""COMPUTED_VALUE"""),"SEM BAIA")</f>
        <v>SEM BAIA</v>
      </c>
      <c r="F1256" s="5" t="str">
        <f>IFERROR(__xludf.DUMMYFUNCTION("""COMPUTED_VALUE"""),"SIM")</f>
        <v>SIM</v>
      </c>
      <c r="G1256" s="5" t="str">
        <f>IFERROR(__xludf.DUMMYFUNCTION("""COMPUTED_VALUE"""),"SIM")</f>
        <v>SIM</v>
      </c>
      <c r="H1256" s="5" t="str">
        <f>IFERROR(__xludf.DUMMYFUNCTION("""COMPUTED_VALUE"""),"PAVIMENTADA")</f>
        <v>PAVIMENTADA</v>
      </c>
      <c r="I1256" s="6" t="str">
        <f>IFERROR(__xludf.DUMMYFUNCTION("""COMPUTED_VALUE"""),"-9.605160")</f>
        <v>-9.605160</v>
      </c>
      <c r="J1256" s="6" t="str">
        <f>IFERROR(__xludf.DUMMYFUNCTION("""COMPUTED_VALUE"""),"-35.738015")</f>
        <v>-35.738015</v>
      </c>
      <c r="K1256" s="5" t="str">
        <f>IFERROR(__xludf.DUMMYFUNCTION("""COMPUTED_VALUE"""),"RUA PÃO DE AÇÚCAR")</f>
        <v>RUA PÃO DE AÇÚCAR</v>
      </c>
      <c r="L1256" s="5" t="str">
        <f>IFERROR(__xludf.DUMMYFUNCTION("""COMPUTED_VALUE"""),"LOCAL")</f>
        <v>LOCAL</v>
      </c>
      <c r="M1256" s="5" t="str">
        <f>IFERROR(__xludf.DUMMYFUNCTION("""COMPUTED_VALUE"""),"CANAÃ")</f>
        <v>CANAÃ</v>
      </c>
      <c r="N1256" s="5" t="str">
        <f>IFERROR(__xludf.DUMMYFUNCTION("""COMPUTED_VALUE"""),"BAIRRO - CENTRO")</f>
        <v>BAIRRO - CENTRO</v>
      </c>
      <c r="O1256" s="5"/>
      <c r="P1256" s="5" t="str">
        <f>IFERROR(__xludf.DUMMYFUNCTION("""COMPUTED_VALUE"""),"PRIORIDADE MÉDIA")</f>
        <v>PRIORIDADE MÉDIA</v>
      </c>
      <c r="Q1256" s="5"/>
      <c r="R1256" s="5" t="str">
        <f>IFERROR(__xludf.DUMMYFUNCTION("""COMPUTED_VALUE"""),"SUBSTITUIR ABRIGO")</f>
        <v>SUBSTITUIR ABRIGO</v>
      </c>
      <c r="S1256" s="5"/>
      <c r="T1256" s="5"/>
      <c r="U1256" s="5"/>
      <c r="V1256" s="9" t="str">
        <f>IFERROR(__xludf.DUMMYFUNCTION("""COMPUTED_VALUE"""),"https://drive.google.com/uc?id=1jCMSvEPre3GFf_17MGO0qlXxco8pO0I8")</f>
        <v>https://drive.google.com/uc?id=1jCMSvEPre3GFf_17MGO0qlXxco8pO0I8</v>
      </c>
      <c r="W1256" s="5" t="str">
        <f>IFERROR(__xludf.DUMMYFUNCTION("""COMPUTED_VALUE"""),"NÃO")</f>
        <v>NÃO</v>
      </c>
    </row>
    <row r="1257" hidden="1">
      <c r="A1257" s="5">
        <f>IFERROR(__xludf.DUMMYFUNCTION("""COMPUTED_VALUE"""),3.0)</f>
        <v>3</v>
      </c>
      <c r="B1257" s="5" t="str">
        <f>IFERROR(__xludf.DUMMYFUNCTION("""COMPUTED_VALUE"""),"CÃ002")</f>
        <v>CÃ002</v>
      </c>
      <c r="C1257" s="5" t="str">
        <f>IFERROR(__xludf.DUMMYFUNCTION("""COMPUTED_VALUE"""),"NÃO POSSUI")</f>
        <v>NÃO POSSUI</v>
      </c>
      <c r="D1257" s="5" t="str">
        <f>IFERROR(__xludf.DUMMYFUNCTION("""COMPUTED_VALUE"""),"SEM PLACA")</f>
        <v>SEM PLACA</v>
      </c>
      <c r="E1257" s="5" t="str">
        <f>IFERROR(__xludf.DUMMYFUNCTION("""COMPUTED_VALUE"""),"SEM BAIA")</f>
        <v>SEM BAIA</v>
      </c>
      <c r="F1257" s="5" t="str">
        <f>IFERROR(__xludf.DUMMYFUNCTION("""COMPUTED_VALUE"""),"NÃO")</f>
        <v>NÃO</v>
      </c>
      <c r="G1257" s="5" t="str">
        <f>IFERROR(__xludf.DUMMYFUNCTION("""COMPUTED_VALUE"""),"NÃO")</f>
        <v>NÃO</v>
      </c>
      <c r="H1257" s="5" t="str">
        <f>IFERROR(__xludf.DUMMYFUNCTION("""COMPUTED_VALUE"""),"PAVIMENTADA COM AVARIAS")</f>
        <v>PAVIMENTADA COM AVARIAS</v>
      </c>
      <c r="I1257" s="6" t="str">
        <f>IFERROR(__xludf.DUMMYFUNCTION("""COMPUTED_VALUE"""),"-9.604965")</f>
        <v>-9.604965</v>
      </c>
      <c r="J1257" s="6" t="str">
        <f>IFERROR(__xludf.DUMMYFUNCTION("""COMPUTED_VALUE"""),"-35.735392")</f>
        <v>-35.735392</v>
      </c>
      <c r="K1257" s="5" t="str">
        <f>IFERROR(__xludf.DUMMYFUNCTION("""COMPUTED_VALUE"""),"RUA ANÁDIA")</f>
        <v>RUA ANÁDIA</v>
      </c>
      <c r="L1257" s="5" t="str">
        <f>IFERROR(__xludf.DUMMYFUNCTION("""COMPUTED_VALUE"""),"LOCAL")</f>
        <v>LOCAL</v>
      </c>
      <c r="M1257" s="5" t="str">
        <f>IFERROR(__xludf.DUMMYFUNCTION("""COMPUTED_VALUE"""),"CANAÃ")</f>
        <v>CANAÃ</v>
      </c>
      <c r="N1257" s="5" t="str">
        <f>IFERROR(__xludf.DUMMYFUNCTION("""COMPUTED_VALUE"""),"BAIRRO - CENTRO")</f>
        <v>BAIRRO - CENTRO</v>
      </c>
      <c r="O1257" s="5"/>
      <c r="P1257" s="5" t="str">
        <f>IFERROR(__xludf.DUMMYFUNCTION("""COMPUTED_VALUE"""),"PRIORIDADE MÉDIA")</f>
        <v>PRIORIDADE MÉDIA</v>
      </c>
      <c r="Q1257" s="5"/>
      <c r="R1257" s="5" t="str">
        <f>IFERROR(__xludf.DUMMYFUNCTION("""COMPUTED_VALUE"""),"NENHUMA DAS OPÇÕES")</f>
        <v>NENHUMA DAS OPÇÕES</v>
      </c>
      <c r="S1257" s="5"/>
      <c r="T1257" s="5"/>
      <c r="U1257" s="5"/>
      <c r="V1257" s="9" t="str">
        <f>IFERROR(__xludf.DUMMYFUNCTION("""COMPUTED_VALUE"""),"https://drive.google.com/uc?id=1uLeBEhgGUHV4s-3BEgP5l9I0gL63iV9k")</f>
        <v>https://drive.google.com/uc?id=1uLeBEhgGUHV4s-3BEgP5l9I0gL63iV9k</v>
      </c>
      <c r="W1257" s="5" t="str">
        <f>IFERROR(__xludf.DUMMYFUNCTION("""COMPUTED_VALUE"""),"NÃO")</f>
        <v>NÃO</v>
      </c>
    </row>
    <row r="1258" hidden="1">
      <c r="A1258" s="5">
        <f>IFERROR(__xludf.DUMMYFUNCTION("""COMPUTED_VALUE"""),3.0)</f>
        <v>3</v>
      </c>
      <c r="B1258" s="5" t="str">
        <f>IFERROR(__xludf.DUMMYFUNCTION("""COMPUTED_VALUE"""),"CÃ003")</f>
        <v>CÃ003</v>
      </c>
      <c r="C1258" s="5" t="str">
        <f>IFERROR(__xludf.DUMMYFUNCTION("""COMPUTED_VALUE"""),"NÃO POSSUI")</f>
        <v>NÃO POSSUI</v>
      </c>
      <c r="D1258" s="5" t="str">
        <f>IFERROR(__xludf.DUMMYFUNCTION("""COMPUTED_VALUE"""),"SEM PLACA")</f>
        <v>SEM PLACA</v>
      </c>
      <c r="E1258" s="5" t="str">
        <f>IFERROR(__xludf.DUMMYFUNCTION("""COMPUTED_VALUE"""),"SEM BAIA")</f>
        <v>SEM BAIA</v>
      </c>
      <c r="F1258" s="5" t="str">
        <f>IFERROR(__xludf.DUMMYFUNCTION("""COMPUTED_VALUE"""),"NÃO")</f>
        <v>NÃO</v>
      </c>
      <c r="G1258" s="5" t="str">
        <f>IFERROR(__xludf.DUMMYFUNCTION("""COMPUTED_VALUE"""),"NÃO")</f>
        <v>NÃO</v>
      </c>
      <c r="H1258" s="5" t="str">
        <f>IFERROR(__xludf.DUMMYFUNCTION("""COMPUTED_VALUE"""),"PAVIMENTADA")</f>
        <v>PAVIMENTADA</v>
      </c>
      <c r="I1258" s="6" t="str">
        <f>IFERROR(__xludf.DUMMYFUNCTION("""COMPUTED_VALUE"""),"-9.608373")</f>
        <v>-9.608373</v>
      </c>
      <c r="J1258" s="6" t="str">
        <f>IFERROR(__xludf.DUMMYFUNCTION("""COMPUTED_VALUE"""),"-35.738442")</f>
        <v>-35.738442</v>
      </c>
      <c r="K1258" s="5" t="str">
        <f>IFERROR(__xludf.DUMMYFUNCTION("""COMPUTED_VALUE"""),"RUA ÁGUA BRANCA")</f>
        <v>RUA ÁGUA BRANCA</v>
      </c>
      <c r="L1258" s="5" t="str">
        <f>IFERROR(__xludf.DUMMYFUNCTION("""COMPUTED_VALUE"""),"LOCAL")</f>
        <v>LOCAL</v>
      </c>
      <c r="M1258" s="5" t="str">
        <f>IFERROR(__xludf.DUMMYFUNCTION("""COMPUTED_VALUE"""),"CANAÃ")</f>
        <v>CANAÃ</v>
      </c>
      <c r="N1258" s="5" t="str">
        <f>IFERROR(__xludf.DUMMYFUNCTION("""COMPUTED_VALUE"""),"BAIRRO - CENTRO")</f>
        <v>BAIRRO - CENTRO</v>
      </c>
      <c r="O1258" s="5"/>
      <c r="P1258" s="5" t="str">
        <f>IFERROR(__xludf.DUMMYFUNCTION("""COMPUTED_VALUE"""),"PRIORIDADE MÉDIA")</f>
        <v>PRIORIDADE MÉDIA</v>
      </c>
      <c r="Q1258" s="5" t="str">
        <f>IFERROR(__xludf.DUMMYFUNCTION("""COMPUTED_VALUE"""),"IMPLANTAR PLACA COM SUPORTE DE MADEIRA.")</f>
        <v>IMPLANTAR PLACA COM SUPORTE DE MADEIRA.</v>
      </c>
      <c r="R1258" s="5" t="str">
        <f>IFERROR(__xludf.DUMMYFUNCTION("""COMPUTED_VALUE"""),"NENHUMA DAS OPÇÕES")</f>
        <v>NENHUMA DAS OPÇÕES</v>
      </c>
      <c r="S1258" s="5"/>
      <c r="T1258" s="5"/>
      <c r="U1258" s="5"/>
      <c r="V1258" s="9" t="str">
        <f>IFERROR(__xludf.DUMMYFUNCTION("""COMPUTED_VALUE"""),"https://drive.google.com/uc?id=1B-eU4DdxsIYqP8esqB5Hx9Q4U3mV2Ava")</f>
        <v>https://drive.google.com/uc?id=1B-eU4DdxsIYqP8esqB5Hx9Q4U3mV2Ava</v>
      </c>
      <c r="W1258" s="5" t="str">
        <f>IFERROR(__xludf.DUMMYFUNCTION("""COMPUTED_VALUE"""),"NÃO")</f>
        <v>NÃO</v>
      </c>
    </row>
    <row r="1259" hidden="1">
      <c r="A1259" s="5">
        <f>IFERROR(__xludf.DUMMYFUNCTION("""COMPUTED_VALUE"""),3.0)</f>
        <v>3</v>
      </c>
      <c r="B1259" s="5" t="str">
        <f>IFERROR(__xludf.DUMMYFUNCTION("""COMPUTED_VALUE"""),"CÃ004")</f>
        <v>CÃ004</v>
      </c>
      <c r="C1259" s="5" t="str">
        <f>IFERROR(__xludf.DUMMYFUNCTION("""COMPUTED_VALUE"""),"NÃO POSSUI")</f>
        <v>NÃO POSSUI</v>
      </c>
      <c r="D1259" s="5" t="str">
        <f>IFERROR(__xludf.DUMMYFUNCTION("""COMPUTED_VALUE"""),"SEM PLACA")</f>
        <v>SEM PLACA</v>
      </c>
      <c r="E1259" s="5" t="str">
        <f>IFERROR(__xludf.DUMMYFUNCTION("""COMPUTED_VALUE"""),"SEM BAIA")</f>
        <v>SEM BAIA</v>
      </c>
      <c r="F1259" s="5" t="str">
        <f>IFERROR(__xludf.DUMMYFUNCTION("""COMPUTED_VALUE"""),"NÃO")</f>
        <v>NÃO</v>
      </c>
      <c r="G1259" s="5" t="str">
        <f>IFERROR(__xludf.DUMMYFUNCTION("""COMPUTED_VALUE"""),"NÃO")</f>
        <v>NÃO</v>
      </c>
      <c r="H1259" s="5" t="str">
        <f>IFERROR(__xludf.DUMMYFUNCTION("""COMPUTED_VALUE"""),"PAVIMENTADA")</f>
        <v>PAVIMENTADA</v>
      </c>
      <c r="I1259" s="6" t="str">
        <f>IFERROR(__xludf.DUMMYFUNCTION("""COMPUTED_VALUE"""),"-9.606392")</f>
        <v>-9.606392</v>
      </c>
      <c r="J1259" s="6" t="str">
        <f>IFERROR(__xludf.DUMMYFUNCTION("""COMPUTED_VALUE"""),"-35.739588")</f>
        <v>-35.739588</v>
      </c>
      <c r="K1259" s="5" t="str">
        <f>IFERROR(__xludf.DUMMYFUNCTION("""COMPUTED_VALUE"""),"RUA PÃO DE AÇUCAR")</f>
        <v>RUA PÃO DE AÇUCAR</v>
      </c>
      <c r="L1259" s="5" t="str">
        <f>IFERROR(__xludf.DUMMYFUNCTION("""COMPUTED_VALUE"""),"LOCAL")</f>
        <v>LOCAL</v>
      </c>
      <c r="M1259" s="5" t="str">
        <f>IFERROR(__xludf.DUMMYFUNCTION("""COMPUTED_VALUE"""),"CANAÃ")</f>
        <v>CANAÃ</v>
      </c>
      <c r="N1259" s="5" t="str">
        <f>IFERROR(__xludf.DUMMYFUNCTION("""COMPUTED_VALUE"""),"BAIRRO - CENTRO")</f>
        <v>BAIRRO - CENTRO</v>
      </c>
      <c r="O1259" s="5"/>
      <c r="P1259" s="5" t="str">
        <f>IFERROR(__xludf.DUMMYFUNCTION("""COMPUTED_VALUE"""),"PRIORIDADE MÉDIA")</f>
        <v>PRIORIDADE MÉDIA</v>
      </c>
      <c r="Q1259" s="5" t="str">
        <f>IFERROR(__xludf.DUMMYFUNCTION("""COMPUTED_VALUE"""),"IMPLANTAR PLACA NO POSTE.")</f>
        <v>IMPLANTAR PLACA NO POSTE.</v>
      </c>
      <c r="R1259" s="5" t="str">
        <f>IFERROR(__xludf.DUMMYFUNCTION("""COMPUTED_VALUE"""),"NENHUMA DAS OPÇÕES")</f>
        <v>NENHUMA DAS OPÇÕES</v>
      </c>
      <c r="S1259" s="5"/>
      <c r="T1259" s="5"/>
      <c r="U1259" s="5"/>
      <c r="V1259" s="9" t="str">
        <f>IFERROR(__xludf.DUMMYFUNCTION("""COMPUTED_VALUE"""),"https://drive.google.com/uc?id=1x8N_3vAYB6j7KvFGlxVdr44j8PnTcLVk")</f>
        <v>https://drive.google.com/uc?id=1x8N_3vAYB6j7KvFGlxVdr44j8PnTcLVk</v>
      </c>
      <c r="W1259" s="5" t="str">
        <f>IFERROR(__xludf.DUMMYFUNCTION("""COMPUTED_VALUE"""),"NÃO")</f>
        <v>NÃO</v>
      </c>
    </row>
    <row r="1260">
      <c r="A1260" s="5">
        <f>IFERROR(__xludf.DUMMYFUNCTION("""COMPUTED_VALUE"""),3.0)</f>
        <v>3</v>
      </c>
      <c r="B1260" s="5" t="str">
        <f>IFERROR(__xludf.DUMMYFUNCTION("""COMPUTED_VALUE"""),"CÃ005")</f>
        <v>CÃ005</v>
      </c>
      <c r="C1260" s="5" t="str">
        <f>IFERROR(__xludf.DUMMYFUNCTION("""COMPUTED_VALUE"""),"ABRIGO CONCRETO")</f>
        <v>ABRIGO CONCRETO</v>
      </c>
      <c r="D1260" s="5" t="str">
        <f>IFERROR(__xludf.DUMMYFUNCTION("""COMPUTED_VALUE"""),"SEM PLACA")</f>
        <v>SEM PLACA</v>
      </c>
      <c r="E1260" s="5" t="str">
        <f>IFERROR(__xludf.DUMMYFUNCTION("""COMPUTED_VALUE"""),"SEM BAIA")</f>
        <v>SEM BAIA</v>
      </c>
      <c r="F1260" s="5" t="str">
        <f>IFERROR(__xludf.DUMMYFUNCTION("""COMPUTED_VALUE"""),"NÃO")</f>
        <v>NÃO</v>
      </c>
      <c r="G1260" s="5" t="str">
        <f>IFERROR(__xludf.DUMMYFUNCTION("""COMPUTED_VALUE"""),"NÃO")</f>
        <v>NÃO</v>
      </c>
      <c r="H1260" s="5" t="str">
        <f>IFERROR(__xludf.DUMMYFUNCTION("""COMPUTED_VALUE"""),"NÃO PAVIMENTADA")</f>
        <v>NÃO PAVIMENTADA</v>
      </c>
      <c r="I1260" s="6" t="str">
        <f>IFERROR(__xludf.DUMMYFUNCTION("""COMPUTED_VALUE"""),"-9.603443")</f>
        <v>-9.603443</v>
      </c>
      <c r="J1260" s="6" t="str">
        <f>IFERROR(__xludf.DUMMYFUNCTION("""COMPUTED_VALUE"""),"-35.736080")</f>
        <v>-35.736080</v>
      </c>
      <c r="K1260" s="5" t="str">
        <f>IFERROR(__xludf.DUMMYFUNCTION("""COMPUTED_VALUE"""),"RUA PÃO DE AÇUCAR")</f>
        <v>RUA PÃO DE AÇUCAR</v>
      </c>
      <c r="L1260" s="5" t="str">
        <f>IFERROR(__xludf.DUMMYFUNCTION("""COMPUTED_VALUE"""),"LOCAL")</f>
        <v>LOCAL</v>
      </c>
      <c r="M1260" s="5" t="str">
        <f>IFERROR(__xludf.DUMMYFUNCTION("""COMPUTED_VALUE"""),"CANAÃ")</f>
        <v>CANAÃ</v>
      </c>
      <c r="N1260" s="5" t="str">
        <f>IFERROR(__xludf.DUMMYFUNCTION("""COMPUTED_VALUE"""),"BAIRRO - CENTRO")</f>
        <v>BAIRRO - CENTRO</v>
      </c>
      <c r="O1260" s="5"/>
      <c r="P1260" s="5" t="str">
        <f>IFERROR(__xludf.DUMMYFUNCTION("""COMPUTED_VALUE"""),"PRIORIDADE MÉDIA")</f>
        <v>PRIORIDADE MÉDIA</v>
      </c>
      <c r="Q1260" s="5"/>
      <c r="R1260" s="5" t="str">
        <f>IFERROR(__xludf.DUMMYFUNCTION("""COMPUTED_VALUE"""),"SUBSTITUIR ABRIGO")</f>
        <v>SUBSTITUIR ABRIGO</v>
      </c>
      <c r="S1260" s="5"/>
      <c r="T1260" s="5"/>
      <c r="U1260" s="5"/>
      <c r="V1260" s="9" t="str">
        <f>IFERROR(__xludf.DUMMYFUNCTION("""COMPUTED_VALUE"""),"https://drive.google.com/uc?id=1YS-BS1PAHClodETLMv3VDTWFw3kBaVG_")</f>
        <v>https://drive.google.com/uc?id=1YS-BS1PAHClodETLMv3VDTWFw3kBaVG_</v>
      </c>
      <c r="W1260" s="5" t="str">
        <f>IFERROR(__xludf.DUMMYFUNCTION("""COMPUTED_VALUE"""),"NÃO")</f>
        <v>NÃO</v>
      </c>
    </row>
    <row r="1261" hidden="1">
      <c r="A1261" s="5">
        <f>IFERROR(__xludf.DUMMYFUNCTION("""COMPUTED_VALUE"""),3.0)</f>
        <v>3</v>
      </c>
      <c r="B1261" s="5" t="str">
        <f>IFERROR(__xludf.DUMMYFUNCTION("""COMPUTED_VALUE"""),"CÃ006")</f>
        <v>CÃ006</v>
      </c>
      <c r="C1261" s="5" t="str">
        <f>IFERROR(__xludf.DUMMYFUNCTION("""COMPUTED_VALUE"""),"NÃO POSSUI")</f>
        <v>NÃO POSSUI</v>
      </c>
      <c r="D1261" s="5" t="str">
        <f>IFERROR(__xludf.DUMMYFUNCTION("""COMPUTED_VALUE"""),"COM SUPORTE")</f>
        <v>COM SUPORTE</v>
      </c>
      <c r="E1261" s="5" t="str">
        <f>IFERROR(__xludf.DUMMYFUNCTION("""COMPUTED_VALUE"""),"SEM BAIA")</f>
        <v>SEM BAIA</v>
      </c>
      <c r="F1261" s="5" t="str">
        <f>IFERROR(__xludf.DUMMYFUNCTION("""COMPUTED_VALUE"""),"NÃO")</f>
        <v>NÃO</v>
      </c>
      <c r="G1261" s="5" t="str">
        <f>IFERROR(__xludf.DUMMYFUNCTION("""COMPUTED_VALUE"""),"NÃO")</f>
        <v>NÃO</v>
      </c>
      <c r="H1261" s="5" t="str">
        <f>IFERROR(__xludf.DUMMYFUNCTION("""COMPUTED_VALUE"""),"PAVIMENTADA")</f>
        <v>PAVIMENTADA</v>
      </c>
      <c r="I1261" s="6" t="str">
        <f>IFERROR(__xludf.DUMMYFUNCTION("""COMPUTED_VALUE"""),"-9.604835")</f>
        <v>-9.604835</v>
      </c>
      <c r="J1261" s="6" t="str">
        <f>IFERROR(__xludf.DUMMYFUNCTION("""COMPUTED_VALUE"""),"-35.737752
")</f>
        <v>-35.737752
</v>
      </c>
      <c r="K1261" s="5" t="str">
        <f>IFERROR(__xludf.DUMMYFUNCTION("""COMPUTED_VALUE"""),"RUA PÃO DE AÇÚCAR")</f>
        <v>RUA PÃO DE AÇÚCAR</v>
      </c>
      <c r="L1261" s="5" t="str">
        <f>IFERROR(__xludf.DUMMYFUNCTION("""COMPUTED_VALUE"""),"LOCAL")</f>
        <v>LOCAL</v>
      </c>
      <c r="M1261" s="5" t="str">
        <f>IFERROR(__xludf.DUMMYFUNCTION("""COMPUTED_VALUE"""),"CANAÃ")</f>
        <v>CANAÃ</v>
      </c>
      <c r="N1261" s="5" t="str">
        <f>IFERROR(__xludf.DUMMYFUNCTION("""COMPUTED_VALUE"""),"BAIRRO - CENTRO")</f>
        <v>BAIRRO - CENTRO</v>
      </c>
      <c r="O1261" s="5"/>
      <c r="P1261" s="5" t="str">
        <f>IFERROR(__xludf.DUMMYFUNCTION("""COMPUTED_VALUE"""),"PRIORIDADE MÉDIA")</f>
        <v>PRIORIDADE MÉDIA</v>
      </c>
      <c r="Q1261" s="5"/>
      <c r="R1261" s="5" t="str">
        <f>IFERROR(__xludf.DUMMYFUNCTION("""COMPUTED_VALUE"""),"NENHUMA DAS OPÇÕES")</f>
        <v>NENHUMA DAS OPÇÕES</v>
      </c>
      <c r="S1261" s="5"/>
      <c r="T1261" s="5"/>
      <c r="U1261" s="5"/>
      <c r="V1261" s="9" t="str">
        <f>IFERROR(__xludf.DUMMYFUNCTION("""COMPUTED_VALUE"""),"https://drive.google.com/uc?id=1_JUIeNFUT7mqSaey4x18DhP_8hHmVciM")</f>
        <v>https://drive.google.com/uc?id=1_JUIeNFUT7mqSaey4x18DhP_8hHmVciM</v>
      </c>
      <c r="W1261" s="5" t="str">
        <f>IFERROR(__xludf.DUMMYFUNCTION("""COMPUTED_VALUE"""),"NÃO")</f>
        <v>NÃO</v>
      </c>
    </row>
    <row r="1262" hidden="1">
      <c r="A1262" s="5">
        <f>IFERROR(__xludf.DUMMYFUNCTION("""COMPUTED_VALUE"""),3.0)</f>
        <v>3</v>
      </c>
      <c r="B1262" s="5" t="str">
        <f>IFERROR(__xludf.DUMMYFUNCTION("""COMPUTED_VALUE"""),"CÃ007")</f>
        <v>CÃ007</v>
      </c>
      <c r="C1262" s="5" t="str">
        <f>IFERROR(__xludf.DUMMYFUNCTION("""COMPUTED_VALUE"""),"NÃO POSSUI")</f>
        <v>NÃO POSSUI</v>
      </c>
      <c r="D1262" s="5" t="str">
        <f>IFERROR(__xludf.DUMMYFUNCTION("""COMPUTED_VALUE"""),"FIXADA EM POSTE")</f>
        <v>FIXADA EM POSTE</v>
      </c>
      <c r="E1262" s="5" t="str">
        <f>IFERROR(__xludf.DUMMYFUNCTION("""COMPUTED_VALUE"""),"SEM BAIA")</f>
        <v>SEM BAIA</v>
      </c>
      <c r="F1262" s="5" t="str">
        <f>IFERROR(__xludf.DUMMYFUNCTION("""COMPUTED_VALUE"""),"NÃO")</f>
        <v>NÃO</v>
      </c>
      <c r="G1262" s="5" t="str">
        <f>IFERROR(__xludf.DUMMYFUNCTION("""COMPUTED_VALUE"""),"NÃO")</f>
        <v>NÃO</v>
      </c>
      <c r="H1262" s="5" t="str">
        <f>IFERROR(__xludf.DUMMYFUNCTION("""COMPUTED_VALUE"""),"PAVIMENTADA")</f>
        <v>PAVIMENTADA</v>
      </c>
      <c r="I1262" s="6" t="str">
        <f>IFERROR(__xludf.DUMMYFUNCTION("""COMPUTED_VALUE"""),"-9.604583")</f>
        <v>-9.604583</v>
      </c>
      <c r="J1262" s="6" t="str">
        <f>IFERROR(__xludf.DUMMYFUNCTION("""COMPUTED_VALUE"""),"-35.734770")</f>
        <v>-35.734770</v>
      </c>
      <c r="K1262" s="5" t="str">
        <f>IFERROR(__xludf.DUMMYFUNCTION("""COMPUTED_VALUE"""),"RUA ANÁDIA")</f>
        <v>RUA ANÁDIA</v>
      </c>
      <c r="L1262" s="5" t="str">
        <f>IFERROR(__xludf.DUMMYFUNCTION("""COMPUTED_VALUE"""),"LOCAL")</f>
        <v>LOCAL</v>
      </c>
      <c r="M1262" s="5" t="str">
        <f>IFERROR(__xludf.DUMMYFUNCTION("""COMPUTED_VALUE"""),"CANAÃ")</f>
        <v>CANAÃ</v>
      </c>
      <c r="N1262" s="5" t="str">
        <f>IFERROR(__xludf.DUMMYFUNCTION("""COMPUTED_VALUE"""),"BAIRRO - CENTRO")</f>
        <v>BAIRRO - CENTRO</v>
      </c>
      <c r="O1262" s="5"/>
      <c r="P1262" s="5" t="str">
        <f>IFERROR(__xludf.DUMMYFUNCTION("""COMPUTED_VALUE"""),"PRIORIDADE MÉDIA")</f>
        <v>PRIORIDADE MÉDIA</v>
      </c>
      <c r="Q1262" s="5"/>
      <c r="R1262" s="5" t="str">
        <f>IFERROR(__xludf.DUMMYFUNCTION("""COMPUTED_VALUE"""),"NENHUMA DAS OPÇÕES")</f>
        <v>NENHUMA DAS OPÇÕES</v>
      </c>
      <c r="S1262" s="5"/>
      <c r="T1262" s="5"/>
      <c r="U1262" s="5"/>
      <c r="V1262" s="9" t="str">
        <f>IFERROR(__xludf.DUMMYFUNCTION("""COMPUTED_VALUE"""),"https://drive.google.com/uc?id=15QvEbP8zCsBQsg-3wR20GJjw54JK5a8x")</f>
        <v>https://drive.google.com/uc?id=15QvEbP8zCsBQsg-3wR20GJjw54JK5a8x</v>
      </c>
      <c r="W1262" s="5" t="str">
        <f>IFERROR(__xludf.DUMMYFUNCTION("""COMPUTED_VALUE"""),"NÃO")</f>
        <v>NÃO</v>
      </c>
    </row>
    <row r="1263" hidden="1">
      <c r="A1263" s="5">
        <f>IFERROR(__xludf.DUMMYFUNCTION("""COMPUTED_VALUE"""),3.0)</f>
        <v>3</v>
      </c>
      <c r="B1263" s="5" t="str">
        <f>IFERROR(__xludf.DUMMYFUNCTION("""COMPUTED_VALUE"""),"CÃ008")</f>
        <v>CÃ008</v>
      </c>
      <c r="C1263" s="5" t="str">
        <f>IFERROR(__xludf.DUMMYFUNCTION("""COMPUTED_VALUE"""),"NÃO POSSUI")</f>
        <v>NÃO POSSUI</v>
      </c>
      <c r="D1263" s="5" t="str">
        <f>IFERROR(__xludf.DUMMYFUNCTION("""COMPUTED_VALUE"""),"FIXADA EM POSTE")</f>
        <v>FIXADA EM POSTE</v>
      </c>
      <c r="E1263" s="5" t="str">
        <f>IFERROR(__xludf.DUMMYFUNCTION("""COMPUTED_VALUE"""),"SEM BAIA")</f>
        <v>SEM BAIA</v>
      </c>
      <c r="F1263" s="5" t="str">
        <f>IFERROR(__xludf.DUMMYFUNCTION("""COMPUTED_VALUE"""),"NÃO")</f>
        <v>NÃO</v>
      </c>
      <c r="G1263" s="5" t="str">
        <f>IFERROR(__xludf.DUMMYFUNCTION("""COMPUTED_VALUE"""),"NÃO")</f>
        <v>NÃO</v>
      </c>
      <c r="H1263" s="5" t="str">
        <f>IFERROR(__xludf.DUMMYFUNCTION("""COMPUTED_VALUE"""),"PAVIMENTADA")</f>
        <v>PAVIMENTADA</v>
      </c>
      <c r="I1263" s="6" t="str">
        <f>IFERROR(__xludf.DUMMYFUNCTION("""COMPUTED_VALUE"""),"-9.607673")</f>
        <v>-9.607673</v>
      </c>
      <c r="J1263" s="6" t="str">
        <f>IFERROR(__xludf.DUMMYFUNCTION("""COMPUTED_VALUE"""),"-35.737327")</f>
        <v>-35.737327</v>
      </c>
      <c r="K1263" s="5" t="str">
        <f>IFERROR(__xludf.DUMMYFUNCTION("""COMPUTED_VALUE"""),"RUA CAMARAGIBE")</f>
        <v>RUA CAMARAGIBE</v>
      </c>
      <c r="L1263" s="5" t="str">
        <f>IFERROR(__xludf.DUMMYFUNCTION("""COMPUTED_VALUE"""),"COLETORA")</f>
        <v>COLETORA</v>
      </c>
      <c r="M1263" s="5" t="str">
        <f>IFERROR(__xludf.DUMMYFUNCTION("""COMPUTED_VALUE"""),"CANAÃ")</f>
        <v>CANAÃ</v>
      </c>
      <c r="N1263" s="5" t="str">
        <f>IFERROR(__xludf.DUMMYFUNCTION("""COMPUTED_VALUE"""),"BAIRRO - CENTRO")</f>
        <v>BAIRRO - CENTRO</v>
      </c>
      <c r="O1263" s="5"/>
      <c r="P1263" s="5" t="str">
        <f>IFERROR(__xludf.DUMMYFUNCTION("""COMPUTED_VALUE"""),"PRIORIDADE MÉDIA")</f>
        <v>PRIORIDADE MÉDIA</v>
      </c>
      <c r="Q1263" s="5"/>
      <c r="R1263" s="5" t="str">
        <f>IFERROR(__xludf.DUMMYFUNCTION("""COMPUTED_VALUE"""),"NENHUMA DAS OPÇÕES")</f>
        <v>NENHUMA DAS OPÇÕES</v>
      </c>
      <c r="S1263" s="5"/>
      <c r="T1263" s="5"/>
      <c r="U1263" s="5"/>
      <c r="V1263" s="9" t="str">
        <f>IFERROR(__xludf.DUMMYFUNCTION("""COMPUTED_VALUE"""),"https://drive.google.com/uc?id=1zkzIdkUgQ6lPiFTLwfmTjUX8O3B1-kdx")</f>
        <v>https://drive.google.com/uc?id=1zkzIdkUgQ6lPiFTLwfmTjUX8O3B1-kdx</v>
      </c>
      <c r="W1263" s="5" t="str">
        <f>IFERROR(__xludf.DUMMYFUNCTION("""COMPUTED_VALUE"""),"NÃO")</f>
        <v>NÃO</v>
      </c>
    </row>
    <row r="1264" hidden="1">
      <c r="A1264" s="5">
        <f>IFERROR(__xludf.DUMMYFUNCTION("""COMPUTED_VALUE"""),3.0)</f>
        <v>3</v>
      </c>
      <c r="B1264" s="5" t="str">
        <f>IFERROR(__xludf.DUMMYFUNCTION("""COMPUTED_VALUE"""),"CÃ009")</f>
        <v>CÃ009</v>
      </c>
      <c r="C1264" s="5" t="str">
        <f>IFERROR(__xludf.DUMMYFUNCTION("""COMPUTED_VALUE"""),"NÃO POSSUI")</f>
        <v>NÃO POSSUI</v>
      </c>
      <c r="D1264" s="5" t="str">
        <f>IFERROR(__xludf.DUMMYFUNCTION("""COMPUTED_VALUE"""),"COM SUPORTE")</f>
        <v>COM SUPORTE</v>
      </c>
      <c r="E1264" s="5" t="str">
        <f>IFERROR(__xludf.DUMMYFUNCTION("""COMPUTED_VALUE"""),"SEM BAIA")</f>
        <v>SEM BAIA</v>
      </c>
      <c r="F1264" s="5" t="str">
        <f>IFERROR(__xludf.DUMMYFUNCTION("""COMPUTED_VALUE"""),"NÃO")</f>
        <v>NÃO</v>
      </c>
      <c r="G1264" s="5" t="str">
        <f>IFERROR(__xludf.DUMMYFUNCTION("""COMPUTED_VALUE"""),"NÃO")</f>
        <v>NÃO</v>
      </c>
      <c r="H1264" s="5" t="str">
        <f>IFERROR(__xludf.DUMMYFUNCTION("""COMPUTED_VALUE"""),"PAVIMENTADA")</f>
        <v>PAVIMENTADA</v>
      </c>
      <c r="I1264" s="6" t="str">
        <f>IFERROR(__xludf.DUMMYFUNCTION("""COMPUTED_VALUE"""),"-9.603570")</f>
        <v>-9.603570</v>
      </c>
      <c r="J1264" s="6" t="str">
        <f>IFERROR(__xludf.DUMMYFUNCTION("""COMPUTED_VALUE"""),"-35.73613")</f>
        <v>-35.73613</v>
      </c>
      <c r="K1264" s="5" t="str">
        <f>IFERROR(__xludf.DUMMYFUNCTION("""COMPUTED_VALUE"""),"RUA PÃO DE AÇÚCAR ")</f>
        <v>RUA PÃO DE AÇÚCAR </v>
      </c>
      <c r="L1264" s="5" t="str">
        <f>IFERROR(__xludf.DUMMYFUNCTION("""COMPUTED_VALUE"""),"LOCAL")</f>
        <v>LOCAL</v>
      </c>
      <c r="M1264" s="5" t="str">
        <f>IFERROR(__xludf.DUMMYFUNCTION("""COMPUTED_VALUE"""),"CANAÃ")</f>
        <v>CANAÃ</v>
      </c>
      <c r="N1264" s="5" t="str">
        <f>IFERROR(__xludf.DUMMYFUNCTION("""COMPUTED_VALUE"""),"BAIRRO - CENTRO")</f>
        <v>BAIRRO - CENTRO</v>
      </c>
      <c r="O1264" s="5"/>
      <c r="P1264" s="5" t="str">
        <f>IFERROR(__xludf.DUMMYFUNCTION("""COMPUTED_VALUE"""),"PRIORIDADE MÉDIA")</f>
        <v>PRIORIDADE MÉDIA</v>
      </c>
      <c r="Q1264" s="5"/>
      <c r="R1264" s="5" t="str">
        <f>IFERROR(__xludf.DUMMYFUNCTION("""COMPUTED_VALUE"""),"NENHUMA DAS OPÇÕES")</f>
        <v>NENHUMA DAS OPÇÕES</v>
      </c>
      <c r="S1264" s="5"/>
      <c r="T1264" s="5"/>
      <c r="U1264" s="5"/>
      <c r="V1264" s="9" t="str">
        <f>IFERROR(__xludf.DUMMYFUNCTION("""COMPUTED_VALUE"""),"https://drive.google.com/uc?id=1U-rgMIW7IhPfjM5a7xsjs8BmfyqIB6J9")</f>
        <v>https://drive.google.com/uc?id=1U-rgMIW7IhPfjM5a7xsjs8BmfyqIB6J9</v>
      </c>
      <c r="W1264" s="5" t="str">
        <f>IFERROR(__xludf.DUMMYFUNCTION("""COMPUTED_VALUE"""),"NÃO")</f>
        <v>NÃO</v>
      </c>
    </row>
    <row r="1265" hidden="1">
      <c r="A1265" s="5">
        <f>IFERROR(__xludf.DUMMYFUNCTION("""COMPUTED_VALUE"""),3.0)</f>
        <v>3</v>
      </c>
      <c r="B1265" s="5" t="str">
        <f>IFERROR(__xludf.DUMMYFUNCTION("""COMPUTED_VALUE"""),"CÃ010")</f>
        <v>CÃ010</v>
      </c>
      <c r="C1265" s="5" t="str">
        <f>IFERROR(__xludf.DUMMYFUNCTION("""COMPUTED_VALUE"""),"NÃO POSSUI")</f>
        <v>NÃO POSSUI</v>
      </c>
      <c r="D1265" s="5" t="str">
        <f>IFERROR(__xludf.DUMMYFUNCTION("""COMPUTED_VALUE"""),"COM SUPORTE")</f>
        <v>COM SUPORTE</v>
      </c>
      <c r="E1265" s="5" t="str">
        <f>IFERROR(__xludf.DUMMYFUNCTION("""COMPUTED_VALUE"""),"SEM BAIA")</f>
        <v>SEM BAIA</v>
      </c>
      <c r="F1265" s="5" t="str">
        <f>IFERROR(__xludf.DUMMYFUNCTION("""COMPUTED_VALUE"""),"NÃO")</f>
        <v>NÃO</v>
      </c>
      <c r="G1265" s="5" t="str">
        <f>IFERROR(__xludf.DUMMYFUNCTION("""COMPUTED_VALUE"""),"NÃO")</f>
        <v>NÃO</v>
      </c>
      <c r="H1265" s="5" t="str">
        <f>IFERROR(__xludf.DUMMYFUNCTION("""COMPUTED_VALUE"""),"PAVIMENTADA COM AVARIAS")</f>
        <v>PAVIMENTADA COM AVARIAS</v>
      </c>
      <c r="I1265" s="6" t="str">
        <f>IFERROR(__xludf.DUMMYFUNCTION("""COMPUTED_VALUE"""),"-9.603075")</f>
        <v>-9.603075</v>
      </c>
      <c r="J1265" s="6" t="str">
        <f>IFERROR(__xludf.DUMMYFUNCTION("""COMPUTED_VALUE"""),"-35.734928")</f>
        <v>-35.734928</v>
      </c>
      <c r="K1265" s="5" t="str">
        <f>IFERROR(__xludf.DUMMYFUNCTION("""COMPUTED_VALUE"""),"RUA SATUBA ")</f>
        <v>RUA SATUBA </v>
      </c>
      <c r="L1265" s="5" t="str">
        <f>IFERROR(__xludf.DUMMYFUNCTION("""COMPUTED_VALUE"""),"LOCAL")</f>
        <v>LOCAL</v>
      </c>
      <c r="M1265" s="5" t="str">
        <f>IFERROR(__xludf.DUMMYFUNCTION("""COMPUTED_VALUE"""),"CANAÃ")</f>
        <v>CANAÃ</v>
      </c>
      <c r="N1265" s="5" t="str">
        <f>IFERROR(__xludf.DUMMYFUNCTION("""COMPUTED_VALUE"""),"BAIRRO - CENTRO")</f>
        <v>BAIRRO - CENTRO</v>
      </c>
      <c r="O1265" s="5"/>
      <c r="P1265" s="5" t="str">
        <f>IFERROR(__xludf.DUMMYFUNCTION("""COMPUTED_VALUE"""),"PRIORIDADE MÉDIA")</f>
        <v>PRIORIDADE MÉDIA</v>
      </c>
      <c r="Q1265" s="5"/>
      <c r="R1265" s="5" t="str">
        <f>IFERROR(__xludf.DUMMYFUNCTION("""COMPUTED_VALUE"""),"NENHUMA DAS OPÇÕES")</f>
        <v>NENHUMA DAS OPÇÕES</v>
      </c>
      <c r="S1265" s="5"/>
      <c r="T1265" s="5"/>
      <c r="U1265" s="5"/>
      <c r="V1265" s="9" t="str">
        <f>IFERROR(__xludf.DUMMYFUNCTION("""COMPUTED_VALUE"""),"https://drive.google.com/uc?id=1-X6oq4ckAPOg91kQ5irCDZBemqPfdpAQ")</f>
        <v>https://drive.google.com/uc?id=1-X6oq4ckAPOg91kQ5irCDZBemqPfdpAQ</v>
      </c>
      <c r="W1265" s="5" t="str">
        <f>IFERROR(__xludf.DUMMYFUNCTION("""COMPUTED_VALUE"""),"NÃO")</f>
        <v>NÃO</v>
      </c>
    </row>
    <row r="1266" hidden="1">
      <c r="A1266" s="5">
        <f>IFERROR(__xludf.DUMMYFUNCTION("""COMPUTED_VALUE"""),3.0)</f>
        <v>3</v>
      </c>
      <c r="B1266" s="5" t="str">
        <f>IFERROR(__xludf.DUMMYFUNCTION("""COMPUTED_VALUE"""),"CÃ011")</f>
        <v>CÃ011</v>
      </c>
      <c r="C1266" s="5" t="str">
        <f>IFERROR(__xludf.DUMMYFUNCTION("""COMPUTED_VALUE"""),"NÃO POSSUI")</f>
        <v>NÃO POSSUI</v>
      </c>
      <c r="D1266" s="5" t="str">
        <f>IFERROR(__xludf.DUMMYFUNCTION("""COMPUTED_VALUE"""),"COM SUPORTE")</f>
        <v>COM SUPORTE</v>
      </c>
      <c r="E1266" s="5" t="str">
        <f>IFERROR(__xludf.DUMMYFUNCTION("""COMPUTED_VALUE"""),"SEM BAIA")</f>
        <v>SEM BAIA</v>
      </c>
      <c r="F1266" s="5" t="str">
        <f>IFERROR(__xludf.DUMMYFUNCTION("""COMPUTED_VALUE"""),"NÃO")</f>
        <v>NÃO</v>
      </c>
      <c r="G1266" s="5" t="str">
        <f>IFERROR(__xludf.DUMMYFUNCTION("""COMPUTED_VALUE"""),"NÃO")</f>
        <v>NÃO</v>
      </c>
      <c r="H1266" s="5" t="str">
        <f>IFERROR(__xludf.DUMMYFUNCTION("""COMPUTED_VALUE"""),"PAVIMENTADA")</f>
        <v>PAVIMENTADA</v>
      </c>
      <c r="I1266" s="6" t="str">
        <f>IFERROR(__xludf.DUMMYFUNCTION("""COMPUTED_VALUE"""),"-9.6030125")</f>
        <v>-9.6030125</v>
      </c>
      <c r="J1266" s="6" t="str">
        <f>IFERROR(__xludf.DUMMYFUNCTION("""COMPUTED_VALUE"""),"-35.734973
")</f>
        <v>-35.734973
</v>
      </c>
      <c r="K1266" s="5" t="str">
        <f>IFERROR(__xludf.DUMMYFUNCTION("""COMPUTED_VALUE"""),"RUA SATUBA ")</f>
        <v>RUA SATUBA </v>
      </c>
      <c r="L1266" s="5" t="str">
        <f>IFERROR(__xludf.DUMMYFUNCTION("""COMPUTED_VALUE"""),"LOCAL")</f>
        <v>LOCAL</v>
      </c>
      <c r="M1266" s="5" t="str">
        <f>IFERROR(__xludf.DUMMYFUNCTION("""COMPUTED_VALUE"""),"CANAÃ")</f>
        <v>CANAÃ</v>
      </c>
      <c r="N1266" s="5" t="str">
        <f>IFERROR(__xludf.DUMMYFUNCTION("""COMPUTED_VALUE"""),"BAIRRO - CENTRO")</f>
        <v>BAIRRO - CENTRO</v>
      </c>
      <c r="O1266" s="5"/>
      <c r="P1266" s="5" t="str">
        <f>IFERROR(__xludf.DUMMYFUNCTION("""COMPUTED_VALUE"""),"PRIORIDADE MÉDIA")</f>
        <v>PRIORIDADE MÉDIA</v>
      </c>
      <c r="Q1266" s="5"/>
      <c r="R1266" s="5" t="str">
        <f>IFERROR(__xludf.DUMMYFUNCTION("""COMPUTED_VALUE"""),"NENHUMA DAS OPÇÕES")</f>
        <v>NENHUMA DAS OPÇÕES</v>
      </c>
      <c r="S1266" s="5"/>
      <c r="T1266" s="5"/>
      <c r="U1266" s="5"/>
      <c r="V1266" s="9" t="str">
        <f>IFERROR(__xludf.DUMMYFUNCTION("""COMPUTED_VALUE"""),"https://drive.google.com/uc?id=1hMVOTdCrGivqSvwS5aL_4apGgpRHdZkp")</f>
        <v>https://drive.google.com/uc?id=1hMVOTdCrGivqSvwS5aL_4apGgpRHdZkp</v>
      </c>
      <c r="W1266" s="5" t="str">
        <f>IFERROR(__xludf.DUMMYFUNCTION("""COMPUTED_VALUE"""),"NÃO")</f>
        <v>NÃO</v>
      </c>
    </row>
    <row r="1267">
      <c r="A1267" s="13">
        <f>IFERROR(__xludf.DUMMYFUNCTION("IMPORTRANGE(""https://docs.google.com/spreadsheets/d/1mdBY0PJzlDiHezRddgrNuVbV7dNEdLAOyTnpPefaMX0/edit#gid=1612198575"", ""GRUTA DE LOURDES!A2:X29"")"),3.0)</f>
        <v>3</v>
      </c>
      <c r="B1267" s="5" t="str">
        <f>IFERROR(__xludf.DUMMYFUNCTION("""COMPUTED_VALUE"""),"GL001")</f>
        <v>GL001</v>
      </c>
      <c r="C1267" s="5" t="str">
        <f>IFERROR(__xludf.DUMMYFUNCTION("""COMPUTED_VALUE"""),"ABRIGO METÁLICO PEQUENO PORTE")</f>
        <v>ABRIGO METÁLICO PEQUENO PORTE</v>
      </c>
      <c r="D1267" s="5" t="str">
        <f>IFERROR(__xludf.DUMMYFUNCTION("""COMPUTED_VALUE"""),"COM SUPORTE")</f>
        <v>COM SUPORTE</v>
      </c>
      <c r="E1267" s="5" t="str">
        <f>IFERROR(__xludf.DUMMYFUNCTION("""COMPUTED_VALUE"""),"SEM BAIA")</f>
        <v>SEM BAIA</v>
      </c>
      <c r="F1267" s="5" t="str">
        <f>IFERROR(__xludf.DUMMYFUNCTION("""COMPUTED_VALUE"""),"NÃO")</f>
        <v>NÃO</v>
      </c>
      <c r="G1267" s="5" t="str">
        <f>IFERROR(__xludf.DUMMYFUNCTION("""COMPUTED_VALUE"""),"NÃO")</f>
        <v>NÃO</v>
      </c>
      <c r="H1267" s="5" t="str">
        <f>IFERROR(__xludf.DUMMYFUNCTION("""COMPUTED_VALUE"""),"PAVIMENTADA")</f>
        <v>PAVIMENTADA</v>
      </c>
      <c r="I1267" s="6" t="str">
        <f>IFERROR(__xludf.DUMMYFUNCTION("""COMPUTED_VALUE"""),"-9.625035")</f>
        <v>-9.625035</v>
      </c>
      <c r="J1267" s="6" t="str">
        <f>IFERROR(__xludf.DUMMYFUNCTION("""COMPUTED_VALUE"""),"-35.729867")</f>
        <v>-35.729867</v>
      </c>
      <c r="K1267" s="5" t="str">
        <f>IFERROR(__xludf.DUMMYFUNCTION("""COMPUTED_VALUE"""),"AV. MENDONÇA JÚNIOR")</f>
        <v>AV. MENDONÇA JÚNIOR</v>
      </c>
      <c r="L1267" s="5" t="str">
        <f>IFERROR(__xludf.DUMMYFUNCTION("""COMPUTED_VALUE"""),"COLETORA")</f>
        <v>COLETORA</v>
      </c>
      <c r="M1267" s="5" t="str">
        <f>IFERROR(__xludf.DUMMYFUNCTION("""COMPUTED_VALUE"""),"GRUTA DE LOURDES")</f>
        <v>GRUTA DE LOURDES</v>
      </c>
      <c r="N1267" s="5" t="str">
        <f>IFERROR(__xludf.DUMMYFUNCTION("""COMPUTED_VALUE"""),"BAIRRO - CENTRO")</f>
        <v>BAIRRO - CENTRO</v>
      </c>
      <c r="O1267" s="5" t="str">
        <f>IFERROR(__xludf.DUMMYFUNCTION("""COMPUTED_VALUE"""),"APÓS POSTO DE GASOLINA")</f>
        <v>APÓS POSTO DE GASOLINA</v>
      </c>
      <c r="P1267" s="5" t="str">
        <f>IFERROR(__xludf.DUMMYFUNCTION("""COMPUTED_VALUE"""),"PRIORIDADE BAIXA")</f>
        <v>PRIORIDADE BAIXA</v>
      </c>
      <c r="Q1267" s="5" t="str">
        <f>IFERROR(__xludf.DUMMYFUNCTION("""COMPUTED_VALUE"""),"ADEQUAÇÃO DA CALÇADA (RAMPA DE ACESSIBILIDADE E PISO TÁTIL)")</f>
        <v>ADEQUAÇÃO DA CALÇADA (RAMPA DE ACESSIBILIDADE E PISO TÁTIL)</v>
      </c>
      <c r="R1267" s="5" t="str">
        <f>IFERROR(__xludf.DUMMYFUNCTION("""COMPUTED_VALUE"""),"NENHUMA DAS OPÇÕES")</f>
        <v>NENHUMA DAS OPÇÕES</v>
      </c>
      <c r="S1267" s="5"/>
      <c r="T1267" s="5"/>
      <c r="U1267" s="5"/>
      <c r="V1267" s="9" t="str">
        <f>IFERROR(__xludf.DUMMYFUNCTION("""COMPUTED_VALUE"""),"https://drive.google.com/uc?id=1K4LidLtwqd2mCilxr-4n0C6sVwJc1iFc")</f>
        <v>https://drive.google.com/uc?id=1K4LidLtwqd2mCilxr-4n0C6sVwJc1iFc</v>
      </c>
      <c r="W1267" s="5" t="str">
        <f>IFERROR(__xludf.DUMMYFUNCTION("""COMPUTED_VALUE"""),"NÃO")</f>
        <v>NÃO</v>
      </c>
      <c r="X1267" s="5" t="str">
        <f>IFERROR(__xludf.DUMMYFUNCTION("""COMPUTED_VALUE"""),"SIM")</f>
        <v>SIM</v>
      </c>
    </row>
    <row r="1268">
      <c r="A1268" s="5">
        <f>IFERROR(__xludf.DUMMYFUNCTION("""COMPUTED_VALUE"""),3.0)</f>
        <v>3</v>
      </c>
      <c r="B1268" s="5" t="str">
        <f>IFERROR(__xludf.DUMMYFUNCTION("""COMPUTED_VALUE"""),"GL002")</f>
        <v>GL002</v>
      </c>
      <c r="C1268" s="5" t="str">
        <f>IFERROR(__xludf.DUMMYFUNCTION("""COMPUTED_VALUE"""),"ABRIGO METÁLICO PEQUENO PORTE")</f>
        <v>ABRIGO METÁLICO PEQUENO PORTE</v>
      </c>
      <c r="D1268" s="5" t="str">
        <f>IFERROR(__xludf.DUMMYFUNCTION("""COMPUTED_VALUE"""),"COM SUPORTE")</f>
        <v>COM SUPORTE</v>
      </c>
      <c r="E1268" s="5" t="str">
        <f>IFERROR(__xludf.DUMMYFUNCTION("""COMPUTED_VALUE"""),"SEM BAIA")</f>
        <v>SEM BAIA</v>
      </c>
      <c r="F1268" s="5" t="str">
        <f>IFERROR(__xludf.DUMMYFUNCTION("""COMPUTED_VALUE"""),"NÃO")</f>
        <v>NÃO</v>
      </c>
      <c r="G1268" s="5" t="str">
        <f>IFERROR(__xludf.DUMMYFUNCTION("""COMPUTED_VALUE"""),"NÃO")</f>
        <v>NÃO</v>
      </c>
      <c r="H1268" s="5" t="str">
        <f>IFERROR(__xludf.DUMMYFUNCTION("""COMPUTED_VALUE"""),"PAVIMENTADA")</f>
        <v>PAVIMENTADA</v>
      </c>
      <c r="I1268" s="6" t="str">
        <f>IFERROR(__xludf.DUMMYFUNCTION("""COMPUTED_VALUE"""),"-9.625327")</f>
        <v>-9.625327</v>
      </c>
      <c r="J1268" s="6" t="str">
        <f>IFERROR(__xludf.DUMMYFUNCTION("""COMPUTED_VALUE"""),"-35.730343")</f>
        <v>-35.730343</v>
      </c>
      <c r="K1268" s="5" t="str">
        <f>IFERROR(__xludf.DUMMYFUNCTION("""COMPUTED_VALUE"""),"AV. MENDONÇA JÚNIOR")</f>
        <v>AV. MENDONÇA JÚNIOR</v>
      </c>
      <c r="L1268" s="5" t="str">
        <f>IFERROR(__xludf.DUMMYFUNCTION("""COMPUTED_VALUE"""),"COLETORA")</f>
        <v>COLETORA</v>
      </c>
      <c r="M1268" s="5" t="str">
        <f>IFERROR(__xludf.DUMMYFUNCTION("""COMPUTED_VALUE"""),"GRUTA DE LOURDES")</f>
        <v>GRUTA DE LOURDES</v>
      </c>
      <c r="N1268" s="5" t="str">
        <f>IFERROR(__xludf.DUMMYFUNCTION("""COMPUTED_VALUE"""),"CENTRO - BAIRRO")</f>
        <v>CENTRO - BAIRRO</v>
      </c>
      <c r="O1268" s="5" t="str">
        <f>IFERROR(__xludf.DUMMYFUNCTION("""COMPUTED_VALUE"""),"APÓS LAVA JATO CAMELO")</f>
        <v>APÓS LAVA JATO CAMELO</v>
      </c>
      <c r="P1268" s="5" t="str">
        <f>IFERROR(__xludf.DUMMYFUNCTION("""COMPUTED_VALUE"""),"PRIORIDADE BAIXA")</f>
        <v>PRIORIDADE BAIXA</v>
      </c>
      <c r="Q1268" s="5" t="str">
        <f>IFERROR(__xludf.DUMMYFUNCTION("""COMPUTED_VALUE"""),"ADEQUAÇÃO DA CALÇADA (RAMPA DE ACESSIBILIDADE E PISO TÁTIL)")</f>
        <v>ADEQUAÇÃO DA CALÇADA (RAMPA DE ACESSIBILIDADE E PISO TÁTIL)</v>
      </c>
      <c r="R1268" s="5" t="str">
        <f>IFERROR(__xludf.DUMMYFUNCTION("""COMPUTED_VALUE"""),"NENHUMA DAS OPÇÕES")</f>
        <v>NENHUMA DAS OPÇÕES</v>
      </c>
      <c r="S1268" s="5"/>
      <c r="T1268" s="5"/>
      <c r="U1268" s="5"/>
      <c r="V1268" s="9" t="str">
        <f>IFERROR(__xludf.DUMMYFUNCTION("""COMPUTED_VALUE"""),"https://drive.google.com/uc?id=189hblQ1d64xnu6g496sozfRIs9eZCkYv")</f>
        <v>https://drive.google.com/uc?id=189hblQ1d64xnu6g496sozfRIs9eZCkYv</v>
      </c>
      <c r="W1268" s="5" t="str">
        <f>IFERROR(__xludf.DUMMYFUNCTION("""COMPUTED_VALUE"""),"NÃO")</f>
        <v>NÃO</v>
      </c>
      <c r="X1268" s="5" t="str">
        <f>IFERROR(__xludf.DUMMYFUNCTION("""COMPUTED_VALUE"""),"SIM")</f>
        <v>SIM</v>
      </c>
    </row>
    <row r="1269" hidden="1">
      <c r="A1269" s="5">
        <f>IFERROR(__xludf.DUMMYFUNCTION("""COMPUTED_VALUE"""),3.0)</f>
        <v>3</v>
      </c>
      <c r="B1269" s="5" t="str">
        <f>IFERROR(__xludf.DUMMYFUNCTION("""COMPUTED_VALUE"""),"GL003")</f>
        <v>GL003</v>
      </c>
      <c r="C1269" s="5" t="str">
        <f>IFERROR(__xludf.DUMMYFUNCTION("""COMPUTED_VALUE"""),"NÃO POSSUI")</f>
        <v>NÃO POSSUI</v>
      </c>
      <c r="D1269" s="5" t="str">
        <f>IFERROR(__xludf.DUMMYFUNCTION("""COMPUTED_VALUE"""),"SEM PLACA")</f>
        <v>SEM PLACA</v>
      </c>
      <c r="E1269" s="5" t="str">
        <f>IFERROR(__xludf.DUMMYFUNCTION("""COMPUTED_VALUE"""),"SEM BAIA")</f>
        <v>SEM BAIA</v>
      </c>
      <c r="F1269" s="5" t="str">
        <f>IFERROR(__xludf.DUMMYFUNCTION("""COMPUTED_VALUE"""),"NÃO")</f>
        <v>NÃO</v>
      </c>
      <c r="G1269" s="5" t="str">
        <f>IFERROR(__xludf.DUMMYFUNCTION("""COMPUTED_VALUE"""),"NÃO")</f>
        <v>NÃO</v>
      </c>
      <c r="H1269" s="5" t="str">
        <f>IFERROR(__xludf.DUMMYFUNCTION("""COMPUTED_VALUE"""),"PAVIMENTADA")</f>
        <v>PAVIMENTADA</v>
      </c>
      <c r="I1269" s="6" t="str">
        <f>IFERROR(__xludf.DUMMYFUNCTION("""COMPUTED_VALUE"""),"-9.623628")</f>
        <v>-9.623628</v>
      </c>
      <c r="J1269" s="6" t="str">
        <f>IFERROR(__xludf.DUMMYFUNCTION("""COMPUTED_VALUE"""),"-35.730128")</f>
        <v>-35.730128</v>
      </c>
      <c r="K1269" s="5" t="str">
        <f>IFERROR(__xludf.DUMMYFUNCTION("""COMPUTED_VALUE"""),"R. CONSELHEIRO JOSÉ BARBOSA")</f>
        <v>R. CONSELHEIRO JOSÉ BARBOSA</v>
      </c>
      <c r="L1269" s="5" t="str">
        <f>IFERROR(__xludf.DUMMYFUNCTION("""COMPUTED_VALUE"""),"LOCAL")</f>
        <v>LOCAL</v>
      </c>
      <c r="M1269" s="5" t="str">
        <f>IFERROR(__xludf.DUMMYFUNCTION("""COMPUTED_VALUE"""),"GRUTA DE LOURDES")</f>
        <v>GRUTA DE LOURDES</v>
      </c>
      <c r="N1269" s="5" t="str">
        <f>IFERROR(__xludf.DUMMYFUNCTION("""COMPUTED_VALUE"""),"CENTRO - BAIRRO")</f>
        <v>CENTRO - BAIRRO</v>
      </c>
      <c r="O1269" s="5" t="str">
        <f>IFERROR(__xludf.DUMMYFUNCTION("""COMPUTED_VALUE"""),"PRÓXIMO AO CONDOMÍNIO PEDRAS DO FAROL")</f>
        <v>PRÓXIMO AO CONDOMÍNIO PEDRAS DO FAROL</v>
      </c>
      <c r="P1269" s="5" t="str">
        <f>IFERROR(__xludf.DUMMYFUNCTION("""COMPUTED_VALUE"""),"PRIORIDADE BAIXA")</f>
        <v>PRIORIDADE BAIXA</v>
      </c>
      <c r="Q1269" s="5" t="str">
        <f>IFERROR(__xludf.DUMMYFUNCTION("""COMPUTED_VALUE"""),"IMPLANTAR PLACA COM SUPORTE")</f>
        <v>IMPLANTAR PLACA COM SUPORTE</v>
      </c>
      <c r="R1269" s="5" t="str">
        <f>IFERROR(__xludf.DUMMYFUNCTION("""COMPUTED_VALUE"""),"NENHUMA DAS OPÇÕES")</f>
        <v>NENHUMA DAS OPÇÕES</v>
      </c>
      <c r="S1269" s="5"/>
      <c r="T1269" s="5"/>
      <c r="U1269" s="5"/>
      <c r="V1269" s="9" t="str">
        <f>IFERROR(__xludf.DUMMYFUNCTION("""COMPUTED_VALUE"""),"https://drive.google.com/uc?id=1vaC1WuDt74dOshXYSvGpS3TF8sl0X0E5")</f>
        <v>https://drive.google.com/uc?id=1vaC1WuDt74dOshXYSvGpS3TF8sl0X0E5</v>
      </c>
      <c r="W1269" s="5" t="str">
        <f>IFERROR(__xludf.DUMMYFUNCTION("""COMPUTED_VALUE"""),"NÃO")</f>
        <v>NÃO</v>
      </c>
      <c r="X1269" s="5" t="str">
        <f>IFERROR(__xludf.DUMMYFUNCTION("""COMPUTED_VALUE"""),"NÃO SE APLICA")</f>
        <v>NÃO SE APLICA</v>
      </c>
    </row>
    <row r="1270" hidden="1">
      <c r="A1270" s="5">
        <f>IFERROR(__xludf.DUMMYFUNCTION("""COMPUTED_VALUE"""),3.0)</f>
        <v>3</v>
      </c>
      <c r="B1270" s="5" t="str">
        <f>IFERROR(__xludf.DUMMYFUNCTION("""COMPUTED_VALUE"""),"GL004")</f>
        <v>GL004</v>
      </c>
      <c r="C1270" s="5" t="str">
        <f>IFERROR(__xludf.DUMMYFUNCTION("""COMPUTED_VALUE"""),"NÃO POSSUI")</f>
        <v>NÃO POSSUI</v>
      </c>
      <c r="D1270" s="5" t="str">
        <f>IFERROR(__xludf.DUMMYFUNCTION("""COMPUTED_VALUE"""),"COM SUPORTE")</f>
        <v>COM SUPORTE</v>
      </c>
      <c r="E1270" s="5" t="str">
        <f>IFERROR(__xludf.DUMMYFUNCTION("""COMPUTED_VALUE"""),"SEM BAIA")</f>
        <v>SEM BAIA</v>
      </c>
      <c r="F1270" s="5" t="str">
        <f>IFERROR(__xludf.DUMMYFUNCTION("""COMPUTED_VALUE"""),"NÃO")</f>
        <v>NÃO</v>
      </c>
      <c r="G1270" s="5" t="str">
        <f>IFERROR(__xludf.DUMMYFUNCTION("""COMPUTED_VALUE"""),"NÃO")</f>
        <v>NÃO</v>
      </c>
      <c r="H1270" s="5" t="str">
        <f>IFERROR(__xludf.DUMMYFUNCTION("""COMPUTED_VALUE"""),"PAVIMENTADA")</f>
        <v>PAVIMENTADA</v>
      </c>
      <c r="I1270" s="6" t="str">
        <f>IFERROR(__xludf.DUMMYFUNCTION("""COMPUTED_VALUE"""),"-9.625745")</f>
        <v>-9.625745</v>
      </c>
      <c r="J1270" s="6" t="str">
        <f>IFERROR(__xludf.DUMMYFUNCTION("""COMPUTED_VALUE"""),"-35.731557")</f>
        <v>-35.731557</v>
      </c>
      <c r="K1270" s="5" t="str">
        <f>IFERROR(__xludf.DUMMYFUNCTION("""COMPUTED_VALUE"""),"AV. MENDONÇA JÚNIOR")</f>
        <v>AV. MENDONÇA JÚNIOR</v>
      </c>
      <c r="L1270" s="5" t="str">
        <f>IFERROR(__xludf.DUMMYFUNCTION("""COMPUTED_VALUE"""),"COLETORA")</f>
        <v>COLETORA</v>
      </c>
      <c r="M1270" s="5" t="str">
        <f>IFERROR(__xludf.DUMMYFUNCTION("""COMPUTED_VALUE"""),"GRUTA DE LOURDES")</f>
        <v>GRUTA DE LOURDES</v>
      </c>
      <c r="N1270" s="5" t="str">
        <f>IFERROR(__xludf.DUMMYFUNCTION("""COMPUTED_VALUE"""),"BAIRRO - CENTRO")</f>
        <v>BAIRRO - CENTRO</v>
      </c>
      <c r="O1270" s="5" t="str">
        <f>IFERROR(__xludf.DUMMYFUNCTION("""COMPUTED_VALUE"""),"AO LADO DO LIFE VEÍCULOS")</f>
        <v>AO LADO DO LIFE VEÍCULOS</v>
      </c>
      <c r="P1270" s="5" t="str">
        <f>IFERROR(__xludf.DUMMYFUNCTION("""COMPUTED_VALUE"""),"PRIORIDADE BAIXA")</f>
        <v>PRIORIDADE BAIXA</v>
      </c>
      <c r="Q1270" s="5" t="str">
        <f>IFERROR(__xludf.DUMMYFUNCTION("""COMPUTED_VALUE"""),"IMPLANTAR ABRIGO E ADEQUAÇÃO DA CALÇADA (NIVELAMENTO, RAMPA DE ACESSIBILIDADE E PISO TÁTIL)")</f>
        <v>IMPLANTAR ABRIGO E ADEQUAÇÃO DA CALÇADA (NIVELAMENTO, RAMPA DE ACESSIBILIDADE E PISO TÁTIL)</v>
      </c>
      <c r="R1270" s="5" t="str">
        <f>IFERROR(__xludf.DUMMYFUNCTION("""COMPUTED_VALUE"""),"IMPLANTAR ABRIGO")</f>
        <v>IMPLANTAR ABRIGO</v>
      </c>
      <c r="S1270" s="5"/>
      <c r="T1270" s="5"/>
      <c r="U1270" s="5"/>
      <c r="V1270" s="9" t="str">
        <f>IFERROR(__xludf.DUMMYFUNCTION("""COMPUTED_VALUE"""),"https://drive.google.com/uc?id=19Zye7A8HKIsxikOSyV49i5U8ckKxygHd")</f>
        <v>https://drive.google.com/uc?id=19Zye7A8HKIsxikOSyV49i5U8ckKxygHd</v>
      </c>
      <c r="W1270" s="5" t="str">
        <f>IFERROR(__xludf.DUMMYFUNCTION("""COMPUTED_VALUE"""),"NÃO")</f>
        <v>NÃO</v>
      </c>
      <c r="X1270" s="5" t="str">
        <f>IFERROR(__xludf.DUMMYFUNCTION("""COMPUTED_VALUE"""),"NÃO")</f>
        <v>NÃO</v>
      </c>
    </row>
    <row r="1271">
      <c r="A1271" s="5">
        <f>IFERROR(__xludf.DUMMYFUNCTION("""COMPUTED_VALUE"""),3.0)</f>
        <v>3</v>
      </c>
      <c r="B1271" s="5" t="str">
        <f>IFERROR(__xludf.DUMMYFUNCTION("""COMPUTED_VALUE"""),"GL005")</f>
        <v>GL005</v>
      </c>
      <c r="C1271" s="5" t="str">
        <f>IFERROR(__xludf.DUMMYFUNCTION("""COMPUTED_VALUE"""),"ABRIGO METÁLICO PEQUENO PORTE")</f>
        <v>ABRIGO METÁLICO PEQUENO PORTE</v>
      </c>
      <c r="D1271" s="5" t="str">
        <f>IFERROR(__xludf.DUMMYFUNCTION("""COMPUTED_VALUE"""),"FIXADA EM POSTE")</f>
        <v>FIXADA EM POSTE</v>
      </c>
      <c r="E1271" s="5" t="str">
        <f>IFERROR(__xludf.DUMMYFUNCTION("""COMPUTED_VALUE"""),"SEM BAIA")</f>
        <v>SEM BAIA</v>
      </c>
      <c r="F1271" s="5" t="str">
        <f>IFERROR(__xludf.DUMMYFUNCTION("""COMPUTED_VALUE"""),"NÃO")</f>
        <v>NÃO</v>
      </c>
      <c r="G1271" s="5" t="str">
        <f>IFERROR(__xludf.DUMMYFUNCTION("""COMPUTED_VALUE"""),"NÃO")</f>
        <v>NÃO</v>
      </c>
      <c r="H1271" s="5" t="str">
        <f>IFERROR(__xludf.DUMMYFUNCTION("""COMPUTED_VALUE"""),"PAVIMENTADA COM AVARIAS")</f>
        <v>PAVIMENTADA COM AVARIAS</v>
      </c>
      <c r="I1271" s="6" t="str">
        <f>IFERROR(__xludf.DUMMYFUNCTION("""COMPUTED_VALUE"""),"-9.614742")</f>
        <v>-9.614742</v>
      </c>
      <c r="J1271" s="6" t="str">
        <f>IFERROR(__xludf.DUMMYFUNCTION("""COMPUTED_VALUE"""),"-35.734672")</f>
        <v>-35.734672</v>
      </c>
      <c r="K1271" s="5" t="str">
        <f>IFERROR(__xludf.DUMMYFUNCTION("""COMPUTED_VALUE"""),"RUA DR. ABELARDO PONTES LIMA")</f>
        <v>RUA DR. ABELARDO PONTES LIMA</v>
      </c>
      <c r="L1271" s="5" t="str">
        <f>IFERROR(__xludf.DUMMYFUNCTION("""COMPUTED_VALUE"""),"COLETORA")</f>
        <v>COLETORA</v>
      </c>
      <c r="M1271" s="5" t="str">
        <f>IFERROR(__xludf.DUMMYFUNCTION("""COMPUTED_VALUE"""),"GRUTA DE LOURDES")</f>
        <v>GRUTA DE LOURDES</v>
      </c>
      <c r="N1271" s="5" t="str">
        <f>IFERROR(__xludf.DUMMYFUNCTION("""COMPUTED_VALUE"""),"BAIRRO - CENTRO")</f>
        <v>BAIRRO - CENTRO</v>
      </c>
      <c r="O1271" s="5" t="str">
        <f>IFERROR(__xludf.DUMMYFUNCTION("""COMPUTED_VALUE"""),"EM FRENTE AO GRUPO ALVO")</f>
        <v>EM FRENTE AO GRUPO ALVO</v>
      </c>
      <c r="P1271" s="5" t="str">
        <f>IFERROR(__xludf.DUMMYFUNCTION("""COMPUTED_VALUE"""),"PRIORIDADE BAIXA")</f>
        <v>PRIORIDADE BAIXA</v>
      </c>
      <c r="Q1271" s="5" t="str">
        <f>IFERROR(__xludf.DUMMYFUNCTION("""COMPUTED_VALUE"""),"ADEQUAÇÃO DA CALÇADA (NIVELAMENTO, RAMPA DE ACESSIBILIDADE E PISO TÁTIL) E LIMPEZA DA VEGETAÇÃO.")</f>
        <v>ADEQUAÇÃO DA CALÇADA (NIVELAMENTO, RAMPA DE ACESSIBILIDADE E PISO TÁTIL) E LIMPEZA DA VEGETAÇÃO.</v>
      </c>
      <c r="R1271" s="5" t="str">
        <f>IFERROR(__xludf.DUMMYFUNCTION("""COMPUTED_VALUE"""),"NENHUMA DAS OPÇÕES")</f>
        <v>NENHUMA DAS OPÇÕES</v>
      </c>
      <c r="S1271" s="5"/>
      <c r="T1271" s="5"/>
      <c r="U1271" s="5"/>
      <c r="V1271" s="9" t="str">
        <f>IFERROR(__xludf.DUMMYFUNCTION("""COMPUTED_VALUE"""),"https://drive.google.com/file/d/1hK8s24gTz1MJkXiRi0kaEL0gQeRdguIW/view?usp=share_link")</f>
        <v>https://drive.google.com/file/d/1hK8s24gTz1MJkXiRi0kaEL0gQeRdguIW/view?usp=share_link</v>
      </c>
      <c r="W1271" s="5" t="str">
        <f>IFERROR(__xludf.DUMMYFUNCTION("""COMPUTED_VALUE"""),"NÃO")</f>
        <v>NÃO</v>
      </c>
      <c r="X1271" s="5" t="str">
        <f>IFERROR(__xludf.DUMMYFUNCTION("""COMPUTED_VALUE"""),"NÃO SE APLICA")</f>
        <v>NÃO SE APLICA</v>
      </c>
    </row>
    <row r="1272" hidden="1">
      <c r="A1272" s="5">
        <f>IFERROR(__xludf.DUMMYFUNCTION("""COMPUTED_VALUE"""),3.0)</f>
        <v>3</v>
      </c>
      <c r="B1272" s="5" t="str">
        <f>IFERROR(__xludf.DUMMYFUNCTION("""COMPUTED_VALUE"""),"GL006")</f>
        <v>GL006</v>
      </c>
      <c r="C1272" s="5" t="str">
        <f>IFERROR(__xludf.DUMMYFUNCTION("""COMPUTED_VALUE"""),"NÃO POSSUI")</f>
        <v>NÃO POSSUI</v>
      </c>
      <c r="D1272" s="5" t="str">
        <f>IFERROR(__xludf.DUMMYFUNCTION("""COMPUTED_VALUE"""),"COM SUPORTE")</f>
        <v>COM SUPORTE</v>
      </c>
      <c r="E1272" s="5" t="str">
        <f>IFERROR(__xludf.DUMMYFUNCTION("""COMPUTED_VALUE"""),"SEM BAIA")</f>
        <v>SEM BAIA</v>
      </c>
      <c r="F1272" s="5" t="str">
        <f>IFERROR(__xludf.DUMMYFUNCTION("""COMPUTED_VALUE"""),"NÃO")</f>
        <v>NÃO</v>
      </c>
      <c r="G1272" s="5" t="str">
        <f>IFERROR(__xludf.DUMMYFUNCTION("""COMPUTED_VALUE"""),"NÃO")</f>
        <v>NÃO</v>
      </c>
      <c r="H1272" s="5" t="str">
        <f>IFERROR(__xludf.DUMMYFUNCTION("""COMPUTED_VALUE"""),"PAVIMENTADA COM AVARIAS")</f>
        <v>PAVIMENTADA COM AVARIAS</v>
      </c>
      <c r="I1272" s="6" t="str">
        <f>IFERROR(__xludf.DUMMYFUNCTION("""COMPUTED_VALUE"""),"-9.608145")</f>
        <v>-9.608145</v>
      </c>
      <c r="J1272" s="6" t="str">
        <f>IFERROR(__xludf.DUMMYFUNCTION("""COMPUTED_VALUE"""),"-35.737715")</f>
        <v>-35.737715</v>
      </c>
      <c r="K1272" s="5" t="str">
        <f>IFERROR(__xludf.DUMMYFUNCTION("""COMPUTED_VALUE"""),"AV. EMPRESÁRIO VALENTIM SANTOS DINIZ")</f>
        <v>AV. EMPRESÁRIO VALENTIM SANTOS DINIZ</v>
      </c>
      <c r="L1272" s="5" t="str">
        <f>IFERROR(__xludf.DUMMYFUNCTION("""COMPUTED_VALUE"""),"COLETORA")</f>
        <v>COLETORA</v>
      </c>
      <c r="M1272" s="5" t="str">
        <f>IFERROR(__xludf.DUMMYFUNCTION("""COMPUTED_VALUE"""),"GRUTA DE LOURDES")</f>
        <v>GRUTA DE LOURDES</v>
      </c>
      <c r="N1272" s="5" t="str">
        <f>IFERROR(__xludf.DUMMYFUNCTION("""COMPUTED_VALUE"""),"BAIRRO - CENTRO")</f>
        <v>BAIRRO - CENTRO</v>
      </c>
      <c r="O1272" s="5"/>
      <c r="P1272" s="5" t="str">
        <f>IFERROR(__xludf.DUMMYFUNCTION("""COMPUTED_VALUE"""),"PRIORIDADE BAIXA")</f>
        <v>PRIORIDADE BAIXA</v>
      </c>
      <c r="Q1272" s="5" t="str">
        <f>IFERROR(__xludf.DUMMYFUNCTION("""COMPUTED_VALUE"""),"ADEQUAÇÃO DA CALÇADA (RAMPA DE ACESSIBILIDADE E PISO TÁTIL).")</f>
        <v>ADEQUAÇÃO DA CALÇADA (RAMPA DE ACESSIBILIDADE E PISO TÁTIL).</v>
      </c>
      <c r="R1272" s="5" t="str">
        <f>IFERROR(__xludf.DUMMYFUNCTION("""COMPUTED_VALUE"""),"NENHUMA DAS OPÇÕES")</f>
        <v>NENHUMA DAS OPÇÕES</v>
      </c>
      <c r="S1272" s="5"/>
      <c r="T1272" s="5"/>
      <c r="U1272" s="5"/>
      <c r="V1272" s="9" t="str">
        <f>IFERROR(__xludf.DUMMYFUNCTION("""COMPUTED_VALUE"""),"https://drive.google.com/uc?id=192s-7yNdUly8FXn_2JRm8OrEJO335ZhO")</f>
        <v>https://drive.google.com/uc?id=192s-7yNdUly8FXn_2JRm8OrEJO335ZhO</v>
      </c>
      <c r="W1272" s="5" t="str">
        <f>IFERROR(__xludf.DUMMYFUNCTION("""COMPUTED_VALUE"""),"NÃO")</f>
        <v>NÃO</v>
      </c>
      <c r="X1272" s="5" t="str">
        <f>IFERROR(__xludf.DUMMYFUNCTION("""COMPUTED_VALUE"""),"NÃO SE APLICA")</f>
        <v>NÃO SE APLICA</v>
      </c>
    </row>
    <row r="1273">
      <c r="A1273" s="5">
        <f>IFERROR(__xludf.DUMMYFUNCTION("""COMPUTED_VALUE"""),3.0)</f>
        <v>3</v>
      </c>
      <c r="B1273" s="5" t="str">
        <f>IFERROR(__xludf.DUMMYFUNCTION("""COMPUTED_VALUE"""),"GL007")</f>
        <v>GL007</v>
      </c>
      <c r="C1273" s="5" t="str">
        <f>IFERROR(__xludf.DUMMYFUNCTION("""COMPUTED_VALUE"""),"ABRIGO CONCRETO")</f>
        <v>ABRIGO CONCRETO</v>
      </c>
      <c r="D1273" s="5" t="str">
        <f>IFERROR(__xludf.DUMMYFUNCTION("""COMPUTED_VALUE"""),"SEM PLACA")</f>
        <v>SEM PLACA</v>
      </c>
      <c r="E1273" s="5" t="str">
        <f>IFERROR(__xludf.DUMMYFUNCTION("""COMPUTED_VALUE"""),"SEM BAIA")</f>
        <v>SEM BAIA</v>
      </c>
      <c r="F1273" s="5" t="str">
        <f>IFERROR(__xludf.DUMMYFUNCTION("""COMPUTED_VALUE"""),"NÃO")</f>
        <v>NÃO</v>
      </c>
      <c r="G1273" s="5" t="str">
        <f>IFERROR(__xludf.DUMMYFUNCTION("""COMPUTED_VALUE"""),"NÃO")</f>
        <v>NÃO</v>
      </c>
      <c r="H1273" s="5" t="str">
        <f>IFERROR(__xludf.DUMMYFUNCTION("""COMPUTED_VALUE"""),"PAVIMENTADA")</f>
        <v>PAVIMENTADA</v>
      </c>
      <c r="I1273" s="6" t="str">
        <f>IFERROR(__xludf.DUMMYFUNCTION("""COMPUTED_VALUE"""),"-9.616223")</f>
        <v>-9.616223</v>
      </c>
      <c r="J1273" s="6" t="str">
        <f>IFERROR(__xludf.DUMMYFUNCTION("""COMPUTED_VALUE"""),"-35.736670")</f>
        <v>-35.736670</v>
      </c>
      <c r="K1273" s="5" t="str">
        <f>IFERROR(__xludf.DUMMYFUNCTION("""COMPUTED_VALUE"""),"R. ARTUR VITAL DA SILVA")</f>
        <v>R. ARTUR VITAL DA SILVA</v>
      </c>
      <c r="L1273" s="5" t="str">
        <f>IFERROR(__xludf.DUMMYFUNCTION("""COMPUTED_VALUE"""),"COLETORA")</f>
        <v>COLETORA</v>
      </c>
      <c r="M1273" s="5" t="str">
        <f>IFERROR(__xludf.DUMMYFUNCTION("""COMPUTED_VALUE"""),"GRUTA DE LOURDES")</f>
        <v>GRUTA DE LOURDES</v>
      </c>
      <c r="N1273" s="5" t="str">
        <f>IFERROR(__xludf.DUMMYFUNCTION("""COMPUTED_VALUE"""),"CENTRO - BAIRRO")</f>
        <v>CENTRO - BAIRRO</v>
      </c>
      <c r="O1273" s="5" t="str">
        <f>IFERROR(__xludf.DUMMYFUNCTION("""COMPUTED_VALUE"""),"AO LADO DO STUDIO MISLYA MATIAS")</f>
        <v>AO LADO DO STUDIO MISLYA MATIAS</v>
      </c>
      <c r="P1273" s="5" t="str">
        <f>IFERROR(__xludf.DUMMYFUNCTION("""COMPUTED_VALUE"""),"PRIORIDADE BAIXA")</f>
        <v>PRIORIDADE BAIXA</v>
      </c>
      <c r="Q1273" s="5" t="str">
        <f>IFERROR(__xludf.DUMMYFUNCTION("""COMPUTED_VALUE"""),"ADEQUAÇÃO DA CALÇADA (RAMPA DE ACESSIBILIDADE E PISO TÁTIL).")</f>
        <v>ADEQUAÇÃO DA CALÇADA (RAMPA DE ACESSIBILIDADE E PISO TÁTIL).</v>
      </c>
      <c r="R1273" s="5" t="str">
        <f>IFERROR(__xludf.DUMMYFUNCTION("""COMPUTED_VALUE"""),"SUBSTITUIR ABRIGO")</f>
        <v>SUBSTITUIR ABRIGO</v>
      </c>
      <c r="S1273" s="5"/>
      <c r="T1273" s="5"/>
      <c r="U1273" s="5"/>
      <c r="V1273" s="9" t="str">
        <f>IFERROR(__xludf.DUMMYFUNCTION("""COMPUTED_VALUE"""),"https://drive.google.com/uc?id=1kwnf9uPIvvsM-9okkjiQuhB8uE_S-xXL")</f>
        <v>https://drive.google.com/uc?id=1kwnf9uPIvvsM-9okkjiQuhB8uE_S-xXL</v>
      </c>
      <c r="W1273" s="5" t="str">
        <f>IFERROR(__xludf.DUMMYFUNCTION("""COMPUTED_VALUE"""),"NÃO")</f>
        <v>NÃO</v>
      </c>
      <c r="X1273" s="5" t="str">
        <f>IFERROR(__xludf.DUMMYFUNCTION("""COMPUTED_VALUE"""),"NÃO SE APLICA")</f>
        <v>NÃO SE APLICA</v>
      </c>
    </row>
    <row r="1274" hidden="1">
      <c r="A1274" s="5">
        <f>IFERROR(__xludf.DUMMYFUNCTION("""COMPUTED_VALUE"""),3.0)</f>
        <v>3</v>
      </c>
      <c r="B1274" s="5" t="str">
        <f>IFERROR(__xludf.DUMMYFUNCTION("""COMPUTED_VALUE"""),"GL008")</f>
        <v>GL008</v>
      </c>
      <c r="C1274" s="5" t="str">
        <f>IFERROR(__xludf.DUMMYFUNCTION("""COMPUTED_VALUE"""),"NÃO POSSUI")</f>
        <v>NÃO POSSUI</v>
      </c>
      <c r="D1274" s="5" t="str">
        <f>IFERROR(__xludf.DUMMYFUNCTION("""COMPUTED_VALUE"""),"FIXADA EM POSTE")</f>
        <v>FIXADA EM POSTE</v>
      </c>
      <c r="E1274" s="5" t="str">
        <f>IFERROR(__xludf.DUMMYFUNCTION("""COMPUTED_VALUE"""),"SEM BAIA")</f>
        <v>SEM BAIA</v>
      </c>
      <c r="F1274" s="5" t="str">
        <f>IFERROR(__xludf.DUMMYFUNCTION("""COMPUTED_VALUE"""),"NÃO")</f>
        <v>NÃO</v>
      </c>
      <c r="G1274" s="5" t="str">
        <f>IFERROR(__xludf.DUMMYFUNCTION("""COMPUTED_VALUE"""),"NÃO")</f>
        <v>NÃO</v>
      </c>
      <c r="H1274" s="5" t="str">
        <f>IFERROR(__xludf.DUMMYFUNCTION("""COMPUTED_VALUE"""),"PAVIMENTADA")</f>
        <v>PAVIMENTADA</v>
      </c>
      <c r="I1274" s="6" t="str">
        <f>IFERROR(__xludf.DUMMYFUNCTION("""COMPUTED_VALUE"""),"-9.627855")</f>
        <v>-9.627855</v>
      </c>
      <c r="J1274" s="6" t="str">
        <f>IFERROR(__xludf.DUMMYFUNCTION("""COMPUTED_VALUE"""),"-35.736552 ")</f>
        <v>-35.736552 </v>
      </c>
      <c r="K1274" s="5" t="str">
        <f>IFERROR(__xludf.DUMMYFUNCTION("""COMPUTED_VALUE"""),"AV. MENDONÇA JÚNIOR")</f>
        <v>AV. MENDONÇA JÚNIOR</v>
      </c>
      <c r="L1274" s="5" t="str">
        <f>IFERROR(__xludf.DUMMYFUNCTION("""COMPUTED_VALUE"""),"COLETORA")</f>
        <v>COLETORA</v>
      </c>
      <c r="M1274" s="5" t="str">
        <f>IFERROR(__xludf.DUMMYFUNCTION("""COMPUTED_VALUE"""),"GRUTA DE LOURDES")</f>
        <v>GRUTA DE LOURDES</v>
      </c>
      <c r="N1274" s="5" t="str">
        <f>IFERROR(__xludf.DUMMYFUNCTION("""COMPUTED_VALUE"""),"BAIRRO - CENTRO")</f>
        <v>BAIRRO - CENTRO</v>
      </c>
      <c r="O1274" s="5" t="str">
        <f>IFERROR(__xludf.DUMMYFUNCTION("""COMPUTED_VALUE"""),"AO LADO DO CIEE")</f>
        <v>AO LADO DO CIEE</v>
      </c>
      <c r="P1274" s="5" t="str">
        <f>IFERROR(__xludf.DUMMYFUNCTION("""COMPUTED_VALUE"""),"PRIORIDADE BAIXA")</f>
        <v>PRIORIDADE BAIXA</v>
      </c>
      <c r="Q1274" s="5" t="str">
        <f>IFERROR(__xludf.DUMMYFUNCTION("""COMPUTED_VALUE"""),"ADEQUAÇÃO DA CALÇADA (RAMPA DE ACESSIBILIDADE E PISO TÁTIL)")</f>
        <v>ADEQUAÇÃO DA CALÇADA (RAMPA DE ACESSIBILIDADE E PISO TÁTIL)</v>
      </c>
      <c r="R1274" s="5" t="str">
        <f>IFERROR(__xludf.DUMMYFUNCTION("""COMPUTED_VALUE"""),"NENHUMA DAS OPÇÕES")</f>
        <v>NENHUMA DAS OPÇÕES</v>
      </c>
      <c r="S1274" s="5"/>
      <c r="T1274" s="5"/>
      <c r="U1274" s="5"/>
      <c r="V1274" s="9" t="str">
        <f>IFERROR(__xludf.DUMMYFUNCTION("""COMPUTED_VALUE"""),"https://drive.google.com/uc?id=1yM0NzlmY_3R1GSKNZl2zenjBqLpi28cD")</f>
        <v>https://drive.google.com/uc?id=1yM0NzlmY_3R1GSKNZl2zenjBqLpi28cD</v>
      </c>
      <c r="W1274" s="5" t="str">
        <f>IFERROR(__xludf.DUMMYFUNCTION("""COMPUTED_VALUE"""),"NÃO")</f>
        <v>NÃO</v>
      </c>
      <c r="X1274" s="5" t="str">
        <f>IFERROR(__xludf.DUMMYFUNCTION("""COMPUTED_VALUE"""),"SIM")</f>
        <v>SIM</v>
      </c>
    </row>
    <row r="1275" hidden="1">
      <c r="A1275" s="5">
        <f>IFERROR(__xludf.DUMMYFUNCTION("""COMPUTED_VALUE"""),3.0)</f>
        <v>3</v>
      </c>
      <c r="B1275" s="5" t="str">
        <f>IFERROR(__xludf.DUMMYFUNCTION("""COMPUTED_VALUE"""),"GL009")</f>
        <v>GL009</v>
      </c>
      <c r="C1275" s="5" t="str">
        <f>IFERROR(__xludf.DUMMYFUNCTION("""COMPUTED_VALUE"""),"NÃO POSSUI")</f>
        <v>NÃO POSSUI</v>
      </c>
      <c r="D1275" s="5" t="str">
        <f>IFERROR(__xludf.DUMMYFUNCTION("""COMPUTED_VALUE"""),"COM SUPORTE")</f>
        <v>COM SUPORTE</v>
      </c>
      <c r="E1275" s="5" t="str">
        <f>IFERROR(__xludf.DUMMYFUNCTION("""COMPUTED_VALUE"""),"SEM BAIA")</f>
        <v>SEM BAIA</v>
      </c>
      <c r="F1275" s="5" t="str">
        <f>IFERROR(__xludf.DUMMYFUNCTION("""COMPUTED_VALUE"""),"NÃO")</f>
        <v>NÃO</v>
      </c>
      <c r="G1275" s="5" t="str">
        <f>IFERROR(__xludf.DUMMYFUNCTION("""COMPUTED_VALUE"""),"NÃO")</f>
        <v>NÃO</v>
      </c>
      <c r="H1275" s="5" t="str">
        <f>IFERROR(__xludf.DUMMYFUNCTION("""COMPUTED_VALUE"""),"PAVIMENTADA")</f>
        <v>PAVIMENTADA</v>
      </c>
      <c r="I1275" s="6" t="str">
        <f>IFERROR(__xludf.DUMMYFUNCTION("""COMPUTED_VALUE"""),"-9.627373")</f>
        <v>-9.627373</v>
      </c>
      <c r="J1275" s="6" t="str">
        <f>IFERROR(__xludf.DUMMYFUNCTION("""COMPUTED_VALUE"""),"-35.735183")</f>
        <v>-35.735183</v>
      </c>
      <c r="K1275" s="5" t="str">
        <f>IFERROR(__xludf.DUMMYFUNCTION("""COMPUTED_VALUE"""),"AV. MENDONÇA JÚNIOR")</f>
        <v>AV. MENDONÇA JÚNIOR</v>
      </c>
      <c r="L1275" s="5" t="str">
        <f>IFERROR(__xludf.DUMMYFUNCTION("""COMPUTED_VALUE"""),"COLETORA")</f>
        <v>COLETORA</v>
      </c>
      <c r="M1275" s="5" t="str">
        <f>IFERROR(__xludf.DUMMYFUNCTION("""COMPUTED_VALUE"""),"GRUTA DE LOURDES")</f>
        <v>GRUTA DE LOURDES</v>
      </c>
      <c r="N1275" s="5" t="str">
        <f>IFERROR(__xludf.DUMMYFUNCTION("""COMPUTED_VALUE"""),"CENTRO - BAIRRO")</f>
        <v>CENTRO - BAIRRO</v>
      </c>
      <c r="O1275" s="5" t="str">
        <f>IFERROR(__xludf.DUMMYFUNCTION("""COMPUTED_VALUE"""),"PRÓXIMO À PANIFICAÇÃO ALMEIDA")</f>
        <v>PRÓXIMO À PANIFICAÇÃO ALMEIDA</v>
      </c>
      <c r="P1275" s="5" t="str">
        <f>IFERROR(__xludf.DUMMYFUNCTION("""COMPUTED_VALUE"""),"PRIORIDADE BAIXA")</f>
        <v>PRIORIDADE BAIXA</v>
      </c>
      <c r="Q1275" s="5" t="str">
        <f>IFERROR(__xludf.DUMMYFUNCTION("""COMPUTED_VALUE"""),"IMPLANTAR ABRIGO E ADEQUAÇÃO DA CALÇADA (NIVELAMENTO, RAMPA DE ACESSIBILIDADE E PISO TÁTIL)")</f>
        <v>IMPLANTAR ABRIGO E ADEQUAÇÃO DA CALÇADA (NIVELAMENTO, RAMPA DE ACESSIBILIDADE E PISO TÁTIL)</v>
      </c>
      <c r="R1275" s="5" t="str">
        <f>IFERROR(__xludf.DUMMYFUNCTION("""COMPUTED_VALUE"""),"IMPLANTAR ABRIGO")</f>
        <v>IMPLANTAR ABRIGO</v>
      </c>
      <c r="S1275" s="5"/>
      <c r="T1275" s="5"/>
      <c r="U1275" s="5"/>
      <c r="V1275" s="9" t="str">
        <f>IFERROR(__xludf.DUMMYFUNCTION("""COMPUTED_VALUE"""),"https://drive.google.com/uc?id=1Y7eOR6Xkow1OjJUd6vbz0qiH6DTNuG7p")</f>
        <v>https://drive.google.com/uc?id=1Y7eOR6Xkow1OjJUd6vbz0qiH6DTNuG7p</v>
      </c>
      <c r="W1275" s="5" t="str">
        <f>IFERROR(__xludf.DUMMYFUNCTION("""COMPUTED_VALUE"""),"NÃO")</f>
        <v>NÃO</v>
      </c>
      <c r="X1275" s="5" t="str">
        <f>IFERROR(__xludf.DUMMYFUNCTION("""COMPUTED_VALUE"""),"NÃO")</f>
        <v>NÃO</v>
      </c>
    </row>
    <row r="1276" hidden="1">
      <c r="A1276" s="5">
        <f>IFERROR(__xludf.DUMMYFUNCTION("""COMPUTED_VALUE"""),3.0)</f>
        <v>3</v>
      </c>
      <c r="B1276" s="5" t="str">
        <f>IFERROR(__xludf.DUMMYFUNCTION("""COMPUTED_VALUE"""),"GL010")</f>
        <v>GL010</v>
      </c>
      <c r="C1276" s="5" t="str">
        <f>IFERROR(__xludf.DUMMYFUNCTION("""COMPUTED_VALUE"""),"NÃO POSSUI")</f>
        <v>NÃO POSSUI</v>
      </c>
      <c r="D1276" s="5" t="str">
        <f>IFERROR(__xludf.DUMMYFUNCTION("""COMPUTED_VALUE"""),"FIXADA EM POSTE")</f>
        <v>FIXADA EM POSTE</v>
      </c>
      <c r="E1276" s="5" t="str">
        <f>IFERROR(__xludf.DUMMYFUNCTION("""COMPUTED_VALUE"""),"SEM BAIA")</f>
        <v>SEM BAIA</v>
      </c>
      <c r="F1276" s="5" t="str">
        <f>IFERROR(__xludf.DUMMYFUNCTION("""COMPUTED_VALUE"""),"SIM")</f>
        <v>SIM</v>
      </c>
      <c r="G1276" s="5" t="str">
        <f>IFERROR(__xludf.DUMMYFUNCTION("""COMPUTED_VALUE"""),"NÃO")</f>
        <v>NÃO</v>
      </c>
      <c r="H1276" s="5" t="str">
        <f>IFERROR(__xludf.DUMMYFUNCTION("""COMPUTED_VALUE"""),"PAVIMENTADA")</f>
        <v>PAVIMENTADA</v>
      </c>
      <c r="I1276" s="6" t="str">
        <f>IFERROR(__xludf.DUMMYFUNCTION("""COMPUTED_VALUE"""),"-9.619587")</f>
        <v>-9.619587</v>
      </c>
      <c r="J1276" s="6" t="str">
        <f>IFERROR(__xludf.DUMMYFUNCTION("""COMPUTED_VALUE"""),"-35.734705")</f>
        <v>-35.734705</v>
      </c>
      <c r="K1276" s="5" t="str">
        <f>IFERROR(__xludf.DUMMYFUNCTION("""COMPUTED_VALUE"""),"R. HUGO CORRÊA PAES")</f>
        <v>R. HUGO CORRÊA PAES</v>
      </c>
      <c r="L1276" s="5" t="str">
        <f>IFERROR(__xludf.DUMMYFUNCTION("""COMPUTED_VALUE"""),"LOCAL")</f>
        <v>LOCAL</v>
      </c>
      <c r="M1276" s="5" t="str">
        <f>IFERROR(__xludf.DUMMYFUNCTION("""COMPUTED_VALUE"""),"GRUTA DE LOURDES")</f>
        <v>GRUTA DE LOURDES</v>
      </c>
      <c r="N1276" s="5" t="str">
        <f>IFERROR(__xludf.DUMMYFUNCTION("""COMPUTED_VALUE"""),"BAIRRO - CENTRO")</f>
        <v>BAIRRO - CENTRO</v>
      </c>
      <c r="O1276" s="5" t="str">
        <f>IFERROR(__xludf.DUMMYFUNCTION("""COMPUTED_VALUE"""),"EM FRENTE AO ARTE VIDA")</f>
        <v>EM FRENTE AO ARTE VIDA</v>
      </c>
      <c r="P1276" s="5" t="str">
        <f>IFERROR(__xludf.DUMMYFUNCTION("""COMPUTED_VALUE"""),"PRIORIDADE BAIXA")</f>
        <v>PRIORIDADE BAIXA</v>
      </c>
      <c r="Q1276" s="5" t="str">
        <f>IFERROR(__xludf.DUMMYFUNCTION("""COMPUTED_VALUE"""),"ADEQUAÇÃO DA CALÇADA (RAMPA DE ACESSIBILIDADE E PISO TÁTIL)")</f>
        <v>ADEQUAÇÃO DA CALÇADA (RAMPA DE ACESSIBILIDADE E PISO TÁTIL)</v>
      </c>
      <c r="R1276" s="5" t="str">
        <f>IFERROR(__xludf.DUMMYFUNCTION("""COMPUTED_VALUE"""),"NENHUMA DAS OPÇÕES")</f>
        <v>NENHUMA DAS OPÇÕES</v>
      </c>
      <c r="S1276" s="5"/>
      <c r="T1276" s="5"/>
      <c r="U1276" s="5"/>
      <c r="V1276" s="9" t="str">
        <f>IFERROR(__xludf.DUMMYFUNCTION("""COMPUTED_VALUE"""),"https://drive.google.com/uc?id=1TLf-gnQ1vmgfq6-ZVk9uvnRsW2iVBLTr")</f>
        <v>https://drive.google.com/uc?id=1TLf-gnQ1vmgfq6-ZVk9uvnRsW2iVBLTr</v>
      </c>
      <c r="W1276" s="5" t="str">
        <f>IFERROR(__xludf.DUMMYFUNCTION("""COMPUTED_VALUE"""),"NÃO")</f>
        <v>NÃO</v>
      </c>
      <c r="X1276" s="5" t="str">
        <f>IFERROR(__xludf.DUMMYFUNCTION("""COMPUTED_VALUE"""),"NÃO SE APLICA")</f>
        <v>NÃO SE APLICA</v>
      </c>
    </row>
    <row r="1277" hidden="1">
      <c r="A1277" s="5">
        <f>IFERROR(__xludf.DUMMYFUNCTION("""COMPUTED_VALUE"""),3.0)</f>
        <v>3</v>
      </c>
      <c r="B1277" s="5" t="str">
        <f>IFERROR(__xludf.DUMMYFUNCTION("""COMPUTED_VALUE"""),"GL011")</f>
        <v>GL011</v>
      </c>
      <c r="C1277" s="5" t="str">
        <f>IFERROR(__xludf.DUMMYFUNCTION("""COMPUTED_VALUE"""),"NÃO POSSUI")</f>
        <v>NÃO POSSUI</v>
      </c>
      <c r="D1277" s="5" t="str">
        <f>IFERROR(__xludf.DUMMYFUNCTION("""COMPUTED_VALUE"""),"SEM PLACA")</f>
        <v>SEM PLACA</v>
      </c>
      <c r="E1277" s="5" t="str">
        <f>IFERROR(__xludf.DUMMYFUNCTION("""COMPUTED_VALUE"""),"SEM BAIA")</f>
        <v>SEM BAIA</v>
      </c>
      <c r="F1277" s="5" t="str">
        <f>IFERROR(__xludf.DUMMYFUNCTION("""COMPUTED_VALUE"""),"NÃO")</f>
        <v>NÃO</v>
      </c>
      <c r="G1277" s="5" t="str">
        <f>IFERROR(__xludf.DUMMYFUNCTION("""COMPUTED_VALUE"""),"NÃO")</f>
        <v>NÃO</v>
      </c>
      <c r="H1277" s="5" t="str">
        <f>IFERROR(__xludf.DUMMYFUNCTION("""COMPUTED_VALUE"""),"PAVIMENTADA")</f>
        <v>PAVIMENTADA</v>
      </c>
      <c r="I1277" s="6" t="str">
        <f>IFERROR(__xludf.DUMMYFUNCTION("""COMPUTED_VALUE"""),"-9.618125")</f>
        <v>-9.618125</v>
      </c>
      <c r="J1277" s="6" t="str">
        <f>IFERROR(__xludf.DUMMYFUNCTION("""COMPUTED_VALUE"""),"-35.738712 ")</f>
        <v>-35.738712 </v>
      </c>
      <c r="K1277" s="5" t="str">
        <f>IFERROR(__xludf.DUMMYFUNCTION("""COMPUTED_VALUE"""),"R. DR. SEBASTIÃO DA HORA")</f>
        <v>R. DR. SEBASTIÃO DA HORA</v>
      </c>
      <c r="L1277" s="5" t="str">
        <f>IFERROR(__xludf.DUMMYFUNCTION("""COMPUTED_VALUE"""),"COLETORA")</f>
        <v>COLETORA</v>
      </c>
      <c r="M1277" s="5" t="str">
        <f>IFERROR(__xludf.DUMMYFUNCTION("""COMPUTED_VALUE"""),"GRUTA DE LOURDES")</f>
        <v>GRUTA DE LOURDES</v>
      </c>
      <c r="N1277" s="5" t="str">
        <f>IFERROR(__xludf.DUMMYFUNCTION("""COMPUTED_VALUE"""),"BAIRRO - CENTRO")</f>
        <v>BAIRRO - CENTRO</v>
      </c>
      <c r="O1277" s="5" t="str">
        <f>IFERROR(__xludf.DUMMYFUNCTION("""COMPUTED_VALUE"""),"EM FRENTE À PROATIVA")</f>
        <v>EM FRENTE À PROATIVA</v>
      </c>
      <c r="P1277" s="5" t="str">
        <f>IFERROR(__xludf.DUMMYFUNCTION("""COMPUTED_VALUE"""),"PRIORIDADE BAIXA")</f>
        <v>PRIORIDADE BAIXA</v>
      </c>
      <c r="Q1277" s="5"/>
      <c r="R1277" s="5" t="str">
        <f>IFERROR(__xludf.DUMMYFUNCTION("""COMPUTED_VALUE"""),"NENHUMA DAS OPÇÕES")</f>
        <v>NENHUMA DAS OPÇÕES</v>
      </c>
      <c r="S1277" s="5"/>
      <c r="T1277" s="5"/>
      <c r="U1277" s="5"/>
      <c r="V1277" s="9" t="str">
        <f>IFERROR(__xludf.DUMMYFUNCTION("""COMPUTED_VALUE"""),"https://drive.google.com/file/d/1I5csyvzXuXrpGPth7HT46vfGfEJyFXzw/view?usp=share_link")</f>
        <v>https://drive.google.com/file/d/1I5csyvzXuXrpGPth7HT46vfGfEJyFXzw/view?usp=share_link</v>
      </c>
      <c r="W1277" s="5" t="str">
        <f>IFERROR(__xludf.DUMMYFUNCTION("""COMPUTED_VALUE"""),"NÃO")</f>
        <v>NÃO</v>
      </c>
      <c r="X1277" s="5" t="str">
        <f>IFERROR(__xludf.DUMMYFUNCTION("""COMPUTED_VALUE"""),"NÃO")</f>
        <v>NÃO</v>
      </c>
    </row>
    <row r="1278" hidden="1">
      <c r="A1278" s="5">
        <f>IFERROR(__xludf.DUMMYFUNCTION("""COMPUTED_VALUE"""),3.0)</f>
        <v>3</v>
      </c>
      <c r="B1278" s="5" t="str">
        <f>IFERROR(__xludf.DUMMYFUNCTION("""COMPUTED_VALUE"""),"GL012")</f>
        <v>GL012</v>
      </c>
      <c r="C1278" s="5" t="str">
        <f>IFERROR(__xludf.DUMMYFUNCTION("""COMPUTED_VALUE"""),"NÃO POSSUI")</f>
        <v>NÃO POSSUI</v>
      </c>
      <c r="D1278" s="5" t="str">
        <f>IFERROR(__xludf.DUMMYFUNCTION("""COMPUTED_VALUE"""),"SEM PLACA")</f>
        <v>SEM PLACA</v>
      </c>
      <c r="E1278" s="5" t="str">
        <f>IFERROR(__xludf.DUMMYFUNCTION("""COMPUTED_VALUE"""),"SEM BAIA")</f>
        <v>SEM BAIA</v>
      </c>
      <c r="F1278" s="5" t="str">
        <f>IFERROR(__xludf.DUMMYFUNCTION("""COMPUTED_VALUE"""),"NÃO")</f>
        <v>NÃO</v>
      </c>
      <c r="G1278" s="5" t="str">
        <f>IFERROR(__xludf.DUMMYFUNCTION("""COMPUTED_VALUE"""),"NÃO")</f>
        <v>NÃO</v>
      </c>
      <c r="H1278" s="5" t="str">
        <f>IFERROR(__xludf.DUMMYFUNCTION("""COMPUTED_VALUE"""),"PAVIMENTADA COM AVARIAS")</f>
        <v>PAVIMENTADA COM AVARIAS</v>
      </c>
      <c r="I1278" s="6" t="str">
        <f>IFERROR(__xludf.DUMMYFUNCTION("""COMPUTED_VALUE"""),"-9.619437")</f>
        <v>-9.619437</v>
      </c>
      <c r="J1278" s="6" t="str">
        <f>IFERROR(__xludf.DUMMYFUNCTION("""COMPUTED_VALUE"""),"-35.737145 ")</f>
        <v>-35.737145 </v>
      </c>
      <c r="K1278" s="5" t="str">
        <f>IFERROR(__xludf.DUMMYFUNCTION("""COMPUTED_VALUE"""),"R. ELAINE LIMA ")</f>
        <v>R. ELAINE LIMA </v>
      </c>
      <c r="L1278" s="5" t="str">
        <f>IFERROR(__xludf.DUMMYFUNCTION("""COMPUTED_VALUE"""),"LOCAL")</f>
        <v>LOCAL</v>
      </c>
      <c r="M1278" s="5" t="str">
        <f>IFERROR(__xludf.DUMMYFUNCTION("""COMPUTED_VALUE"""),"GRUTA DE LOURDES")</f>
        <v>GRUTA DE LOURDES</v>
      </c>
      <c r="N1278" s="5" t="str">
        <f>IFERROR(__xludf.DUMMYFUNCTION("""COMPUTED_VALUE"""),"CENTRO - BAIRRO")</f>
        <v>CENTRO - BAIRRO</v>
      </c>
      <c r="O1278" s="5" t="str">
        <f>IFERROR(__xludf.DUMMYFUNCTION("""COMPUTED_VALUE"""),"R. ELAINE LIMA ")</f>
        <v>R. ELAINE LIMA </v>
      </c>
      <c r="P1278" s="5" t="str">
        <f>IFERROR(__xludf.DUMMYFUNCTION("""COMPUTED_VALUE"""),"PRIORIDADE BAIXA")</f>
        <v>PRIORIDADE BAIXA</v>
      </c>
      <c r="Q1278" s="5" t="str">
        <f>IFERROR(__xludf.DUMMYFUNCTION("""COMPUTED_VALUE"""),"IMPLANTAR PLACA COM SUPORTE ")</f>
        <v>IMPLANTAR PLACA COM SUPORTE </v>
      </c>
      <c r="R1278" s="5" t="str">
        <f>IFERROR(__xludf.DUMMYFUNCTION("""COMPUTED_VALUE"""),"NENHUMA DAS OPÇÕES")</f>
        <v>NENHUMA DAS OPÇÕES</v>
      </c>
      <c r="S1278" s="5"/>
      <c r="T1278" s="5"/>
      <c r="U1278" s="5"/>
      <c r="V1278" s="9" t="str">
        <f>IFERROR(__xludf.DUMMYFUNCTION("""COMPUTED_VALUE"""),"https://drive.google.com/uc?id=1aguY2KkMGVOfk2od-meJ3eIT6LYFddqt")</f>
        <v>https://drive.google.com/uc?id=1aguY2KkMGVOfk2od-meJ3eIT6LYFddqt</v>
      </c>
      <c r="W1278" s="5" t="str">
        <f>IFERROR(__xludf.DUMMYFUNCTION("""COMPUTED_VALUE"""),"NÃO")</f>
        <v>NÃO</v>
      </c>
      <c r="X1278" s="5" t="str">
        <f>IFERROR(__xludf.DUMMYFUNCTION("""COMPUTED_VALUE"""),"NÃO")</f>
        <v>NÃO</v>
      </c>
    </row>
    <row r="1279">
      <c r="A1279" s="5">
        <f>IFERROR(__xludf.DUMMYFUNCTION("""COMPUTED_VALUE"""),3.0)</f>
        <v>3</v>
      </c>
      <c r="B1279" s="5" t="str">
        <f>IFERROR(__xludf.DUMMYFUNCTION("""COMPUTED_VALUE"""),"GL013")</f>
        <v>GL013</v>
      </c>
      <c r="C1279" s="5" t="str">
        <f>IFERROR(__xludf.DUMMYFUNCTION("""COMPUTED_VALUE"""),"ABRIGO METÁLICO PEQUENO PORTE")</f>
        <v>ABRIGO METÁLICO PEQUENO PORTE</v>
      </c>
      <c r="D1279" s="5" t="str">
        <f>IFERROR(__xludf.DUMMYFUNCTION("""COMPUTED_VALUE"""),"SEM PLACA")</f>
        <v>SEM PLACA</v>
      </c>
      <c r="E1279" s="5" t="str">
        <f>IFERROR(__xludf.DUMMYFUNCTION("""COMPUTED_VALUE"""),"SEM BAIA")</f>
        <v>SEM BAIA</v>
      </c>
      <c r="F1279" s="5" t="str">
        <f>IFERROR(__xludf.DUMMYFUNCTION("""COMPUTED_VALUE"""),"NÃO")</f>
        <v>NÃO</v>
      </c>
      <c r="G1279" s="5" t="str">
        <f>IFERROR(__xludf.DUMMYFUNCTION("""COMPUTED_VALUE"""),"NÃO")</f>
        <v>NÃO</v>
      </c>
      <c r="H1279" s="5" t="str">
        <f>IFERROR(__xludf.DUMMYFUNCTION("""COMPUTED_VALUE"""),"PAVIMENTADA COM AVARIAS")</f>
        <v>PAVIMENTADA COM AVARIAS</v>
      </c>
      <c r="I1279" s="6" t="str">
        <f>IFERROR(__xludf.DUMMYFUNCTION("""COMPUTED_VALUE"""),"-9.625972")</f>
        <v>-9.625972</v>
      </c>
      <c r="J1279" s="6" t="str">
        <f>IFERROR(__xludf.DUMMYFUNCTION("""COMPUTED_VALUE"""),"-35.731852")</f>
        <v>-35.731852</v>
      </c>
      <c r="K1279" s="5" t="str">
        <f>IFERROR(__xludf.DUMMYFUNCTION("""COMPUTED_VALUE"""),"AV. MENDONÇA JÚNIOR")</f>
        <v>AV. MENDONÇA JÚNIOR</v>
      </c>
      <c r="L1279" s="5" t="str">
        <f>IFERROR(__xludf.DUMMYFUNCTION("""COMPUTED_VALUE"""),"COLETORA")</f>
        <v>COLETORA</v>
      </c>
      <c r="M1279" s="5" t="str">
        <f>IFERROR(__xludf.DUMMYFUNCTION("""COMPUTED_VALUE"""),"GRUTA DE LOURDES")</f>
        <v>GRUTA DE LOURDES</v>
      </c>
      <c r="N1279" s="5" t="str">
        <f>IFERROR(__xludf.DUMMYFUNCTION("""COMPUTED_VALUE"""),"CENTRO - BAIRRO")</f>
        <v>CENTRO - BAIRRO</v>
      </c>
      <c r="O1279" s="5" t="str">
        <f>IFERROR(__xludf.DUMMYFUNCTION("""COMPUTED_VALUE"""),"EM FRENTE À LIFE VEÍCULOS")</f>
        <v>EM FRENTE À LIFE VEÍCULOS</v>
      </c>
      <c r="P1279" s="5" t="str">
        <f>IFERROR(__xludf.DUMMYFUNCTION("""COMPUTED_VALUE"""),"PRIORIDADE BAIXA")</f>
        <v>PRIORIDADE BAIXA</v>
      </c>
      <c r="Q1279" s="5" t="str">
        <f>IFERROR(__xludf.DUMMYFUNCTION("""COMPUTED_VALUE"""),"ADEQUAÇÃO DA CALÇADA (RAMPA DE ACESSIBILIDADE E PISO TÁTIL)")</f>
        <v>ADEQUAÇÃO DA CALÇADA (RAMPA DE ACESSIBILIDADE E PISO TÁTIL)</v>
      </c>
      <c r="R1279" s="5" t="str">
        <f>IFERROR(__xludf.DUMMYFUNCTION("""COMPUTED_VALUE"""),"NENHUMA DAS OPÇÕES")</f>
        <v>NENHUMA DAS OPÇÕES</v>
      </c>
      <c r="S1279" s="5"/>
      <c r="T1279" s="5"/>
      <c r="U1279" s="5"/>
      <c r="V1279" s="9" t="str">
        <f>IFERROR(__xludf.DUMMYFUNCTION("""COMPUTED_VALUE"""),"https://drive.google.com/file/d/1RcaD-lAZFAzapkFKfT-jEVLMWWXOnoAU/view?usp=share_link")</f>
        <v>https://drive.google.com/file/d/1RcaD-lAZFAzapkFKfT-jEVLMWWXOnoAU/view?usp=share_link</v>
      </c>
      <c r="W1279" s="5" t="str">
        <f>IFERROR(__xludf.DUMMYFUNCTION("""COMPUTED_VALUE"""),"NÃO")</f>
        <v>NÃO</v>
      </c>
      <c r="X1279" s="5" t="str">
        <f>IFERROR(__xludf.DUMMYFUNCTION("""COMPUTED_VALUE"""),"NÃO")</f>
        <v>NÃO</v>
      </c>
    </row>
    <row r="1280" hidden="1">
      <c r="A1280" s="5">
        <f>IFERROR(__xludf.DUMMYFUNCTION("""COMPUTED_VALUE"""),3.0)</f>
        <v>3</v>
      </c>
      <c r="B1280" s="5" t="str">
        <f>IFERROR(__xludf.DUMMYFUNCTION("""COMPUTED_VALUE"""),"GL014")</f>
        <v>GL014</v>
      </c>
      <c r="C1280" s="5" t="str">
        <f>IFERROR(__xludf.DUMMYFUNCTION("""COMPUTED_VALUE"""),"NÃO POSSUI")</f>
        <v>NÃO POSSUI</v>
      </c>
      <c r="D1280" s="5" t="str">
        <f>IFERROR(__xludf.DUMMYFUNCTION("""COMPUTED_VALUE"""),"SEM PLACA")</f>
        <v>SEM PLACA</v>
      </c>
      <c r="E1280" s="5" t="str">
        <f>IFERROR(__xludf.DUMMYFUNCTION("""COMPUTED_VALUE"""),"SEM BAIA")</f>
        <v>SEM BAIA</v>
      </c>
      <c r="F1280" s="5" t="str">
        <f>IFERROR(__xludf.DUMMYFUNCTION("""COMPUTED_VALUE"""),"NÃO")</f>
        <v>NÃO</v>
      </c>
      <c r="G1280" s="5" t="str">
        <f>IFERROR(__xludf.DUMMYFUNCTION("""COMPUTED_VALUE"""),"NÃO")</f>
        <v>NÃO</v>
      </c>
      <c r="H1280" s="5" t="str">
        <f>IFERROR(__xludf.DUMMYFUNCTION("""COMPUTED_VALUE"""),"PAVIMENTADA COM AVARIAS")</f>
        <v>PAVIMENTADA COM AVARIAS</v>
      </c>
      <c r="I1280" s="6" t="str">
        <f>IFERROR(__xludf.DUMMYFUNCTION("""COMPUTED_VALUE"""),"-9.623320")</f>
        <v>-9.623320</v>
      </c>
      <c r="J1280" s="6" t="str">
        <f>IFERROR(__xludf.DUMMYFUNCTION("""COMPUTED_VALUE""")," -35.730195")</f>
        <v> -35.730195</v>
      </c>
      <c r="K1280" s="5" t="str">
        <f>IFERROR(__xludf.DUMMYFUNCTION("""COMPUTED_VALUE"""),"R. CONSELHEIRO JOSÉ BARBOSA")</f>
        <v>R. CONSELHEIRO JOSÉ BARBOSA</v>
      </c>
      <c r="L1280" s="5" t="str">
        <f>IFERROR(__xludf.DUMMYFUNCTION("""COMPUTED_VALUE"""),"LOCAL")</f>
        <v>LOCAL</v>
      </c>
      <c r="M1280" s="5" t="str">
        <f>IFERROR(__xludf.DUMMYFUNCTION("""COMPUTED_VALUE"""),"GRUTA DE LOURDES")</f>
        <v>GRUTA DE LOURDES</v>
      </c>
      <c r="N1280" s="5" t="str">
        <f>IFERROR(__xludf.DUMMYFUNCTION("""COMPUTED_VALUE"""),"CENTRO - BAIRRO")</f>
        <v>CENTRO - BAIRRO</v>
      </c>
      <c r="O1280" s="5" t="str">
        <f>IFERROR(__xludf.DUMMYFUNCTION("""COMPUTED_VALUE"""),"EM FRENTE À ALDEMIR VEÍCULOS")</f>
        <v>EM FRENTE À ALDEMIR VEÍCULOS</v>
      </c>
      <c r="P1280" s="5" t="str">
        <f>IFERROR(__xludf.DUMMYFUNCTION("""COMPUTED_VALUE"""),"PRIORIDADE BAIXA")</f>
        <v>PRIORIDADE BAIXA</v>
      </c>
      <c r="Q1280" s="5" t="str">
        <f>IFERROR(__xludf.DUMMYFUNCTION("""COMPUTED_VALUE"""),"IMPLANTAR PLACA COM SUPORTE ")</f>
        <v>IMPLANTAR PLACA COM SUPORTE </v>
      </c>
      <c r="R1280" s="5" t="str">
        <f>IFERROR(__xludf.DUMMYFUNCTION("""COMPUTED_VALUE"""),"NENHUMA DAS OPÇÕES")</f>
        <v>NENHUMA DAS OPÇÕES</v>
      </c>
      <c r="S1280" s="5"/>
      <c r="T1280" s="5"/>
      <c r="U1280" s="5"/>
      <c r="V1280" s="9" t="str">
        <f>IFERROR(__xludf.DUMMYFUNCTION("""COMPUTED_VALUE"""),"https://drive.google.com/uc?id=1d_pXAkunWHrexy1mUx2iQgYhnQQctVDD")</f>
        <v>https://drive.google.com/uc?id=1d_pXAkunWHrexy1mUx2iQgYhnQQctVDD</v>
      </c>
      <c r="W1280" s="5" t="str">
        <f>IFERROR(__xludf.DUMMYFUNCTION("""COMPUTED_VALUE"""),"NÃO")</f>
        <v>NÃO</v>
      </c>
      <c r="X1280" s="5" t="str">
        <f>IFERROR(__xludf.DUMMYFUNCTION("""COMPUTED_VALUE"""),"NÃO SE APLICA")</f>
        <v>NÃO SE APLICA</v>
      </c>
    </row>
    <row r="1281" hidden="1">
      <c r="A1281" s="5">
        <f>IFERROR(__xludf.DUMMYFUNCTION("""COMPUTED_VALUE"""),3.0)</f>
        <v>3</v>
      </c>
      <c r="B1281" s="5" t="str">
        <f>IFERROR(__xludf.DUMMYFUNCTION("""COMPUTED_VALUE"""),"GL015")</f>
        <v>GL015</v>
      </c>
      <c r="C1281" s="5" t="str">
        <f>IFERROR(__xludf.DUMMYFUNCTION("""COMPUTED_VALUE"""),"NÃO POSSUI")</f>
        <v>NÃO POSSUI</v>
      </c>
      <c r="D1281" s="5" t="str">
        <f>IFERROR(__xludf.DUMMYFUNCTION("""COMPUTED_VALUE"""),"SEM PLACA")</f>
        <v>SEM PLACA</v>
      </c>
      <c r="E1281" s="5" t="str">
        <f>IFERROR(__xludf.DUMMYFUNCTION("""COMPUTED_VALUE"""),"SEM BAIA")</f>
        <v>SEM BAIA</v>
      </c>
      <c r="F1281" s="5" t="str">
        <f>IFERROR(__xludf.DUMMYFUNCTION("""COMPUTED_VALUE"""),"NÃO")</f>
        <v>NÃO</v>
      </c>
      <c r="G1281" s="5" t="str">
        <f>IFERROR(__xludf.DUMMYFUNCTION("""COMPUTED_VALUE"""),"NÃO")</f>
        <v>NÃO</v>
      </c>
      <c r="H1281" s="5" t="str">
        <f>IFERROR(__xludf.DUMMYFUNCTION("""COMPUTED_VALUE"""),"PAVIMENTADA")</f>
        <v>PAVIMENTADA</v>
      </c>
      <c r="I1281" s="6" t="str">
        <f>IFERROR(__xludf.DUMMYFUNCTION("""COMPUTED_VALUE"""),"-9.621928")</f>
        <v>-9.621928</v>
      </c>
      <c r="J1281" s="6" t="str">
        <f>IFERROR(__xludf.DUMMYFUNCTION("""COMPUTED_VALUE"""),"-35.735423 ")</f>
        <v>-35.735423 </v>
      </c>
      <c r="K1281" s="5" t="str">
        <f>IFERROR(__xludf.DUMMYFUNCTION("""COMPUTED_VALUE"""),"R. REGINA CORDEIRO LINS")</f>
        <v>R. REGINA CORDEIRO LINS</v>
      </c>
      <c r="L1281" s="5" t="str">
        <f>IFERROR(__xludf.DUMMYFUNCTION("""COMPUTED_VALUE"""),"LOCAL")</f>
        <v>LOCAL</v>
      </c>
      <c r="M1281" s="5" t="str">
        <f>IFERROR(__xludf.DUMMYFUNCTION("""COMPUTED_VALUE"""),"GRUTA DE LOURDES")</f>
        <v>GRUTA DE LOURDES</v>
      </c>
      <c r="N1281" s="5" t="str">
        <f>IFERROR(__xludf.DUMMYFUNCTION("""COMPUTED_VALUE"""),"BAIRRO - CENTRO")</f>
        <v>BAIRRO - CENTRO</v>
      </c>
      <c r="O1281" s="5" t="str">
        <f>IFERROR(__xludf.DUMMYFUNCTION("""COMPUTED_VALUE"""),"EM FRENTE À PIZZARIA DA MAMA")</f>
        <v>EM FRENTE À PIZZARIA DA MAMA</v>
      </c>
      <c r="P1281" s="5" t="str">
        <f>IFERROR(__xludf.DUMMYFUNCTION("""COMPUTED_VALUE"""),"PRIORIDADE BAIXA")</f>
        <v>PRIORIDADE BAIXA</v>
      </c>
      <c r="Q1281" s="5" t="str">
        <f>IFERROR(__xludf.DUMMYFUNCTION("""COMPUTED_VALUE"""),"IMPLANTAR PLACA NO POSTE")</f>
        <v>IMPLANTAR PLACA NO POSTE</v>
      </c>
      <c r="R1281" s="5" t="str">
        <f>IFERROR(__xludf.DUMMYFUNCTION("""COMPUTED_VALUE"""),"NENHUMA DAS OPÇÕES")</f>
        <v>NENHUMA DAS OPÇÕES</v>
      </c>
      <c r="S1281" s="5"/>
      <c r="T1281" s="5"/>
      <c r="U1281" s="5"/>
      <c r="V1281" s="9" t="str">
        <f>IFERROR(__xludf.DUMMYFUNCTION("""COMPUTED_VALUE"""),"https://drive.google.com/uc?id=1Mh4r9xUxLLQA-bZjLj0qbIyUXRutDQod")</f>
        <v>https://drive.google.com/uc?id=1Mh4r9xUxLLQA-bZjLj0qbIyUXRutDQod</v>
      </c>
      <c r="W1281" s="5" t="str">
        <f>IFERROR(__xludf.DUMMYFUNCTION("""COMPUTED_VALUE"""),"NÃO")</f>
        <v>NÃO</v>
      </c>
      <c r="X1281" s="5" t="str">
        <f>IFERROR(__xludf.DUMMYFUNCTION("""COMPUTED_VALUE"""),"NÃO SE APLICA")</f>
        <v>NÃO SE APLICA</v>
      </c>
    </row>
    <row r="1282">
      <c r="A1282" s="5">
        <f>IFERROR(__xludf.DUMMYFUNCTION("""COMPUTED_VALUE"""),3.0)</f>
        <v>3</v>
      </c>
      <c r="B1282" s="5" t="str">
        <f>IFERROR(__xludf.DUMMYFUNCTION("""COMPUTED_VALUE"""),"GL016")</f>
        <v>GL016</v>
      </c>
      <c r="C1282" s="5" t="str">
        <f>IFERROR(__xludf.DUMMYFUNCTION("""COMPUTED_VALUE"""),"ABRIGO METÁLICO GRANDE PORTE")</f>
        <v>ABRIGO METÁLICO GRANDE PORTE</v>
      </c>
      <c r="D1282" s="5" t="str">
        <f>IFERROR(__xludf.DUMMYFUNCTION("""COMPUTED_VALUE"""),"COM SUPORTE")</f>
        <v>COM SUPORTE</v>
      </c>
      <c r="E1282" s="5" t="str">
        <f>IFERROR(__xludf.DUMMYFUNCTION("""COMPUTED_VALUE"""),"SEM BAIA")</f>
        <v>SEM BAIA</v>
      </c>
      <c r="F1282" s="5" t="str">
        <f>IFERROR(__xludf.DUMMYFUNCTION("""COMPUTED_VALUE"""),"SIM")</f>
        <v>SIM</v>
      </c>
      <c r="G1282" s="5" t="str">
        <f>IFERROR(__xludf.DUMMYFUNCTION("""COMPUTED_VALUE"""),"NÃO")</f>
        <v>NÃO</v>
      </c>
      <c r="H1282" s="5" t="str">
        <f>IFERROR(__xludf.DUMMYFUNCTION("""COMPUTED_VALUE"""),"PAVIMENTADA")</f>
        <v>PAVIMENTADA</v>
      </c>
      <c r="I1282" s="6" t="str">
        <f>IFERROR(__xludf.DUMMYFUNCTION("""COMPUTED_VALUE"""),"-9.614898")</f>
        <v>-9.614898</v>
      </c>
      <c r="J1282" s="6" t="str">
        <f>IFERROR(__xludf.DUMMYFUNCTION("""COMPUTED_VALUE"""),"-35.739877 ")</f>
        <v>-35.739877 </v>
      </c>
      <c r="K1282" s="5" t="str">
        <f>IFERROR(__xludf.DUMMYFUNCTION("""COMPUTED_VALUE"""),"AV. FERNANDES LIMA")</f>
        <v>AV. FERNANDES LIMA</v>
      </c>
      <c r="L1282" s="5" t="str">
        <f>IFERROR(__xludf.DUMMYFUNCTION("""COMPUTED_VALUE"""),"ARTERIAL ")</f>
        <v>ARTERIAL </v>
      </c>
      <c r="M1282" s="5" t="str">
        <f>IFERROR(__xludf.DUMMYFUNCTION("""COMPUTED_VALUE"""),"GRUTA DE LOURDES")</f>
        <v>GRUTA DE LOURDES</v>
      </c>
      <c r="N1282" s="5" t="str">
        <f>IFERROR(__xludf.DUMMYFUNCTION("""COMPUTED_VALUE"""),"BAIRRO - CENTRO")</f>
        <v>BAIRRO - CENTRO</v>
      </c>
      <c r="O1282" s="5" t="str">
        <f>IFERROR(__xludf.DUMMYFUNCTION("""COMPUTED_VALUE"""),"EM FRENTE AO IBAMA")</f>
        <v>EM FRENTE AO IBAMA</v>
      </c>
      <c r="P1282" s="5" t="str">
        <f>IFERROR(__xludf.DUMMYFUNCTION("""COMPUTED_VALUE"""),"PRIORIDADE ALTA")</f>
        <v>PRIORIDADE ALTA</v>
      </c>
      <c r="Q1282" s="5" t="str">
        <f>IFERROR(__xludf.DUMMYFUNCTION("""COMPUTED_VALUE"""),"PINTURA DA BAIA NO ASFALTO, REPAROS, REPINTURA E ADEQUAÇÃO DA CALÇADA (PISO TÁTIL).")</f>
        <v>PINTURA DA BAIA NO ASFALTO, REPAROS, REPINTURA E ADEQUAÇÃO DA CALÇADA (PISO TÁTIL).</v>
      </c>
      <c r="R1282" s="5" t="str">
        <f>IFERROR(__xludf.DUMMYFUNCTION("""COMPUTED_VALUE"""),"NENHUMA DAS OPÇÕES")</f>
        <v>NENHUMA DAS OPÇÕES</v>
      </c>
      <c r="S1282" s="5"/>
      <c r="T1282" s="5"/>
      <c r="U1282" s="5"/>
      <c r="V1282" s="9" t="str">
        <f>IFERROR(__xludf.DUMMYFUNCTION("""COMPUTED_VALUE"""),"https://drive.google.com/uc?id=14GbhFjtYo4wrcB9URHe4JvETjU6u-GwD")</f>
        <v>https://drive.google.com/uc?id=14GbhFjtYo4wrcB9URHe4JvETjU6u-GwD</v>
      </c>
      <c r="W1282" s="5" t="str">
        <f>IFERROR(__xludf.DUMMYFUNCTION("""COMPUTED_VALUE"""),"SIM")</f>
        <v>SIM</v>
      </c>
      <c r="X1282" s="5" t="str">
        <f>IFERROR(__xludf.DUMMYFUNCTION("""COMPUTED_VALUE"""),"SIM")</f>
        <v>SIM</v>
      </c>
    </row>
    <row r="1283">
      <c r="A1283" s="5">
        <f>IFERROR(__xludf.DUMMYFUNCTION("""COMPUTED_VALUE"""),3.0)</f>
        <v>3</v>
      </c>
      <c r="B1283" s="5" t="str">
        <f>IFERROR(__xludf.DUMMYFUNCTION("""COMPUTED_VALUE"""),"GL017")</f>
        <v>GL017</v>
      </c>
      <c r="C1283" s="5" t="str">
        <f>IFERROR(__xludf.DUMMYFUNCTION("""COMPUTED_VALUE"""),"ABRIGO CONCRETO")</f>
        <v>ABRIGO CONCRETO</v>
      </c>
      <c r="D1283" s="5" t="str">
        <f>IFERROR(__xludf.DUMMYFUNCTION("""COMPUTED_VALUE"""),"SEM PLACA")</f>
        <v>SEM PLACA</v>
      </c>
      <c r="E1283" s="5" t="str">
        <f>IFERROR(__xludf.DUMMYFUNCTION("""COMPUTED_VALUE"""),"SEM BAIA")</f>
        <v>SEM BAIA</v>
      </c>
      <c r="F1283" s="5" t="str">
        <f>IFERROR(__xludf.DUMMYFUNCTION("""COMPUTED_VALUE"""),"NÃO")</f>
        <v>NÃO</v>
      </c>
      <c r="G1283" s="5" t="str">
        <f>IFERROR(__xludf.DUMMYFUNCTION("""COMPUTED_VALUE"""),"NÃO")</f>
        <v>NÃO</v>
      </c>
      <c r="H1283" s="5" t="str">
        <f>IFERROR(__xludf.DUMMYFUNCTION("""COMPUTED_VALUE"""),"PAVIMENTADA")</f>
        <v>PAVIMENTADA</v>
      </c>
      <c r="I1283" s="6" t="str">
        <f>IFERROR(__xludf.DUMMYFUNCTION("""COMPUTED_VALUE"""),"-9.626752")</f>
        <v>-9.626752</v>
      </c>
      <c r="J1283" s="6" t="str">
        <f>IFERROR(__xludf.DUMMYFUNCTION("""COMPUTED_VALUE"""),"-35.737582")</f>
        <v>-35.737582</v>
      </c>
      <c r="K1283" s="5" t="str">
        <f>IFERROR(__xludf.DUMMYFUNCTION("""COMPUTED_VALUE"""),"RUA TEREZA DE AZEVEDO")</f>
        <v>RUA TEREZA DE AZEVEDO</v>
      </c>
      <c r="L1283" s="5" t="str">
        <f>IFERROR(__xludf.DUMMYFUNCTION("""COMPUTED_VALUE"""),"COLETORA")</f>
        <v>COLETORA</v>
      </c>
      <c r="M1283" s="5" t="str">
        <f>IFERROR(__xludf.DUMMYFUNCTION("""COMPUTED_VALUE"""),"GRUTA DE LOURDES")</f>
        <v>GRUTA DE LOURDES</v>
      </c>
      <c r="N1283" s="5" t="str">
        <f>IFERROR(__xludf.DUMMYFUNCTION("""COMPUTED_VALUE"""),"CENTRO - BAIRRO")</f>
        <v>CENTRO - BAIRRO</v>
      </c>
      <c r="O1283" s="5" t="str">
        <f>IFERROR(__xludf.DUMMYFUNCTION("""COMPUTED_VALUE"""),"EM FRENTE À CASA LAMENHA")</f>
        <v>EM FRENTE À CASA LAMENHA</v>
      </c>
      <c r="P1283" s="5" t="str">
        <f>IFERROR(__xludf.DUMMYFUNCTION("""COMPUTED_VALUE"""),"PRIORIDADE MÉDIA")</f>
        <v>PRIORIDADE MÉDIA</v>
      </c>
      <c r="Q1283" s="5" t="str">
        <f>IFERROR(__xludf.DUMMYFUNCTION("""COMPUTED_VALUE"""),"ADEQUAÇÃO DA CALÇADA (RAMPA DE ACESSIBILIDADE E PISO TÁTIL).")</f>
        <v>ADEQUAÇÃO DA CALÇADA (RAMPA DE ACESSIBILIDADE E PISO TÁTIL).</v>
      </c>
      <c r="R1283" s="5" t="str">
        <f>IFERROR(__xludf.DUMMYFUNCTION("""COMPUTED_VALUE"""),"SUBSTITUIR ABRIGO")</f>
        <v>SUBSTITUIR ABRIGO</v>
      </c>
      <c r="S1283" s="5"/>
      <c r="T1283" s="5"/>
      <c r="U1283" s="5"/>
      <c r="V1283" s="9" t="str">
        <f>IFERROR(__xludf.DUMMYFUNCTION("""COMPUTED_VALUE"""),"https://drive.google.com/uc?id=1Or-WpeaivbVAQDpraUCQHlmfKGej7SkW")</f>
        <v>https://drive.google.com/uc?id=1Or-WpeaivbVAQDpraUCQHlmfKGej7SkW</v>
      </c>
      <c r="W1283" s="5" t="str">
        <f>IFERROR(__xludf.DUMMYFUNCTION("""COMPUTED_VALUE"""),"NÃO")</f>
        <v>NÃO</v>
      </c>
      <c r="X1283" s="5" t="str">
        <f>IFERROR(__xludf.DUMMYFUNCTION("""COMPUTED_VALUE"""),"NÃO SE APLICA")</f>
        <v>NÃO SE APLICA</v>
      </c>
    </row>
    <row r="1284" hidden="1">
      <c r="A1284" s="5">
        <f>IFERROR(__xludf.DUMMYFUNCTION("""COMPUTED_VALUE"""),3.0)</f>
        <v>3</v>
      </c>
      <c r="B1284" s="5" t="str">
        <f>IFERROR(__xludf.DUMMYFUNCTION("""COMPUTED_VALUE"""),"GL018")</f>
        <v>GL018</v>
      </c>
      <c r="C1284" s="5" t="str">
        <f>IFERROR(__xludf.DUMMYFUNCTION("""COMPUTED_VALUE"""),"NÃO POSSUI")</f>
        <v>NÃO POSSUI</v>
      </c>
      <c r="D1284" s="5" t="str">
        <f>IFERROR(__xludf.DUMMYFUNCTION("""COMPUTED_VALUE"""),"COM SUPORTE")</f>
        <v>COM SUPORTE</v>
      </c>
      <c r="E1284" s="5" t="str">
        <f>IFERROR(__xludf.DUMMYFUNCTION("""COMPUTED_VALUE"""),"SEM BAIA")</f>
        <v>SEM BAIA</v>
      </c>
      <c r="F1284" s="5" t="str">
        <f>IFERROR(__xludf.DUMMYFUNCTION("""COMPUTED_VALUE"""),"NÃO")</f>
        <v>NÃO</v>
      </c>
      <c r="G1284" s="5" t="str">
        <f>IFERROR(__xludf.DUMMYFUNCTION("""COMPUTED_VALUE"""),"NÃO")</f>
        <v>NÃO</v>
      </c>
      <c r="H1284" s="5" t="str">
        <f>IFERROR(__xludf.DUMMYFUNCTION("""COMPUTED_VALUE"""),"PAVIMENTADA COM AVARIAS")</f>
        <v>PAVIMENTADA COM AVARIAS</v>
      </c>
      <c r="I1284" s="6" t="str">
        <f>IFERROR(__xludf.DUMMYFUNCTION("""COMPUTED_VALUE"""),"-9.606175")</f>
        <v>-9.606175</v>
      </c>
      <c r="J1284" s="6" t="str">
        <f>IFERROR(__xludf.DUMMYFUNCTION("""COMPUTED_VALUE"""),"-35.735395")</f>
        <v>-35.735395</v>
      </c>
      <c r="K1284" s="5" t="str">
        <f>IFERROR(__xludf.DUMMYFUNCTION("""COMPUTED_VALUE"""),"AV. EMPRESÁRIO VALENTIM SANTOS DINIZ")</f>
        <v>AV. EMPRESÁRIO VALENTIM SANTOS DINIZ</v>
      </c>
      <c r="L1284" s="5" t="str">
        <f>IFERROR(__xludf.DUMMYFUNCTION("""COMPUTED_VALUE"""),"COLETORA")</f>
        <v>COLETORA</v>
      </c>
      <c r="M1284" s="5" t="str">
        <f>IFERROR(__xludf.DUMMYFUNCTION("""COMPUTED_VALUE"""),"GRUTA DE LOURDES")</f>
        <v>GRUTA DE LOURDES</v>
      </c>
      <c r="N1284" s="5" t="str">
        <f>IFERROR(__xludf.DUMMYFUNCTION("""COMPUTED_VALUE"""),"BAIRRO - CENTRO")</f>
        <v>BAIRRO - CENTRO</v>
      </c>
      <c r="O1284" s="5"/>
      <c r="P1284" s="5" t="str">
        <f>IFERROR(__xludf.DUMMYFUNCTION("""COMPUTED_VALUE"""),"PRIORIDADE BAIXA")</f>
        <v>PRIORIDADE BAIXA</v>
      </c>
      <c r="Q1284" s="5" t="str">
        <f>IFERROR(__xludf.DUMMYFUNCTION("""COMPUTED_VALUE"""),"ADEQUAÇÃO DA CALÇADA (RAMPA DE ACESSIBILIDADE E PISO TÁTIL).")</f>
        <v>ADEQUAÇÃO DA CALÇADA (RAMPA DE ACESSIBILIDADE E PISO TÁTIL).</v>
      </c>
      <c r="R1284" s="5" t="str">
        <f>IFERROR(__xludf.DUMMYFUNCTION("""COMPUTED_VALUE"""),"NENHUMA DAS OPÇÕES")</f>
        <v>NENHUMA DAS OPÇÕES</v>
      </c>
      <c r="S1284" s="5"/>
      <c r="T1284" s="5"/>
      <c r="U1284" s="5"/>
      <c r="V1284" s="9" t="str">
        <f>IFERROR(__xludf.DUMMYFUNCTION("""COMPUTED_VALUE"""),"https://drive.google.com/uc?id=1i42cBvoIa9kac53dMIXO6oP0PlHhMIH1")</f>
        <v>https://drive.google.com/uc?id=1i42cBvoIa9kac53dMIXO6oP0PlHhMIH1</v>
      </c>
      <c r="W1284" s="5" t="str">
        <f>IFERROR(__xludf.DUMMYFUNCTION("""COMPUTED_VALUE"""),"NÃO")</f>
        <v>NÃO</v>
      </c>
      <c r="X1284" s="5" t="str">
        <f>IFERROR(__xludf.DUMMYFUNCTION("""COMPUTED_VALUE"""),"NÃO SE APLICA")</f>
        <v>NÃO SE APLICA</v>
      </c>
    </row>
    <row r="1285" hidden="1">
      <c r="A1285" s="5">
        <f>IFERROR(__xludf.DUMMYFUNCTION("""COMPUTED_VALUE"""),3.0)</f>
        <v>3</v>
      </c>
      <c r="B1285" s="5" t="str">
        <f>IFERROR(__xludf.DUMMYFUNCTION("""COMPUTED_VALUE"""),"GL019")</f>
        <v>GL019</v>
      </c>
      <c r="C1285" s="5" t="str">
        <f>IFERROR(__xludf.DUMMYFUNCTION("""COMPUTED_VALUE"""),"NÃO POSSUI")</f>
        <v>NÃO POSSUI</v>
      </c>
      <c r="D1285" s="5" t="str">
        <f>IFERROR(__xludf.DUMMYFUNCTION("""COMPUTED_VALUE"""),"SEM PLACA")</f>
        <v>SEM PLACA</v>
      </c>
      <c r="E1285" s="5" t="str">
        <f>IFERROR(__xludf.DUMMYFUNCTION("""COMPUTED_VALUE"""),"SEM BAIA")</f>
        <v>SEM BAIA</v>
      </c>
      <c r="F1285" s="5" t="str">
        <f>IFERROR(__xludf.DUMMYFUNCTION("""COMPUTED_VALUE"""),"NÃO")</f>
        <v>NÃO</v>
      </c>
      <c r="G1285" s="5" t="str">
        <f>IFERROR(__xludf.DUMMYFUNCTION("""COMPUTED_VALUE"""),"NÃO")</f>
        <v>NÃO</v>
      </c>
      <c r="H1285" s="5" t="str">
        <f>IFERROR(__xludf.DUMMYFUNCTION("""COMPUTED_VALUE"""),"PAVIMENTADA COM AVARIAS")</f>
        <v>PAVIMENTADA COM AVARIAS</v>
      </c>
      <c r="I1285" s="6" t="str">
        <f>IFERROR(__xludf.DUMMYFUNCTION("""COMPUTED_VALUE"""),"-9.614898")</f>
        <v>-9.614898</v>
      </c>
      <c r="J1285" s="6" t="str">
        <f>IFERROR(__xludf.DUMMYFUNCTION("""COMPUTED_VALUE"""),"-35.735135")</f>
        <v>-35.735135</v>
      </c>
      <c r="K1285" s="5" t="str">
        <f>IFERROR(__xludf.DUMMYFUNCTION("""COMPUTED_VALUE"""),"RUA DR. ABELARDO PONTES LIMA")</f>
        <v>RUA DR. ABELARDO PONTES LIMA</v>
      </c>
      <c r="L1285" s="5" t="str">
        <f>IFERROR(__xludf.DUMMYFUNCTION("""COMPUTED_VALUE"""),"COLETORA")</f>
        <v>COLETORA</v>
      </c>
      <c r="M1285" s="5" t="str">
        <f>IFERROR(__xludf.DUMMYFUNCTION("""COMPUTED_VALUE"""),"GRUTA DE LOURDES")</f>
        <v>GRUTA DE LOURDES</v>
      </c>
      <c r="N1285" s="5" t="str">
        <f>IFERROR(__xludf.DUMMYFUNCTION("""COMPUTED_VALUE"""),"BAIRRO - CENTRO")</f>
        <v>BAIRRO - CENTRO</v>
      </c>
      <c r="O1285" s="5" t="str">
        <f>IFERROR(__xludf.DUMMYFUNCTION("""COMPUTED_VALUE"""),"PRÓXIMO AO REFERENCIAL SEGURANÇA PRIVADA")</f>
        <v>PRÓXIMO AO REFERENCIAL SEGURANÇA PRIVADA</v>
      </c>
      <c r="P1285" s="5" t="str">
        <f>IFERROR(__xludf.DUMMYFUNCTION("""COMPUTED_VALUE"""),"PRIORIDADE BAIXA")</f>
        <v>PRIORIDADE BAIXA</v>
      </c>
      <c r="Q1285" s="5" t="str">
        <f>IFERROR(__xludf.DUMMYFUNCTION("""COMPUTED_VALUE"""),"IMPLANTAR PLACA COM SUPORTE DE MADEIRA ")</f>
        <v>IMPLANTAR PLACA COM SUPORTE DE MADEIRA </v>
      </c>
      <c r="R1285" s="5" t="str">
        <f>IFERROR(__xludf.DUMMYFUNCTION("""COMPUTED_VALUE"""),"NENHUMA DAS OPÇÕES")</f>
        <v>NENHUMA DAS OPÇÕES</v>
      </c>
      <c r="S1285" s="5"/>
      <c r="T1285" s="5"/>
      <c r="U1285" s="5"/>
      <c r="V1285" s="9" t="str">
        <f>IFERROR(__xludf.DUMMYFUNCTION("""COMPUTED_VALUE"""),"https://drive.google.com/uc?id=1Wc5TS30kjw53spLSHc_2UHH7BO6oi8Gt")</f>
        <v>https://drive.google.com/uc?id=1Wc5TS30kjw53spLSHc_2UHH7BO6oi8Gt</v>
      </c>
      <c r="W1285" s="5" t="str">
        <f>IFERROR(__xludf.DUMMYFUNCTION("""COMPUTED_VALUE"""),"NÃO")</f>
        <v>NÃO</v>
      </c>
      <c r="X1285" s="5" t="str">
        <f>IFERROR(__xludf.DUMMYFUNCTION("""COMPUTED_VALUE"""),"NÃO SE APLICA")</f>
        <v>NÃO SE APLICA</v>
      </c>
    </row>
    <row r="1286" hidden="1">
      <c r="A1286" s="5">
        <f>IFERROR(__xludf.DUMMYFUNCTION("""COMPUTED_VALUE"""),3.0)</f>
        <v>3</v>
      </c>
      <c r="B1286" s="5" t="str">
        <f>IFERROR(__xludf.DUMMYFUNCTION("""COMPUTED_VALUE"""),"GL020")</f>
        <v>GL020</v>
      </c>
      <c r="C1286" s="5" t="str">
        <f>IFERROR(__xludf.DUMMYFUNCTION("""COMPUTED_VALUE"""),"NÃO POSSUI")</f>
        <v>NÃO POSSUI</v>
      </c>
      <c r="D1286" s="5" t="str">
        <f>IFERROR(__xludf.DUMMYFUNCTION("""COMPUTED_VALUE"""),"SEM PLACA")</f>
        <v>SEM PLACA</v>
      </c>
      <c r="E1286" s="5" t="str">
        <f>IFERROR(__xludf.DUMMYFUNCTION("""COMPUTED_VALUE"""),"SEM BAIA")</f>
        <v>SEM BAIA</v>
      </c>
      <c r="F1286" s="5" t="str">
        <f>IFERROR(__xludf.DUMMYFUNCTION("""COMPUTED_VALUE"""),"NÃO")</f>
        <v>NÃO</v>
      </c>
      <c r="G1286" s="5" t="str">
        <f>IFERROR(__xludf.DUMMYFUNCTION("""COMPUTED_VALUE"""),"NÃO")</f>
        <v>NÃO</v>
      </c>
      <c r="H1286" s="5" t="str">
        <f>IFERROR(__xludf.DUMMYFUNCTION("""COMPUTED_VALUE"""),"PAVIMENTADA")</f>
        <v>PAVIMENTADA</v>
      </c>
      <c r="I1286" s="6" t="str">
        <f>IFERROR(__xludf.DUMMYFUNCTION("""COMPUTED_VALUE"""),"-9.605303")</f>
        <v>-9.605303</v>
      </c>
      <c r="J1286" s="6" t="str">
        <f>IFERROR(__xludf.DUMMYFUNCTION("""COMPUTED_VALUE"""),"-35.734497")</f>
        <v>-35.734497</v>
      </c>
      <c r="K1286" s="5" t="str">
        <f>IFERROR(__xludf.DUMMYFUNCTION("""COMPUTED_VALUE"""),"RUA CAMARAGIBE")</f>
        <v>RUA CAMARAGIBE</v>
      </c>
      <c r="L1286" s="5" t="str">
        <f>IFERROR(__xludf.DUMMYFUNCTION("""COMPUTED_VALUE"""),"COLETORA")</f>
        <v>COLETORA</v>
      </c>
      <c r="M1286" s="5" t="str">
        <f>IFERROR(__xludf.DUMMYFUNCTION("""COMPUTED_VALUE"""),"GRUTA DE LOURDES")</f>
        <v>GRUTA DE LOURDES</v>
      </c>
      <c r="N1286" s="5" t="str">
        <f>IFERROR(__xludf.DUMMYFUNCTION("""COMPUTED_VALUE"""),"BAIRRO - CENTRO")</f>
        <v>BAIRRO - CENTRO</v>
      </c>
      <c r="O1286" s="5"/>
      <c r="P1286" s="5" t="str">
        <f>IFERROR(__xludf.DUMMYFUNCTION("""COMPUTED_VALUE"""),"PRIORIDADE BAIXA")</f>
        <v>PRIORIDADE BAIXA</v>
      </c>
      <c r="Q1286" s="5"/>
      <c r="R1286" s="5" t="str">
        <f>IFERROR(__xludf.DUMMYFUNCTION("""COMPUTED_VALUE"""),"NENHUMA DAS OPÇÕES")</f>
        <v>NENHUMA DAS OPÇÕES</v>
      </c>
      <c r="S1286" s="5"/>
      <c r="T1286" s="5"/>
      <c r="U1286" s="5"/>
      <c r="V1286" s="9" t="str">
        <f>IFERROR(__xludf.DUMMYFUNCTION("""COMPUTED_VALUE"""),"https://drive.google.com/uc?id=1PyxH7pBl-tEKqYQn887MlakRE41vAlcc")</f>
        <v>https://drive.google.com/uc?id=1PyxH7pBl-tEKqYQn887MlakRE41vAlcc</v>
      </c>
      <c r="W1286" s="5" t="str">
        <f>IFERROR(__xludf.DUMMYFUNCTION("""COMPUTED_VALUE"""),"NÃO")</f>
        <v>NÃO</v>
      </c>
      <c r="X1286" s="5" t="str">
        <f>IFERROR(__xludf.DUMMYFUNCTION("""COMPUTED_VALUE"""),"NÃO SE APLICA")</f>
        <v>NÃO SE APLICA</v>
      </c>
    </row>
    <row r="1287">
      <c r="A1287" s="5">
        <f>IFERROR(__xludf.DUMMYFUNCTION("""COMPUTED_VALUE"""),3.0)</f>
        <v>3</v>
      </c>
      <c r="B1287" s="5" t="str">
        <f>IFERROR(__xludf.DUMMYFUNCTION("""COMPUTED_VALUE"""),"GL021")</f>
        <v>GL021</v>
      </c>
      <c r="C1287" s="5" t="str">
        <f>IFERROR(__xludf.DUMMYFUNCTION("""COMPUTED_VALUE"""),"ABRIGO METÁLICO PEQUENO PORTE")</f>
        <v>ABRIGO METÁLICO PEQUENO PORTE</v>
      </c>
      <c r="D1287" s="5" t="str">
        <f>IFERROR(__xludf.DUMMYFUNCTION("""COMPUTED_VALUE"""),"COM SUPORTE")</f>
        <v>COM SUPORTE</v>
      </c>
      <c r="E1287" s="5" t="str">
        <f>IFERROR(__xludf.DUMMYFUNCTION("""COMPUTED_VALUE"""),"SEM BAIA")</f>
        <v>SEM BAIA</v>
      </c>
      <c r="F1287" s="5" t="str">
        <f>IFERROR(__xludf.DUMMYFUNCTION("""COMPUTED_VALUE"""),"SIM")</f>
        <v>SIM</v>
      </c>
      <c r="G1287" s="5" t="str">
        <f>IFERROR(__xludf.DUMMYFUNCTION("""COMPUTED_VALUE"""),"NÃO")</f>
        <v>NÃO</v>
      </c>
      <c r="H1287" s="5" t="str">
        <f>IFERROR(__xludf.DUMMYFUNCTION("""COMPUTED_VALUE"""),"PAVIMENTADA")</f>
        <v>PAVIMENTADA</v>
      </c>
      <c r="I1287" s="6" t="str">
        <f>IFERROR(__xludf.DUMMYFUNCTION("""COMPUTED_VALUE"""),"-9.619328")</f>
        <v>-9.619328</v>
      </c>
      <c r="J1287" s="6" t="str">
        <f>IFERROR(__xludf.DUMMYFUNCTION("""COMPUTED_VALUE"""),"-35.739318")</f>
        <v>-35.739318</v>
      </c>
      <c r="K1287" s="5" t="str">
        <f>IFERROR(__xludf.DUMMYFUNCTION("""COMPUTED_VALUE"""),"AV. FERNANDES LIMA")</f>
        <v>AV. FERNANDES LIMA</v>
      </c>
      <c r="L1287" s="5" t="str">
        <f>IFERROR(__xludf.DUMMYFUNCTION("""COMPUTED_VALUE"""),"ARTERIAL ")</f>
        <v>ARTERIAL </v>
      </c>
      <c r="M1287" s="5" t="str">
        <f>IFERROR(__xludf.DUMMYFUNCTION("""COMPUTED_VALUE"""),"GRUTA DE LOURDES")</f>
        <v>GRUTA DE LOURDES</v>
      </c>
      <c r="N1287" s="5" t="str">
        <f>IFERROR(__xludf.DUMMYFUNCTION("""COMPUTED_VALUE"""),"BAIRRO - CENTRO")</f>
        <v>BAIRRO - CENTRO</v>
      </c>
      <c r="O1287" s="5" t="str">
        <f>IFERROR(__xludf.DUMMYFUNCTION("""COMPUTED_VALUE"""),"EM FRENTE À EQUATORIAL")</f>
        <v>EM FRENTE À EQUATORIAL</v>
      </c>
      <c r="P1287" s="5" t="str">
        <f>IFERROR(__xludf.DUMMYFUNCTION("""COMPUTED_VALUE"""),"PRIORIDADE BAIXA")</f>
        <v>PRIORIDADE BAIXA</v>
      </c>
      <c r="Q1287" s="5" t="str">
        <f>IFERROR(__xludf.DUMMYFUNCTION("""COMPUTED_VALUE"""),"PINTURA DA BAIA NO ASFALTO E ADEQUAÇÃO DA CALÇADA (PISO TÁTIL).")</f>
        <v>PINTURA DA BAIA NO ASFALTO E ADEQUAÇÃO DA CALÇADA (PISO TÁTIL).</v>
      </c>
      <c r="R1287" s="5" t="str">
        <f>IFERROR(__xludf.DUMMYFUNCTION("""COMPUTED_VALUE"""),"NENHUMA DAS OPÇÕES")</f>
        <v>NENHUMA DAS OPÇÕES</v>
      </c>
      <c r="S1287" s="5"/>
      <c r="T1287" s="5"/>
      <c r="U1287" s="5"/>
      <c r="V1287" s="9" t="str">
        <f>IFERROR(__xludf.DUMMYFUNCTION("""COMPUTED_VALUE"""),"https://drive.google.com/uc?id=1hqVSlmeCvMaBfrqf6AlnT6xqqqXWFHdy")</f>
        <v>https://drive.google.com/uc?id=1hqVSlmeCvMaBfrqf6AlnT6xqqqXWFHdy</v>
      </c>
      <c r="W1287" s="5" t="str">
        <f>IFERROR(__xludf.DUMMYFUNCTION("""COMPUTED_VALUE"""),"NÃO")</f>
        <v>NÃO</v>
      </c>
      <c r="X1287" s="5" t="str">
        <f>IFERROR(__xludf.DUMMYFUNCTION("""COMPUTED_VALUE"""),"SIM")</f>
        <v>SIM</v>
      </c>
    </row>
    <row r="1288">
      <c r="A1288" s="5">
        <f>IFERROR(__xludf.DUMMYFUNCTION("""COMPUTED_VALUE"""),3.0)</f>
        <v>3</v>
      </c>
      <c r="B1288" s="5" t="str">
        <f>IFERROR(__xludf.DUMMYFUNCTION("""COMPUTED_VALUE"""),"GL022")</f>
        <v>GL022</v>
      </c>
      <c r="C1288" s="5" t="str">
        <f>IFERROR(__xludf.DUMMYFUNCTION("""COMPUTED_VALUE"""),"ABRIGO METÁLICO GRANDE PORTE")</f>
        <v>ABRIGO METÁLICO GRANDE PORTE</v>
      </c>
      <c r="D1288" s="5" t="str">
        <f>IFERROR(__xludf.DUMMYFUNCTION("""COMPUTED_VALUE"""),"COM SUPORTE")</f>
        <v>COM SUPORTE</v>
      </c>
      <c r="E1288" s="5" t="str">
        <f>IFERROR(__xludf.DUMMYFUNCTION("""COMPUTED_VALUE"""),"SEM BAIA")</f>
        <v>SEM BAIA</v>
      </c>
      <c r="F1288" s="5" t="str">
        <f>IFERROR(__xludf.DUMMYFUNCTION("""COMPUTED_VALUE"""),"SIM")</f>
        <v>SIM</v>
      </c>
      <c r="G1288" s="5" t="str">
        <f>IFERROR(__xludf.DUMMYFUNCTION("""COMPUTED_VALUE"""),"NÃO")</f>
        <v>NÃO</v>
      </c>
      <c r="H1288" s="5" t="str">
        <f>IFERROR(__xludf.DUMMYFUNCTION("""COMPUTED_VALUE"""),"PAVIMENTADA")</f>
        <v>PAVIMENTADA</v>
      </c>
      <c r="I1288" s="6" t="str">
        <f>IFERROR(__xludf.DUMMYFUNCTION("""COMPUTED_VALUE"""),"-9.614628")</f>
        <v>-9.614628</v>
      </c>
      <c r="J1288" s="6" t="str">
        <f>IFERROR(__xludf.DUMMYFUNCTION("""COMPUTED_VALUE"""),"-35.739560")</f>
        <v>-35.739560</v>
      </c>
      <c r="K1288" s="5" t="str">
        <f>IFERROR(__xludf.DUMMYFUNCTION("""COMPUTED_VALUE"""),"AV. FERNANDES LIMA")</f>
        <v>AV. FERNANDES LIMA</v>
      </c>
      <c r="L1288" s="5" t="str">
        <f>IFERROR(__xludf.DUMMYFUNCTION("""COMPUTED_VALUE"""),"ARTERIAL ")</f>
        <v>ARTERIAL </v>
      </c>
      <c r="M1288" s="5" t="str">
        <f>IFERROR(__xludf.DUMMYFUNCTION("""COMPUTED_VALUE"""),"GRUTA DE LOURDES")</f>
        <v>GRUTA DE LOURDES</v>
      </c>
      <c r="N1288" s="5" t="str">
        <f>IFERROR(__xludf.DUMMYFUNCTION("""COMPUTED_VALUE"""),"CENTRO - BAIRRO")</f>
        <v>CENTRO - BAIRRO</v>
      </c>
      <c r="O1288" s="5" t="str">
        <f>IFERROR(__xludf.DUMMYFUNCTION("""COMPUTED_VALUE"""),"EM FRENTE AO ASSAÍ")</f>
        <v>EM FRENTE AO ASSAÍ</v>
      </c>
      <c r="P1288" s="5" t="str">
        <f>IFERROR(__xludf.DUMMYFUNCTION("""COMPUTED_VALUE"""),"PRIORIDADE BAIXA")</f>
        <v>PRIORIDADE BAIXA</v>
      </c>
      <c r="Q1288" s="5" t="str">
        <f>IFERROR(__xludf.DUMMYFUNCTION("""COMPUTED_VALUE"""),"PINTURA DA BAIA NO ASFALTO, REPAROS, REPINTURA E ADEQUAÇÃO DA CALÇADA (PISO TÁTIL).")</f>
        <v>PINTURA DA BAIA NO ASFALTO, REPAROS, REPINTURA E ADEQUAÇÃO DA CALÇADA (PISO TÁTIL).</v>
      </c>
      <c r="R1288" s="5" t="str">
        <f>IFERROR(__xludf.DUMMYFUNCTION("""COMPUTED_VALUE"""),"NENHUMA DAS OPÇÕES")</f>
        <v>NENHUMA DAS OPÇÕES</v>
      </c>
      <c r="S1288" s="5"/>
      <c r="T1288" s="5"/>
      <c r="U1288" s="5"/>
      <c r="V1288" s="9" t="str">
        <f>IFERROR(__xludf.DUMMYFUNCTION("""COMPUTED_VALUE"""),"https://drive.google.com/uc?id=1D4bh8aBEZ9vDGs8dCezypp12llor-ORl")</f>
        <v>https://drive.google.com/uc?id=1D4bh8aBEZ9vDGs8dCezypp12llor-ORl</v>
      </c>
      <c r="W1288" s="5" t="str">
        <f>IFERROR(__xludf.DUMMYFUNCTION("""COMPUTED_VALUE"""),"SIM")</f>
        <v>SIM</v>
      </c>
      <c r="X1288" s="5" t="str">
        <f>IFERROR(__xludf.DUMMYFUNCTION("""COMPUTED_VALUE"""),"SIM")</f>
        <v>SIM</v>
      </c>
    </row>
    <row r="1289" hidden="1">
      <c r="A1289" s="5">
        <f>IFERROR(__xludf.DUMMYFUNCTION("""COMPUTED_VALUE"""),3.0)</f>
        <v>3</v>
      </c>
      <c r="B1289" s="5" t="str">
        <f>IFERROR(__xludf.DUMMYFUNCTION("""COMPUTED_VALUE"""),"GL023")</f>
        <v>GL023</v>
      </c>
      <c r="C1289" s="5" t="str">
        <f>IFERROR(__xludf.DUMMYFUNCTION("""COMPUTED_VALUE"""),"NÃO POSSUI")</f>
        <v>NÃO POSSUI</v>
      </c>
      <c r="D1289" s="5" t="str">
        <f>IFERROR(__xludf.DUMMYFUNCTION("""COMPUTED_VALUE"""),"COM SUPORTE")</f>
        <v>COM SUPORTE</v>
      </c>
      <c r="E1289" s="5" t="str">
        <f>IFERROR(__xludf.DUMMYFUNCTION("""COMPUTED_VALUE"""),"SEM BAIA")</f>
        <v>SEM BAIA</v>
      </c>
      <c r="F1289" s="5" t="str">
        <f>IFERROR(__xludf.DUMMYFUNCTION("""COMPUTED_VALUE"""),"NÃO")</f>
        <v>NÃO</v>
      </c>
      <c r="G1289" s="5" t="str">
        <f>IFERROR(__xludf.DUMMYFUNCTION("""COMPUTED_VALUE"""),"NÃO")</f>
        <v>NÃO</v>
      </c>
      <c r="H1289" s="5" t="str">
        <f>IFERROR(__xludf.DUMMYFUNCTION("""COMPUTED_VALUE"""),"PAVIMENTADA COM AVARIAS")</f>
        <v>PAVIMENTADA COM AVARIAS</v>
      </c>
      <c r="I1289" s="6" t="str">
        <f>IFERROR(__xludf.DUMMYFUNCTION("""COMPUTED_VALUE"""),"-9.606058")</f>
        <v>-9.606058</v>
      </c>
      <c r="J1289" s="6" t="str">
        <f>IFERROR(__xludf.DUMMYFUNCTION("""COMPUTED_VALUE"""),"-35.735402")</f>
        <v>-35.735402</v>
      </c>
      <c r="K1289" s="5" t="str">
        <f>IFERROR(__xludf.DUMMYFUNCTION("""COMPUTED_VALUE"""),"AV. EMPRESÁRIO VALENTIM SANTOS DINIZ")</f>
        <v>AV. EMPRESÁRIO VALENTIM SANTOS DINIZ</v>
      </c>
      <c r="L1289" s="5" t="str">
        <f>IFERROR(__xludf.DUMMYFUNCTION("""COMPUTED_VALUE"""),"COLETORA")</f>
        <v>COLETORA</v>
      </c>
      <c r="M1289" s="5" t="str">
        <f>IFERROR(__xludf.DUMMYFUNCTION("""COMPUTED_VALUE"""),"GRUTA DE LOURDES")</f>
        <v>GRUTA DE LOURDES</v>
      </c>
      <c r="N1289" s="5" t="str">
        <f>IFERROR(__xludf.DUMMYFUNCTION("""COMPUTED_VALUE"""),"BAIRRO - CENTRO")</f>
        <v>BAIRRO - CENTRO</v>
      </c>
      <c r="O1289" s="5"/>
      <c r="P1289" s="5" t="str">
        <f>IFERROR(__xludf.DUMMYFUNCTION("""COMPUTED_VALUE"""),"PRIORIDADE BAIXA")</f>
        <v>PRIORIDADE BAIXA</v>
      </c>
      <c r="Q1289" s="5" t="str">
        <f>IFERROR(__xludf.DUMMYFUNCTION("""COMPUTED_VALUE"""),"ADEQUAÇÃO DA CALÇADA (RAMPA DE ACESSIBILIDADE E PISO TÁTIL).")</f>
        <v>ADEQUAÇÃO DA CALÇADA (RAMPA DE ACESSIBILIDADE E PISO TÁTIL).</v>
      </c>
      <c r="R1289" s="5" t="str">
        <f>IFERROR(__xludf.DUMMYFUNCTION("""COMPUTED_VALUE"""),"NENHUMA DAS OPÇÕES")</f>
        <v>NENHUMA DAS OPÇÕES</v>
      </c>
      <c r="S1289" s="5"/>
      <c r="T1289" s="5"/>
      <c r="U1289" s="5"/>
      <c r="V1289" s="9" t="str">
        <f>IFERROR(__xludf.DUMMYFUNCTION("""COMPUTED_VALUE"""),"https://drive.google.com/uc?id=1xNm-t0htLtAXik_oPAGCTlSJ3Z1LQY5F")</f>
        <v>https://drive.google.com/uc?id=1xNm-t0htLtAXik_oPAGCTlSJ3Z1LQY5F</v>
      </c>
      <c r="W1289" s="5" t="str">
        <f>IFERROR(__xludf.DUMMYFUNCTION("""COMPUTED_VALUE"""),"NÃO")</f>
        <v>NÃO</v>
      </c>
      <c r="X1289" s="5" t="str">
        <f>IFERROR(__xludf.DUMMYFUNCTION("""COMPUTED_VALUE"""),"NÃO SE APLICA")</f>
        <v>NÃO SE APLICA</v>
      </c>
    </row>
    <row r="1290">
      <c r="A1290" s="5">
        <f>IFERROR(__xludf.DUMMYFUNCTION("""COMPUTED_VALUE"""),3.0)</f>
        <v>3</v>
      </c>
      <c r="B1290" s="5" t="str">
        <f>IFERROR(__xludf.DUMMYFUNCTION("""COMPUTED_VALUE"""),"GL024")</f>
        <v>GL024</v>
      </c>
      <c r="C1290" s="5" t="str">
        <f>IFERROR(__xludf.DUMMYFUNCTION("""COMPUTED_VALUE"""),"ABRIGO METÁLICO PEQUENO PORTE")</f>
        <v>ABRIGO METÁLICO PEQUENO PORTE</v>
      </c>
      <c r="D1290" s="5" t="str">
        <f>IFERROR(__xludf.DUMMYFUNCTION("""COMPUTED_VALUE"""),"COM SUPORTE")</f>
        <v>COM SUPORTE</v>
      </c>
      <c r="E1290" s="5" t="str">
        <f>IFERROR(__xludf.DUMMYFUNCTION("""COMPUTED_VALUE"""),"BAIA CONSTRUÍDA")</f>
        <v>BAIA CONSTRUÍDA</v>
      </c>
      <c r="F1290" s="5" t="str">
        <f>IFERROR(__xludf.DUMMYFUNCTION("""COMPUTED_VALUE"""),"NÃO")</f>
        <v>NÃO</v>
      </c>
      <c r="G1290" s="5" t="str">
        <f>IFERROR(__xludf.DUMMYFUNCTION("""COMPUTED_VALUE"""),"NÃO")</f>
        <v>NÃO</v>
      </c>
      <c r="H1290" s="5" t="str">
        <f>IFERROR(__xludf.DUMMYFUNCTION("""COMPUTED_VALUE"""),"PAVIMENTADA")</f>
        <v>PAVIMENTADA</v>
      </c>
      <c r="I1290" s="6" t="str">
        <f>IFERROR(__xludf.DUMMYFUNCTION("""COMPUTED_VALUE"""),"-9.620225")</f>
        <v>-9.620225</v>
      </c>
      <c r="J1290" s="6" t="str">
        <f>IFERROR(__xludf.DUMMYFUNCTION("""COMPUTED_VALUE"""),"-35.738892")</f>
        <v>-35.738892</v>
      </c>
      <c r="K1290" s="5" t="str">
        <f>IFERROR(__xludf.DUMMYFUNCTION("""COMPUTED_VALUE"""),"AV. FERNANDES LIMA")</f>
        <v>AV. FERNANDES LIMA</v>
      </c>
      <c r="L1290" s="5" t="str">
        <f>IFERROR(__xludf.DUMMYFUNCTION("""COMPUTED_VALUE"""),"ARTERIAL ")</f>
        <v>ARTERIAL </v>
      </c>
      <c r="M1290" s="5" t="str">
        <f>IFERROR(__xludf.DUMMYFUNCTION("""COMPUTED_VALUE"""),"GRUTA DE LOURDES")</f>
        <v>GRUTA DE LOURDES</v>
      </c>
      <c r="N1290" s="5" t="str">
        <f>IFERROR(__xludf.DUMMYFUNCTION("""COMPUTED_VALUE"""),"CENTRO - BAIRRO")</f>
        <v>CENTRO - BAIRRO</v>
      </c>
      <c r="O1290" s="5" t="str">
        <f>IFERROR(__xludf.DUMMYFUNCTION("""COMPUTED_VALUE"""),"EM FRENTE À DEFENSORIA ")</f>
        <v>EM FRENTE À DEFENSORIA </v>
      </c>
      <c r="P1290" s="5" t="str">
        <f>IFERROR(__xludf.DUMMYFUNCTION("""COMPUTED_VALUE"""),"PRIORIDADE BAIXA")</f>
        <v>PRIORIDADE BAIXA</v>
      </c>
      <c r="Q1290" s="5" t="str">
        <f>IFERROR(__xludf.DUMMYFUNCTION("""COMPUTED_VALUE"""),"PINTURA DA BAIA NO ASFALTO E ADEQUAÇÃO DA CALÇADA (PISO TÁTIL).")</f>
        <v>PINTURA DA BAIA NO ASFALTO E ADEQUAÇÃO DA CALÇADA (PISO TÁTIL).</v>
      </c>
      <c r="R1290" s="5" t="str">
        <f>IFERROR(__xludf.DUMMYFUNCTION("""COMPUTED_VALUE"""),"NENHUMA DAS OPÇÕES")</f>
        <v>NENHUMA DAS OPÇÕES</v>
      </c>
      <c r="S1290" s="5"/>
      <c r="T1290" s="5"/>
      <c r="U1290" s="5"/>
      <c r="V1290" s="9" t="str">
        <f>IFERROR(__xludf.DUMMYFUNCTION("""COMPUTED_VALUE"""),"https://drive.google.com/uc?id=1dgDcqbH4T3648zJNYfmPaWiVWkYk5Jwy")</f>
        <v>https://drive.google.com/uc?id=1dgDcqbH4T3648zJNYfmPaWiVWkYk5Jwy</v>
      </c>
      <c r="W1290" s="5" t="str">
        <f>IFERROR(__xludf.DUMMYFUNCTION("""COMPUTED_VALUE"""),"NÃO")</f>
        <v>NÃO</v>
      </c>
      <c r="X1290" s="5" t="str">
        <f>IFERROR(__xludf.DUMMYFUNCTION("""COMPUTED_VALUE"""),"SIM")</f>
        <v>SIM</v>
      </c>
    </row>
    <row r="1291">
      <c r="A1291" s="5">
        <f>IFERROR(__xludf.DUMMYFUNCTION("""COMPUTED_VALUE"""),3.0)</f>
        <v>3</v>
      </c>
      <c r="B1291" s="5" t="str">
        <f>IFERROR(__xludf.DUMMYFUNCTION("""COMPUTED_VALUE"""),"GL025")</f>
        <v>GL025</v>
      </c>
      <c r="C1291" s="5" t="str">
        <f>IFERROR(__xludf.DUMMYFUNCTION("""COMPUTED_VALUE"""),"ABRIGO METÁLICO GRANDE PORTE")</f>
        <v>ABRIGO METÁLICO GRANDE PORTE</v>
      </c>
      <c r="D1291" s="5" t="str">
        <f>IFERROR(__xludf.DUMMYFUNCTION("""COMPUTED_VALUE"""),"SEM PLACA")</f>
        <v>SEM PLACA</v>
      </c>
      <c r="E1291" s="5" t="str">
        <f>IFERROR(__xludf.DUMMYFUNCTION("""COMPUTED_VALUE"""),"SEM BAIA")</f>
        <v>SEM BAIA</v>
      </c>
      <c r="F1291" s="5" t="str">
        <f>IFERROR(__xludf.DUMMYFUNCTION("""COMPUTED_VALUE"""),"NÃO")</f>
        <v>NÃO</v>
      </c>
      <c r="G1291" s="5" t="str">
        <f>IFERROR(__xludf.DUMMYFUNCTION("""COMPUTED_VALUE"""),"NÃO")</f>
        <v>NÃO</v>
      </c>
      <c r="H1291" s="5" t="str">
        <f>IFERROR(__xludf.DUMMYFUNCTION("""COMPUTED_VALUE"""),"PAVIMENTADA")</f>
        <v>PAVIMENTADA</v>
      </c>
      <c r="I1291" s="6" t="str">
        <f>IFERROR(__xludf.DUMMYFUNCTION("""COMPUTED_VALUE"""),"-9.624778")</f>
        <v>-9.624778</v>
      </c>
      <c r="J1291" s="6" t="str">
        <f>IFERROR(__xludf.DUMMYFUNCTION("""COMPUTED_VALUE"""),"-35.738320")</f>
        <v>-35.738320</v>
      </c>
      <c r="K1291" s="5" t="str">
        <f>IFERROR(__xludf.DUMMYFUNCTION("""COMPUTED_VALUE"""),"AV. FERNANDES LIMA")</f>
        <v>AV. FERNANDES LIMA</v>
      </c>
      <c r="L1291" s="5" t="str">
        <f>IFERROR(__xludf.DUMMYFUNCTION("""COMPUTED_VALUE"""),"ARTERIAL ")</f>
        <v>ARTERIAL </v>
      </c>
      <c r="M1291" s="5" t="str">
        <f>IFERROR(__xludf.DUMMYFUNCTION("""COMPUTED_VALUE"""),"GRUTA DE LOURDES")</f>
        <v>GRUTA DE LOURDES</v>
      </c>
      <c r="N1291" s="5" t="str">
        <f>IFERROR(__xludf.DUMMYFUNCTION("""COMPUTED_VALUE"""),"CENTRO - BAIRRO")</f>
        <v>CENTRO - BAIRRO</v>
      </c>
      <c r="O1291" s="5" t="str">
        <f>IFERROR(__xludf.DUMMYFUNCTION("""COMPUTED_VALUE"""),"EM FRENTE AO HOSPITAL VEREDAS")</f>
        <v>EM FRENTE AO HOSPITAL VEREDAS</v>
      </c>
      <c r="P1291" s="5" t="str">
        <f>IFERROR(__xludf.DUMMYFUNCTION("""COMPUTED_VALUE"""),"PRIORIDADE BAIXA")</f>
        <v>PRIORIDADE BAIXA</v>
      </c>
      <c r="Q1291" s="5" t="str">
        <f>IFERROR(__xludf.DUMMYFUNCTION("""COMPUTED_VALUE"""),"PINTURA DA BAIA NO ASFALTO E ADEQUAÇÃO DA CALÇADA (PISO TÁTIL).")</f>
        <v>PINTURA DA BAIA NO ASFALTO E ADEQUAÇÃO DA CALÇADA (PISO TÁTIL).</v>
      </c>
      <c r="R1291" s="5" t="str">
        <f>IFERROR(__xludf.DUMMYFUNCTION("""COMPUTED_VALUE"""),"NENHUMA DAS OPÇÕES")</f>
        <v>NENHUMA DAS OPÇÕES</v>
      </c>
      <c r="S1291" s="5"/>
      <c r="T1291" s="5"/>
      <c r="U1291" s="5"/>
      <c r="V1291" s="9" t="str">
        <f>IFERROR(__xludf.DUMMYFUNCTION("""COMPUTED_VALUE"""),"https://drive.google.com/uc?id=1aXGBQApFospOZjre0QphJiX8C-RUFclz")</f>
        <v>https://drive.google.com/uc?id=1aXGBQApFospOZjre0QphJiX8C-RUFclz</v>
      </c>
      <c r="W1291" s="5" t="str">
        <f>IFERROR(__xludf.DUMMYFUNCTION("""COMPUTED_VALUE"""),"SIM")</f>
        <v>SIM</v>
      </c>
      <c r="X1291" s="5" t="str">
        <f>IFERROR(__xludf.DUMMYFUNCTION("""COMPUTED_VALUE"""),"SIM")</f>
        <v>SIM</v>
      </c>
    </row>
    <row r="1292">
      <c r="A1292" s="5">
        <f>IFERROR(__xludf.DUMMYFUNCTION("""COMPUTED_VALUE"""),3.0)</f>
        <v>3</v>
      </c>
      <c r="B1292" s="5" t="str">
        <f>IFERROR(__xludf.DUMMYFUNCTION("""COMPUTED_VALUE"""),"GL026")</f>
        <v>GL026</v>
      </c>
      <c r="C1292" s="5" t="str">
        <f>IFERROR(__xludf.DUMMYFUNCTION("""COMPUTED_VALUE"""),"ABRIGO METÁLICO PEQUENO PORTE")</f>
        <v>ABRIGO METÁLICO PEQUENO PORTE</v>
      </c>
      <c r="D1292" s="5" t="str">
        <f>IFERROR(__xludf.DUMMYFUNCTION("""COMPUTED_VALUE"""),"COM SUPORTE")</f>
        <v>COM SUPORTE</v>
      </c>
      <c r="E1292" s="5" t="str">
        <f>IFERROR(__xludf.DUMMYFUNCTION("""COMPUTED_VALUE"""),"SEM BAIA")</f>
        <v>SEM BAIA</v>
      </c>
      <c r="F1292" s="5" t="str">
        <f>IFERROR(__xludf.DUMMYFUNCTION("""COMPUTED_VALUE"""),"SIM")</f>
        <v>SIM</v>
      </c>
      <c r="G1292" s="5" t="str">
        <f>IFERROR(__xludf.DUMMYFUNCTION("""COMPUTED_VALUE"""),"NÃO")</f>
        <v>NÃO</v>
      </c>
      <c r="H1292" s="5" t="str">
        <f>IFERROR(__xludf.DUMMYFUNCTION("""COMPUTED_VALUE"""),"PAVIMENTADA COM AVARIAS")</f>
        <v>PAVIMENTADA COM AVARIAS</v>
      </c>
      <c r="I1292" s="6" t="str">
        <f>IFERROR(__xludf.DUMMYFUNCTION("""COMPUTED_VALUE"""),"-9.627708")</f>
        <v>-9.627708</v>
      </c>
      <c r="J1292" s="6" t="str">
        <f>IFERROR(__xludf.DUMMYFUNCTION("""COMPUTED_VALUE"""),"-35.737735")</f>
        <v>-35.737735</v>
      </c>
      <c r="K1292" s="5" t="str">
        <f>IFERROR(__xludf.DUMMYFUNCTION("""COMPUTED_VALUE"""),"AV. FERNANDES LIMA")</f>
        <v>AV. FERNANDES LIMA</v>
      </c>
      <c r="L1292" s="5" t="str">
        <f>IFERROR(__xludf.DUMMYFUNCTION("""COMPUTED_VALUE"""),"ARTERIAL ")</f>
        <v>ARTERIAL </v>
      </c>
      <c r="M1292" s="5" t="str">
        <f>IFERROR(__xludf.DUMMYFUNCTION("""COMPUTED_VALUE"""),"GRUTA DE LOURDES")</f>
        <v>GRUTA DE LOURDES</v>
      </c>
      <c r="N1292" s="5" t="str">
        <f>IFERROR(__xludf.DUMMYFUNCTION("""COMPUTED_VALUE"""),"CENTRO - BAIRRO")</f>
        <v>CENTRO - BAIRRO</v>
      </c>
      <c r="O1292" s="5" t="str">
        <f>IFERROR(__xludf.DUMMYFUNCTION("""COMPUTED_VALUE"""),"PRÓXIMO AO SHOPPING FAROL")</f>
        <v>PRÓXIMO AO SHOPPING FAROL</v>
      </c>
      <c r="P1292" s="5" t="str">
        <f>IFERROR(__xludf.DUMMYFUNCTION("""COMPUTED_VALUE"""),"PRIORIDADE BAIXA")</f>
        <v>PRIORIDADE BAIXA</v>
      </c>
      <c r="Q1292" s="5" t="str">
        <f>IFERROR(__xludf.DUMMYFUNCTION("""COMPUTED_VALUE"""),"PINTURA DA BAIA NO ASFALTO, REPINTURA E ADEQUAÇÃO DA CALÇADA (PISO TÁTIL).")</f>
        <v>PINTURA DA BAIA NO ASFALTO, REPINTURA E ADEQUAÇÃO DA CALÇADA (PISO TÁTIL).</v>
      </c>
      <c r="R1292" s="5" t="str">
        <f>IFERROR(__xludf.DUMMYFUNCTION("""COMPUTED_VALUE"""),"NENHUMA DAS OPÇÕES")</f>
        <v>NENHUMA DAS OPÇÕES</v>
      </c>
      <c r="S1292" s="5"/>
      <c r="T1292" s="5"/>
      <c r="U1292" s="5"/>
      <c r="V1292" s="9" t="str">
        <f>IFERROR(__xludf.DUMMYFUNCTION("""COMPUTED_VALUE"""),"https://drive.google.com/uc?id=1fU2iLWZ3bQ5-DMrK-8JVhf1fkW2xPAGn")</f>
        <v>https://drive.google.com/uc?id=1fU2iLWZ3bQ5-DMrK-8JVhf1fkW2xPAGn</v>
      </c>
      <c r="W1292" s="5" t="str">
        <f>IFERROR(__xludf.DUMMYFUNCTION("""COMPUTED_VALUE"""),"SIM")</f>
        <v>SIM</v>
      </c>
      <c r="X1292" s="5" t="str">
        <f>IFERROR(__xludf.DUMMYFUNCTION("""COMPUTED_VALUE"""),"SIM")</f>
        <v>SIM</v>
      </c>
    </row>
    <row r="1293">
      <c r="A1293" s="5">
        <f>IFERROR(__xludf.DUMMYFUNCTION("""COMPUTED_VALUE"""),3.0)</f>
        <v>3</v>
      </c>
      <c r="B1293" s="5" t="str">
        <f>IFERROR(__xludf.DUMMYFUNCTION("""COMPUTED_VALUE"""),"GL027")</f>
        <v>GL027</v>
      </c>
      <c r="C1293" s="5" t="str">
        <f>IFERROR(__xludf.DUMMYFUNCTION("""COMPUTED_VALUE"""),"ABRIGO METÁLICO GRANDE PORTE")</f>
        <v>ABRIGO METÁLICO GRANDE PORTE</v>
      </c>
      <c r="D1293" s="5" t="str">
        <f>IFERROR(__xludf.DUMMYFUNCTION("""COMPUTED_VALUE"""),"COM SUPORTE")</f>
        <v>COM SUPORTE</v>
      </c>
      <c r="E1293" s="5" t="str">
        <f>IFERROR(__xludf.DUMMYFUNCTION("""COMPUTED_VALUE"""),"SEM BAIA")</f>
        <v>SEM BAIA</v>
      </c>
      <c r="F1293" s="5" t="str">
        <f>IFERROR(__xludf.DUMMYFUNCTION("""COMPUTED_VALUE"""),"NÃO")</f>
        <v>NÃO</v>
      </c>
      <c r="G1293" s="5" t="str">
        <f>IFERROR(__xludf.DUMMYFUNCTION("""COMPUTED_VALUE"""),"NÃO")</f>
        <v>NÃO</v>
      </c>
      <c r="H1293" s="5" t="str">
        <f>IFERROR(__xludf.DUMMYFUNCTION("""COMPUTED_VALUE"""),"PAVIMENTADA COM AVARIAS")</f>
        <v>PAVIMENTADA COM AVARIAS</v>
      </c>
      <c r="I1293" s="6" t="str">
        <f>IFERROR(__xludf.DUMMYFUNCTION("""COMPUTED_VALUE"""),"-9.626524")</f>
        <v>-9.626524</v>
      </c>
      <c r="J1293" s="6" t="str">
        <f>IFERROR(__xludf.DUMMYFUNCTION("""COMPUTED_VALUE"""),"-35.738277")</f>
        <v>-35.738277</v>
      </c>
      <c r="K1293" s="5" t="str">
        <f>IFERROR(__xludf.DUMMYFUNCTION("""COMPUTED_VALUE"""),"AV. FERNANDES LIMA")</f>
        <v>AV. FERNANDES LIMA</v>
      </c>
      <c r="L1293" s="5" t="str">
        <f>IFERROR(__xludf.DUMMYFUNCTION("""COMPUTED_VALUE"""),"ARTERIAL ")</f>
        <v>ARTERIAL </v>
      </c>
      <c r="M1293" s="5" t="str">
        <f>IFERROR(__xludf.DUMMYFUNCTION("""COMPUTED_VALUE"""),"GRUTA DE LOURDES")</f>
        <v>GRUTA DE LOURDES</v>
      </c>
      <c r="N1293" s="5" t="str">
        <f>IFERROR(__xludf.DUMMYFUNCTION("""COMPUTED_VALUE"""),"BAIRRO - CENTRO")</f>
        <v>BAIRRO - CENTRO</v>
      </c>
      <c r="O1293" s="5" t="str">
        <f>IFERROR(__xludf.DUMMYFUNCTION("""COMPUTED_VALUE"""),"EM FRENTE À CASA VIEIRA")</f>
        <v>EM FRENTE À CASA VIEIRA</v>
      </c>
      <c r="P1293" s="5" t="str">
        <f>IFERROR(__xludf.DUMMYFUNCTION("""COMPUTED_VALUE"""),"PRIORIDADE BAIXA")</f>
        <v>PRIORIDADE BAIXA</v>
      </c>
      <c r="Q1293" s="5" t="str">
        <f>IFERROR(__xludf.DUMMYFUNCTION("""COMPUTED_VALUE"""),"PINTURA DA BAIA NO ASFALTO, REPINTURA E ADEQUAÇÃO DA CALÇADA (PISO TÁTIL).")</f>
        <v>PINTURA DA BAIA NO ASFALTO, REPINTURA E ADEQUAÇÃO DA CALÇADA (PISO TÁTIL).</v>
      </c>
      <c r="R1293" s="5" t="str">
        <f>IFERROR(__xludf.DUMMYFUNCTION("""COMPUTED_VALUE"""),"NENHUMA DAS OPÇÕES")</f>
        <v>NENHUMA DAS OPÇÕES</v>
      </c>
      <c r="S1293" s="5"/>
      <c r="T1293" s="5"/>
      <c r="U1293" s="5"/>
      <c r="V1293" s="9" t="str">
        <f>IFERROR(__xludf.DUMMYFUNCTION("""COMPUTED_VALUE"""),"https://drive.google.com/uc?id=1WAEvQFU6UccO16RzM7dZoTM11CMJJ-wd")</f>
        <v>https://drive.google.com/uc?id=1WAEvQFU6UccO16RzM7dZoTM11CMJJ-wd</v>
      </c>
      <c r="W1293" s="5" t="str">
        <f>IFERROR(__xludf.DUMMYFUNCTION("""COMPUTED_VALUE"""),"NÃO")</f>
        <v>NÃO</v>
      </c>
      <c r="X1293" s="5" t="str">
        <f>IFERROR(__xludf.DUMMYFUNCTION("""COMPUTED_VALUE"""),"SIM")</f>
        <v>SIM</v>
      </c>
    </row>
    <row r="1294" hidden="1">
      <c r="A1294" s="5">
        <f>IFERROR(__xludf.DUMMYFUNCTION("""COMPUTED_VALUE"""),3.0)</f>
        <v>3</v>
      </c>
      <c r="B1294" s="5" t="str">
        <f>IFERROR(__xludf.DUMMYFUNCTION("""COMPUTED_VALUE"""),"GL028")</f>
        <v>GL028</v>
      </c>
      <c r="C1294" s="5" t="str">
        <f>IFERROR(__xludf.DUMMYFUNCTION("""COMPUTED_VALUE"""),"NÃO POSSUI")</f>
        <v>NÃO POSSUI</v>
      </c>
      <c r="D1294" s="5" t="str">
        <f>IFERROR(__xludf.DUMMYFUNCTION("""COMPUTED_VALUE"""),"COM SUPORTE")</f>
        <v>COM SUPORTE</v>
      </c>
      <c r="E1294" s="5" t="str">
        <f>IFERROR(__xludf.DUMMYFUNCTION("""COMPUTED_VALUE"""),"SEM BAIA")</f>
        <v>SEM BAIA</v>
      </c>
      <c r="F1294" s="5" t="str">
        <f>IFERROR(__xludf.DUMMYFUNCTION("""COMPUTED_VALUE"""),"NÃO")</f>
        <v>NÃO</v>
      </c>
      <c r="G1294" s="5" t="str">
        <f>IFERROR(__xludf.DUMMYFUNCTION("""COMPUTED_VALUE"""),"NÃO")</f>
        <v>NÃO</v>
      </c>
      <c r="H1294" s="5" t="str">
        <f>IFERROR(__xludf.DUMMYFUNCTION("""COMPUTED_VALUE"""),"PAVIMENTADA")</f>
        <v>PAVIMENTADA</v>
      </c>
      <c r="I1294" s="6" t="str">
        <f>IFERROR(__xludf.DUMMYFUNCTION("""COMPUTED_VALUE"""),"-9.629652")</f>
        <v>-9.629652</v>
      </c>
      <c r="J1294" s="6" t="str">
        <f>IFERROR(__xludf.DUMMYFUNCTION("""COMPUTED_VALUE"""),"-35.738277")</f>
        <v>-35.738277</v>
      </c>
      <c r="K1294" s="5" t="str">
        <f>IFERROR(__xludf.DUMMYFUNCTION("""COMPUTED_VALUE"""),"RUA  MAJOR VICENTE SABINO, 334")</f>
        <v>RUA  MAJOR VICENTE SABINO, 334</v>
      </c>
      <c r="L1294" s="5" t="str">
        <f>IFERROR(__xludf.DUMMYFUNCTION("""COMPUTED_VALUE"""),"LOCAL")</f>
        <v>LOCAL</v>
      </c>
      <c r="M1294" s="5" t="str">
        <f>IFERROR(__xludf.DUMMYFUNCTION("""COMPUTED_VALUE"""),"GRUTA DE LOURDES")</f>
        <v>GRUTA DE LOURDES</v>
      </c>
      <c r="N1294" s="5" t="str">
        <f>IFERROR(__xludf.DUMMYFUNCTION("""COMPUTED_VALUE"""),"CENTRO - BAIRRO")</f>
        <v>CENTRO - BAIRRO</v>
      </c>
      <c r="O1294" s="5"/>
      <c r="P1294" s="5" t="str">
        <f>IFERROR(__xludf.DUMMYFUNCTION("""COMPUTED_VALUE"""),"PRIORIDADE BAIXA")</f>
        <v>PRIORIDADE BAIXA</v>
      </c>
      <c r="Q1294" s="5"/>
      <c r="R1294" s="5" t="str">
        <f>IFERROR(__xludf.DUMMYFUNCTION("""COMPUTED_VALUE"""),"NENHUMA DAS OPÇÕES")</f>
        <v>NENHUMA DAS OPÇÕES</v>
      </c>
      <c r="S1294" s="5"/>
      <c r="T1294" s="5"/>
      <c r="U1294" s="5"/>
      <c r="V1294" s="9" t="str">
        <f>IFERROR(__xludf.DUMMYFUNCTION("""COMPUTED_VALUE"""),"https://drive.google.com/uc?id=1AYQ0LiNHh7pqlwfv5PKRpVR8Hfp-QTxk")</f>
        <v>https://drive.google.com/uc?id=1AYQ0LiNHh7pqlwfv5PKRpVR8Hfp-QTxk</v>
      </c>
      <c r="W1294" s="5" t="str">
        <f>IFERROR(__xludf.DUMMYFUNCTION("""COMPUTED_VALUE"""),"NÃO")</f>
        <v>NÃO</v>
      </c>
      <c r="X1294" s="5" t="str">
        <f>IFERROR(__xludf.DUMMYFUNCTION("""COMPUTED_VALUE"""),"NÃO")</f>
        <v>NÃO</v>
      </c>
    </row>
    <row r="1295">
      <c r="A1295" s="13">
        <f>IFERROR(__xludf.DUMMYFUNCTION("IMPORTRANGE(""https://docs.google.com/spreadsheets/d/1mdBY0PJzlDiHezRddgrNuVbV7dNEdLAOyTnpPefaMX0/edit#gid=0"", ""JARDIM PETRÓPOLIS !A2:X11"")"),3.0)</f>
        <v>3</v>
      </c>
      <c r="B1295" s="5" t="str">
        <f>IFERROR(__xludf.DUMMYFUNCTION("""COMPUTED_VALUE"""),"JP001")</f>
        <v>JP001</v>
      </c>
      <c r="C1295" s="5" t="str">
        <f>IFERROR(__xludf.DUMMYFUNCTION("""COMPUTED_VALUE"""),"ABRIGO METÁLICO PEQUENO PORTE")</f>
        <v>ABRIGO METÁLICO PEQUENO PORTE</v>
      </c>
      <c r="D1295" s="5" t="str">
        <f>IFERROR(__xludf.DUMMYFUNCTION("""COMPUTED_VALUE"""),"SEM PLACA")</f>
        <v>SEM PLACA</v>
      </c>
      <c r="E1295" s="5" t="str">
        <f>IFERROR(__xludf.DUMMYFUNCTION("""COMPUTED_VALUE"""),"SEM BAIA")</f>
        <v>SEM BAIA</v>
      </c>
      <c r="F1295" s="5" t="str">
        <f>IFERROR(__xludf.DUMMYFUNCTION("""COMPUTED_VALUE"""),"NÃO")</f>
        <v>NÃO</v>
      </c>
      <c r="G1295" s="5" t="str">
        <f>IFERROR(__xludf.DUMMYFUNCTION("""COMPUTED_VALUE"""),"NÃO")</f>
        <v>NÃO</v>
      </c>
      <c r="H1295" s="5" t="str">
        <f>IFERROR(__xludf.DUMMYFUNCTION("""COMPUTED_VALUE"""),"NÃO PAVIMENTADA")</f>
        <v>NÃO PAVIMENTADA</v>
      </c>
      <c r="I1295" s="6" t="str">
        <f>IFERROR(__xludf.DUMMYFUNCTION("""COMPUTED_VALUE"""),"-9.603473")</f>
        <v>-9.603473</v>
      </c>
      <c r="J1295" s="6" t="str">
        <f>IFERROR(__xludf.DUMMYFUNCTION("""COMPUTED_VALUE"""),"-35.745486")</f>
        <v>-35.745486</v>
      </c>
      <c r="K1295" s="5" t="str">
        <f>IFERROR(__xludf.DUMMYFUNCTION("""COMPUTED_VALUE"""),"Av. Durval de Góes Monteiro")</f>
        <v>Av. Durval de Góes Monteiro</v>
      </c>
      <c r="L1295" s="5" t="str">
        <f>IFERROR(__xludf.DUMMYFUNCTION("""COMPUTED_VALUE"""),"ARTERIAL ")</f>
        <v>ARTERIAL </v>
      </c>
      <c r="M1295" s="5" t="str">
        <f>IFERROR(__xludf.DUMMYFUNCTION("""COMPUTED_VALUE"""),"JARDIM PETRÓPOLIS")</f>
        <v>JARDIM PETRÓPOLIS</v>
      </c>
      <c r="N1295" s="5" t="str">
        <f>IFERROR(__xludf.DUMMYFUNCTION("""COMPUTED_VALUE"""),"CENTRO - BAIRRO")</f>
        <v>CENTRO - BAIRRO</v>
      </c>
      <c r="O1295" s="5" t="str">
        <f>IFERROR(__xludf.DUMMYFUNCTION("""COMPUTED_VALUE"""),"EM FRENTE AO POSTO")</f>
        <v>EM FRENTE AO POSTO</v>
      </c>
      <c r="P1295" s="5"/>
      <c r="Q1295" s="5"/>
      <c r="R1295" s="5" t="str">
        <f>IFERROR(__xludf.DUMMYFUNCTION("""COMPUTED_VALUE"""),"SUBSTITUIR ABRIGO")</f>
        <v>SUBSTITUIR ABRIGO</v>
      </c>
      <c r="S1295" s="5"/>
      <c r="T1295" s="5"/>
      <c r="U1295" s="5"/>
      <c r="V1295" s="9" t="str">
        <f>IFERROR(__xludf.DUMMYFUNCTION("""COMPUTED_VALUE"""),"https://drive.google.com/uc?id=1R0Kb60ZYyIsycdcdVFrkdTmO-kdLr_as
")</f>
        <v>https://drive.google.com/uc?id=1R0Kb60ZYyIsycdcdVFrkdTmO-kdLr_as
</v>
      </c>
      <c r="W1295" s="5" t="str">
        <f>IFERROR(__xludf.DUMMYFUNCTION("""COMPUTED_VALUE"""),"NÃO")</f>
        <v>NÃO</v>
      </c>
      <c r="X1295" s="5" t="str">
        <f>IFERROR(__xludf.DUMMYFUNCTION("""COMPUTED_VALUE"""),"NÃO")</f>
        <v>NÃO</v>
      </c>
    </row>
    <row r="1296">
      <c r="A1296" s="5">
        <f>IFERROR(__xludf.DUMMYFUNCTION("""COMPUTED_VALUE"""),3.0)</f>
        <v>3</v>
      </c>
      <c r="B1296" s="5" t="str">
        <f>IFERROR(__xludf.DUMMYFUNCTION("""COMPUTED_VALUE"""),"JP002")</f>
        <v>JP002</v>
      </c>
      <c r="C1296" s="5" t="str">
        <f>IFERROR(__xludf.DUMMYFUNCTION("""COMPUTED_VALUE"""),"ABRIGO METÁLICO PEQUENO PORTE")</f>
        <v>ABRIGO METÁLICO PEQUENO PORTE</v>
      </c>
      <c r="D1296" s="5" t="str">
        <f>IFERROR(__xludf.DUMMYFUNCTION("""COMPUTED_VALUE"""),"SEM PLACA")</f>
        <v>SEM PLACA</v>
      </c>
      <c r="E1296" s="5" t="str">
        <f>IFERROR(__xludf.DUMMYFUNCTION("""COMPUTED_VALUE"""),"SEM BAIA")</f>
        <v>SEM BAIA</v>
      </c>
      <c r="F1296" s="5" t="str">
        <f>IFERROR(__xludf.DUMMYFUNCTION("""COMPUTED_VALUE"""),"NÃO")</f>
        <v>NÃO</v>
      </c>
      <c r="G1296" s="5" t="str">
        <f>IFERROR(__xludf.DUMMYFUNCTION("""COMPUTED_VALUE"""),"NÃO")</f>
        <v>NÃO</v>
      </c>
      <c r="H1296" s="5" t="str">
        <f>IFERROR(__xludf.DUMMYFUNCTION("""COMPUTED_VALUE"""),"PAVIMENTADA")</f>
        <v>PAVIMENTADA</v>
      </c>
      <c r="I1296" s="6" t="str">
        <f>IFERROR(__xludf.DUMMYFUNCTION("""COMPUTED_VALUE"""),"-9.601074")</f>
        <v>-9.601074</v>
      </c>
      <c r="J1296" s="6" t="str">
        <f>IFERROR(__xludf.DUMMYFUNCTION("""COMPUTED_VALUE"""),"-35.748364")</f>
        <v>-35.748364</v>
      </c>
      <c r="K1296" s="5" t="str">
        <f>IFERROR(__xludf.DUMMYFUNCTION("""COMPUTED_VALUE"""),"Av. Durval de Góes Monteiro")</f>
        <v>Av. Durval de Góes Monteiro</v>
      </c>
      <c r="L1296" s="5" t="str">
        <f>IFERROR(__xludf.DUMMYFUNCTION("""COMPUTED_VALUE"""),"ARTERIAL ")</f>
        <v>ARTERIAL </v>
      </c>
      <c r="M1296" s="5" t="str">
        <f>IFERROR(__xludf.DUMMYFUNCTION("""COMPUTED_VALUE"""),"JARDIM PETRÓPOLIS")</f>
        <v>JARDIM PETRÓPOLIS</v>
      </c>
      <c r="N1296" s="5" t="str">
        <f>IFERROR(__xludf.DUMMYFUNCTION("""COMPUTED_VALUE"""),"CENTRO - BAIRRO")</f>
        <v>CENTRO - BAIRRO</v>
      </c>
      <c r="O1296" s="5" t="str">
        <f>IFERROR(__xludf.DUMMYFUNCTION("""COMPUTED_VALUE"""),"EM FRENTE A FUNASA")</f>
        <v>EM FRENTE A FUNASA</v>
      </c>
      <c r="P1296" s="5"/>
      <c r="Q1296" s="5"/>
      <c r="R1296" s="5" t="str">
        <f>IFERROR(__xludf.DUMMYFUNCTION("""COMPUTED_VALUE"""),"SUBSTITUIR ABRIGO")</f>
        <v>SUBSTITUIR ABRIGO</v>
      </c>
      <c r="S1296" s="5"/>
      <c r="T1296" s="5"/>
      <c r="U1296" s="5"/>
      <c r="V1296" s="9" t="str">
        <f>IFERROR(__xludf.DUMMYFUNCTION("""COMPUTED_VALUE"""),"https://drive.google.com/uc?id=1A_MSur2uJB2fFKOIUSZ_I7C2V2HwnkoK
")</f>
        <v>https://drive.google.com/uc?id=1A_MSur2uJB2fFKOIUSZ_I7C2V2HwnkoK
</v>
      </c>
      <c r="W1296" s="5" t="str">
        <f>IFERROR(__xludf.DUMMYFUNCTION("""COMPUTED_VALUE"""),"NÃO")</f>
        <v>NÃO</v>
      </c>
      <c r="X1296" s="5" t="str">
        <f>IFERROR(__xludf.DUMMYFUNCTION("""COMPUTED_VALUE"""),"SIM")</f>
        <v>SIM</v>
      </c>
    </row>
    <row r="1297">
      <c r="A1297" s="5">
        <f>IFERROR(__xludf.DUMMYFUNCTION("""COMPUTED_VALUE"""),3.0)</f>
        <v>3</v>
      </c>
      <c r="B1297" s="5" t="str">
        <f>IFERROR(__xludf.DUMMYFUNCTION("""COMPUTED_VALUE"""),"JP003")</f>
        <v>JP003</v>
      </c>
      <c r="C1297" s="5" t="str">
        <f>IFERROR(__xludf.DUMMYFUNCTION("""COMPUTED_VALUE"""),"ABRIGO METÁLICO PEQUENO PORTE")</f>
        <v>ABRIGO METÁLICO PEQUENO PORTE</v>
      </c>
      <c r="D1297" s="5" t="str">
        <f>IFERROR(__xludf.DUMMYFUNCTION("""COMPUTED_VALUE"""),"COM SUPORTE")</f>
        <v>COM SUPORTE</v>
      </c>
      <c r="E1297" s="5" t="str">
        <f>IFERROR(__xludf.DUMMYFUNCTION("""COMPUTED_VALUE"""),"SEM BAIA")</f>
        <v>SEM BAIA</v>
      </c>
      <c r="F1297" s="5" t="str">
        <f>IFERROR(__xludf.DUMMYFUNCTION("""COMPUTED_VALUE"""),"SIM")</f>
        <v>SIM</v>
      </c>
      <c r="G1297" s="5" t="str">
        <f>IFERROR(__xludf.DUMMYFUNCTION("""COMPUTED_VALUE"""),"NÃO")</f>
        <v>NÃO</v>
      </c>
      <c r="H1297" s="5" t="str">
        <f>IFERROR(__xludf.DUMMYFUNCTION("""COMPUTED_VALUE"""),"PAVIMENTADA")</f>
        <v>PAVIMENTADA</v>
      </c>
      <c r="I1297" s="6" t="str">
        <f>IFERROR(__xludf.DUMMYFUNCTION("""COMPUTED_VALUE"""),"-9.594592")</f>
        <v>-9.594592</v>
      </c>
      <c r="J1297" s="6" t="str">
        <f>IFERROR(__xludf.DUMMYFUNCTION("""COMPUTED_VALUE"""),"-35.752477")</f>
        <v>-35.752477</v>
      </c>
      <c r="K1297" s="5" t="str">
        <f>IFERROR(__xludf.DUMMYFUNCTION("""COMPUTED_VALUE"""),"Av. Durval de Góes Monteiro")</f>
        <v>Av. Durval de Góes Monteiro</v>
      </c>
      <c r="L1297" s="5" t="str">
        <f>IFERROR(__xludf.DUMMYFUNCTION("""COMPUTED_VALUE"""),"ARTERIAL ")</f>
        <v>ARTERIAL </v>
      </c>
      <c r="M1297" s="5" t="str">
        <f>IFERROR(__xludf.DUMMYFUNCTION("""COMPUTED_VALUE"""),"JARDIM PETRÓPOLIS")</f>
        <v>JARDIM PETRÓPOLIS</v>
      </c>
      <c r="N1297" s="5" t="str">
        <f>IFERROR(__xludf.DUMMYFUNCTION("""COMPUTED_VALUE"""),"CENTRO - BAIRRO")</f>
        <v>CENTRO - BAIRRO</v>
      </c>
      <c r="O1297" s="5" t="str">
        <f>IFERROR(__xludf.DUMMYFUNCTION("""COMPUTED_VALUE"""),"EM FRENTE A TUPAN")</f>
        <v>EM FRENTE A TUPAN</v>
      </c>
      <c r="P1297" s="5"/>
      <c r="Q1297" s="5"/>
      <c r="R1297" s="5" t="str">
        <f>IFERROR(__xludf.DUMMYFUNCTION("""COMPUTED_VALUE"""),"SUBSTITUIR ABRIGO")</f>
        <v>SUBSTITUIR ABRIGO</v>
      </c>
      <c r="S1297" s="5"/>
      <c r="T1297" s="5"/>
      <c r="U1297" s="5"/>
      <c r="V1297" s="9" t="str">
        <f>IFERROR(__xludf.DUMMYFUNCTION("""COMPUTED_VALUE"""),"https://drive.google.com/uc?id=1YRl8s5pcpSC7ROH-_g8-otSQ_TF08m-n")</f>
        <v>https://drive.google.com/uc?id=1YRl8s5pcpSC7ROH-_g8-otSQ_TF08m-n</v>
      </c>
      <c r="W1297" s="5" t="str">
        <f>IFERROR(__xludf.DUMMYFUNCTION("""COMPUTED_VALUE"""),"SIM")</f>
        <v>SIM</v>
      </c>
      <c r="X1297" s="5" t="str">
        <f>IFERROR(__xludf.DUMMYFUNCTION("""COMPUTED_VALUE"""),"NÃO")</f>
        <v>NÃO</v>
      </c>
    </row>
    <row r="1298">
      <c r="A1298" s="5">
        <f>IFERROR(__xludf.DUMMYFUNCTION("""COMPUTED_VALUE"""),3.0)</f>
        <v>3</v>
      </c>
      <c r="B1298" s="5" t="str">
        <f>IFERROR(__xludf.DUMMYFUNCTION("""COMPUTED_VALUE"""),"JP004")</f>
        <v>JP004</v>
      </c>
      <c r="C1298" s="5" t="str">
        <f>IFERROR(__xludf.DUMMYFUNCTION("""COMPUTED_VALUE"""),"ABRIGO METÁLICO PEQUENO PORTE")</f>
        <v>ABRIGO METÁLICO PEQUENO PORTE</v>
      </c>
      <c r="D1298" s="5" t="str">
        <f>IFERROR(__xludf.DUMMYFUNCTION("""COMPUTED_VALUE"""),"COM SUPORTE")</f>
        <v>COM SUPORTE</v>
      </c>
      <c r="E1298" s="5" t="str">
        <f>IFERROR(__xludf.DUMMYFUNCTION("""COMPUTED_VALUE"""),"SEM BAIA")</f>
        <v>SEM BAIA</v>
      </c>
      <c r="F1298" s="5" t="str">
        <f>IFERROR(__xludf.DUMMYFUNCTION("""COMPUTED_VALUE"""),"SIM")</f>
        <v>SIM</v>
      </c>
      <c r="G1298" s="5" t="str">
        <f>IFERROR(__xludf.DUMMYFUNCTION("""COMPUTED_VALUE"""),"NÃO")</f>
        <v>NÃO</v>
      </c>
      <c r="H1298" s="5" t="str">
        <f>IFERROR(__xludf.DUMMYFUNCTION("""COMPUTED_VALUE"""),"PAVIMENTADA")</f>
        <v>PAVIMENTADA</v>
      </c>
      <c r="I1298" s="6" t="str">
        <f>IFERROR(__xludf.DUMMYFUNCTION("""COMPUTED_VALUE"""),"-9.593153")</f>
        <v>-9.593153</v>
      </c>
      <c r="J1298" s="6" t="str">
        <f>IFERROR(__xludf.DUMMYFUNCTION("""COMPUTED_VALUE"""),"-35.754896")</f>
        <v>-35.754896</v>
      </c>
      <c r="K1298" s="5" t="str">
        <f>IFERROR(__xludf.DUMMYFUNCTION("""COMPUTED_VALUE"""),"Av. Durval de Góes Monteiro")</f>
        <v>Av. Durval de Góes Monteiro</v>
      </c>
      <c r="L1298" s="5" t="str">
        <f>IFERROR(__xludf.DUMMYFUNCTION("""COMPUTED_VALUE"""),"ARTERIAL ")</f>
        <v>ARTERIAL </v>
      </c>
      <c r="M1298" s="5" t="str">
        <f>IFERROR(__xludf.DUMMYFUNCTION("""COMPUTED_VALUE"""),"JARDIM PETRÓPOLIS")</f>
        <v>JARDIM PETRÓPOLIS</v>
      </c>
      <c r="N1298" s="5" t="str">
        <f>IFERROR(__xludf.DUMMYFUNCTION("""COMPUTED_VALUE"""),"CENTRO - BAIRRO")</f>
        <v>CENTRO - BAIRRO</v>
      </c>
      <c r="O1298" s="5" t="str">
        <f>IFERROR(__xludf.DUMMYFUNCTION("""COMPUTED_VALUE"""),"EM FRENTE A VOLARE")</f>
        <v>EM FRENTE A VOLARE</v>
      </c>
      <c r="P1298" s="5"/>
      <c r="Q1298" s="5"/>
      <c r="R1298" s="5" t="str">
        <f>IFERROR(__xludf.DUMMYFUNCTION("""COMPUTED_VALUE"""),"SUBSTITUIR ABRIGO")</f>
        <v>SUBSTITUIR ABRIGO</v>
      </c>
      <c r="S1298" s="5"/>
      <c r="T1298" s="5"/>
      <c r="U1298" s="5"/>
      <c r="V1298" s="9" t="str">
        <f>IFERROR(__xludf.DUMMYFUNCTION("""COMPUTED_VALUE"""),"https://drive.google.com/uc?id=1BCoNaKsLolonJmCE9LuuN200VFrpFJp3
")</f>
        <v>https://drive.google.com/uc?id=1BCoNaKsLolonJmCE9LuuN200VFrpFJp3
</v>
      </c>
      <c r="W1298" s="5" t="str">
        <f>IFERROR(__xludf.DUMMYFUNCTION("""COMPUTED_VALUE"""),"NÃO")</f>
        <v>NÃO</v>
      </c>
      <c r="X1298" s="5" t="str">
        <f>IFERROR(__xludf.DUMMYFUNCTION("""COMPUTED_VALUE"""),"NÃO")</f>
        <v>NÃO</v>
      </c>
    </row>
    <row r="1299" hidden="1">
      <c r="A1299" s="5">
        <f>IFERROR(__xludf.DUMMYFUNCTION("""COMPUTED_VALUE"""),3.0)</f>
        <v>3</v>
      </c>
      <c r="B1299" s="5" t="str">
        <f>IFERROR(__xludf.DUMMYFUNCTION("""COMPUTED_VALUE"""),"JP005")</f>
        <v>JP005</v>
      </c>
      <c r="C1299" s="5" t="str">
        <f>IFERROR(__xludf.DUMMYFUNCTION("""COMPUTED_VALUE"""),"NÃO POSSUI")</f>
        <v>NÃO POSSUI</v>
      </c>
      <c r="D1299" s="5" t="str">
        <f>IFERROR(__xludf.DUMMYFUNCTION("""COMPUTED_VALUE"""),"FIXADA EM POSTE")</f>
        <v>FIXADA EM POSTE</v>
      </c>
      <c r="E1299" s="5" t="str">
        <f>IFERROR(__xludf.DUMMYFUNCTION("""COMPUTED_VALUE"""),"SEM BAIA")</f>
        <v>SEM BAIA</v>
      </c>
      <c r="F1299" s="5" t="str">
        <f>IFERROR(__xludf.DUMMYFUNCTION("""COMPUTED_VALUE"""),"NÃO")</f>
        <v>NÃO</v>
      </c>
      <c r="G1299" s="5" t="str">
        <f>IFERROR(__xludf.DUMMYFUNCTION("""COMPUTED_VALUE"""),"NÃO")</f>
        <v>NÃO</v>
      </c>
      <c r="H1299" s="5" t="str">
        <f>IFERROR(__xludf.DUMMYFUNCTION("""COMPUTED_VALUE"""),"PAVIMENTADA")</f>
        <v>PAVIMENTADA</v>
      </c>
      <c r="I1299" s="6" t="str">
        <f>IFERROR(__xludf.DUMMYFUNCTION("""COMPUTED_VALUE"""),"-9.595518")</f>
        <v>-9.595518</v>
      </c>
      <c r="J1299" s="6" t="str">
        <f>IFERROR(__xludf.DUMMYFUNCTION("""COMPUTED_VALUE"""),"-35.751220")</f>
        <v>-35.751220</v>
      </c>
      <c r="K1299" s="5" t="str">
        <f>IFERROR(__xludf.DUMMYFUNCTION("""COMPUTED_VALUE"""),"R. Prof. Antônio Nemésio de Albuquerque")</f>
        <v>R. Prof. Antônio Nemésio de Albuquerque</v>
      </c>
      <c r="L1299" s="5" t="str">
        <f>IFERROR(__xludf.DUMMYFUNCTION("""COMPUTED_VALUE"""),"LOCAL")</f>
        <v>LOCAL</v>
      </c>
      <c r="M1299" s="5" t="str">
        <f>IFERROR(__xludf.DUMMYFUNCTION("""COMPUTED_VALUE"""),"JARDIM PETRÓPOLIS")</f>
        <v>JARDIM PETRÓPOLIS</v>
      </c>
      <c r="N1299" s="5" t="str">
        <f>IFERROR(__xludf.DUMMYFUNCTION("""COMPUTED_VALUE"""),"CENTRO - BAIRRO")</f>
        <v>CENTRO - BAIRRO</v>
      </c>
      <c r="O1299" s="5" t="str">
        <f>IFERROR(__xludf.DUMMYFUNCTION("""COMPUTED_VALUE"""),"AO LADO DA TUPAN")</f>
        <v>AO LADO DA TUPAN</v>
      </c>
      <c r="P1299" s="5"/>
      <c r="Q1299" s="5"/>
      <c r="R1299" s="5" t="str">
        <f>IFERROR(__xludf.DUMMYFUNCTION("""COMPUTED_VALUE"""),"NENHUMA DAS OPÇÕES")</f>
        <v>NENHUMA DAS OPÇÕES</v>
      </c>
      <c r="S1299" s="5"/>
      <c r="T1299" s="5"/>
      <c r="U1299" s="5"/>
      <c r="V1299" s="9" t="str">
        <f>IFERROR(__xludf.DUMMYFUNCTION("""COMPUTED_VALUE"""),"https://drive.google.com/uc?id=1uv0qtToZLSt9D2MzfctUjSwJneKFd-DT")</f>
        <v>https://drive.google.com/uc?id=1uv0qtToZLSt9D2MzfctUjSwJneKFd-DT</v>
      </c>
      <c r="W1299" s="5" t="str">
        <f>IFERROR(__xludf.DUMMYFUNCTION("""COMPUTED_VALUE"""),"NÃO")</f>
        <v>NÃO</v>
      </c>
      <c r="X1299" s="5" t="str">
        <f>IFERROR(__xludf.DUMMYFUNCTION("""COMPUTED_VALUE"""),"NÃO SE APLICA")</f>
        <v>NÃO SE APLICA</v>
      </c>
    </row>
    <row r="1300" hidden="1">
      <c r="A1300" s="5">
        <f>IFERROR(__xludf.DUMMYFUNCTION("""COMPUTED_VALUE"""),3.0)</f>
        <v>3</v>
      </c>
      <c r="B1300" s="5" t="str">
        <f>IFERROR(__xludf.DUMMYFUNCTION("""COMPUTED_VALUE"""),"JP006")</f>
        <v>JP006</v>
      </c>
      <c r="C1300" s="5" t="str">
        <f>IFERROR(__xludf.DUMMYFUNCTION("""COMPUTED_VALUE"""),"NÃO POSSUI")</f>
        <v>NÃO POSSUI</v>
      </c>
      <c r="D1300" s="5" t="str">
        <f>IFERROR(__xludf.DUMMYFUNCTION("""COMPUTED_VALUE"""),"FIXADA EM POSTE")</f>
        <v>FIXADA EM POSTE</v>
      </c>
      <c r="E1300" s="5" t="str">
        <f>IFERROR(__xludf.DUMMYFUNCTION("""COMPUTED_VALUE"""),"SEM BAIA")</f>
        <v>SEM BAIA</v>
      </c>
      <c r="F1300" s="5" t="str">
        <f>IFERROR(__xludf.DUMMYFUNCTION("""COMPUTED_VALUE"""),"SIM")</f>
        <v>SIM</v>
      </c>
      <c r="G1300" s="5" t="str">
        <f>IFERROR(__xludf.DUMMYFUNCTION("""COMPUTED_VALUE"""),"NÃO")</f>
        <v>NÃO</v>
      </c>
      <c r="H1300" s="5" t="str">
        <f>IFERROR(__xludf.DUMMYFUNCTION("""COMPUTED_VALUE"""),"PAVIMENTADA")</f>
        <v>PAVIMENTADA</v>
      </c>
      <c r="I1300" s="6" t="str">
        <f>IFERROR(__xludf.DUMMYFUNCTION("""COMPUTED_VALUE"""),"-9.595419")</f>
        <v>-9.595419</v>
      </c>
      <c r="J1300" s="6" t="str">
        <f>IFERROR(__xludf.DUMMYFUNCTION("""COMPUTED_VALUE"""),"-35.751131")</f>
        <v>-35.751131</v>
      </c>
      <c r="K1300" s="5" t="str">
        <f>IFERROR(__xludf.DUMMYFUNCTION("""COMPUTED_VALUE"""),"R. Prof. Antônio Nemésio de Albuquerque")</f>
        <v>R. Prof. Antônio Nemésio de Albuquerque</v>
      </c>
      <c r="L1300" s="5" t="str">
        <f>IFERROR(__xludf.DUMMYFUNCTION("""COMPUTED_VALUE"""),"LOCAL")</f>
        <v>LOCAL</v>
      </c>
      <c r="M1300" s="5" t="str">
        <f>IFERROR(__xludf.DUMMYFUNCTION("""COMPUTED_VALUE"""),"JARDIM PETRÓPOLIS")</f>
        <v>JARDIM PETRÓPOLIS</v>
      </c>
      <c r="N1300" s="5" t="str">
        <f>IFERROR(__xludf.DUMMYFUNCTION("""COMPUTED_VALUE"""),"CENTRO - BAIRRO")</f>
        <v>CENTRO - BAIRRO</v>
      </c>
      <c r="O1300" s="5" t="str">
        <f>IFERROR(__xludf.DUMMYFUNCTION("""COMPUTED_VALUE"""),"AO LADO DA TUPAN")</f>
        <v>AO LADO DA TUPAN</v>
      </c>
      <c r="P1300" s="5"/>
      <c r="Q1300" s="5"/>
      <c r="R1300" s="5" t="str">
        <f>IFERROR(__xludf.DUMMYFUNCTION("""COMPUTED_VALUE"""),"NENHUMA DAS OPÇÕES")</f>
        <v>NENHUMA DAS OPÇÕES</v>
      </c>
      <c r="S1300" s="5"/>
      <c r="T1300" s="5"/>
      <c r="U1300" s="5"/>
      <c r="V1300" s="9" t="str">
        <f>IFERROR(__xludf.DUMMYFUNCTION("""COMPUTED_VALUE"""),"https://drive.google.com/uc?id=1pHTPOXI83hXypMYrBqMSvDvWYuzab8lP")</f>
        <v>https://drive.google.com/uc?id=1pHTPOXI83hXypMYrBqMSvDvWYuzab8lP</v>
      </c>
      <c r="W1300" s="5" t="str">
        <f>IFERROR(__xludf.DUMMYFUNCTION("""COMPUTED_VALUE"""),"NÃO")</f>
        <v>NÃO</v>
      </c>
      <c r="X1300" s="5" t="str">
        <f>IFERROR(__xludf.DUMMYFUNCTION("""COMPUTED_VALUE"""),"NÃO SE APLICA")</f>
        <v>NÃO SE APLICA</v>
      </c>
    </row>
    <row r="1301">
      <c r="A1301" s="5">
        <f>IFERROR(__xludf.DUMMYFUNCTION("""COMPUTED_VALUE"""),3.0)</f>
        <v>3</v>
      </c>
      <c r="B1301" s="5" t="str">
        <f>IFERROR(__xludf.DUMMYFUNCTION("""COMPUTED_VALUE"""),"JP007")</f>
        <v>JP007</v>
      </c>
      <c r="C1301" s="5" t="str">
        <f>IFERROR(__xludf.DUMMYFUNCTION("""COMPUTED_VALUE"""),"ABRIGO CONCRETO")</f>
        <v>ABRIGO CONCRETO</v>
      </c>
      <c r="D1301" s="5" t="str">
        <f>IFERROR(__xludf.DUMMYFUNCTION("""COMPUTED_VALUE"""),"SEM PLACA")</f>
        <v>SEM PLACA</v>
      </c>
      <c r="E1301" s="5" t="str">
        <f>IFERROR(__xludf.DUMMYFUNCTION("""COMPUTED_VALUE"""),"SEM BAIA")</f>
        <v>SEM BAIA</v>
      </c>
      <c r="F1301" s="5" t="str">
        <f>IFERROR(__xludf.DUMMYFUNCTION("""COMPUTED_VALUE"""),"NÃO")</f>
        <v>NÃO</v>
      </c>
      <c r="G1301" s="5" t="str">
        <f>IFERROR(__xludf.DUMMYFUNCTION("""COMPUTED_VALUE"""),"NÃO")</f>
        <v>NÃO</v>
      </c>
      <c r="H1301" s="5" t="str">
        <f>IFERROR(__xludf.DUMMYFUNCTION("""COMPUTED_VALUE"""),"PAVIMENTADA")</f>
        <v>PAVIMENTADA</v>
      </c>
      <c r="I1301" s="6" t="str">
        <f>IFERROR(__xludf.DUMMYFUNCTION("""COMPUTED_VALUE"""),"-9.594355")</f>
        <v>-9.594355</v>
      </c>
      <c r="J1301" s="6" t="str">
        <f>IFERROR(__xludf.DUMMYFUNCTION("""COMPUTED_VALUE"""),"-35.748866")</f>
        <v>-35.748866</v>
      </c>
      <c r="K1301" s="5" t="str">
        <f>IFERROR(__xludf.DUMMYFUNCTION("""COMPUTED_VALUE"""),"R. Dr. José Camelo Júnior")</f>
        <v>R. Dr. José Camelo Júnior</v>
      </c>
      <c r="L1301" s="5" t="str">
        <f>IFERROR(__xludf.DUMMYFUNCTION("""COMPUTED_VALUE"""),"LOCAL")</f>
        <v>LOCAL</v>
      </c>
      <c r="M1301" s="5" t="str">
        <f>IFERROR(__xludf.DUMMYFUNCTION("""COMPUTED_VALUE"""),"JARDIM PETRÓPOLIS")</f>
        <v>JARDIM PETRÓPOLIS</v>
      </c>
      <c r="N1301" s="5" t="str">
        <f>IFERROR(__xludf.DUMMYFUNCTION("""COMPUTED_VALUE"""),"CENTRO - BAIRRO")</f>
        <v>CENTRO - BAIRRO</v>
      </c>
      <c r="O1301" s="5"/>
      <c r="P1301" s="5"/>
      <c r="Q1301" s="5"/>
      <c r="R1301" s="5" t="str">
        <f>IFERROR(__xludf.DUMMYFUNCTION("""COMPUTED_VALUE"""),"SUBSTITUIR ABRIGO")</f>
        <v>SUBSTITUIR ABRIGO</v>
      </c>
      <c r="S1301" s="5"/>
      <c r="T1301" s="5"/>
      <c r="U1301" s="5"/>
      <c r="V1301" s="9" t="str">
        <f>IFERROR(__xludf.DUMMYFUNCTION("""COMPUTED_VALUE"""),"https://drive.google.com/uc?id=1MGHBDx2flunc36-AqfwewlqJ18p5bznK")</f>
        <v>https://drive.google.com/uc?id=1MGHBDx2flunc36-AqfwewlqJ18p5bznK</v>
      </c>
      <c r="W1301" s="5" t="str">
        <f>IFERROR(__xludf.DUMMYFUNCTION("""COMPUTED_VALUE"""),"NÃO")</f>
        <v>NÃO</v>
      </c>
      <c r="X1301" s="5" t="str">
        <f>IFERROR(__xludf.DUMMYFUNCTION("""COMPUTED_VALUE"""),"NÃO SE APLICA")</f>
        <v>NÃO SE APLICA</v>
      </c>
    </row>
    <row r="1302" hidden="1">
      <c r="A1302" s="5">
        <f>IFERROR(__xludf.DUMMYFUNCTION("""COMPUTED_VALUE"""),3.0)</f>
        <v>3</v>
      </c>
      <c r="B1302" s="5" t="str">
        <f>IFERROR(__xludf.DUMMYFUNCTION("""COMPUTED_VALUE"""),"JP008")</f>
        <v>JP008</v>
      </c>
      <c r="C1302" s="5" t="str">
        <f>IFERROR(__xludf.DUMMYFUNCTION("""COMPUTED_VALUE"""),"NÃO POSSUI")</f>
        <v>NÃO POSSUI</v>
      </c>
      <c r="D1302" s="5" t="str">
        <f>IFERROR(__xludf.DUMMYFUNCTION("""COMPUTED_VALUE"""),"FIXADA EM POSTE")</f>
        <v>FIXADA EM POSTE</v>
      </c>
      <c r="E1302" s="5" t="str">
        <f>IFERROR(__xludf.DUMMYFUNCTION("""COMPUTED_VALUE"""),"SEM BAIA")</f>
        <v>SEM BAIA</v>
      </c>
      <c r="F1302" s="5" t="str">
        <f>IFERROR(__xludf.DUMMYFUNCTION("""COMPUTED_VALUE"""),"NÃO")</f>
        <v>NÃO</v>
      </c>
      <c r="G1302" s="5" t="str">
        <f>IFERROR(__xludf.DUMMYFUNCTION("""COMPUTED_VALUE"""),"NÃO")</f>
        <v>NÃO</v>
      </c>
      <c r="H1302" s="5" t="str">
        <f>IFERROR(__xludf.DUMMYFUNCTION("""COMPUTED_VALUE"""),"PAVIMENTADA")</f>
        <v>PAVIMENTADA</v>
      </c>
      <c r="I1302" s="6" t="str">
        <f>IFERROR(__xludf.DUMMYFUNCTION("""COMPUTED_VALUE"""),"-9.594321")</f>
        <v>-9.594321</v>
      </c>
      <c r="J1302" s="6" t="str">
        <f>IFERROR(__xludf.DUMMYFUNCTION("""COMPUTED_VALUE"""),"-35.748900")</f>
        <v>-35.748900</v>
      </c>
      <c r="K1302" s="5" t="str">
        <f>IFERROR(__xludf.DUMMYFUNCTION("""COMPUTED_VALUE"""),"R. Dr. José Camelo Júnior")</f>
        <v>R. Dr. José Camelo Júnior</v>
      </c>
      <c r="L1302" s="5" t="str">
        <f>IFERROR(__xludf.DUMMYFUNCTION("""COMPUTED_VALUE"""),"LOCAL")</f>
        <v>LOCAL</v>
      </c>
      <c r="M1302" s="5" t="str">
        <f>IFERROR(__xludf.DUMMYFUNCTION("""COMPUTED_VALUE"""),"JARDIM PETRÓPOLIS")</f>
        <v>JARDIM PETRÓPOLIS</v>
      </c>
      <c r="N1302" s="5" t="str">
        <f>IFERROR(__xludf.DUMMYFUNCTION("""COMPUTED_VALUE"""),"CENTRO - BAIRRO")</f>
        <v>CENTRO - BAIRRO</v>
      </c>
      <c r="O1302" s="5"/>
      <c r="P1302" s="5"/>
      <c r="Q1302" s="5"/>
      <c r="R1302" s="5" t="str">
        <f>IFERROR(__xludf.DUMMYFUNCTION("""COMPUTED_VALUE"""),"NENHUMA DAS OPÇÕES")</f>
        <v>NENHUMA DAS OPÇÕES</v>
      </c>
      <c r="S1302" s="5"/>
      <c r="T1302" s="5"/>
      <c r="U1302" s="5"/>
      <c r="V1302" s="9" t="str">
        <f>IFERROR(__xludf.DUMMYFUNCTION("""COMPUTED_VALUE"""),"https://drive.google.com/uc?id=1r6PaH5Aad4EYBKSATbKRqMidqjqc58rl")</f>
        <v>https://drive.google.com/uc?id=1r6PaH5Aad4EYBKSATbKRqMidqjqc58rl</v>
      </c>
      <c r="W1302" s="5" t="str">
        <f>IFERROR(__xludf.DUMMYFUNCTION("""COMPUTED_VALUE"""),"NÃO")</f>
        <v>NÃO</v>
      </c>
      <c r="X1302" s="5" t="str">
        <f>IFERROR(__xludf.DUMMYFUNCTION("""COMPUTED_VALUE"""),"NÃO SE APLICA")</f>
        <v>NÃO SE APLICA</v>
      </c>
    </row>
    <row r="1303" hidden="1">
      <c r="A1303" s="5">
        <f>IFERROR(__xludf.DUMMYFUNCTION("""COMPUTED_VALUE"""),3.0)</f>
        <v>3</v>
      </c>
      <c r="B1303" s="5" t="str">
        <f>IFERROR(__xludf.DUMMYFUNCTION("""COMPUTED_VALUE"""),"JP009")</f>
        <v>JP009</v>
      </c>
      <c r="C1303" s="5" t="str">
        <f>IFERROR(__xludf.DUMMYFUNCTION("""COMPUTED_VALUE"""),"NÃO POSSUI")</f>
        <v>NÃO POSSUI</v>
      </c>
      <c r="D1303" s="5" t="str">
        <f>IFERROR(__xludf.DUMMYFUNCTION("""COMPUTED_VALUE"""),"FIXADA EM POSTE")</f>
        <v>FIXADA EM POSTE</v>
      </c>
      <c r="E1303" s="5" t="str">
        <f>IFERROR(__xludf.DUMMYFUNCTION("""COMPUTED_VALUE"""),"SEM BAIA")</f>
        <v>SEM BAIA</v>
      </c>
      <c r="F1303" s="5" t="str">
        <f>IFERROR(__xludf.DUMMYFUNCTION("""COMPUTED_VALUE"""),"NÃO")</f>
        <v>NÃO</v>
      </c>
      <c r="G1303" s="5" t="str">
        <f>IFERROR(__xludf.DUMMYFUNCTION("""COMPUTED_VALUE"""),"NÃO")</f>
        <v>NÃO</v>
      </c>
      <c r="H1303" s="5" t="str">
        <f>IFERROR(__xludf.DUMMYFUNCTION("""COMPUTED_VALUE"""),"PAVIMENTADA")</f>
        <v>PAVIMENTADA</v>
      </c>
      <c r="I1303" s="6" t="str">
        <f>IFERROR(__xludf.DUMMYFUNCTION("""COMPUTED_VALUE"""),"-9.589592")</f>
        <v>-9.589592</v>
      </c>
      <c r="J1303" s="6" t="str">
        <f>IFERROR(__xludf.DUMMYFUNCTION("""COMPUTED_VALUE""")," -35.744007")</f>
        <v> -35.744007</v>
      </c>
      <c r="K1303" s="5" t="str">
        <f>IFERROR(__xludf.DUMMYFUNCTION("""COMPUTED_VALUE"""),"R. Dr. José Camelo Júnior")</f>
        <v>R. Dr. José Camelo Júnior</v>
      </c>
      <c r="L1303" s="5" t="str">
        <f>IFERROR(__xludf.DUMMYFUNCTION("""COMPUTED_VALUE"""),"LOCAL")</f>
        <v>LOCAL</v>
      </c>
      <c r="M1303" s="5" t="str">
        <f>IFERROR(__xludf.DUMMYFUNCTION("""COMPUTED_VALUE"""),"JARDIM PETRÓPOLIS")</f>
        <v>JARDIM PETRÓPOLIS</v>
      </c>
      <c r="N1303" s="5" t="str">
        <f>IFERROR(__xludf.DUMMYFUNCTION("""COMPUTED_VALUE"""),"CENTRO - BAIRRO")</f>
        <v>CENTRO - BAIRRO</v>
      </c>
      <c r="O1303" s="5"/>
      <c r="P1303" s="5"/>
      <c r="Q1303" s="5"/>
      <c r="R1303" s="5" t="str">
        <f>IFERROR(__xludf.DUMMYFUNCTION("""COMPUTED_VALUE"""),"NENHUMA DAS OPÇÕES")</f>
        <v>NENHUMA DAS OPÇÕES</v>
      </c>
      <c r="S1303" s="5"/>
      <c r="T1303" s="5"/>
      <c r="U1303" s="5"/>
      <c r="V1303" s="9" t="str">
        <f>IFERROR(__xludf.DUMMYFUNCTION("""COMPUTED_VALUE"""),"https://drive.google.com/uc?id=1J9mous0zYqGYZFli6TEQ7EMiCrU0Y0s-")</f>
        <v>https://drive.google.com/uc?id=1J9mous0zYqGYZFli6TEQ7EMiCrU0Y0s-</v>
      </c>
      <c r="W1303" s="5" t="str">
        <f>IFERROR(__xludf.DUMMYFUNCTION("""COMPUTED_VALUE"""),"NÃO")</f>
        <v>NÃO</v>
      </c>
      <c r="X1303" s="5" t="str">
        <f>IFERROR(__xludf.DUMMYFUNCTION("""COMPUTED_VALUE"""),"NÃO SE APLICA")</f>
        <v>NÃO SE APLICA</v>
      </c>
    </row>
    <row r="1304">
      <c r="A1304" s="13">
        <f>IFERROR(__xludf.DUMMYFUNCTION("""COMPUTED_VALUE"""),3.0)</f>
        <v>3</v>
      </c>
      <c r="B1304" s="5" t="str">
        <f>IFERROR(__xludf.DUMMYFUNCTION("""COMPUTED_VALUE"""),"JP010")</f>
        <v>JP010</v>
      </c>
      <c r="C1304" s="5" t="str">
        <f>IFERROR(__xludf.DUMMYFUNCTION("""COMPUTED_VALUE"""),"ABRIGO METÁLICO PEQUENO PORTE")</f>
        <v>ABRIGO METÁLICO PEQUENO PORTE</v>
      </c>
      <c r="D1304" s="5" t="str">
        <f>IFERROR(__xludf.DUMMYFUNCTION("""COMPUTED_VALUE"""),"COM SUPORTE")</f>
        <v>COM SUPORTE</v>
      </c>
      <c r="E1304" s="5" t="str">
        <f>IFERROR(__xludf.DUMMYFUNCTION("""COMPUTED_VALUE"""),"SEM BAIA")</f>
        <v>SEM BAIA</v>
      </c>
      <c r="F1304" s="5" t="str">
        <f>IFERROR(__xludf.DUMMYFUNCTION("""COMPUTED_VALUE"""),"SIM")</f>
        <v>SIM</v>
      </c>
      <c r="G1304" s="5" t="str">
        <f>IFERROR(__xludf.DUMMYFUNCTION("""COMPUTED_VALUE"""),"SIM")</f>
        <v>SIM</v>
      </c>
      <c r="H1304" s="5" t="str">
        <f>IFERROR(__xludf.DUMMYFUNCTION("""COMPUTED_VALUE"""),"PAVIMENTADA")</f>
        <v>PAVIMENTADA</v>
      </c>
      <c r="I1304" s="6" t="str">
        <f>IFERROR(__xludf.DUMMYFUNCTION("""COMPUTED_VALUE"""),"-9.604506")</f>
        <v>-9.604506</v>
      </c>
      <c r="J1304" s="6" t="str">
        <f>IFERROR(__xludf.DUMMYFUNCTION("""COMPUTED_VALUE"""),"-35.743040")</f>
        <v>-35.743040</v>
      </c>
      <c r="K1304" s="5" t="str">
        <f>IFERROR(__xludf.DUMMYFUNCTION("""COMPUTED_VALUE"""),"Av. Durval de Góes Monteiro")</f>
        <v>Av. Durval de Góes Monteiro</v>
      </c>
      <c r="L1304" s="5" t="str">
        <f>IFERROR(__xludf.DUMMYFUNCTION("""COMPUTED_VALUE"""),"ARTERIAL ")</f>
        <v>ARTERIAL </v>
      </c>
      <c r="M1304" s="5" t="str">
        <f>IFERROR(__xludf.DUMMYFUNCTION("""COMPUTED_VALUE"""),"JARDIM PETRÓPOLIS")</f>
        <v>JARDIM PETRÓPOLIS</v>
      </c>
      <c r="N1304" s="5" t="str">
        <f>IFERROR(__xludf.DUMMYFUNCTION("""COMPUTED_VALUE"""),"CENTRO - BAIRRO")</f>
        <v>CENTRO - BAIRRO</v>
      </c>
      <c r="O1304" s="5" t="str">
        <f>IFERROR(__xludf.DUMMYFUNCTION("""COMPUTED_VALUE"""),"HAVAN")</f>
        <v>HAVAN</v>
      </c>
      <c r="P1304" s="5"/>
      <c r="Q1304" s="5"/>
      <c r="R1304" s="5"/>
      <c r="S1304" s="5"/>
      <c r="T1304" s="5"/>
      <c r="U1304" s="5"/>
      <c r="V1304" s="9" t="str">
        <f>IFERROR(__xludf.DUMMYFUNCTION("""COMPUTED_VALUE"""),"https://drive.google.com/uc?id=1aF4bUi_PdJB4fSVXtnRS3SMzXRkwRJF0
")</f>
        <v>https://drive.google.com/uc?id=1aF4bUi_PdJB4fSVXtnRS3SMzXRkwRJF0
</v>
      </c>
      <c r="W1304" s="5"/>
      <c r="X1304" s="5"/>
    </row>
    <row r="1305" hidden="1">
      <c r="A1305" s="13">
        <f>IFERROR(__xludf.DUMMYFUNCTION("IMPORTRANGE(""https://docs.google.com/spreadsheets/d/1mdBY0PJzlDiHezRddgrNuVbV7dNEdLAOyTnpPefaMX0/edit#gid=136929768"", ""OURO PRETO!A2:X18"")"),3.0)</f>
        <v>3</v>
      </c>
      <c r="B1305" s="5" t="str">
        <f>IFERROR(__xludf.DUMMYFUNCTION("""COMPUTED_VALUE"""),"OU001")</f>
        <v>OU001</v>
      </c>
      <c r="C1305" s="5" t="str">
        <f>IFERROR(__xludf.DUMMYFUNCTION("""COMPUTED_VALUE"""),"NÃO POSSUI")</f>
        <v>NÃO POSSUI</v>
      </c>
      <c r="D1305" s="5" t="str">
        <f>IFERROR(__xludf.DUMMYFUNCTION("""COMPUTED_VALUE"""),"COM SUPORTE")</f>
        <v>COM SUPORTE</v>
      </c>
      <c r="E1305" s="5" t="str">
        <f>IFERROR(__xludf.DUMMYFUNCTION("""COMPUTED_VALUE"""),"SEM BAIA")</f>
        <v>SEM BAIA</v>
      </c>
      <c r="F1305" s="5" t="str">
        <f>IFERROR(__xludf.DUMMYFUNCTION("""COMPUTED_VALUE"""),"NÃO")</f>
        <v>NÃO</v>
      </c>
      <c r="G1305" s="5" t="str">
        <f>IFERROR(__xludf.DUMMYFUNCTION("""COMPUTED_VALUE"""),"NÃO")</f>
        <v>NÃO</v>
      </c>
      <c r="H1305" s="5" t="str">
        <f>IFERROR(__xludf.DUMMYFUNCTION("""COMPUTED_VALUE"""),"PAVIMENTADA")</f>
        <v>PAVIMENTADA</v>
      </c>
      <c r="I1305" s="6" t="str">
        <f>IFERROR(__xludf.DUMMYFUNCTION("""COMPUTED_VALUE"""),"-9.607545")</f>
        <v>-9.607545</v>
      </c>
      <c r="J1305" s="6" t="str">
        <f>IFERROR(__xludf.DUMMYFUNCTION("""COMPUTED_VALUE"""),"-35.729840")</f>
        <v>-35.729840</v>
      </c>
      <c r="K1305" s="5" t="str">
        <f>IFERROR(__xludf.DUMMYFUNCTION("""COMPUTED_VALUE"""),"RUA SÃO FRANCISCO")</f>
        <v>RUA SÃO FRANCISCO</v>
      </c>
      <c r="L1305" s="5" t="str">
        <f>IFERROR(__xludf.DUMMYFUNCTION("""COMPUTED_VALUE"""),"COLETORA")</f>
        <v>COLETORA</v>
      </c>
      <c r="M1305" s="5" t="str">
        <f>IFERROR(__xludf.DUMMYFUNCTION("""COMPUTED_VALUE"""),"OURO PRETO")</f>
        <v>OURO PRETO</v>
      </c>
      <c r="N1305" s="5"/>
      <c r="O1305" s="5" t="str">
        <f>IFERROR(__xludf.DUMMYFUNCTION("""COMPUTED_VALUE"""),"EM FRENTE A IGREJA CASA DE DEUS")</f>
        <v>EM FRENTE A IGREJA CASA DE DEUS</v>
      </c>
      <c r="P1305" s="5"/>
      <c r="Q1305" s="5"/>
      <c r="R1305" s="5" t="str">
        <f>IFERROR(__xludf.DUMMYFUNCTION("""COMPUTED_VALUE"""),"NENHUMA DAS OPÇÕES")</f>
        <v>NENHUMA DAS OPÇÕES</v>
      </c>
      <c r="S1305" s="5"/>
      <c r="T1305" s="5"/>
      <c r="U1305" s="5"/>
      <c r="V1305" s="9" t="str">
        <f>IFERROR(__xludf.DUMMYFUNCTION("""COMPUTED_VALUE"""),"https://drive.google.com/uc?id=15nBuFpKYpjPQqDuBFlSoXj1c0DjF4oYU")</f>
        <v>https://drive.google.com/uc?id=15nBuFpKYpjPQqDuBFlSoXj1c0DjF4oYU</v>
      </c>
      <c r="W1305" s="5" t="str">
        <f>IFERROR(__xludf.DUMMYFUNCTION("""COMPUTED_VALUE"""),"NÃO")</f>
        <v>NÃO</v>
      </c>
      <c r="X1305" s="5" t="str">
        <f>IFERROR(__xludf.DUMMYFUNCTION("""COMPUTED_VALUE"""),"NÃO SE APLICA")</f>
        <v>NÃO SE APLICA</v>
      </c>
    </row>
    <row r="1306" hidden="1">
      <c r="A1306" s="5">
        <f>IFERROR(__xludf.DUMMYFUNCTION("""COMPUTED_VALUE"""),3.0)</f>
        <v>3</v>
      </c>
      <c r="B1306" s="5" t="str">
        <f>IFERROR(__xludf.DUMMYFUNCTION("""COMPUTED_VALUE"""),"OU002")</f>
        <v>OU002</v>
      </c>
      <c r="C1306" s="5" t="str">
        <f>IFERROR(__xludf.DUMMYFUNCTION("""COMPUTED_VALUE"""),"NÃO POSSUI")</f>
        <v>NÃO POSSUI</v>
      </c>
      <c r="D1306" s="5" t="str">
        <f>IFERROR(__xludf.DUMMYFUNCTION("""COMPUTED_VALUE"""),"COM SUPORTE")</f>
        <v>COM SUPORTE</v>
      </c>
      <c r="E1306" s="5" t="str">
        <f>IFERROR(__xludf.DUMMYFUNCTION("""COMPUTED_VALUE"""),"SEM BAIA")</f>
        <v>SEM BAIA</v>
      </c>
      <c r="F1306" s="5" t="str">
        <f>IFERROR(__xludf.DUMMYFUNCTION("""COMPUTED_VALUE"""),"NÃO")</f>
        <v>NÃO</v>
      </c>
      <c r="G1306" s="5" t="str">
        <f>IFERROR(__xludf.DUMMYFUNCTION("""COMPUTED_VALUE"""),"NÃO")</f>
        <v>NÃO</v>
      </c>
      <c r="H1306" s="5" t="str">
        <f>IFERROR(__xludf.DUMMYFUNCTION("""COMPUTED_VALUE"""),"PAVIMENTADA COM AVARIAS")</f>
        <v>PAVIMENTADA COM AVARIAS</v>
      </c>
      <c r="I1306" s="6" t="str">
        <f>IFERROR(__xludf.DUMMYFUNCTION("""COMPUTED_VALUE"""),"-9.603018")</f>
        <v>-9.603018</v>
      </c>
      <c r="J1306" s="6" t="str">
        <f>IFERROR(__xludf.DUMMYFUNCTION("""COMPUTED_VALUE"""),"-35.730807")</f>
        <v>-35.730807</v>
      </c>
      <c r="K1306" s="5" t="str">
        <f>IFERROR(__xludf.DUMMYFUNCTION("""COMPUTED_VALUE"""),"RUA SÃO FRANCISCO 461")</f>
        <v>RUA SÃO FRANCISCO 461</v>
      </c>
      <c r="L1306" s="5" t="str">
        <f>IFERROR(__xludf.DUMMYFUNCTION("""COMPUTED_VALUE"""),"COLETORA")</f>
        <v>COLETORA</v>
      </c>
      <c r="M1306" s="5" t="str">
        <f>IFERROR(__xludf.DUMMYFUNCTION("""COMPUTED_VALUE"""),"OURO PRETO")</f>
        <v>OURO PRETO</v>
      </c>
      <c r="N1306" s="5"/>
      <c r="O1306" s="5" t="str">
        <f>IFERROR(__xludf.DUMMYFUNCTION("""COMPUTED_VALUE"""),"RUA SÃO FRANCISCO 461")</f>
        <v>RUA SÃO FRANCISCO 461</v>
      </c>
      <c r="P1306" s="5"/>
      <c r="Q1306" s="5"/>
      <c r="R1306" s="5" t="str">
        <f>IFERROR(__xludf.DUMMYFUNCTION("""COMPUTED_VALUE"""),"IMPLANTAR ABRIGO")</f>
        <v>IMPLANTAR ABRIGO</v>
      </c>
      <c r="S1306" s="5"/>
      <c r="T1306" s="5"/>
      <c r="U1306" s="5"/>
      <c r="V1306" s="9" t="str">
        <f>IFERROR(__xludf.DUMMYFUNCTION("""COMPUTED_VALUE"""),"https://drive.google.com/uc?id=1PrtAS2s2QGHUyS4l74wmfSodostHtBZD")</f>
        <v>https://drive.google.com/uc?id=1PrtAS2s2QGHUyS4l74wmfSodostHtBZD</v>
      </c>
      <c r="W1306" s="5" t="str">
        <f>IFERROR(__xludf.DUMMYFUNCTION("""COMPUTED_VALUE"""),"NÃO")</f>
        <v>NÃO</v>
      </c>
      <c r="X1306" s="5" t="str">
        <f>IFERROR(__xludf.DUMMYFUNCTION("""COMPUTED_VALUE"""),"NÃO SE APLICA")</f>
        <v>NÃO SE APLICA</v>
      </c>
    </row>
    <row r="1307">
      <c r="A1307" s="5">
        <f>IFERROR(__xludf.DUMMYFUNCTION("""COMPUTED_VALUE"""),3.0)</f>
        <v>3</v>
      </c>
      <c r="B1307" s="5" t="str">
        <f>IFERROR(__xludf.DUMMYFUNCTION("""COMPUTED_VALUE"""),"OU003")</f>
        <v>OU003</v>
      </c>
      <c r="C1307" s="5" t="str">
        <f>IFERROR(__xludf.DUMMYFUNCTION("""COMPUTED_VALUE"""),"ABRIGO CONCRETO")</f>
        <v>ABRIGO CONCRETO</v>
      </c>
      <c r="D1307" s="5" t="str">
        <f>IFERROR(__xludf.DUMMYFUNCTION("""COMPUTED_VALUE"""),"SEM PLACA")</f>
        <v>SEM PLACA</v>
      </c>
      <c r="E1307" s="5" t="str">
        <f>IFERROR(__xludf.DUMMYFUNCTION("""COMPUTED_VALUE"""),"SEM BAIA")</f>
        <v>SEM BAIA</v>
      </c>
      <c r="F1307" s="5" t="str">
        <f>IFERROR(__xludf.DUMMYFUNCTION("""COMPUTED_VALUE"""),"NÃO")</f>
        <v>NÃO</v>
      </c>
      <c r="G1307" s="5" t="str">
        <f>IFERROR(__xludf.DUMMYFUNCTION("""COMPUTED_VALUE"""),"NÃO")</f>
        <v>NÃO</v>
      </c>
      <c r="H1307" s="5" t="str">
        <f>IFERROR(__xludf.DUMMYFUNCTION("""COMPUTED_VALUE"""),"PAVIMENTADA")</f>
        <v>PAVIMENTADA</v>
      </c>
      <c r="I1307" s="6" t="str">
        <f>IFERROR(__xludf.DUMMYFUNCTION("""COMPUTED_VALUE"""),"-9.602503")</f>
        <v>-9.602503</v>
      </c>
      <c r="J1307" s="6" t="str">
        <f>IFERROR(__xludf.DUMMYFUNCTION("""COMPUTED_VALUE"""),"-35.730843")</f>
        <v>-35.730843</v>
      </c>
      <c r="K1307" s="5" t="str">
        <f>IFERROR(__xludf.DUMMYFUNCTION("""COMPUTED_VALUE"""),"RUA CAMARAGIBE")</f>
        <v>RUA CAMARAGIBE</v>
      </c>
      <c r="L1307" s="5" t="str">
        <f>IFERROR(__xludf.DUMMYFUNCTION("""COMPUTED_VALUE"""),"COLETORA")</f>
        <v>COLETORA</v>
      </c>
      <c r="M1307" s="5" t="str">
        <f>IFERROR(__xludf.DUMMYFUNCTION("""COMPUTED_VALUE"""),"OURO PRETO")</f>
        <v>OURO PRETO</v>
      </c>
      <c r="N1307" s="5"/>
      <c r="O1307" s="5" t="str">
        <f>IFERROR(__xludf.DUMMYFUNCTION("""COMPUTED_VALUE"""),"LADO OPOSTO AO AÇAÍ MIX")</f>
        <v>LADO OPOSTO AO AÇAÍ MIX</v>
      </c>
      <c r="P1307" s="5"/>
      <c r="Q1307" s="5"/>
      <c r="R1307" s="5" t="str">
        <f>IFERROR(__xludf.DUMMYFUNCTION("""COMPUTED_VALUE"""),"SUBSTITUIR ABRIGO")</f>
        <v>SUBSTITUIR ABRIGO</v>
      </c>
      <c r="S1307" s="5"/>
      <c r="T1307" s="5"/>
      <c r="U1307" s="5"/>
      <c r="V1307" s="9" t="str">
        <f>IFERROR(__xludf.DUMMYFUNCTION("""COMPUTED_VALUE"""),"https://drive.google.com/uc?id=1P0iu2wefRajLEj-6zZ1CCkOfuk9NEo05")</f>
        <v>https://drive.google.com/uc?id=1P0iu2wefRajLEj-6zZ1CCkOfuk9NEo05</v>
      </c>
      <c r="W1307" s="5" t="str">
        <f>IFERROR(__xludf.DUMMYFUNCTION("""COMPUTED_VALUE"""),"NÃO")</f>
        <v>NÃO</v>
      </c>
      <c r="X1307" s="5" t="str">
        <f>IFERROR(__xludf.DUMMYFUNCTION("""COMPUTED_VALUE"""),"NÃO SE APLICA")</f>
        <v>NÃO SE APLICA</v>
      </c>
    </row>
    <row r="1308" hidden="1">
      <c r="A1308" s="5">
        <f>IFERROR(__xludf.DUMMYFUNCTION("""COMPUTED_VALUE"""),3.0)</f>
        <v>3</v>
      </c>
      <c r="B1308" s="5" t="str">
        <f>IFERROR(__xludf.DUMMYFUNCTION("""COMPUTED_VALUE"""),"OU004")</f>
        <v>OU004</v>
      </c>
      <c r="C1308" s="5" t="str">
        <f>IFERROR(__xludf.DUMMYFUNCTION("""COMPUTED_VALUE"""),"NÃO POSSUI")</f>
        <v>NÃO POSSUI</v>
      </c>
      <c r="D1308" s="5" t="str">
        <f>IFERROR(__xludf.DUMMYFUNCTION("""COMPUTED_VALUE"""),"COM SUPORTE")</f>
        <v>COM SUPORTE</v>
      </c>
      <c r="E1308" s="5" t="str">
        <f>IFERROR(__xludf.DUMMYFUNCTION("""COMPUTED_VALUE"""),"SEM BAIA")</f>
        <v>SEM BAIA</v>
      </c>
      <c r="F1308" s="5" t="str">
        <f>IFERROR(__xludf.DUMMYFUNCTION("""COMPUTED_VALUE"""),"NÃO")</f>
        <v>NÃO</v>
      </c>
      <c r="G1308" s="5" t="str">
        <f>IFERROR(__xludf.DUMMYFUNCTION("""COMPUTED_VALUE"""),"NÃO")</f>
        <v>NÃO</v>
      </c>
      <c r="H1308" s="5" t="str">
        <f>IFERROR(__xludf.DUMMYFUNCTION("""COMPUTED_VALUE"""),"PAVIMENTADA")</f>
        <v>PAVIMENTADA</v>
      </c>
      <c r="I1308" s="6" t="str">
        <f>IFERROR(__xludf.DUMMYFUNCTION("""COMPUTED_VALUE"""),"-9.610007")</f>
        <v>-9.610007</v>
      </c>
      <c r="J1308" s="6" t="str">
        <f>IFERROR(__xludf.DUMMYFUNCTION("""COMPUTED_VALUE"""),"-35.730098")</f>
        <v>-35.730098</v>
      </c>
      <c r="K1308" s="5" t="str">
        <f>IFERROR(__xludf.DUMMYFUNCTION("""COMPUTED_VALUE"""),"RUA SÃO FRANCISCO")</f>
        <v>RUA SÃO FRANCISCO</v>
      </c>
      <c r="L1308" s="5" t="str">
        <f>IFERROR(__xludf.DUMMYFUNCTION("""COMPUTED_VALUE"""),"COLETORA")</f>
        <v>COLETORA</v>
      </c>
      <c r="M1308" s="5" t="str">
        <f>IFERROR(__xludf.DUMMYFUNCTION("""COMPUTED_VALUE"""),"OURO PRETO")</f>
        <v>OURO PRETO</v>
      </c>
      <c r="N1308" s="5"/>
      <c r="O1308" s="5" t="str">
        <f>IFERROR(__xludf.DUMMYFUNCTION("""COMPUTED_VALUE"""),"PRÓXIMO AO MERC. DO GUGA ")</f>
        <v>PRÓXIMO AO MERC. DO GUGA </v>
      </c>
      <c r="P1308" s="5"/>
      <c r="Q1308" s="5"/>
      <c r="R1308" s="5" t="str">
        <f>IFERROR(__xludf.DUMMYFUNCTION("""COMPUTED_VALUE"""),"NENHUMA DAS OPÇÕES")</f>
        <v>NENHUMA DAS OPÇÕES</v>
      </c>
      <c r="S1308" s="5"/>
      <c r="T1308" s="5"/>
      <c r="U1308" s="5"/>
      <c r="V1308" s="9" t="str">
        <f>IFERROR(__xludf.DUMMYFUNCTION("""COMPUTED_VALUE"""),"https://drive.google.com/uc?id=1nvatRUakXXrLAtcAJq2OSheI-gf606MK")</f>
        <v>https://drive.google.com/uc?id=1nvatRUakXXrLAtcAJq2OSheI-gf606MK</v>
      </c>
      <c r="W1308" s="5" t="str">
        <f>IFERROR(__xludf.DUMMYFUNCTION("""COMPUTED_VALUE"""),"NÃO")</f>
        <v>NÃO</v>
      </c>
      <c r="X1308" s="5" t="str">
        <f>IFERROR(__xludf.DUMMYFUNCTION("""COMPUTED_VALUE"""),"NÃO SE APLICA")</f>
        <v>NÃO SE APLICA</v>
      </c>
    </row>
    <row r="1309" hidden="1">
      <c r="A1309" s="5">
        <f>IFERROR(__xludf.DUMMYFUNCTION("""COMPUTED_VALUE"""),3.0)</f>
        <v>3</v>
      </c>
      <c r="B1309" s="5" t="str">
        <f>IFERROR(__xludf.DUMMYFUNCTION("""COMPUTED_VALUE"""),"OU005")</f>
        <v>OU005</v>
      </c>
      <c r="C1309" s="5" t="str">
        <f>IFERROR(__xludf.DUMMYFUNCTION("""COMPUTED_VALUE"""),"NÃO POSSUI")</f>
        <v>NÃO POSSUI</v>
      </c>
      <c r="D1309" s="5" t="str">
        <f>IFERROR(__xludf.DUMMYFUNCTION("""COMPUTED_VALUE"""),"COM SUPORTE")</f>
        <v>COM SUPORTE</v>
      </c>
      <c r="E1309" s="5" t="str">
        <f>IFERROR(__xludf.DUMMYFUNCTION("""COMPUTED_VALUE"""),"SEM BAIA")</f>
        <v>SEM BAIA</v>
      </c>
      <c r="F1309" s="5" t="str">
        <f>IFERROR(__xludf.DUMMYFUNCTION("""COMPUTED_VALUE"""),"NÃO")</f>
        <v>NÃO</v>
      </c>
      <c r="G1309" s="5" t="str">
        <f>IFERROR(__xludf.DUMMYFUNCTION("""COMPUTED_VALUE"""),"NÃO")</f>
        <v>NÃO</v>
      </c>
      <c r="H1309" s="5" t="str">
        <f>IFERROR(__xludf.DUMMYFUNCTION("""COMPUTED_VALUE"""),"PAVIMENTADA")</f>
        <v>PAVIMENTADA</v>
      </c>
      <c r="I1309" s="6" t="str">
        <f>IFERROR(__xludf.DUMMYFUNCTION("""COMPUTED_VALUE"""),"-9.605572")</f>
        <v>-9.605572</v>
      </c>
      <c r="J1309" s="6" t="str">
        <f>IFERROR(__xludf.DUMMYFUNCTION("""COMPUTED_VALUE"""),"-35.729697")</f>
        <v>-35.729697</v>
      </c>
      <c r="K1309" s="5" t="str">
        <f>IFERROR(__xludf.DUMMYFUNCTION("""COMPUTED_VALUE"""),"RUA SÃO FRANCISCO")</f>
        <v>RUA SÃO FRANCISCO</v>
      </c>
      <c r="L1309" s="5" t="str">
        <f>IFERROR(__xludf.DUMMYFUNCTION("""COMPUTED_VALUE"""),"COLETORA")</f>
        <v>COLETORA</v>
      </c>
      <c r="M1309" s="5" t="str">
        <f>IFERROR(__xludf.DUMMYFUNCTION("""COMPUTED_VALUE"""),"OURO PRETO")</f>
        <v>OURO PRETO</v>
      </c>
      <c r="N1309" s="5"/>
      <c r="O1309" s="5" t="str">
        <f>IFERROR(__xludf.DUMMYFUNCTION("""COMPUTED_VALUE"""),"EM FRENTE  A CASA 30")</f>
        <v>EM FRENTE  A CASA 30</v>
      </c>
      <c r="P1309" s="5"/>
      <c r="Q1309" s="5"/>
      <c r="R1309" s="5" t="str">
        <f>IFERROR(__xludf.DUMMYFUNCTION("""COMPUTED_VALUE"""),"NENHUMA DAS OPÇÕES")</f>
        <v>NENHUMA DAS OPÇÕES</v>
      </c>
      <c r="S1309" s="5"/>
      <c r="T1309" s="5"/>
      <c r="U1309" s="5"/>
      <c r="V1309" s="9" t="str">
        <f>IFERROR(__xludf.DUMMYFUNCTION("""COMPUTED_VALUE"""),"https://drive.google.com/uc?id=14c4MfHEPr1T1XBPYQvvS45krp8XzWW7f")</f>
        <v>https://drive.google.com/uc?id=14c4MfHEPr1T1XBPYQvvS45krp8XzWW7f</v>
      </c>
      <c r="W1309" s="5" t="str">
        <f>IFERROR(__xludf.DUMMYFUNCTION("""COMPUTED_VALUE"""),"NÃO")</f>
        <v>NÃO</v>
      </c>
      <c r="X1309" s="5" t="str">
        <f>IFERROR(__xludf.DUMMYFUNCTION("""COMPUTED_VALUE"""),"NÃO SE APLICA")</f>
        <v>NÃO SE APLICA</v>
      </c>
    </row>
    <row r="1310" ht="15.75" hidden="1" customHeight="1">
      <c r="A1310" s="5">
        <f>IFERROR(__xludf.DUMMYFUNCTION("""COMPUTED_VALUE"""),3.0)</f>
        <v>3</v>
      </c>
      <c r="B1310" s="5" t="str">
        <f>IFERROR(__xludf.DUMMYFUNCTION("""COMPUTED_VALUE"""),"OU006")</f>
        <v>OU006</v>
      </c>
      <c r="C1310" s="5" t="str">
        <f>IFERROR(__xludf.DUMMYFUNCTION("""COMPUTED_VALUE"""),"NÃO POSSUI")</f>
        <v>NÃO POSSUI</v>
      </c>
      <c r="D1310" s="5" t="str">
        <f>IFERROR(__xludf.DUMMYFUNCTION("""COMPUTED_VALUE"""),"FIXADA EM POSTE")</f>
        <v>FIXADA EM POSTE</v>
      </c>
      <c r="E1310" s="5" t="str">
        <f>IFERROR(__xludf.DUMMYFUNCTION("""COMPUTED_VALUE"""),"SEM BAIA")</f>
        <v>SEM BAIA</v>
      </c>
      <c r="F1310" s="5" t="str">
        <f>IFERROR(__xludf.DUMMYFUNCTION("""COMPUTED_VALUE"""),"NÃO")</f>
        <v>NÃO</v>
      </c>
      <c r="G1310" s="5" t="str">
        <f>IFERROR(__xludf.DUMMYFUNCTION("""COMPUTED_VALUE"""),"NÃO")</f>
        <v>NÃO</v>
      </c>
      <c r="H1310" s="5" t="str">
        <f>IFERROR(__xludf.DUMMYFUNCTION("""COMPUTED_VALUE"""),"PAVIMENTADA COM AVARIAS")</f>
        <v>PAVIMENTADA COM AVARIAS</v>
      </c>
      <c r="I1310" s="6" t="str">
        <f>IFERROR(__xludf.DUMMYFUNCTION("""COMPUTED_VALUE"""),"-9.604028")</f>
        <v>-9.604028</v>
      </c>
      <c r="J1310" s="6" t="str">
        <f>IFERROR(__xludf.DUMMYFUNCTION("""COMPUTED_VALUE"""),"-35.730085")</f>
        <v>-35.730085</v>
      </c>
      <c r="K1310" s="5" t="str">
        <f>IFERROR(__xludf.DUMMYFUNCTION("""COMPUTED_VALUE"""),"RUA SÃO FRANCISCO")</f>
        <v>RUA SÃO FRANCISCO</v>
      </c>
      <c r="L1310" s="5" t="str">
        <f>IFERROR(__xludf.DUMMYFUNCTION("""COMPUTED_VALUE"""),"COLETORA")</f>
        <v>COLETORA</v>
      </c>
      <c r="M1310" s="5" t="str">
        <f>IFERROR(__xludf.DUMMYFUNCTION("""COMPUTED_VALUE"""),"OURO PRETO")</f>
        <v>OURO PRETO</v>
      </c>
      <c r="N1310" s="5"/>
      <c r="O1310" s="5" t="str">
        <f>IFERROR(__xludf.DUMMYFUNCTION("""COMPUTED_VALUE"""),"EM FRENTE A CASA 102")</f>
        <v>EM FRENTE A CASA 102</v>
      </c>
      <c r="P1310" s="5"/>
      <c r="Q1310" s="5"/>
      <c r="R1310" s="5" t="str">
        <f>IFERROR(__xludf.DUMMYFUNCTION("""COMPUTED_VALUE"""),"IMPLANTAR ABRIGO")</f>
        <v>IMPLANTAR ABRIGO</v>
      </c>
      <c r="S1310" s="5"/>
      <c r="T1310" s="5"/>
      <c r="U1310" s="5"/>
      <c r="V1310" s="9" t="str">
        <f>IFERROR(__xludf.DUMMYFUNCTION("""COMPUTED_VALUE"""),"https://drive.google.com/uc?id=15KgCilt4SAqFOiKL1aZm0ZbY8ezN-QeA")</f>
        <v>https://drive.google.com/uc?id=15KgCilt4SAqFOiKL1aZm0ZbY8ezN-QeA</v>
      </c>
      <c r="W1310" s="5" t="str">
        <f>IFERROR(__xludf.DUMMYFUNCTION("""COMPUTED_VALUE"""),"NÃO")</f>
        <v>NÃO</v>
      </c>
      <c r="X1310" s="5" t="str">
        <f>IFERROR(__xludf.DUMMYFUNCTION("""COMPUTED_VALUE"""),"NÃO SE APLICA")</f>
        <v>NÃO SE APLICA</v>
      </c>
    </row>
    <row r="1311" hidden="1">
      <c r="A1311" s="5">
        <f>IFERROR(__xludf.DUMMYFUNCTION("""COMPUTED_VALUE"""),3.0)</f>
        <v>3</v>
      </c>
      <c r="B1311" s="5" t="str">
        <f>IFERROR(__xludf.DUMMYFUNCTION("""COMPUTED_VALUE"""),"OU007")</f>
        <v>OU007</v>
      </c>
      <c r="C1311" s="5" t="str">
        <f>IFERROR(__xludf.DUMMYFUNCTION("""COMPUTED_VALUE"""),"NÃO POSSUI")</f>
        <v>NÃO POSSUI</v>
      </c>
      <c r="D1311" s="5" t="str">
        <f>IFERROR(__xludf.DUMMYFUNCTION("""COMPUTED_VALUE"""),"FIXADA EM POSTE")</f>
        <v>FIXADA EM POSTE</v>
      </c>
      <c r="E1311" s="5" t="str">
        <f>IFERROR(__xludf.DUMMYFUNCTION("""COMPUTED_VALUE"""),"SEM BAIA")</f>
        <v>SEM BAIA</v>
      </c>
      <c r="F1311" s="5" t="str">
        <f>IFERROR(__xludf.DUMMYFUNCTION("""COMPUTED_VALUE"""),"NÃO")</f>
        <v>NÃO</v>
      </c>
      <c r="G1311" s="5" t="str">
        <f>IFERROR(__xludf.DUMMYFUNCTION("""COMPUTED_VALUE"""),"NÃO")</f>
        <v>NÃO</v>
      </c>
      <c r="H1311" s="5" t="str">
        <f>IFERROR(__xludf.DUMMYFUNCTION("""COMPUTED_VALUE"""),"PAVIMENTADA")</f>
        <v>PAVIMENTADA</v>
      </c>
      <c r="I1311" s="6" t="str">
        <f>IFERROR(__xludf.DUMMYFUNCTION("""COMPUTED_VALUE"""),"-9.609818")</f>
        <v>-9.609818</v>
      </c>
      <c r="J1311" s="6" t="str">
        <f>IFERROR(__xludf.DUMMYFUNCTION("""COMPUTED_VALUE"""),"-35.730138")</f>
        <v>-35.730138</v>
      </c>
      <c r="K1311" s="5" t="str">
        <f>IFERROR(__xludf.DUMMYFUNCTION("""COMPUTED_VALUE"""),"RUA SÃO FRANCISCO")</f>
        <v>RUA SÃO FRANCISCO</v>
      </c>
      <c r="L1311" s="5" t="str">
        <f>IFERROR(__xludf.DUMMYFUNCTION("""COMPUTED_VALUE"""),"COLETORA")</f>
        <v>COLETORA</v>
      </c>
      <c r="M1311" s="5" t="str">
        <f>IFERROR(__xludf.DUMMYFUNCTION("""COMPUTED_VALUE"""),"OURO PRETO")</f>
        <v>OURO PRETO</v>
      </c>
      <c r="N1311" s="5"/>
      <c r="O1311" s="5" t="str">
        <f>IFERROR(__xludf.DUMMYFUNCTION("""COMPUTED_VALUE"""),"EM FRENTE A CASA 41")</f>
        <v>EM FRENTE A CASA 41</v>
      </c>
      <c r="P1311" s="5"/>
      <c r="Q1311" s="5"/>
      <c r="R1311" s="5" t="str">
        <f>IFERROR(__xludf.DUMMYFUNCTION("""COMPUTED_VALUE"""),"IMPLANTAR ABRIGO")</f>
        <v>IMPLANTAR ABRIGO</v>
      </c>
      <c r="S1311" s="5"/>
      <c r="T1311" s="5"/>
      <c r="U1311" s="5"/>
      <c r="V1311" s="9" t="str">
        <f>IFERROR(__xludf.DUMMYFUNCTION("""COMPUTED_VALUE"""),"https://drive.google.com/uc?id=1dp991WZ5FxhfR0NrLOr9Jlc0KyASaueB")</f>
        <v>https://drive.google.com/uc?id=1dp991WZ5FxhfR0NrLOr9Jlc0KyASaueB</v>
      </c>
      <c r="W1311" s="5" t="str">
        <f>IFERROR(__xludf.DUMMYFUNCTION("""COMPUTED_VALUE"""),"NÃO")</f>
        <v>NÃO</v>
      </c>
      <c r="X1311" s="5" t="str">
        <f>IFERROR(__xludf.DUMMYFUNCTION("""COMPUTED_VALUE"""),"NÃO SE APLICA")</f>
        <v>NÃO SE APLICA</v>
      </c>
    </row>
    <row r="1312" hidden="1">
      <c r="A1312" s="5">
        <f>IFERROR(__xludf.DUMMYFUNCTION("""COMPUTED_VALUE"""),3.0)</f>
        <v>3</v>
      </c>
      <c r="B1312" s="5" t="str">
        <f>IFERROR(__xludf.DUMMYFUNCTION("""COMPUTED_VALUE"""),"OU008")</f>
        <v>OU008</v>
      </c>
      <c r="C1312" s="5" t="str">
        <f>IFERROR(__xludf.DUMMYFUNCTION("""COMPUTED_VALUE"""),"NÃO POSSUI")</f>
        <v>NÃO POSSUI</v>
      </c>
      <c r="D1312" s="5" t="str">
        <f>IFERROR(__xludf.DUMMYFUNCTION("""COMPUTED_VALUE"""),"COM SUPORTE")</f>
        <v>COM SUPORTE</v>
      </c>
      <c r="E1312" s="5" t="str">
        <f>IFERROR(__xludf.DUMMYFUNCTION("""COMPUTED_VALUE"""),"SEM BAIA")</f>
        <v>SEM BAIA</v>
      </c>
      <c r="F1312" s="5" t="str">
        <f>IFERROR(__xludf.DUMMYFUNCTION("""COMPUTED_VALUE"""),"NÃO")</f>
        <v>NÃO</v>
      </c>
      <c r="G1312" s="5" t="str">
        <f>IFERROR(__xludf.DUMMYFUNCTION("""COMPUTED_VALUE"""),"NÃO")</f>
        <v>NÃO</v>
      </c>
      <c r="H1312" s="5" t="str">
        <f>IFERROR(__xludf.DUMMYFUNCTION("""COMPUTED_VALUE"""),"PAVIMENTADA")</f>
        <v>PAVIMENTADA</v>
      </c>
      <c r="I1312" s="6" t="str">
        <f>IFERROR(__xludf.DUMMYFUNCTION("""COMPUTED_VALUE"""),"-9.605127")</f>
        <v>-9.605127</v>
      </c>
      <c r="J1312" s="6" t="str">
        <f>IFERROR(__xludf.DUMMYFUNCTION("""COMPUTED_VALUE"""),"-35.729708")</f>
        <v>-35.729708</v>
      </c>
      <c r="K1312" s="5" t="str">
        <f>IFERROR(__xludf.DUMMYFUNCTION("""COMPUTED_VALUE"""),"RUA SÃO FRANCISCO")</f>
        <v>RUA SÃO FRANCISCO</v>
      </c>
      <c r="L1312" s="5" t="str">
        <f>IFERROR(__xludf.DUMMYFUNCTION("""COMPUTED_VALUE"""),"COLETORA")</f>
        <v>COLETORA</v>
      </c>
      <c r="M1312" s="5" t="str">
        <f>IFERROR(__xludf.DUMMYFUNCTION("""COMPUTED_VALUE"""),"OURO PRETO")</f>
        <v>OURO PRETO</v>
      </c>
      <c r="N1312" s="5"/>
      <c r="O1312" s="5" t="str">
        <f>IFERROR(__xludf.DUMMYFUNCTION("""COMPUTED_VALUE"""),"EM FRENTE A CASA 25A")</f>
        <v>EM FRENTE A CASA 25A</v>
      </c>
      <c r="P1312" s="5"/>
      <c r="Q1312" s="5"/>
      <c r="R1312" s="5" t="str">
        <f>IFERROR(__xludf.DUMMYFUNCTION("""COMPUTED_VALUE"""),"NENHUMA DAS OPÇÕES")</f>
        <v>NENHUMA DAS OPÇÕES</v>
      </c>
      <c r="S1312" s="5"/>
      <c r="T1312" s="5"/>
      <c r="U1312" s="5"/>
      <c r="V1312" s="9" t="str">
        <f>IFERROR(__xludf.DUMMYFUNCTION("""COMPUTED_VALUE"""),"https://drive.google.com/uc?id=1RYlZSAqUmW_PwTCcGrr_LAthingMcyny")</f>
        <v>https://drive.google.com/uc?id=1RYlZSAqUmW_PwTCcGrr_LAthingMcyny</v>
      </c>
      <c r="W1312" s="5" t="str">
        <f>IFERROR(__xludf.DUMMYFUNCTION("""COMPUTED_VALUE"""),"NÃO")</f>
        <v>NÃO</v>
      </c>
      <c r="X1312" s="5" t="str">
        <f>IFERROR(__xludf.DUMMYFUNCTION("""COMPUTED_VALUE"""),"NÃO SE APLICA")</f>
        <v>NÃO SE APLICA</v>
      </c>
    </row>
    <row r="1313" hidden="1">
      <c r="A1313" s="5">
        <f>IFERROR(__xludf.DUMMYFUNCTION("""COMPUTED_VALUE"""),3.0)</f>
        <v>3</v>
      </c>
      <c r="B1313" s="5" t="str">
        <f>IFERROR(__xludf.DUMMYFUNCTION("""COMPUTED_VALUE"""),"OU009")</f>
        <v>OU009</v>
      </c>
      <c r="C1313" s="5" t="str">
        <f>IFERROR(__xludf.DUMMYFUNCTION("""COMPUTED_VALUE"""),"NÃO POSSUI")</f>
        <v>NÃO POSSUI</v>
      </c>
      <c r="D1313" s="5" t="str">
        <f>IFERROR(__xludf.DUMMYFUNCTION("""COMPUTED_VALUE"""),"FIXADA EM POSTE")</f>
        <v>FIXADA EM POSTE</v>
      </c>
      <c r="E1313" s="5" t="str">
        <f>IFERROR(__xludf.DUMMYFUNCTION("""COMPUTED_VALUE"""),"SEM BAIA")</f>
        <v>SEM BAIA</v>
      </c>
      <c r="F1313" s="5" t="str">
        <f>IFERROR(__xludf.DUMMYFUNCTION("""COMPUTED_VALUE"""),"NÃO")</f>
        <v>NÃO</v>
      </c>
      <c r="G1313" s="5" t="str">
        <f>IFERROR(__xludf.DUMMYFUNCTION("""COMPUTED_VALUE"""),"NÃO")</f>
        <v>NÃO</v>
      </c>
      <c r="H1313" s="5" t="str">
        <f>IFERROR(__xludf.DUMMYFUNCTION("""COMPUTED_VALUE"""),"NÃO PAVIMENTADA")</f>
        <v>NÃO PAVIMENTADA</v>
      </c>
      <c r="I1313" s="6" t="str">
        <f>IFERROR(__xludf.DUMMYFUNCTION("""COMPUTED_VALUE"""),"-9.607220")</f>
        <v>-9.607220</v>
      </c>
      <c r="J1313" s="6" t="str">
        <f>IFERROR(__xludf.DUMMYFUNCTION("""COMPUTED_VALUE"""),"-35.729898")</f>
        <v>-35.729898</v>
      </c>
      <c r="K1313" s="5" t="str">
        <f>IFERROR(__xludf.DUMMYFUNCTION("""COMPUTED_VALUE"""),"RUA SÃO FRANCISCO")</f>
        <v>RUA SÃO FRANCISCO</v>
      </c>
      <c r="L1313" s="5" t="str">
        <f>IFERROR(__xludf.DUMMYFUNCTION("""COMPUTED_VALUE"""),"COLETORA")</f>
        <v>COLETORA</v>
      </c>
      <c r="M1313" s="5" t="str">
        <f>IFERROR(__xludf.DUMMYFUNCTION("""COMPUTED_VALUE"""),"OURO PRETO")</f>
        <v>OURO PRETO</v>
      </c>
      <c r="N1313" s="5"/>
      <c r="O1313" s="5" t="str">
        <f>IFERROR(__xludf.DUMMYFUNCTION("""COMPUTED_VALUE"""),"LADO OPOSTO A CASA 10A")</f>
        <v>LADO OPOSTO A CASA 10A</v>
      </c>
      <c r="P1313" s="5"/>
      <c r="Q1313" s="5"/>
      <c r="R1313" s="5" t="str">
        <f>IFERROR(__xludf.DUMMYFUNCTION("""COMPUTED_VALUE"""),"IMPLANTAR ABRIGO")</f>
        <v>IMPLANTAR ABRIGO</v>
      </c>
      <c r="S1313" s="5"/>
      <c r="T1313" s="5"/>
      <c r="U1313" s="5"/>
      <c r="V1313" s="9" t="str">
        <f>IFERROR(__xludf.DUMMYFUNCTION("""COMPUTED_VALUE"""),"https://drive.google.com/uc?id=13ZyLgBZuOmyHRDo80IazWiwHBRpf9Cyg")</f>
        <v>https://drive.google.com/uc?id=13ZyLgBZuOmyHRDo80IazWiwHBRpf9Cyg</v>
      </c>
      <c r="W1313" s="5" t="str">
        <f>IFERROR(__xludf.DUMMYFUNCTION("""COMPUTED_VALUE"""),"NÃO")</f>
        <v>NÃO</v>
      </c>
      <c r="X1313" s="5" t="str">
        <f>IFERROR(__xludf.DUMMYFUNCTION("""COMPUTED_VALUE"""),"NÃO SE APLICA")</f>
        <v>NÃO SE APLICA</v>
      </c>
    </row>
    <row r="1314">
      <c r="A1314" s="5">
        <f>IFERROR(__xludf.DUMMYFUNCTION("""COMPUTED_VALUE"""),3.0)</f>
        <v>3</v>
      </c>
      <c r="B1314" s="5" t="str">
        <f>IFERROR(__xludf.DUMMYFUNCTION("""COMPUTED_VALUE"""),"OU010")</f>
        <v>OU010</v>
      </c>
      <c r="C1314" s="5" t="str">
        <f>IFERROR(__xludf.DUMMYFUNCTION("""COMPUTED_VALUE"""),"ABRIGO CONCRETO")</f>
        <v>ABRIGO CONCRETO</v>
      </c>
      <c r="D1314" s="5" t="str">
        <f>IFERROR(__xludf.DUMMYFUNCTION("""COMPUTED_VALUE"""),"COM SUPORTE")</f>
        <v>COM SUPORTE</v>
      </c>
      <c r="E1314" s="5" t="str">
        <f>IFERROR(__xludf.DUMMYFUNCTION("""COMPUTED_VALUE"""),"SEM BAIA")</f>
        <v>SEM BAIA</v>
      </c>
      <c r="F1314" s="5" t="str">
        <f>IFERROR(__xludf.DUMMYFUNCTION("""COMPUTED_VALUE"""),"NÃO")</f>
        <v>NÃO</v>
      </c>
      <c r="G1314" s="5" t="str">
        <f>IFERROR(__xludf.DUMMYFUNCTION("""COMPUTED_VALUE"""),"NÃO")</f>
        <v>NÃO</v>
      </c>
      <c r="H1314" s="5" t="str">
        <f>IFERROR(__xludf.DUMMYFUNCTION("""COMPUTED_VALUE"""),"PAVIMENTADA")</f>
        <v>PAVIMENTADA</v>
      </c>
      <c r="I1314" s="6" t="str">
        <f>IFERROR(__xludf.DUMMYFUNCTION("""COMPUTED_VALUE"""),"-9.600528")</f>
        <v>-9.600528</v>
      </c>
      <c r="J1314" s="6" t="str">
        <f>IFERROR(__xludf.DUMMYFUNCTION("""COMPUTED_VALUE"""),"-35.729265")</f>
        <v>-35.729265</v>
      </c>
      <c r="K1314" s="5" t="str">
        <f>IFERROR(__xludf.DUMMYFUNCTION("""COMPUTED_VALUE"""),"RUA BOA VISTA")</f>
        <v>RUA BOA VISTA</v>
      </c>
      <c r="L1314" s="5" t="str">
        <f>IFERROR(__xludf.DUMMYFUNCTION("""COMPUTED_VALUE"""),"COLETORA")</f>
        <v>COLETORA</v>
      </c>
      <c r="M1314" s="5" t="str">
        <f>IFERROR(__xludf.DUMMYFUNCTION("""COMPUTED_VALUE"""),"OURO PRETO")</f>
        <v>OURO PRETO</v>
      </c>
      <c r="N1314" s="5"/>
      <c r="O1314" s="5" t="str">
        <f>IFERROR(__xludf.DUMMYFUNCTION("""COMPUTED_VALUE"""),"EM FRENTE A ASSEMBLEIA DE DEUS BOAS NOVAS")</f>
        <v>EM FRENTE A ASSEMBLEIA DE DEUS BOAS NOVAS</v>
      </c>
      <c r="P1314" s="5"/>
      <c r="Q1314" s="5"/>
      <c r="R1314" s="5" t="str">
        <f>IFERROR(__xludf.DUMMYFUNCTION("""COMPUTED_VALUE"""),"NENHUMA DAS OPÇÕES")</f>
        <v>NENHUMA DAS OPÇÕES</v>
      </c>
      <c r="S1314" s="5"/>
      <c r="T1314" s="5"/>
      <c r="U1314" s="5"/>
      <c r="V1314" s="9" t="str">
        <f>IFERROR(__xludf.DUMMYFUNCTION("""COMPUTED_VALUE"""),"https://drive.google.com/uc?id=1Ly1rLsBc7urELlaFJR0eW4b7cg87M26w")</f>
        <v>https://drive.google.com/uc?id=1Ly1rLsBc7urELlaFJR0eW4b7cg87M26w</v>
      </c>
      <c r="W1314" s="5" t="str">
        <f>IFERROR(__xludf.DUMMYFUNCTION("""COMPUTED_VALUE"""),"NÃO")</f>
        <v>NÃO</v>
      </c>
      <c r="X1314" s="5" t="str">
        <f>IFERROR(__xludf.DUMMYFUNCTION("""COMPUTED_VALUE"""),"NÃO SE APLICA")</f>
        <v>NÃO SE APLICA</v>
      </c>
    </row>
    <row r="1315" hidden="1">
      <c r="A1315" s="5">
        <f>IFERROR(__xludf.DUMMYFUNCTION("""COMPUTED_VALUE"""),3.0)</f>
        <v>3</v>
      </c>
      <c r="B1315" s="5" t="str">
        <f>IFERROR(__xludf.DUMMYFUNCTION("""COMPUTED_VALUE"""),"OU011")</f>
        <v>OU011</v>
      </c>
      <c r="C1315" s="5" t="str">
        <f>IFERROR(__xludf.DUMMYFUNCTION("""COMPUTED_VALUE"""),"NÃO POSSUI")</f>
        <v>NÃO POSSUI</v>
      </c>
      <c r="D1315" s="5" t="str">
        <f>IFERROR(__xludf.DUMMYFUNCTION("""COMPUTED_VALUE"""),"FIXADA EM POSTE")</f>
        <v>FIXADA EM POSTE</v>
      </c>
      <c r="E1315" s="5" t="str">
        <f>IFERROR(__xludf.DUMMYFUNCTION("""COMPUTED_VALUE"""),"SEM BAIA")</f>
        <v>SEM BAIA</v>
      </c>
      <c r="F1315" s="5" t="str">
        <f>IFERROR(__xludf.DUMMYFUNCTION("""COMPUTED_VALUE"""),"NÃO")</f>
        <v>NÃO</v>
      </c>
      <c r="G1315" s="5" t="str">
        <f>IFERROR(__xludf.DUMMYFUNCTION("""COMPUTED_VALUE"""),"NÃO")</f>
        <v>NÃO</v>
      </c>
      <c r="H1315" s="5" t="str">
        <f>IFERROR(__xludf.DUMMYFUNCTION("""COMPUTED_VALUE"""),"PAVIMENTADA")</f>
        <v>PAVIMENTADA</v>
      </c>
      <c r="I1315" s="6" t="str">
        <f>IFERROR(__xludf.DUMMYFUNCTION("""COMPUTED_VALUE"""),"-9.602113")</f>
        <v>-9.602113</v>
      </c>
      <c r="J1315" s="6" t="str">
        <f>IFERROR(__xludf.DUMMYFUNCTION("""COMPUTED_VALUE"""),"-35.730100")</f>
        <v>-35.730100</v>
      </c>
      <c r="K1315" s="5" t="str">
        <f>IFERROR(__xludf.DUMMYFUNCTION("""COMPUTED_VALUE"""),"RUA CAMARAGIBE ")</f>
        <v>RUA CAMARAGIBE </v>
      </c>
      <c r="L1315" s="5" t="str">
        <f>IFERROR(__xludf.DUMMYFUNCTION("""COMPUTED_VALUE"""),"COLETORA")</f>
        <v>COLETORA</v>
      </c>
      <c r="M1315" s="5" t="str">
        <f>IFERROR(__xludf.DUMMYFUNCTION("""COMPUTED_VALUE"""),"OURO PRETO")</f>
        <v>OURO PRETO</v>
      </c>
      <c r="N1315" s="5"/>
      <c r="O1315" s="5" t="str">
        <f>IFERROR(__xludf.DUMMYFUNCTION("""COMPUTED_VALUE"""),"LADO OPOSTO A CASA 565")</f>
        <v>LADO OPOSTO A CASA 565</v>
      </c>
      <c r="P1315" s="5"/>
      <c r="Q1315" s="5"/>
      <c r="R1315" s="5" t="str">
        <f>IFERROR(__xludf.DUMMYFUNCTION("""COMPUTED_VALUE"""),"NENHUMA DAS OPÇÕES")</f>
        <v>NENHUMA DAS OPÇÕES</v>
      </c>
      <c r="S1315" s="5"/>
      <c r="T1315" s="5"/>
      <c r="U1315" s="5"/>
      <c r="V1315" s="9" t="str">
        <f>IFERROR(__xludf.DUMMYFUNCTION("""COMPUTED_VALUE"""),"https://drive.google.com/uc?id=1Ngz9i8vrZ7XaO5IBZwyu6nok2VH2Zg60")</f>
        <v>https://drive.google.com/uc?id=1Ngz9i8vrZ7XaO5IBZwyu6nok2VH2Zg60</v>
      </c>
      <c r="W1315" s="5" t="str">
        <f>IFERROR(__xludf.DUMMYFUNCTION("""COMPUTED_VALUE"""),"NÃO")</f>
        <v>NÃO</v>
      </c>
      <c r="X1315" s="5" t="str">
        <f>IFERROR(__xludf.DUMMYFUNCTION("""COMPUTED_VALUE"""),"NÃO SE APLICA")</f>
        <v>NÃO SE APLICA</v>
      </c>
    </row>
    <row r="1316" hidden="1">
      <c r="A1316" s="5">
        <f>IFERROR(__xludf.DUMMYFUNCTION("""COMPUTED_VALUE"""),3.0)</f>
        <v>3</v>
      </c>
      <c r="B1316" s="5" t="str">
        <f>IFERROR(__xludf.DUMMYFUNCTION("""COMPUTED_VALUE"""),"OU012")</f>
        <v>OU012</v>
      </c>
      <c r="C1316" s="5" t="str">
        <f>IFERROR(__xludf.DUMMYFUNCTION("""COMPUTED_VALUE"""),"NÃO POSSUI")</f>
        <v>NÃO POSSUI</v>
      </c>
      <c r="D1316" s="5" t="str">
        <f>IFERROR(__xludf.DUMMYFUNCTION("""COMPUTED_VALUE"""),"COM SUPORTE")</f>
        <v>COM SUPORTE</v>
      </c>
      <c r="E1316" s="5" t="str">
        <f>IFERROR(__xludf.DUMMYFUNCTION("""COMPUTED_VALUE"""),"SEM BAIA")</f>
        <v>SEM BAIA</v>
      </c>
      <c r="F1316" s="5" t="str">
        <f>IFERROR(__xludf.DUMMYFUNCTION("""COMPUTED_VALUE"""),"NÃO")</f>
        <v>NÃO</v>
      </c>
      <c r="G1316" s="5" t="str">
        <f>IFERROR(__xludf.DUMMYFUNCTION("""COMPUTED_VALUE"""),"NÃO")</f>
        <v>NÃO</v>
      </c>
      <c r="H1316" s="5" t="str">
        <f>IFERROR(__xludf.DUMMYFUNCTION("""COMPUTED_VALUE"""),"PAVIMENTADA")</f>
        <v>PAVIMENTADA</v>
      </c>
      <c r="I1316" s="6" t="str">
        <f>IFERROR(__xludf.DUMMYFUNCTION("""COMPUTED_VALUE"""),"-9.600897")</f>
        <v>-9.600897</v>
      </c>
      <c r="J1316" s="6" t="str">
        <f>IFERROR(__xludf.DUMMYFUNCTION("""COMPUTED_VALUE"""),"-35.730878")</f>
        <v>-35.730878</v>
      </c>
      <c r="K1316" s="5" t="str">
        <f>IFERROR(__xludf.DUMMYFUNCTION("""COMPUTED_VALUE"""),"RUA MANOEL MACENA ")</f>
        <v>RUA MANOEL MACENA </v>
      </c>
      <c r="L1316" s="5" t="str">
        <f>IFERROR(__xludf.DUMMYFUNCTION("""COMPUTED_VALUE"""),"COLETORA")</f>
        <v>COLETORA</v>
      </c>
      <c r="M1316" s="5" t="str">
        <f>IFERROR(__xludf.DUMMYFUNCTION("""COMPUTED_VALUE"""),"OURO PRETO")</f>
        <v>OURO PRETO</v>
      </c>
      <c r="N1316" s="5"/>
      <c r="O1316" s="5" t="str">
        <f>IFERROR(__xludf.DUMMYFUNCTION("""COMPUTED_VALUE"""),"RUA MANOEL MACENA ")</f>
        <v>RUA MANOEL MACENA </v>
      </c>
      <c r="P1316" s="5"/>
      <c r="Q1316" s="5"/>
      <c r="R1316" s="5" t="str">
        <f>IFERROR(__xludf.DUMMYFUNCTION("""COMPUTED_VALUE"""),"IMPLANTAR ABRIGO")</f>
        <v>IMPLANTAR ABRIGO</v>
      </c>
      <c r="S1316" s="5"/>
      <c r="T1316" s="5"/>
      <c r="U1316" s="5"/>
      <c r="V1316" s="9" t="str">
        <f>IFERROR(__xludf.DUMMYFUNCTION("""COMPUTED_VALUE"""),"https://drive.google.com/uc?id=1g7xV4ZcCgrqtIhN6FpuVuzsOK-tiaf67")</f>
        <v>https://drive.google.com/uc?id=1g7xV4ZcCgrqtIhN6FpuVuzsOK-tiaf67</v>
      </c>
      <c r="W1316" s="5" t="str">
        <f>IFERROR(__xludf.DUMMYFUNCTION("""COMPUTED_VALUE"""),"NÃO")</f>
        <v>NÃO</v>
      </c>
      <c r="X1316" s="5" t="str">
        <f>IFERROR(__xludf.DUMMYFUNCTION("""COMPUTED_VALUE"""),"NÃO SE APLICA")</f>
        <v>NÃO SE APLICA</v>
      </c>
    </row>
    <row r="1317" hidden="1">
      <c r="A1317" s="5">
        <f>IFERROR(__xludf.DUMMYFUNCTION("""COMPUTED_VALUE"""),3.0)</f>
        <v>3</v>
      </c>
      <c r="B1317" s="5" t="str">
        <f>IFERROR(__xludf.DUMMYFUNCTION("""COMPUTED_VALUE"""),"OU013")</f>
        <v>OU013</v>
      </c>
      <c r="C1317" s="5" t="str">
        <f>IFERROR(__xludf.DUMMYFUNCTION("""COMPUTED_VALUE"""),"NÃO POSSUI")</f>
        <v>NÃO POSSUI</v>
      </c>
      <c r="D1317" s="5" t="str">
        <f>IFERROR(__xludf.DUMMYFUNCTION("""COMPUTED_VALUE"""),"FIXADA EM POSTE")</f>
        <v>FIXADA EM POSTE</v>
      </c>
      <c r="E1317" s="5" t="str">
        <f>IFERROR(__xludf.DUMMYFUNCTION("""COMPUTED_VALUE"""),"SEM BAIA")</f>
        <v>SEM BAIA</v>
      </c>
      <c r="F1317" s="5" t="str">
        <f>IFERROR(__xludf.DUMMYFUNCTION("""COMPUTED_VALUE"""),"NÃO")</f>
        <v>NÃO</v>
      </c>
      <c r="G1317" s="5" t="str">
        <f>IFERROR(__xludf.DUMMYFUNCTION("""COMPUTED_VALUE"""),"NÃO")</f>
        <v>NÃO</v>
      </c>
      <c r="H1317" s="5" t="str">
        <f>IFERROR(__xludf.DUMMYFUNCTION("""COMPUTED_VALUE"""),"PAVIMENTADA")</f>
        <v>PAVIMENTADA</v>
      </c>
      <c r="I1317" s="6" t="str">
        <f>IFERROR(__xludf.DUMMYFUNCTION("""COMPUTED_VALUE"""),"-9.603490")</f>
        <v>-9.603490</v>
      </c>
      <c r="J1317" s="6" t="str">
        <f>IFERROR(__xludf.DUMMYFUNCTION("""COMPUTED_VALUE"""),"-35.732262")</f>
        <v>-35.732262</v>
      </c>
      <c r="K1317" s="5" t="str">
        <f>IFERROR(__xludf.DUMMYFUNCTION("""COMPUTED_VALUE"""),"RUA CAMARAGIBE ")</f>
        <v>RUA CAMARAGIBE </v>
      </c>
      <c r="L1317" s="5" t="str">
        <f>IFERROR(__xludf.DUMMYFUNCTION("""COMPUTED_VALUE"""),"COLETORA")</f>
        <v>COLETORA</v>
      </c>
      <c r="M1317" s="5" t="str">
        <f>IFERROR(__xludf.DUMMYFUNCTION("""COMPUTED_VALUE"""),"OURO PRETO")</f>
        <v>OURO PRETO</v>
      </c>
      <c r="N1317" s="5"/>
      <c r="O1317" s="5" t="str">
        <f>IFERROR(__xludf.DUMMYFUNCTION("""COMPUTED_VALUE"""),"EM FRENTE A ASSEMBLEIA CATEDRAL DO LOUVOR")</f>
        <v>EM FRENTE A ASSEMBLEIA CATEDRAL DO LOUVOR</v>
      </c>
      <c r="P1317" s="5"/>
      <c r="Q1317" s="5"/>
      <c r="R1317" s="5" t="str">
        <f>IFERROR(__xludf.DUMMYFUNCTION("""COMPUTED_VALUE"""),"NENHUMA DAS OPÇÕES")</f>
        <v>NENHUMA DAS OPÇÕES</v>
      </c>
      <c r="S1317" s="5"/>
      <c r="T1317" s="5"/>
      <c r="U1317" s="5"/>
      <c r="V1317" s="9" t="str">
        <f>IFERROR(__xludf.DUMMYFUNCTION("""COMPUTED_VALUE"""),"https://drive.google.com/uc?id=1xGKqjJX8OSH7hOabUjswkS3_1_U3AL5n")</f>
        <v>https://drive.google.com/uc?id=1xGKqjJX8OSH7hOabUjswkS3_1_U3AL5n</v>
      </c>
      <c r="W1317" s="5" t="str">
        <f>IFERROR(__xludf.DUMMYFUNCTION("""COMPUTED_VALUE"""),"NÃO")</f>
        <v>NÃO</v>
      </c>
      <c r="X1317" s="5" t="str">
        <f>IFERROR(__xludf.DUMMYFUNCTION("""COMPUTED_VALUE"""),"NÃO SE APLICA")</f>
        <v>NÃO SE APLICA</v>
      </c>
    </row>
    <row r="1318" hidden="1">
      <c r="A1318" s="5">
        <f>IFERROR(__xludf.DUMMYFUNCTION("""COMPUTED_VALUE"""),3.0)</f>
        <v>3</v>
      </c>
      <c r="B1318" s="5" t="str">
        <f>IFERROR(__xludf.DUMMYFUNCTION("""COMPUTED_VALUE"""),"OU014")</f>
        <v>OU014</v>
      </c>
      <c r="C1318" s="5" t="str">
        <f>IFERROR(__xludf.DUMMYFUNCTION("""COMPUTED_VALUE"""),"NÃO POSSUI")</f>
        <v>NÃO POSSUI</v>
      </c>
      <c r="D1318" s="5" t="str">
        <f>IFERROR(__xludf.DUMMYFUNCTION("""COMPUTED_VALUE"""),"COM SUPORTE")</f>
        <v>COM SUPORTE</v>
      </c>
      <c r="E1318" s="5" t="str">
        <f>IFERROR(__xludf.DUMMYFUNCTION("""COMPUTED_VALUE"""),"SEM BAIA")</f>
        <v>SEM BAIA</v>
      </c>
      <c r="F1318" s="5" t="str">
        <f>IFERROR(__xludf.DUMMYFUNCTION("""COMPUTED_VALUE"""),"NÃO")</f>
        <v>NÃO</v>
      </c>
      <c r="G1318" s="5" t="str">
        <f>IFERROR(__xludf.DUMMYFUNCTION("""COMPUTED_VALUE"""),"NÃO")</f>
        <v>NÃO</v>
      </c>
      <c r="H1318" s="5" t="str">
        <f>IFERROR(__xludf.DUMMYFUNCTION("""COMPUTED_VALUE"""),"PAVIMENTADA")</f>
        <v>PAVIMENTADA</v>
      </c>
      <c r="I1318" s="6" t="str">
        <f>IFERROR(__xludf.DUMMYFUNCTION("""COMPUTED_VALUE"""),"-9.602155")</f>
        <v>-9.602155</v>
      </c>
      <c r="J1318" s="6" t="str">
        <f>IFERROR(__xludf.DUMMYFUNCTION("""COMPUTED_VALUE"""),"-35.729997")</f>
        <v>-35.729997</v>
      </c>
      <c r="K1318" s="5" t="str">
        <f>IFERROR(__xludf.DUMMYFUNCTION("""COMPUTED_VALUE"""),"RUA CAMARAGIBE ")</f>
        <v>RUA CAMARAGIBE </v>
      </c>
      <c r="L1318" s="5" t="str">
        <f>IFERROR(__xludf.DUMMYFUNCTION("""COMPUTED_VALUE"""),"COLETORA")</f>
        <v>COLETORA</v>
      </c>
      <c r="M1318" s="5" t="str">
        <f>IFERROR(__xludf.DUMMYFUNCTION("""COMPUTED_VALUE"""),"OURO PRETO")</f>
        <v>OURO PRETO</v>
      </c>
      <c r="N1318" s="5"/>
      <c r="O1318" s="5" t="str">
        <f>IFERROR(__xludf.DUMMYFUNCTION("""COMPUTED_VALUE"""),"PRÓXIMO A LATICÍNIO IARA")</f>
        <v>PRÓXIMO A LATICÍNIO IARA</v>
      </c>
      <c r="P1318" s="5"/>
      <c r="Q1318" s="5"/>
      <c r="R1318" s="5" t="str">
        <f>IFERROR(__xludf.DUMMYFUNCTION("""COMPUTED_VALUE"""),"IMPLANTAR ABRIGO")</f>
        <v>IMPLANTAR ABRIGO</v>
      </c>
      <c r="S1318" s="5"/>
      <c r="T1318" s="5"/>
      <c r="U1318" s="5"/>
      <c r="V1318" s="9" t="str">
        <f>IFERROR(__xludf.DUMMYFUNCTION("""COMPUTED_VALUE"""),"https://drive.google.com/uc?id=107WuRuEQckuDCTzDT738EKbVgwHSAKkR")</f>
        <v>https://drive.google.com/uc?id=107WuRuEQckuDCTzDT738EKbVgwHSAKkR</v>
      </c>
      <c r="W1318" s="5" t="str">
        <f>IFERROR(__xludf.DUMMYFUNCTION("""COMPUTED_VALUE"""),"NÃO")</f>
        <v>NÃO</v>
      </c>
      <c r="X1318" s="5" t="str">
        <f>IFERROR(__xludf.DUMMYFUNCTION("""COMPUTED_VALUE"""),"NÃO SE APLICA")</f>
        <v>NÃO SE APLICA</v>
      </c>
    </row>
    <row r="1319" ht="15.0" hidden="1" customHeight="1">
      <c r="A1319" s="5">
        <f>IFERROR(__xludf.DUMMYFUNCTION("""COMPUTED_VALUE"""),3.0)</f>
        <v>3</v>
      </c>
      <c r="B1319" s="5" t="str">
        <f>IFERROR(__xludf.DUMMYFUNCTION("""COMPUTED_VALUE"""),"OU015")</f>
        <v>OU015</v>
      </c>
      <c r="C1319" s="5" t="str">
        <f>IFERROR(__xludf.DUMMYFUNCTION("""COMPUTED_VALUE"""),"NÃO POSSUI")</f>
        <v>NÃO POSSUI</v>
      </c>
      <c r="D1319" s="5" t="str">
        <f>IFERROR(__xludf.DUMMYFUNCTION("""COMPUTED_VALUE"""),"FIXADA EM POSTE")</f>
        <v>FIXADA EM POSTE</v>
      </c>
      <c r="E1319" s="5" t="str">
        <f>IFERROR(__xludf.DUMMYFUNCTION("""COMPUTED_VALUE"""),"SEM BAIA")</f>
        <v>SEM BAIA</v>
      </c>
      <c r="F1319" s="5" t="str">
        <f>IFERROR(__xludf.DUMMYFUNCTION("""COMPUTED_VALUE"""),"NÃO")</f>
        <v>NÃO</v>
      </c>
      <c r="G1319" s="5" t="str">
        <f>IFERROR(__xludf.DUMMYFUNCTION("""COMPUTED_VALUE"""),"NÃO")</f>
        <v>NÃO</v>
      </c>
      <c r="H1319" s="5" t="str">
        <f>IFERROR(__xludf.DUMMYFUNCTION("""COMPUTED_VALUE"""),"PAVIMENTADA")</f>
        <v>PAVIMENTADA</v>
      </c>
      <c r="I1319" s="6" t="str">
        <f>IFERROR(__xludf.DUMMYFUNCTION("""COMPUTED_VALUE"""),"-9.603292")</f>
        <v>-9.603292</v>
      </c>
      <c r="J1319" s="6" t="str">
        <f>IFERROR(__xludf.DUMMYFUNCTION("""COMPUTED_VALUE"""),"-35.732188")</f>
        <v>-35.732188</v>
      </c>
      <c r="K1319" s="5" t="str">
        <f>IFERROR(__xludf.DUMMYFUNCTION("""COMPUTED_VALUE"""),"RUA CAMARAGIBE ")</f>
        <v>RUA CAMARAGIBE </v>
      </c>
      <c r="L1319" s="5" t="str">
        <f>IFERROR(__xludf.DUMMYFUNCTION("""COMPUTED_VALUE"""),"COLETORA")</f>
        <v>COLETORA</v>
      </c>
      <c r="M1319" s="5" t="str">
        <f>IFERROR(__xludf.DUMMYFUNCTION("""COMPUTED_VALUE"""),"OURO PRETO")</f>
        <v>OURO PRETO</v>
      </c>
      <c r="N1319" s="5"/>
      <c r="O1319" s="5" t="str">
        <f>IFERROR(__xludf.DUMMYFUNCTION("""COMPUTED_VALUE"""),"LADO OPOSTO A CASA 168
")</f>
        <v>LADO OPOSTO A CASA 168
</v>
      </c>
      <c r="P1319" s="5"/>
      <c r="Q1319" s="5"/>
      <c r="R1319" s="5" t="str">
        <f>IFERROR(__xludf.DUMMYFUNCTION("""COMPUTED_VALUE"""),"NENHUMA DAS OPÇÕES")</f>
        <v>NENHUMA DAS OPÇÕES</v>
      </c>
      <c r="S1319" s="5"/>
      <c r="T1319" s="5"/>
      <c r="U1319" s="5"/>
      <c r="V1319" s="9" t="str">
        <f>IFERROR(__xludf.DUMMYFUNCTION("""COMPUTED_VALUE"""),"https://drive.google.com/uc?id=11qGZQh3Uev7ValNyMaIzeMLUXP4Selij")</f>
        <v>https://drive.google.com/uc?id=11qGZQh3Uev7ValNyMaIzeMLUXP4Selij</v>
      </c>
      <c r="W1319" s="5" t="str">
        <f>IFERROR(__xludf.DUMMYFUNCTION("""COMPUTED_VALUE"""),"NÃO")</f>
        <v>NÃO</v>
      </c>
      <c r="X1319" s="5" t="str">
        <f>IFERROR(__xludf.DUMMYFUNCTION("""COMPUTED_VALUE"""),"NÃO SE APLICA")</f>
        <v>NÃO SE APLICA</v>
      </c>
    </row>
    <row r="1320" hidden="1">
      <c r="A1320" s="5">
        <f>IFERROR(__xludf.DUMMYFUNCTION("""COMPUTED_VALUE"""),3.0)</f>
        <v>3</v>
      </c>
      <c r="B1320" s="5" t="str">
        <f>IFERROR(__xludf.DUMMYFUNCTION("""COMPUTED_VALUE"""),"OU016")</f>
        <v>OU016</v>
      </c>
      <c r="C1320" s="5" t="str">
        <f>IFERROR(__xludf.DUMMYFUNCTION("""COMPUTED_VALUE"""),"NÃO POSSUI")</f>
        <v>NÃO POSSUI</v>
      </c>
      <c r="D1320" s="5" t="str">
        <f>IFERROR(__xludf.DUMMYFUNCTION("""COMPUTED_VALUE"""),"COM SUPORTE")</f>
        <v>COM SUPORTE</v>
      </c>
      <c r="E1320" s="5" t="str">
        <f>IFERROR(__xludf.DUMMYFUNCTION("""COMPUTED_VALUE"""),"SEM BAIA")</f>
        <v>SEM BAIA</v>
      </c>
      <c r="F1320" s="5" t="str">
        <f>IFERROR(__xludf.DUMMYFUNCTION("""COMPUTED_VALUE"""),"NÃO")</f>
        <v>NÃO</v>
      </c>
      <c r="G1320" s="5" t="str">
        <f>IFERROR(__xludf.DUMMYFUNCTION("""COMPUTED_VALUE"""),"NÃO")</f>
        <v>NÃO</v>
      </c>
      <c r="H1320" s="5" t="str">
        <f>IFERROR(__xludf.DUMMYFUNCTION("""COMPUTED_VALUE"""),"PAVIMENTADA")</f>
        <v>PAVIMENTADA</v>
      </c>
      <c r="I1320" s="6" t="str">
        <f>IFERROR(__xludf.DUMMYFUNCTION("""COMPUTED_VALUE"""),"-9.603602")</f>
        <v>-9.603602</v>
      </c>
      <c r="J1320" s="6" t="str">
        <f>IFERROR(__xludf.DUMMYFUNCTION("""COMPUTED_VALUE"""),"-35.730475")</f>
        <v>-35.730475</v>
      </c>
      <c r="K1320" s="5" t="str">
        <f>IFERROR(__xludf.DUMMYFUNCTION("""COMPUTED_VALUE"""),"RUA SÃO FRANCISCO")</f>
        <v>RUA SÃO FRANCISCO</v>
      </c>
      <c r="L1320" s="5" t="str">
        <f>IFERROR(__xludf.DUMMYFUNCTION("""COMPUTED_VALUE"""),"COLETORA")</f>
        <v>COLETORA</v>
      </c>
      <c r="M1320" s="5" t="str">
        <f>IFERROR(__xludf.DUMMYFUNCTION("""COMPUTED_VALUE"""),"OURO PRETO")</f>
        <v>OURO PRETO</v>
      </c>
      <c r="N1320" s="5"/>
      <c r="O1320" s="5" t="str">
        <f>IFERROR(__xludf.DUMMYFUNCTION("""COMPUTED_VALUE"""),"LADO OPOSTO A IGREJA QUADRANGULA")</f>
        <v>LADO OPOSTO A IGREJA QUADRANGULA</v>
      </c>
      <c r="P1320" s="5"/>
      <c r="Q1320" s="5"/>
      <c r="R1320" s="5" t="str">
        <f>IFERROR(__xludf.DUMMYFUNCTION("""COMPUTED_VALUE"""),"NENHUMA DAS OPÇÕES")</f>
        <v>NENHUMA DAS OPÇÕES</v>
      </c>
      <c r="S1320" s="5"/>
      <c r="T1320" s="5"/>
      <c r="U1320" s="5"/>
      <c r="V1320" s="9" t="str">
        <f>IFERROR(__xludf.DUMMYFUNCTION("""COMPUTED_VALUE"""),"https://drive.google.com/uc?id=1fUB9sH7kC8cdF2llwL31pOWL4vzwPe4m")</f>
        <v>https://drive.google.com/uc?id=1fUB9sH7kC8cdF2llwL31pOWL4vzwPe4m</v>
      </c>
      <c r="W1320" s="5" t="str">
        <f>IFERROR(__xludf.DUMMYFUNCTION("""COMPUTED_VALUE"""),"NÃO")</f>
        <v>NÃO</v>
      </c>
      <c r="X1320" s="5" t="str">
        <f>IFERROR(__xludf.DUMMYFUNCTION("""COMPUTED_VALUE"""),"NÃO SE APLICA")</f>
        <v>NÃO SE APLICA</v>
      </c>
    </row>
    <row r="1321" hidden="1">
      <c r="A1321" s="5">
        <f>IFERROR(__xludf.DUMMYFUNCTION("""COMPUTED_VALUE"""),3.0)</f>
        <v>3</v>
      </c>
      <c r="B1321" s="5" t="str">
        <f>IFERROR(__xludf.DUMMYFUNCTION("""COMPUTED_VALUE"""),"OU017")</f>
        <v>OU017</v>
      </c>
      <c r="C1321" s="5" t="str">
        <f>IFERROR(__xludf.DUMMYFUNCTION("""COMPUTED_VALUE"""),"NÃO POSSUI")</f>
        <v>NÃO POSSUI</v>
      </c>
      <c r="D1321" s="5" t="str">
        <f>IFERROR(__xludf.DUMMYFUNCTION("""COMPUTED_VALUE"""),"COM SUPORTE")</f>
        <v>COM SUPORTE</v>
      </c>
      <c r="E1321" s="5" t="str">
        <f>IFERROR(__xludf.DUMMYFUNCTION("""COMPUTED_VALUE"""),"SEM BAIA")</f>
        <v>SEM BAIA</v>
      </c>
      <c r="F1321" s="5" t="str">
        <f>IFERROR(__xludf.DUMMYFUNCTION("""COMPUTED_VALUE"""),"NÃO")</f>
        <v>NÃO</v>
      </c>
      <c r="G1321" s="5" t="str">
        <f>IFERROR(__xludf.DUMMYFUNCTION("""COMPUTED_VALUE"""),"NÃO")</f>
        <v>NÃO</v>
      </c>
      <c r="H1321" s="5" t="str">
        <f>IFERROR(__xludf.DUMMYFUNCTION("""COMPUTED_VALUE"""),"PAVIMENTADA")</f>
        <v>PAVIMENTADA</v>
      </c>
      <c r="I1321" s="6" t="str">
        <f>IFERROR(__xludf.DUMMYFUNCTION("""COMPUTED_VALUE"""),"-9.6019")</f>
        <v>-9.6019</v>
      </c>
      <c r="J1321" s="6" t="str">
        <f>IFERROR(__xludf.DUMMYFUNCTION("""COMPUTED_VALUE"""),"-35.7317")</f>
        <v>-35.7317</v>
      </c>
      <c r="K1321" s="5" t="str">
        <f>IFERROR(__xludf.DUMMYFUNCTION("""COMPUTED_VALUE"""),"RUA SÃO FRANCISCO")</f>
        <v>RUA SÃO FRANCISCO</v>
      </c>
      <c r="L1321" s="5" t="str">
        <f>IFERROR(__xludf.DUMMYFUNCTION("""COMPUTED_VALUE"""),"COLETORA")</f>
        <v>COLETORA</v>
      </c>
      <c r="M1321" s="5" t="str">
        <f>IFERROR(__xludf.DUMMYFUNCTION("""COMPUTED_VALUE"""),"OURO PRETO")</f>
        <v>OURO PRETO</v>
      </c>
      <c r="N1321" s="5"/>
      <c r="O1321" s="5" t="str">
        <f>IFERROR(__xludf.DUMMYFUNCTION("""COMPUTED_VALUE"""),"EM FRENTE AO CODOMÍNIO ANTÔNIO COUTINHO")</f>
        <v>EM FRENTE AO CODOMÍNIO ANTÔNIO COUTINHO</v>
      </c>
      <c r="P1321" s="5"/>
      <c r="Q1321" s="5"/>
      <c r="R1321" s="5" t="str">
        <f>IFERROR(__xludf.DUMMYFUNCTION("""COMPUTED_VALUE"""),"NENHUMA DAS OPÇÕES")</f>
        <v>NENHUMA DAS OPÇÕES</v>
      </c>
      <c r="S1321" s="5"/>
      <c r="T1321" s="5"/>
      <c r="U1321" s="5"/>
      <c r="V1321" s="9" t="str">
        <f>IFERROR(__xludf.DUMMYFUNCTION("""COMPUTED_VALUE"""),"https://drive.google.com/uc?id=11SJB3htLirks5YsbM8gy9kJvvhdzYPpl")</f>
        <v>https://drive.google.com/uc?id=11SJB3htLirks5YsbM8gy9kJvvhdzYPpl</v>
      </c>
      <c r="W1321" s="5" t="str">
        <f>IFERROR(__xludf.DUMMYFUNCTION("""COMPUTED_VALUE"""),"NÃO")</f>
        <v>NÃO</v>
      </c>
      <c r="X1321" s="5" t="str">
        <f>IFERROR(__xludf.DUMMYFUNCTION("""COMPUTED_VALUE"""),"NÃO SE APLICA")</f>
        <v>NÃO SE APLICA</v>
      </c>
    </row>
    <row r="1322">
      <c r="A1322" s="5">
        <f>IFERROR(__xludf.DUMMYFUNCTION("IMPORTRANGE(""https://docs.google.com/spreadsheets/d/1mdBY0PJzlDiHezRddgrNuVbV7dNEdLAOyTnpPefaMX0/edit#gid=972253967"", ""PITANGUINHA!A2:X9"")"),3.0)</f>
        <v>3</v>
      </c>
      <c r="B1322" s="5" t="str">
        <f>IFERROR(__xludf.DUMMYFUNCTION("""COMPUTED_VALUE"""),"PI001")</f>
        <v>PI001</v>
      </c>
      <c r="C1322" s="5" t="str">
        <f>IFERROR(__xludf.DUMMYFUNCTION("""COMPUTED_VALUE"""),"ABRIGO METÁLICO PEQUENO PORTE")</f>
        <v>ABRIGO METÁLICO PEQUENO PORTE</v>
      </c>
      <c r="D1322" s="5" t="str">
        <f>IFERROR(__xludf.DUMMYFUNCTION("""COMPUTED_VALUE"""),"COM SUPORTE")</f>
        <v>COM SUPORTE</v>
      </c>
      <c r="E1322" s="5" t="str">
        <f>IFERROR(__xludf.DUMMYFUNCTION("""COMPUTED_VALUE"""),"SEM BAIA")</f>
        <v>SEM BAIA</v>
      </c>
      <c r="F1322" s="5" t="str">
        <f>IFERROR(__xludf.DUMMYFUNCTION("""COMPUTED_VALUE"""),"NÃO")</f>
        <v>NÃO</v>
      </c>
      <c r="G1322" s="5" t="str">
        <f>IFERROR(__xludf.DUMMYFUNCTION("""COMPUTED_VALUE"""),"NÃO")</f>
        <v>NÃO</v>
      </c>
      <c r="H1322" s="5" t="str">
        <f>IFERROR(__xludf.DUMMYFUNCTION("""COMPUTED_VALUE"""),"PAVIMENTADA")</f>
        <v>PAVIMENTADA</v>
      </c>
      <c r="I1322" s="6" t="str">
        <f>IFERROR(__xludf.DUMMYFUNCTION("""COMPUTED_VALUE"""),"-9.639044")</f>
        <v>-9.639044</v>
      </c>
      <c r="J1322" s="6" t="str">
        <f>IFERROR(__xludf.DUMMYFUNCTION("""COMPUTED_VALUE""")," -35.735545")</f>
        <v> -35.735545</v>
      </c>
      <c r="K1322" s="5" t="str">
        <f>IFERROR(__xludf.DUMMYFUNCTION("""COMPUTED_VALUE"""),"AV. FERNANDES LIMA")</f>
        <v>AV. FERNANDES LIMA</v>
      </c>
      <c r="L1322" s="5" t="str">
        <f>IFERROR(__xludf.DUMMYFUNCTION("""COMPUTED_VALUE"""),"ARTERIAL ")</f>
        <v>ARTERIAL </v>
      </c>
      <c r="M1322" s="5" t="str">
        <f>IFERROR(__xludf.DUMMYFUNCTION("""COMPUTED_VALUE"""),"PITANQUINHA")</f>
        <v>PITANQUINHA</v>
      </c>
      <c r="N1322" s="5" t="str">
        <f>IFERROR(__xludf.DUMMYFUNCTION("""COMPUTED_VALUE"""),"CENTRO - BAIRRO")</f>
        <v>CENTRO - BAIRRO</v>
      </c>
      <c r="O1322" s="5"/>
      <c r="P1322" s="5"/>
      <c r="Q1322" s="5"/>
      <c r="R1322" s="5" t="str">
        <f>IFERROR(__xludf.DUMMYFUNCTION("""COMPUTED_VALUE"""),"SUBSTITUIR ABRIGO")</f>
        <v>SUBSTITUIR ABRIGO</v>
      </c>
      <c r="S1322" s="5"/>
      <c r="T1322" s="5"/>
      <c r="U1322" s="5"/>
      <c r="V1322" s="9" t="str">
        <f>IFERROR(__xludf.DUMMYFUNCTION("""COMPUTED_VALUE"""),"https://drive.google.com/uc?id=1Ud0OVuZ95pyHDU9o0oUJlSIZlCY0VTlU")</f>
        <v>https://drive.google.com/uc?id=1Ud0OVuZ95pyHDU9o0oUJlSIZlCY0VTlU</v>
      </c>
      <c r="W1322" s="5" t="str">
        <f>IFERROR(__xludf.DUMMYFUNCTION("""COMPUTED_VALUE"""),"NÃO")</f>
        <v>NÃO</v>
      </c>
      <c r="X1322" s="5" t="str">
        <f>IFERROR(__xludf.DUMMYFUNCTION("""COMPUTED_VALUE"""),"SIM")</f>
        <v>SIM</v>
      </c>
    </row>
    <row r="1323">
      <c r="A1323" s="5">
        <f>IFERROR(__xludf.DUMMYFUNCTION("""COMPUTED_VALUE"""),3.0)</f>
        <v>3</v>
      </c>
      <c r="B1323" s="5" t="str">
        <f>IFERROR(__xludf.DUMMYFUNCTION("""COMPUTED_VALUE"""),"PI002")</f>
        <v>PI002</v>
      </c>
      <c r="C1323" s="5" t="str">
        <f>IFERROR(__xludf.DUMMYFUNCTION("""COMPUTED_VALUE"""),"ABRIGO METÁLICO PEQUENO PORTE")</f>
        <v>ABRIGO METÁLICO PEQUENO PORTE</v>
      </c>
      <c r="D1323" s="5" t="str">
        <f>IFERROR(__xludf.DUMMYFUNCTION("""COMPUTED_VALUE"""),"COM SUPORTE")</f>
        <v>COM SUPORTE</v>
      </c>
      <c r="E1323" s="5" t="str">
        <f>IFERROR(__xludf.DUMMYFUNCTION("""COMPUTED_VALUE"""),"SEM BAIA")</f>
        <v>SEM BAIA</v>
      </c>
      <c r="F1323" s="5" t="str">
        <f>IFERROR(__xludf.DUMMYFUNCTION("""COMPUTED_VALUE"""),"SIM")</f>
        <v>SIM</v>
      </c>
      <c r="G1323" s="5" t="str">
        <f>IFERROR(__xludf.DUMMYFUNCTION("""COMPUTED_VALUE"""),"NÃO")</f>
        <v>NÃO</v>
      </c>
      <c r="H1323" s="5" t="str">
        <f>IFERROR(__xludf.DUMMYFUNCTION("""COMPUTED_VALUE"""),"PAVIMENTADA")</f>
        <v>PAVIMENTADA</v>
      </c>
      <c r="I1323" s="6" t="str">
        <f>IFERROR(__xludf.DUMMYFUNCTION("""COMPUTED_VALUE"""),"-9.633282")</f>
        <v>-9.633282</v>
      </c>
      <c r="J1323" s="6" t="str">
        <f>IFERROR(__xludf.DUMMYFUNCTION("""COMPUTED_VALUE"""),"-35.736649")</f>
        <v>-35.736649</v>
      </c>
      <c r="K1323" s="5" t="str">
        <f>IFERROR(__xludf.DUMMYFUNCTION("""COMPUTED_VALUE"""),"AV. FERNANDES LIMA")</f>
        <v>AV. FERNANDES LIMA</v>
      </c>
      <c r="L1323" s="5" t="str">
        <f>IFERROR(__xludf.DUMMYFUNCTION("""COMPUTED_VALUE"""),"ARTERIAL ")</f>
        <v>ARTERIAL </v>
      </c>
      <c r="M1323" s="5" t="str">
        <f>IFERROR(__xludf.DUMMYFUNCTION("""COMPUTED_VALUE"""),"PITANQUINHA")</f>
        <v>PITANQUINHA</v>
      </c>
      <c r="N1323" s="5" t="str">
        <f>IFERROR(__xludf.DUMMYFUNCTION("""COMPUTED_VALUE"""),"CENTRO - BAIRRO")</f>
        <v>CENTRO - BAIRRO</v>
      </c>
      <c r="O1323" s="5"/>
      <c r="P1323" s="5"/>
      <c r="Q1323" s="5"/>
      <c r="R1323" s="5" t="str">
        <f>IFERROR(__xludf.DUMMYFUNCTION("""COMPUTED_VALUE"""),"SUBSTITUIR ABRIGO")</f>
        <v>SUBSTITUIR ABRIGO</v>
      </c>
      <c r="S1323" s="5"/>
      <c r="T1323" s="5"/>
      <c r="U1323" s="5"/>
      <c r="V1323" s="9" t="str">
        <f>IFERROR(__xludf.DUMMYFUNCTION("""COMPUTED_VALUE"""),"https://drive.google.com/uc?id=1I_NKWTfXg6TC-LfmgV_eUV3Cc1ZpjslS")</f>
        <v>https://drive.google.com/uc?id=1I_NKWTfXg6TC-LfmgV_eUV3Cc1ZpjslS</v>
      </c>
      <c r="W1323" s="5" t="str">
        <f>IFERROR(__xludf.DUMMYFUNCTION("""COMPUTED_VALUE"""),"NÃO")</f>
        <v>NÃO</v>
      </c>
      <c r="X1323" s="5" t="str">
        <f>IFERROR(__xludf.DUMMYFUNCTION("""COMPUTED_VALUE"""),"SIM")</f>
        <v>SIM</v>
      </c>
    </row>
    <row r="1324" hidden="1">
      <c r="A1324" s="5">
        <f>IFERROR(__xludf.DUMMYFUNCTION("""COMPUTED_VALUE"""),3.0)</f>
        <v>3</v>
      </c>
      <c r="B1324" s="5" t="str">
        <f>IFERROR(__xludf.DUMMYFUNCTION("""COMPUTED_VALUE"""),"PI003")</f>
        <v>PI003</v>
      </c>
      <c r="C1324" s="5" t="str">
        <f>IFERROR(__xludf.DUMMYFUNCTION("""COMPUTED_VALUE"""),"NÃO POSSUI")</f>
        <v>NÃO POSSUI</v>
      </c>
      <c r="D1324" s="5" t="str">
        <f>IFERROR(__xludf.DUMMYFUNCTION("""COMPUTED_VALUE"""),"FIXADA EM POSTE")</f>
        <v>FIXADA EM POSTE</v>
      </c>
      <c r="E1324" s="5" t="str">
        <f>IFERROR(__xludf.DUMMYFUNCTION("""COMPUTED_VALUE"""),"SEM BAIA")</f>
        <v>SEM BAIA</v>
      </c>
      <c r="F1324" s="5" t="str">
        <f>IFERROR(__xludf.DUMMYFUNCTION("""COMPUTED_VALUE"""),"SIM")</f>
        <v>SIM</v>
      </c>
      <c r="G1324" s="5" t="str">
        <f>IFERROR(__xludf.DUMMYFUNCTION("""COMPUTED_VALUE"""),"NÃO")</f>
        <v>NÃO</v>
      </c>
      <c r="H1324" s="5" t="str">
        <f>IFERROR(__xludf.DUMMYFUNCTION("""COMPUTED_VALUE"""),"PAVIMENTADA")</f>
        <v>PAVIMENTADA</v>
      </c>
      <c r="I1324" s="6" t="str">
        <f>IFERROR(__xludf.DUMMYFUNCTION("""COMPUTED_VALUE"""),"-9.638953")</f>
        <v>-9.638953</v>
      </c>
      <c r="J1324" s="6" t="str">
        <f>IFERROR(__xludf.DUMMYFUNCTION("""COMPUTED_VALUE"""),"-35.731315")</f>
        <v>-35.731315</v>
      </c>
      <c r="K1324" s="5" t="str">
        <f>IFERROR(__xludf.DUMMYFUNCTION("""COMPUTED_VALUE"""),"R. MARTINS MURTA")</f>
        <v>R. MARTINS MURTA</v>
      </c>
      <c r="L1324" s="5" t="str">
        <f>IFERROR(__xludf.DUMMYFUNCTION("""COMPUTED_VALUE"""),"LOCAL")</f>
        <v>LOCAL</v>
      </c>
      <c r="M1324" s="5" t="str">
        <f>IFERROR(__xludf.DUMMYFUNCTION("""COMPUTED_VALUE"""),"PITANQUINHA")</f>
        <v>PITANQUINHA</v>
      </c>
      <c r="N1324" s="5" t="str">
        <f>IFERROR(__xludf.DUMMYFUNCTION("""COMPUTED_VALUE"""),"CENTRO - BAIRRO")</f>
        <v>CENTRO - BAIRRO</v>
      </c>
      <c r="O1324" s="5"/>
      <c r="P1324" s="5"/>
      <c r="Q1324" s="5"/>
      <c r="R1324" s="5" t="str">
        <f>IFERROR(__xludf.DUMMYFUNCTION("""COMPUTED_VALUE"""),"NENHUMA DAS OPÇÕES")</f>
        <v>NENHUMA DAS OPÇÕES</v>
      </c>
      <c r="S1324" s="5"/>
      <c r="T1324" s="5"/>
      <c r="U1324" s="5"/>
      <c r="V1324" s="9" t="str">
        <f>IFERROR(__xludf.DUMMYFUNCTION("""COMPUTED_VALUE"""),"https://drive.google.com/uc?id=1AKT6pKYyeSBp_o6XZVdc1ybum0ocKztc")</f>
        <v>https://drive.google.com/uc?id=1AKT6pKYyeSBp_o6XZVdc1ybum0ocKztc</v>
      </c>
      <c r="W1324" s="5" t="str">
        <f>IFERROR(__xludf.DUMMYFUNCTION("""COMPUTED_VALUE"""),"NÃO")</f>
        <v>NÃO</v>
      </c>
      <c r="X1324" s="5" t="str">
        <f>IFERROR(__xludf.DUMMYFUNCTION("""COMPUTED_VALUE"""),"NÃO SE APLICA")</f>
        <v>NÃO SE APLICA</v>
      </c>
    </row>
    <row r="1325" hidden="1">
      <c r="A1325" s="5">
        <f>IFERROR(__xludf.DUMMYFUNCTION("""COMPUTED_VALUE"""),3.0)</f>
        <v>3</v>
      </c>
      <c r="B1325" s="5" t="str">
        <f>IFERROR(__xludf.DUMMYFUNCTION("""COMPUTED_VALUE"""),"PI004")</f>
        <v>PI004</v>
      </c>
      <c r="C1325" s="5" t="str">
        <f>IFERROR(__xludf.DUMMYFUNCTION("""COMPUTED_VALUE"""),"NÃO POSSUI")</f>
        <v>NÃO POSSUI</v>
      </c>
      <c r="D1325" s="5" t="str">
        <f>IFERROR(__xludf.DUMMYFUNCTION("""COMPUTED_VALUE"""),"FIXADA EM POSTE")</f>
        <v>FIXADA EM POSTE</v>
      </c>
      <c r="E1325" s="5" t="str">
        <f>IFERROR(__xludf.DUMMYFUNCTION("""COMPUTED_VALUE"""),"SEM BAIA")</f>
        <v>SEM BAIA</v>
      </c>
      <c r="F1325" s="5" t="str">
        <f>IFERROR(__xludf.DUMMYFUNCTION("""COMPUTED_VALUE"""),"SIM")</f>
        <v>SIM</v>
      </c>
      <c r="G1325" s="5" t="str">
        <f>IFERROR(__xludf.DUMMYFUNCTION("""COMPUTED_VALUE"""),"NÃO")</f>
        <v>NÃO</v>
      </c>
      <c r="H1325" s="5" t="str">
        <f>IFERROR(__xludf.DUMMYFUNCTION("""COMPUTED_VALUE"""),"PAVIMENTADA")</f>
        <v>PAVIMENTADA</v>
      </c>
      <c r="I1325" s="6" t="str">
        <f>IFERROR(__xludf.DUMMYFUNCTION("""COMPUTED_VALUE"""),"-9.637581")</f>
        <v>-9.637581</v>
      </c>
      <c r="J1325" s="6" t="str">
        <f>IFERROR(__xludf.DUMMYFUNCTION("""COMPUTED_VALUE"""),"-35.729809")</f>
        <v>-35.729809</v>
      </c>
      <c r="K1325" s="5" t="str">
        <f>IFERROR(__xludf.DUMMYFUNCTION("""COMPUTED_VALUE"""),"R. MARIO LÔBO")</f>
        <v>R. MARIO LÔBO</v>
      </c>
      <c r="L1325" s="5" t="str">
        <f>IFERROR(__xludf.DUMMYFUNCTION("""COMPUTED_VALUE"""),"LOCAL")</f>
        <v>LOCAL</v>
      </c>
      <c r="M1325" s="5" t="str">
        <f>IFERROR(__xludf.DUMMYFUNCTION("""COMPUTED_VALUE"""),"PITANQUINHA")</f>
        <v>PITANQUINHA</v>
      </c>
      <c r="N1325" s="5" t="str">
        <f>IFERROR(__xludf.DUMMYFUNCTION("""COMPUTED_VALUE"""),"CENTRO - BAIRRO")</f>
        <v>CENTRO - BAIRRO</v>
      </c>
      <c r="O1325" s="5"/>
      <c r="P1325" s="5"/>
      <c r="Q1325" s="5"/>
      <c r="R1325" s="5" t="str">
        <f>IFERROR(__xludf.DUMMYFUNCTION("""COMPUTED_VALUE"""),"NENHUMA DAS OPÇÕES")</f>
        <v>NENHUMA DAS OPÇÕES</v>
      </c>
      <c r="S1325" s="5"/>
      <c r="T1325" s="5"/>
      <c r="U1325" s="5"/>
      <c r="V1325" s="9" t="str">
        <f>IFERROR(__xludf.DUMMYFUNCTION("""COMPUTED_VALUE"""),"https://drive.google.com/uc?id=1RZz80j7_pJYPIRCHnEMBILvWE5232hnX")</f>
        <v>https://drive.google.com/uc?id=1RZz80j7_pJYPIRCHnEMBILvWE5232hnX</v>
      </c>
      <c r="W1325" s="5" t="str">
        <f>IFERROR(__xludf.DUMMYFUNCTION("""COMPUTED_VALUE"""),"NÃO")</f>
        <v>NÃO</v>
      </c>
      <c r="X1325" s="5" t="str">
        <f>IFERROR(__xludf.DUMMYFUNCTION("""COMPUTED_VALUE"""),"NÃO SE APLICA")</f>
        <v>NÃO SE APLICA</v>
      </c>
    </row>
    <row r="1326" hidden="1">
      <c r="A1326" s="5">
        <f>IFERROR(__xludf.DUMMYFUNCTION("""COMPUTED_VALUE"""),3.0)</f>
        <v>3</v>
      </c>
      <c r="B1326" s="5" t="str">
        <f>IFERROR(__xludf.DUMMYFUNCTION("""COMPUTED_VALUE"""),"PI005")</f>
        <v>PI005</v>
      </c>
      <c r="C1326" s="5" t="str">
        <f>IFERROR(__xludf.DUMMYFUNCTION("""COMPUTED_VALUE"""),"NÃO POSSUI")</f>
        <v>NÃO POSSUI</v>
      </c>
      <c r="D1326" s="5" t="str">
        <f>IFERROR(__xludf.DUMMYFUNCTION("""COMPUTED_VALUE"""),"FIXADA EM POSTE")</f>
        <v>FIXADA EM POSTE</v>
      </c>
      <c r="E1326" s="5" t="str">
        <f>IFERROR(__xludf.DUMMYFUNCTION("""COMPUTED_VALUE"""),"SEM BAIA")</f>
        <v>SEM BAIA</v>
      </c>
      <c r="F1326" s="5" t="str">
        <f>IFERROR(__xludf.DUMMYFUNCTION("""COMPUTED_VALUE"""),"SIM")</f>
        <v>SIM</v>
      </c>
      <c r="G1326" s="5" t="str">
        <f>IFERROR(__xludf.DUMMYFUNCTION("""COMPUTED_VALUE"""),"NÃO")</f>
        <v>NÃO</v>
      </c>
      <c r="H1326" s="5" t="str">
        <f>IFERROR(__xludf.DUMMYFUNCTION("""COMPUTED_VALUE"""),"PAVIMENTADA")</f>
        <v>PAVIMENTADA</v>
      </c>
      <c r="I1326" s="6" t="str">
        <f>IFERROR(__xludf.DUMMYFUNCTION("""COMPUTED_VALUE"""),"-9.635982")</f>
        <v>-9.635982</v>
      </c>
      <c r="J1326" s="6" t="str">
        <f>IFERROR(__xludf.DUMMYFUNCTION("""COMPUTED_VALUE"""),"-35.730065")</f>
        <v>-35.730065</v>
      </c>
      <c r="K1326" s="5" t="str">
        <f>IFERROR(__xludf.DUMMYFUNCTION("""COMPUTED_VALUE"""),"R. MARIO LÔBO")</f>
        <v>R. MARIO LÔBO</v>
      </c>
      <c r="L1326" s="5" t="str">
        <f>IFERROR(__xludf.DUMMYFUNCTION("""COMPUTED_VALUE"""),"LOCAL")</f>
        <v>LOCAL</v>
      </c>
      <c r="M1326" s="5" t="str">
        <f>IFERROR(__xludf.DUMMYFUNCTION("""COMPUTED_VALUE"""),"PITANQUINHA")</f>
        <v>PITANQUINHA</v>
      </c>
      <c r="N1326" s="5" t="str">
        <f>IFERROR(__xludf.DUMMYFUNCTION("""COMPUTED_VALUE"""),"CENTRO - BAIRRO")</f>
        <v>CENTRO - BAIRRO</v>
      </c>
      <c r="O1326" s="5"/>
      <c r="P1326" s="5"/>
      <c r="Q1326" s="5"/>
      <c r="R1326" s="5" t="str">
        <f>IFERROR(__xludf.DUMMYFUNCTION("""COMPUTED_VALUE"""),"NENHUMA DAS OPÇÕES")</f>
        <v>NENHUMA DAS OPÇÕES</v>
      </c>
      <c r="S1326" s="5"/>
      <c r="T1326" s="5"/>
      <c r="U1326" s="5"/>
      <c r="V1326" s="9" t="str">
        <f>IFERROR(__xludf.DUMMYFUNCTION("""COMPUTED_VALUE"""),"https://drive.google.com/uc?id=1QMFaCLzCHiVDAtqWyUsdTi9B2f7hR8v5")</f>
        <v>https://drive.google.com/uc?id=1QMFaCLzCHiVDAtqWyUsdTi9B2f7hR8v5</v>
      </c>
      <c r="W1326" s="5" t="str">
        <f>IFERROR(__xludf.DUMMYFUNCTION("""COMPUTED_VALUE"""),"NÃO")</f>
        <v>NÃO</v>
      </c>
      <c r="X1326" s="5" t="str">
        <f>IFERROR(__xludf.DUMMYFUNCTION("""COMPUTED_VALUE"""),"NÃO SE APLICA")</f>
        <v>NÃO SE APLICA</v>
      </c>
    </row>
    <row r="1327" hidden="1">
      <c r="A1327" s="5">
        <f>IFERROR(__xludf.DUMMYFUNCTION("""COMPUTED_VALUE"""),3.0)</f>
        <v>3</v>
      </c>
      <c r="B1327" s="5" t="str">
        <f>IFERROR(__xludf.DUMMYFUNCTION("""COMPUTED_VALUE"""),"PI006")</f>
        <v>PI006</v>
      </c>
      <c r="C1327" s="5" t="str">
        <f>IFERROR(__xludf.DUMMYFUNCTION("""COMPUTED_VALUE"""),"NÃO POSSUI")</f>
        <v>NÃO POSSUI</v>
      </c>
      <c r="D1327" s="5" t="str">
        <f>IFERROR(__xludf.DUMMYFUNCTION("""COMPUTED_VALUE"""),"FIXADA EM POSTE")</f>
        <v>FIXADA EM POSTE</v>
      </c>
      <c r="E1327" s="5" t="str">
        <f>IFERROR(__xludf.DUMMYFUNCTION("""COMPUTED_VALUE"""),"SEM BAIA")</f>
        <v>SEM BAIA</v>
      </c>
      <c r="F1327" s="5" t="str">
        <f>IFERROR(__xludf.DUMMYFUNCTION("""COMPUTED_VALUE"""),"NÃO")</f>
        <v>NÃO</v>
      </c>
      <c r="G1327" s="5" t="str">
        <f>IFERROR(__xludf.DUMMYFUNCTION("""COMPUTED_VALUE"""),"NÃO")</f>
        <v>NÃO</v>
      </c>
      <c r="H1327" s="5" t="str">
        <f>IFERROR(__xludf.DUMMYFUNCTION("""COMPUTED_VALUE"""),"PAVIMENTADA")</f>
        <v>PAVIMENTADA</v>
      </c>
      <c r="I1327" s="6" t="str">
        <f>IFERROR(__xludf.DUMMYFUNCTION("""COMPUTED_VALUE"""),"-9.636509")</f>
        <v>-9.636509</v>
      </c>
      <c r="J1327" s="6" t="str">
        <f>IFERROR(__xludf.DUMMYFUNCTION("""COMPUTED_VALUE"""),"-35.731454")</f>
        <v>-35.731454</v>
      </c>
      <c r="K1327" s="5" t="str">
        <f>IFERROR(__xludf.DUMMYFUNCTION("""COMPUTED_VALUE"""),"R. ZACARIAS DE AZEVEDO")</f>
        <v>R. ZACARIAS DE AZEVEDO</v>
      </c>
      <c r="L1327" s="5" t="str">
        <f>IFERROR(__xludf.DUMMYFUNCTION("""COMPUTED_VALUE"""),"LOCAL")</f>
        <v>LOCAL</v>
      </c>
      <c r="M1327" s="5" t="str">
        <f>IFERROR(__xludf.DUMMYFUNCTION("""COMPUTED_VALUE"""),"PITANQUINHA")</f>
        <v>PITANQUINHA</v>
      </c>
      <c r="N1327" s="5" t="str">
        <f>IFERROR(__xludf.DUMMYFUNCTION("""COMPUTED_VALUE"""),"CENTRO - BAIRRO")</f>
        <v>CENTRO - BAIRRO</v>
      </c>
      <c r="O1327" s="5"/>
      <c r="P1327" s="5"/>
      <c r="Q1327" s="5"/>
      <c r="R1327" s="5" t="str">
        <f>IFERROR(__xludf.DUMMYFUNCTION("""COMPUTED_VALUE"""),"NENHUMA DAS OPÇÕES")</f>
        <v>NENHUMA DAS OPÇÕES</v>
      </c>
      <c r="S1327" s="5"/>
      <c r="T1327" s="5"/>
      <c r="U1327" s="5"/>
      <c r="V1327" s="9" t="str">
        <f>IFERROR(__xludf.DUMMYFUNCTION("""COMPUTED_VALUE"""),"https://drive.google.com/uc?id=1qVZ9knrkhExKHbD61p0YDvjTdinUudZe")</f>
        <v>https://drive.google.com/uc?id=1qVZ9knrkhExKHbD61p0YDvjTdinUudZe</v>
      </c>
      <c r="W1327" s="5" t="str">
        <f>IFERROR(__xludf.DUMMYFUNCTION("""COMPUTED_VALUE"""),"NÃO")</f>
        <v>NÃO</v>
      </c>
      <c r="X1327" s="5" t="str">
        <f>IFERROR(__xludf.DUMMYFUNCTION("""COMPUTED_VALUE"""),"NÃO SE APLICA")</f>
        <v>NÃO SE APLICA</v>
      </c>
    </row>
    <row r="1328" hidden="1">
      <c r="A1328" s="5">
        <f>IFERROR(__xludf.DUMMYFUNCTION("""COMPUTED_VALUE"""),3.0)</f>
        <v>3</v>
      </c>
      <c r="B1328" s="5" t="str">
        <f>IFERROR(__xludf.DUMMYFUNCTION("""COMPUTED_VALUE"""),"PI007")</f>
        <v>PI007</v>
      </c>
      <c r="C1328" s="5" t="str">
        <f>IFERROR(__xludf.DUMMYFUNCTION("""COMPUTED_VALUE"""),"NÃO POSSUI")</f>
        <v>NÃO POSSUI</v>
      </c>
      <c r="D1328" s="5" t="str">
        <f>IFERROR(__xludf.DUMMYFUNCTION("""COMPUTED_VALUE"""),"FIXADA EM POSTE")</f>
        <v>FIXADA EM POSTE</v>
      </c>
      <c r="E1328" s="5" t="str">
        <f>IFERROR(__xludf.DUMMYFUNCTION("""COMPUTED_VALUE"""),"SEM BAIA")</f>
        <v>SEM BAIA</v>
      </c>
      <c r="F1328" s="5" t="str">
        <f>IFERROR(__xludf.DUMMYFUNCTION("""COMPUTED_VALUE"""),"NÃO")</f>
        <v>NÃO</v>
      </c>
      <c r="G1328" s="5" t="str">
        <f>IFERROR(__xludf.DUMMYFUNCTION("""COMPUTED_VALUE"""),"NÃO")</f>
        <v>NÃO</v>
      </c>
      <c r="H1328" s="5" t="str">
        <f>IFERROR(__xludf.DUMMYFUNCTION("""COMPUTED_VALUE"""),"PAVIMENTADA")</f>
        <v>PAVIMENTADA</v>
      </c>
      <c r="I1328" s="6" t="str">
        <f>IFERROR(__xludf.DUMMYFUNCTION("""COMPUTED_VALUE"""),"-9.637028")</f>
        <v>-9.637028</v>
      </c>
      <c r="J1328" s="6" t="str">
        <f>IFERROR(__xludf.DUMMYFUNCTION("""COMPUTED_VALUE"""),"-35.732612")</f>
        <v>-35.732612</v>
      </c>
      <c r="K1328" s="5" t="str">
        <f>IFERROR(__xludf.DUMMYFUNCTION("""COMPUTED_VALUE"""),"R. DR. JOSÉ CASTRO DE AZEVEDO")</f>
        <v>R. DR. JOSÉ CASTRO DE AZEVEDO</v>
      </c>
      <c r="L1328" s="5" t="str">
        <f>IFERROR(__xludf.DUMMYFUNCTION("""COMPUTED_VALUE"""),"LOCAL")</f>
        <v>LOCAL</v>
      </c>
      <c r="M1328" s="5" t="str">
        <f>IFERROR(__xludf.DUMMYFUNCTION("""COMPUTED_VALUE"""),"PITANQUINHA")</f>
        <v>PITANQUINHA</v>
      </c>
      <c r="N1328" s="5" t="str">
        <f>IFERROR(__xludf.DUMMYFUNCTION("""COMPUTED_VALUE"""),"CENTRO - BAIRRO")</f>
        <v>CENTRO - BAIRRO</v>
      </c>
      <c r="O1328" s="5"/>
      <c r="P1328" s="5"/>
      <c r="Q1328" s="5"/>
      <c r="R1328" s="5" t="str">
        <f>IFERROR(__xludf.DUMMYFUNCTION("""COMPUTED_VALUE"""),"NENHUMA DAS OPÇÕES")</f>
        <v>NENHUMA DAS OPÇÕES</v>
      </c>
      <c r="S1328" s="5"/>
      <c r="T1328" s="5"/>
      <c r="U1328" s="5"/>
      <c r="V1328" s="9" t="str">
        <f>IFERROR(__xludf.DUMMYFUNCTION("""COMPUTED_VALUE"""),"https://drive.google.com/uc?id=1NV_rNR6uMqSS0kijPDFGiZMmfNsmRE5S")</f>
        <v>https://drive.google.com/uc?id=1NV_rNR6uMqSS0kijPDFGiZMmfNsmRE5S</v>
      </c>
      <c r="W1328" s="5" t="str">
        <f>IFERROR(__xludf.DUMMYFUNCTION("""COMPUTED_VALUE"""),"NÃO")</f>
        <v>NÃO</v>
      </c>
      <c r="X1328" s="5" t="str">
        <f>IFERROR(__xludf.DUMMYFUNCTION("""COMPUTED_VALUE"""),"NÃO SE APLICA")</f>
        <v>NÃO SE APLICA</v>
      </c>
    </row>
    <row r="1329" hidden="1">
      <c r="A1329" s="5">
        <f>IFERROR(__xludf.DUMMYFUNCTION("""COMPUTED_VALUE"""),3.0)</f>
        <v>3</v>
      </c>
      <c r="B1329" s="5" t="str">
        <f>IFERROR(__xludf.DUMMYFUNCTION("""COMPUTED_VALUE"""),"PI008")</f>
        <v>PI008</v>
      </c>
      <c r="C1329" s="5" t="str">
        <f>IFERROR(__xludf.DUMMYFUNCTION("""COMPUTED_VALUE"""),"NÃO POSSUI")</f>
        <v>NÃO POSSUI</v>
      </c>
      <c r="D1329" s="5" t="str">
        <f>IFERROR(__xludf.DUMMYFUNCTION("""COMPUTED_VALUE"""),"FIXADA EM POSTE")</f>
        <v>FIXADA EM POSTE</v>
      </c>
      <c r="E1329" s="5" t="str">
        <f>IFERROR(__xludf.DUMMYFUNCTION("""COMPUTED_VALUE"""),"SEM BAIA")</f>
        <v>SEM BAIA</v>
      </c>
      <c r="F1329" s="5" t="str">
        <f>IFERROR(__xludf.DUMMYFUNCTION("""COMPUTED_VALUE"""),"NÃO")</f>
        <v>NÃO</v>
      </c>
      <c r="G1329" s="5" t="str">
        <f>IFERROR(__xludf.DUMMYFUNCTION("""COMPUTED_VALUE"""),"NÃO")</f>
        <v>NÃO</v>
      </c>
      <c r="H1329" s="5" t="str">
        <f>IFERROR(__xludf.DUMMYFUNCTION("""COMPUTED_VALUE"""),"PAVIMENTADA")</f>
        <v>PAVIMENTADA</v>
      </c>
      <c r="I1329" s="6" t="str">
        <f>IFERROR(__xludf.DUMMYFUNCTION("""COMPUTED_VALUE"""),"-9.636305")</f>
        <v>-9.636305</v>
      </c>
      <c r="J1329" s="6" t="str">
        <f>IFERROR(__xludf.DUMMYFUNCTION("""COMPUTED_VALUE"""),"-35.733286")</f>
        <v>-35.733286</v>
      </c>
      <c r="K1329" s="5" t="str">
        <f>IFERROR(__xludf.DUMMYFUNCTION("""COMPUTED_VALUE"""),"R. JOANA D'ARC")</f>
        <v>R. JOANA D'ARC</v>
      </c>
      <c r="L1329" s="5" t="str">
        <f>IFERROR(__xludf.DUMMYFUNCTION("""COMPUTED_VALUE"""),"COLETORA")</f>
        <v>COLETORA</v>
      </c>
      <c r="M1329" s="5" t="str">
        <f>IFERROR(__xludf.DUMMYFUNCTION("""COMPUTED_VALUE"""),"PITANQUINHA")</f>
        <v>PITANQUINHA</v>
      </c>
      <c r="N1329" s="5" t="str">
        <f>IFERROR(__xludf.DUMMYFUNCTION("""COMPUTED_VALUE"""),"CENTRO - BAIRRO")</f>
        <v>CENTRO - BAIRRO</v>
      </c>
      <c r="O1329" s="5"/>
      <c r="P1329" s="5"/>
      <c r="Q1329" s="5"/>
      <c r="R1329" s="5" t="str">
        <f>IFERROR(__xludf.DUMMYFUNCTION("""COMPUTED_VALUE"""),"NENHUMA DAS OPÇÕES")</f>
        <v>NENHUMA DAS OPÇÕES</v>
      </c>
      <c r="S1329" s="5"/>
      <c r="T1329" s="5"/>
      <c r="U1329" s="5"/>
      <c r="V1329" s="9" t="str">
        <f>IFERROR(__xludf.DUMMYFUNCTION("""COMPUTED_VALUE"""),"https://drive.google.com/uc?id=18QEFdhYhXu8Q-6_-dRBCuRxPkWyM6hku")</f>
        <v>https://drive.google.com/uc?id=18QEFdhYhXu8Q-6_-dRBCuRxPkWyM6hku</v>
      </c>
      <c r="W1329" s="5" t="str">
        <f>IFERROR(__xludf.DUMMYFUNCTION("""COMPUTED_VALUE"""),"NÃO")</f>
        <v>NÃO</v>
      </c>
      <c r="X1329" s="5" t="str">
        <f>IFERROR(__xludf.DUMMYFUNCTION("""COMPUTED_VALUE"""),"NÃO SE APLICA")</f>
        <v>NÃO SE APLICA</v>
      </c>
    </row>
    <row r="1330">
      <c r="A1330" s="13">
        <f>IFERROR(__xludf.DUMMYFUNCTION("IMPORTRANGE(""https://docs.google.com/spreadsheets/d/1mdBY0PJzlDiHezRddgrNuVbV7dNEdLAOyTnpPefaMX0/edit#gid=1469864628"", ""SANTO AMARO!A2:X3"")"),3.0)</f>
        <v>3</v>
      </c>
      <c r="B1330" s="5" t="str">
        <f>IFERROR(__xludf.DUMMYFUNCTION("""COMPUTED_VALUE"""),"SA001")</f>
        <v>SA001</v>
      </c>
      <c r="C1330" s="5" t="str">
        <f>IFERROR(__xludf.DUMMYFUNCTION("""COMPUTED_VALUE"""),"ABRIGO METÁLICO PEQUENO PORTE")</f>
        <v>ABRIGO METÁLICO PEQUENO PORTE</v>
      </c>
      <c r="D1330" s="5" t="str">
        <f>IFERROR(__xludf.DUMMYFUNCTION("""COMPUTED_VALUE"""),"SEM PLACA")</f>
        <v>SEM PLACA</v>
      </c>
      <c r="E1330" s="5" t="str">
        <f>IFERROR(__xludf.DUMMYFUNCTION("""COMPUTED_VALUE"""),"SEM BAIA")</f>
        <v>SEM BAIA</v>
      </c>
      <c r="F1330" s="5" t="str">
        <f>IFERROR(__xludf.DUMMYFUNCTION("""COMPUTED_VALUE"""),"NÃO")</f>
        <v>NÃO</v>
      </c>
      <c r="G1330" s="5" t="str">
        <f>IFERROR(__xludf.DUMMYFUNCTION("""COMPUTED_VALUE"""),"NÃO")</f>
        <v>NÃO</v>
      </c>
      <c r="H1330" s="5" t="str">
        <f>IFERROR(__xludf.DUMMYFUNCTION("""COMPUTED_VALUE"""),"NÃO PAVIMENTADA")</f>
        <v>NÃO PAVIMENTADA</v>
      </c>
      <c r="I1330" s="6" t="str">
        <f>IFERROR(__xludf.DUMMYFUNCTION("""COMPUTED_VALUE"""),"-9.607771")</f>
        <v>-9.607771</v>
      </c>
      <c r="J1330" s="6" t="str">
        <f>IFERROR(__xludf.DUMMYFUNCTION("""COMPUTED_VALUE"""),"-35.740703")</f>
        <v>-35.740703</v>
      </c>
      <c r="K1330" s="5" t="str">
        <f>IFERROR(__xludf.DUMMYFUNCTION("""COMPUTED_VALUE"""),"AV. DURVAL DE GÓES MONTEIRO")</f>
        <v>AV. DURVAL DE GÓES MONTEIRO</v>
      </c>
      <c r="L1330" s="5" t="str">
        <f>IFERROR(__xludf.DUMMYFUNCTION("""COMPUTED_VALUE"""),"ARTERIAL ")</f>
        <v>ARTERIAL </v>
      </c>
      <c r="M1330" s="5" t="str">
        <f>IFERROR(__xludf.DUMMYFUNCTION("""COMPUTED_VALUE"""),"SANTO AMARO")</f>
        <v>SANTO AMARO</v>
      </c>
      <c r="N1330" s="5" t="str">
        <f>IFERROR(__xludf.DUMMYFUNCTION("""COMPUTED_VALUE"""),"BAIRRO - CENTRO")</f>
        <v>BAIRRO - CENTRO</v>
      </c>
      <c r="O1330" s="5" t="str">
        <f>IFERROR(__xludf.DUMMYFUNCTION("""COMPUTED_VALUE"""),"EM FRENTE A DENTAL CIRURGICA")</f>
        <v>EM FRENTE A DENTAL CIRURGICA</v>
      </c>
      <c r="P1330" s="5"/>
      <c r="Q1330" s="5"/>
      <c r="R1330" s="5" t="str">
        <f>IFERROR(__xludf.DUMMYFUNCTION("""COMPUTED_VALUE"""),"SUBSTITUIR ABRIGO")</f>
        <v>SUBSTITUIR ABRIGO</v>
      </c>
      <c r="S1330" s="5"/>
      <c r="T1330" s="5"/>
      <c r="U1330" s="5"/>
      <c r="V1330" s="9" t="str">
        <f>IFERROR(__xludf.DUMMYFUNCTION("""COMPUTED_VALUE"""),"https://drive.google.com/uc?id=1plOh0BKtbS4iwp0nCY2CaLv41Qv8aZZ0")</f>
        <v>https://drive.google.com/uc?id=1plOh0BKtbS4iwp0nCY2CaLv41Qv8aZZ0</v>
      </c>
      <c r="W1330" s="5" t="str">
        <f>IFERROR(__xludf.DUMMYFUNCTION("""COMPUTED_VALUE"""),"NÃO")</f>
        <v>NÃO</v>
      </c>
      <c r="X1330" s="5" t="str">
        <f>IFERROR(__xludf.DUMMYFUNCTION("""COMPUTED_VALUE"""),"NÃO")</f>
        <v>NÃO</v>
      </c>
    </row>
    <row r="1331">
      <c r="A1331" s="5">
        <f>IFERROR(__xludf.DUMMYFUNCTION("""COMPUTED_VALUE"""),3.0)</f>
        <v>3</v>
      </c>
      <c r="B1331" s="5" t="str">
        <f>IFERROR(__xludf.DUMMYFUNCTION("""COMPUTED_VALUE"""),"SA002")</f>
        <v>SA002</v>
      </c>
      <c r="C1331" s="5" t="str">
        <f>IFERROR(__xludf.DUMMYFUNCTION("""COMPUTED_VALUE"""),"ABRIGO METÁLICO PEQUENO PORTE")</f>
        <v>ABRIGO METÁLICO PEQUENO PORTE</v>
      </c>
      <c r="D1331" s="5" t="str">
        <f>IFERROR(__xludf.DUMMYFUNCTION("""COMPUTED_VALUE"""),"SEM PLACA")</f>
        <v>SEM PLACA</v>
      </c>
      <c r="E1331" s="5" t="str">
        <f>IFERROR(__xludf.DUMMYFUNCTION("""COMPUTED_VALUE"""),"SEM BAIA")</f>
        <v>SEM BAIA</v>
      </c>
      <c r="F1331" s="5" t="str">
        <f>IFERROR(__xludf.DUMMYFUNCTION("""COMPUTED_VALUE"""),"SIM")</f>
        <v>SIM</v>
      </c>
      <c r="G1331" s="5" t="str">
        <f>IFERROR(__xludf.DUMMYFUNCTION("""COMPUTED_VALUE"""),"NÃO")</f>
        <v>NÃO</v>
      </c>
      <c r="H1331" s="5" t="str">
        <f>IFERROR(__xludf.DUMMYFUNCTION("""COMPUTED_VALUE"""),"PAVIMENTADA")</f>
        <v>PAVIMENTADA</v>
      </c>
      <c r="I1331" s="6" t="str">
        <f>IFERROR(__xludf.DUMMYFUNCTION("""COMPUTED_VALUE"""),"-9.609895")</f>
        <v>-9.609895</v>
      </c>
      <c r="J1331" s="6" t="str">
        <f>IFERROR(__xludf.DUMMYFUNCTION("""COMPUTED_VALUE"""),"-35.740355")</f>
        <v>-35.740355</v>
      </c>
      <c r="K1331" s="5" t="str">
        <f>IFERROR(__xludf.DUMMYFUNCTION("""COMPUTED_VALUE"""),"AV. DURVAL DE GÓES MONTEIRO")</f>
        <v>AV. DURVAL DE GÓES MONTEIRO</v>
      </c>
      <c r="L1331" s="5" t="str">
        <f>IFERROR(__xludf.DUMMYFUNCTION("""COMPUTED_VALUE"""),"ARTERIAL ")</f>
        <v>ARTERIAL </v>
      </c>
      <c r="M1331" s="5" t="str">
        <f>IFERROR(__xludf.DUMMYFUNCTION("""COMPUTED_VALUE"""),"SANTO AMARO")</f>
        <v>SANTO AMARO</v>
      </c>
      <c r="N1331" s="5" t="str">
        <f>IFERROR(__xludf.DUMMYFUNCTION("""COMPUTED_VALUE"""),"BAIRRO - CENTRO")</f>
        <v>BAIRRO - CENTRO</v>
      </c>
      <c r="O1331" s="5" t="str">
        <f>IFERROR(__xludf.DUMMYFUNCTION("""COMPUTED_VALUE"""),"EM FRENTE A FACIMA")</f>
        <v>EM FRENTE A FACIMA</v>
      </c>
      <c r="P1331" s="5"/>
      <c r="Q1331" s="5"/>
      <c r="R1331" s="5" t="str">
        <f>IFERROR(__xludf.DUMMYFUNCTION("""COMPUTED_VALUE"""),"SUBSTITUIR ABRIGO")</f>
        <v>SUBSTITUIR ABRIGO</v>
      </c>
      <c r="S1331" s="5"/>
      <c r="T1331" s="5"/>
      <c r="U1331" s="5"/>
      <c r="V1331" s="9" t="str">
        <f>IFERROR(__xludf.DUMMYFUNCTION("""COMPUTED_VALUE"""),"https://drive.google.com/uc?id=13_1VJN5xtJ3yQLolmWhPAkP0pZ0hTqUo")</f>
        <v>https://drive.google.com/uc?id=13_1VJN5xtJ3yQLolmWhPAkP0pZ0hTqUo</v>
      </c>
      <c r="W1331" s="5" t="str">
        <f>IFERROR(__xludf.DUMMYFUNCTION("""COMPUTED_VALUE"""),"NÃO")</f>
        <v>NÃO</v>
      </c>
      <c r="X1331" s="5" t="str">
        <f>IFERROR(__xludf.DUMMYFUNCTION("""COMPUTED_VALUE"""),"NÃO")</f>
        <v>NÃO</v>
      </c>
    </row>
    <row r="1332" hidden="1">
      <c r="A1332" s="13">
        <f>IFERROR(__xludf.DUMMYFUNCTION("IMPORTRANGE(""https://docs.google.com/spreadsheets/d/1mdBY0PJzlDiHezRddgrNuVbV7dNEdLAOyTnpPefaMX0/edit#gid=2140266582"", ""PINHEIRO!A2:X12"")"),3.0)</f>
        <v>3</v>
      </c>
      <c r="B1332" s="5" t="str">
        <f>IFERROR(__xludf.DUMMYFUNCTION("""COMPUTED_VALUE"""),"PH001")</f>
        <v>PH001</v>
      </c>
      <c r="C1332" s="5" t="str">
        <f>IFERROR(__xludf.DUMMYFUNCTION("""COMPUTED_VALUE"""),"NÃO POSSUI")</f>
        <v>NÃO POSSUI</v>
      </c>
      <c r="D1332" s="5" t="str">
        <f>IFERROR(__xludf.DUMMYFUNCTION("""COMPUTED_VALUE"""),"COM SUPORTE")</f>
        <v>COM SUPORTE</v>
      </c>
      <c r="E1332" s="5" t="str">
        <f>IFERROR(__xludf.DUMMYFUNCTION("""COMPUTED_VALUE"""),"SEM BAIA")</f>
        <v>SEM BAIA</v>
      </c>
      <c r="F1332" s="5" t="str">
        <f>IFERROR(__xludf.DUMMYFUNCTION("""COMPUTED_VALUE"""),"NÃO")</f>
        <v>NÃO</v>
      </c>
      <c r="G1332" s="5" t="str">
        <f>IFERROR(__xludf.DUMMYFUNCTION("""COMPUTED_VALUE"""),"NÃO")</f>
        <v>NÃO</v>
      </c>
      <c r="H1332" s="5" t="str">
        <f>IFERROR(__xludf.DUMMYFUNCTION("""COMPUTED_VALUE"""),"PAVIMENTADA")</f>
        <v>PAVIMENTADA</v>
      </c>
      <c r="I1332" s="6" t="str">
        <f>IFERROR(__xludf.DUMMYFUNCTION("""COMPUTED_VALUE"""),"-9.632646")</f>
        <v>-9.632646</v>
      </c>
      <c r="J1332" s="6" t="str">
        <f>IFERROR(__xludf.DUMMYFUNCTION("""COMPUTED_VALUE"""),"-35.740437")</f>
        <v>-35.740437</v>
      </c>
      <c r="K1332" s="5" t="str">
        <f>IFERROR(__xludf.DUMMYFUNCTION("""COMPUTED_VALUE"""),"RUA CÔNEGO CAVALCANTE, 359")</f>
        <v>RUA CÔNEGO CAVALCANTE, 359</v>
      </c>
      <c r="L1332" s="5" t="str">
        <f>IFERROR(__xludf.DUMMYFUNCTION("""COMPUTED_VALUE"""),"LOCAL")</f>
        <v>LOCAL</v>
      </c>
      <c r="M1332" s="5" t="str">
        <f>IFERROR(__xludf.DUMMYFUNCTION("""COMPUTED_VALUE"""),"PINHEIRO")</f>
        <v>PINHEIRO</v>
      </c>
      <c r="N1332" s="5" t="str">
        <f>IFERROR(__xludf.DUMMYFUNCTION("""COMPUTED_VALUE"""),"CENTRO - BAIRRO")</f>
        <v>CENTRO - BAIRRO</v>
      </c>
      <c r="O1332" s="5"/>
      <c r="P1332" s="5" t="str">
        <f>IFERROR(__xludf.DUMMYFUNCTION("""COMPUTED_VALUE"""),"PRIORIDADE BAIXA")</f>
        <v>PRIORIDADE BAIXA</v>
      </c>
      <c r="Q1332" s="5"/>
      <c r="R1332" s="5" t="str">
        <f>IFERROR(__xludf.DUMMYFUNCTION("""COMPUTED_VALUE"""),"NENHUMA DAS OPÇÕES")</f>
        <v>NENHUMA DAS OPÇÕES</v>
      </c>
      <c r="S1332" s="5"/>
      <c r="T1332" s="5"/>
      <c r="U1332" s="5"/>
      <c r="V1332" s="9" t="str">
        <f>IFERROR(__xludf.DUMMYFUNCTION("""COMPUTED_VALUE"""),"https://drive.google.com/uc?id=1gYMucwgKTaDkJKlMpgAaGqyvtEZ3y7M_")</f>
        <v>https://drive.google.com/uc?id=1gYMucwgKTaDkJKlMpgAaGqyvtEZ3y7M_</v>
      </c>
      <c r="W1332" s="5" t="str">
        <f>IFERROR(__xludf.DUMMYFUNCTION("""COMPUTED_VALUE"""),"NÃO")</f>
        <v>NÃO</v>
      </c>
      <c r="X1332" s="5" t="str">
        <f>IFERROR(__xludf.DUMMYFUNCTION("""COMPUTED_VALUE"""),"NÃO SE APLICA")</f>
        <v>NÃO SE APLICA</v>
      </c>
    </row>
    <row r="1333" hidden="1">
      <c r="A1333" s="5">
        <f>IFERROR(__xludf.DUMMYFUNCTION("""COMPUTED_VALUE"""),3.0)</f>
        <v>3</v>
      </c>
      <c r="B1333" s="5" t="str">
        <f>IFERROR(__xludf.DUMMYFUNCTION("""COMPUTED_VALUE"""),"PH002")</f>
        <v>PH002</v>
      </c>
      <c r="C1333" s="5" t="str">
        <f>IFERROR(__xludf.DUMMYFUNCTION("""COMPUTED_VALUE"""),"NÃO POSSUI")</f>
        <v>NÃO POSSUI</v>
      </c>
      <c r="D1333" s="5" t="str">
        <f>IFERROR(__xludf.DUMMYFUNCTION("""COMPUTED_VALUE"""),"FIXADA EM POSTE")</f>
        <v>FIXADA EM POSTE</v>
      </c>
      <c r="E1333" s="5" t="str">
        <f>IFERROR(__xludf.DUMMYFUNCTION("""COMPUTED_VALUE"""),"SEM BAIA")</f>
        <v>SEM BAIA</v>
      </c>
      <c r="F1333" s="5" t="str">
        <f>IFERROR(__xludf.DUMMYFUNCTION("""COMPUTED_VALUE"""),"NÃO")</f>
        <v>NÃO</v>
      </c>
      <c r="G1333" s="5" t="str">
        <f>IFERROR(__xludf.DUMMYFUNCTION("""COMPUTED_VALUE"""),"NÃO")</f>
        <v>NÃO</v>
      </c>
      <c r="H1333" s="5" t="str">
        <f>IFERROR(__xludf.DUMMYFUNCTION("""COMPUTED_VALUE"""),"PAVIMENTADA COM AVARIAS")</f>
        <v>PAVIMENTADA COM AVARIAS</v>
      </c>
      <c r="I1333" s="6" t="str">
        <f>IFERROR(__xludf.DUMMYFUNCTION("""COMPUTED_VALUE"""),"-9.633000")</f>
        <v>-9.633000</v>
      </c>
      <c r="J1333" s="6" t="str">
        <f>IFERROR(__xludf.DUMMYFUNCTION("""COMPUTED_VALUE"""),"-35.741238")</f>
        <v>-35.741238</v>
      </c>
      <c r="K1333" s="5" t="str">
        <f>IFERROR(__xludf.DUMMYFUNCTION("""COMPUTED_VALUE"""),"RUA CÔNEGO CAVALCANTE, 466")</f>
        <v>RUA CÔNEGO CAVALCANTE, 466</v>
      </c>
      <c r="L1333" s="5" t="str">
        <f>IFERROR(__xludf.DUMMYFUNCTION("""COMPUTED_VALUE"""),"LOCAL")</f>
        <v>LOCAL</v>
      </c>
      <c r="M1333" s="5" t="str">
        <f>IFERROR(__xludf.DUMMYFUNCTION("""COMPUTED_VALUE"""),"PINHEIRO")</f>
        <v>PINHEIRO</v>
      </c>
      <c r="N1333" s="5" t="str">
        <f>IFERROR(__xludf.DUMMYFUNCTION("""COMPUTED_VALUE"""),"BAIRRO - CENTRO")</f>
        <v>BAIRRO - CENTRO</v>
      </c>
      <c r="O1333" s="5"/>
      <c r="P1333" s="5" t="str">
        <f>IFERROR(__xludf.DUMMYFUNCTION("""COMPUTED_VALUE"""),"PRIORIDADE BAIXA")</f>
        <v>PRIORIDADE BAIXA</v>
      </c>
      <c r="Q1333" s="5"/>
      <c r="R1333" s="5" t="str">
        <f>IFERROR(__xludf.DUMMYFUNCTION("""COMPUTED_VALUE"""),"NENHUMA DAS OPÇÕES")</f>
        <v>NENHUMA DAS OPÇÕES</v>
      </c>
      <c r="S1333" s="5"/>
      <c r="T1333" s="5"/>
      <c r="U1333" s="5"/>
      <c r="V1333" s="9" t="str">
        <f>IFERROR(__xludf.DUMMYFUNCTION("""COMPUTED_VALUE"""),"https://drive.google.com/uc?id=1GZxtNCxg1W7CqJIYrE5xn1Vq6NnADriE")</f>
        <v>https://drive.google.com/uc?id=1GZxtNCxg1W7CqJIYrE5xn1Vq6NnADriE</v>
      </c>
      <c r="W1333" s="5" t="str">
        <f>IFERROR(__xludf.DUMMYFUNCTION("""COMPUTED_VALUE"""),"NÃO")</f>
        <v>NÃO</v>
      </c>
      <c r="X1333" s="5" t="str">
        <f>IFERROR(__xludf.DUMMYFUNCTION("""COMPUTED_VALUE"""),"NÃO SE APLICA")</f>
        <v>NÃO SE APLICA</v>
      </c>
    </row>
    <row r="1334" hidden="1">
      <c r="A1334" s="5">
        <f>IFERROR(__xludf.DUMMYFUNCTION("""COMPUTED_VALUE"""),3.0)</f>
        <v>3</v>
      </c>
      <c r="B1334" s="5" t="str">
        <f>IFERROR(__xludf.DUMMYFUNCTION("""COMPUTED_VALUE"""),"PH003")</f>
        <v>PH003</v>
      </c>
      <c r="C1334" s="5" t="str">
        <f>IFERROR(__xludf.DUMMYFUNCTION("""COMPUTED_VALUE"""),"NÃO POSSUI")</f>
        <v>NÃO POSSUI</v>
      </c>
      <c r="D1334" s="5" t="str">
        <f>IFERROR(__xludf.DUMMYFUNCTION("""COMPUTED_VALUE"""),"FIXADA EM POSTE")</f>
        <v>FIXADA EM POSTE</v>
      </c>
      <c r="E1334" s="5" t="str">
        <f>IFERROR(__xludf.DUMMYFUNCTION("""COMPUTED_VALUE"""),"SEM BAIA")</f>
        <v>SEM BAIA</v>
      </c>
      <c r="F1334" s="5" t="str">
        <f>IFERROR(__xludf.DUMMYFUNCTION("""COMPUTED_VALUE"""),"NÃO")</f>
        <v>NÃO</v>
      </c>
      <c r="G1334" s="5" t="str">
        <f>IFERROR(__xludf.DUMMYFUNCTION("""COMPUTED_VALUE"""),"NÃO")</f>
        <v>NÃO</v>
      </c>
      <c r="H1334" s="5" t="str">
        <f>IFERROR(__xludf.DUMMYFUNCTION("""COMPUTED_VALUE"""),"PAVIMENTADA")</f>
        <v>PAVIMENTADA</v>
      </c>
      <c r="I1334" s="6" t="str">
        <f>IFERROR(__xludf.DUMMYFUNCTION("""COMPUTED_VALUE"""),"-9.639211")</f>
        <v>-9.639211</v>
      </c>
      <c r="J1334" s="6" t="str">
        <f>IFERROR(__xludf.DUMMYFUNCTION("""COMPUTED_VALUE"""),"-35.740565")</f>
        <v>-35.740565</v>
      </c>
      <c r="K1334" s="5" t="str">
        <f>IFERROR(__xludf.DUMMYFUNCTION("""COMPUTED_VALUE"""),"RUA MIGUEL PALMEIRA, 1265")</f>
        <v>RUA MIGUEL PALMEIRA, 1265</v>
      </c>
      <c r="L1334" s="5" t="str">
        <f>IFERROR(__xludf.DUMMYFUNCTION("""COMPUTED_VALUE"""),"LOCAL")</f>
        <v>LOCAL</v>
      </c>
      <c r="M1334" s="5" t="str">
        <f>IFERROR(__xludf.DUMMYFUNCTION("""COMPUTED_VALUE"""),"PINHEIRO")</f>
        <v>PINHEIRO</v>
      </c>
      <c r="N1334" s="5" t="str">
        <f>IFERROR(__xludf.DUMMYFUNCTION("""COMPUTED_VALUE"""),"CENTRO - BAIRRO")</f>
        <v>CENTRO - BAIRRO</v>
      </c>
      <c r="O1334" s="5" t="str">
        <f>IFERROR(__xludf.DUMMYFUNCTION("""COMPUTED_VALUE"""),"PRÓXIMO AO POSTO DE SAÚDE PINHEIRO")</f>
        <v>PRÓXIMO AO POSTO DE SAÚDE PINHEIRO</v>
      </c>
      <c r="P1334" s="5" t="str">
        <f>IFERROR(__xludf.DUMMYFUNCTION("""COMPUTED_VALUE"""),"PRIORIDADE BAIXA")</f>
        <v>PRIORIDADE BAIXA</v>
      </c>
      <c r="Q1334" s="5"/>
      <c r="R1334" s="5" t="str">
        <f>IFERROR(__xludf.DUMMYFUNCTION("""COMPUTED_VALUE"""),"NENHUMA DAS OPÇÕES")</f>
        <v>NENHUMA DAS OPÇÕES</v>
      </c>
      <c r="S1334" s="5"/>
      <c r="T1334" s="5"/>
      <c r="U1334" s="5"/>
      <c r="V1334" s="9" t="str">
        <f>IFERROR(__xludf.DUMMYFUNCTION("""COMPUTED_VALUE"""),"https://drive.google.com/uc?id=1xL85ssNa4Vpyw6W4jpNgFjMd6VPaKTgS")</f>
        <v>https://drive.google.com/uc?id=1xL85ssNa4Vpyw6W4jpNgFjMd6VPaKTgS</v>
      </c>
      <c r="W1334" s="5" t="str">
        <f>IFERROR(__xludf.DUMMYFUNCTION("""COMPUTED_VALUE"""),"NÃO")</f>
        <v>NÃO</v>
      </c>
      <c r="X1334" s="5" t="str">
        <f>IFERROR(__xludf.DUMMYFUNCTION("""COMPUTED_VALUE"""),"NÃO SE APLICA")</f>
        <v>NÃO SE APLICA</v>
      </c>
    </row>
    <row r="1335">
      <c r="A1335" s="5">
        <f>IFERROR(__xludf.DUMMYFUNCTION("""COMPUTED_VALUE"""),3.0)</f>
        <v>3</v>
      </c>
      <c r="B1335" s="5" t="str">
        <f>IFERROR(__xludf.DUMMYFUNCTION("""COMPUTED_VALUE"""),"PH004")</f>
        <v>PH004</v>
      </c>
      <c r="C1335" s="5" t="str">
        <f>IFERROR(__xludf.DUMMYFUNCTION("""COMPUTED_VALUE"""),"ABRIGO CONCRETO")</f>
        <v>ABRIGO CONCRETO</v>
      </c>
      <c r="D1335" s="5" t="str">
        <f>IFERROR(__xludf.DUMMYFUNCTION("""COMPUTED_VALUE"""),"SEM PLACA")</f>
        <v>SEM PLACA</v>
      </c>
      <c r="E1335" s="5" t="str">
        <f>IFERROR(__xludf.DUMMYFUNCTION("""COMPUTED_VALUE"""),"SEM BAIA")</f>
        <v>SEM BAIA</v>
      </c>
      <c r="F1335" s="5" t="str">
        <f>IFERROR(__xludf.DUMMYFUNCTION("""COMPUTED_VALUE"""),"NÃO")</f>
        <v>NÃO</v>
      </c>
      <c r="G1335" s="5" t="str">
        <f>IFERROR(__xludf.DUMMYFUNCTION("""COMPUTED_VALUE"""),"NÃO")</f>
        <v>NÃO</v>
      </c>
      <c r="H1335" s="5" t="str">
        <f>IFERROR(__xludf.DUMMYFUNCTION("""COMPUTED_VALUE"""),"PAVIMENTADA")</f>
        <v>PAVIMENTADA</v>
      </c>
      <c r="I1335" s="6" t="str">
        <f>IFERROR(__xludf.DUMMYFUNCTION("""COMPUTED_VALUE"""),"-9.624928")</f>
        <v>-9.624928</v>
      </c>
      <c r="J1335" s="6" t="str">
        <f>IFERROR(__xludf.DUMMYFUNCTION("""COMPUTED_VALUE"""),"-35.744596")</f>
        <v>-35.744596</v>
      </c>
      <c r="K1335" s="5" t="str">
        <f>IFERROR(__xludf.DUMMYFUNCTION("""COMPUTED_VALUE"""),"RUA TEN. FRANCISCO OLIVEIRA DA SILVA, 50")</f>
        <v>RUA TEN. FRANCISCO OLIVEIRA DA SILVA, 50</v>
      </c>
      <c r="L1335" s="5" t="str">
        <f>IFERROR(__xludf.DUMMYFUNCTION("""COMPUTED_VALUE"""),"LOCAL")</f>
        <v>LOCAL</v>
      </c>
      <c r="M1335" s="5" t="str">
        <f>IFERROR(__xludf.DUMMYFUNCTION("""COMPUTED_VALUE"""),"PINHEIRO")</f>
        <v>PINHEIRO</v>
      </c>
      <c r="N1335" s="5" t="str">
        <f>IFERROR(__xludf.DUMMYFUNCTION("""COMPUTED_VALUE"""),"BAIRRO - CENTRO")</f>
        <v>BAIRRO - CENTRO</v>
      </c>
      <c r="O1335" s="5" t="str">
        <f>IFERROR(__xludf.DUMMYFUNCTION("""COMPUTED_VALUE"""),"EM FRENTE A CAIXA D’ÁGUA DO VILA SAEM")</f>
        <v>EM FRENTE A CAIXA D’ÁGUA DO VILA SAEM</v>
      </c>
      <c r="P1335" s="5" t="str">
        <f>IFERROR(__xludf.DUMMYFUNCTION("""COMPUTED_VALUE"""),"PRIORIDADE BAIXA")</f>
        <v>PRIORIDADE BAIXA</v>
      </c>
      <c r="Q1335" s="5" t="str">
        <f>IFERROR(__xludf.DUMMYFUNCTION("""COMPUTED_VALUE"""),"LIMPEZA DA VEGETAÇÃO SELVAGEM ")</f>
        <v>LIMPEZA DA VEGETAÇÃO SELVAGEM </v>
      </c>
      <c r="R1335" s="5" t="str">
        <f>IFERROR(__xludf.DUMMYFUNCTION("""COMPUTED_VALUE"""),"SUBSTITUIR ABRIGO")</f>
        <v>SUBSTITUIR ABRIGO</v>
      </c>
      <c r="S1335" s="5"/>
      <c r="T1335" s="5"/>
      <c r="U1335" s="5"/>
      <c r="V1335" s="9" t="str">
        <f>IFERROR(__xludf.DUMMYFUNCTION("""COMPUTED_VALUE"""),"https://drive.google.com/uc?id=1ictUiqrvPm1zab8_HFv4HxxVlkELl4ps")</f>
        <v>https://drive.google.com/uc?id=1ictUiqrvPm1zab8_HFv4HxxVlkELl4ps</v>
      </c>
      <c r="W1335" s="5" t="str">
        <f>IFERROR(__xludf.DUMMYFUNCTION("""COMPUTED_VALUE"""),"NÃO")</f>
        <v>NÃO</v>
      </c>
      <c r="X1335" s="5" t="str">
        <f>IFERROR(__xludf.DUMMYFUNCTION("""COMPUTED_VALUE"""),"NÃO SE APLICA")</f>
        <v>NÃO SE APLICA</v>
      </c>
    </row>
    <row r="1336" hidden="1">
      <c r="A1336" s="5">
        <f>IFERROR(__xludf.DUMMYFUNCTION("""COMPUTED_VALUE"""),3.0)</f>
        <v>3</v>
      </c>
      <c r="B1336" s="5" t="str">
        <f>IFERROR(__xludf.DUMMYFUNCTION("""COMPUTED_VALUE"""),"PH005")</f>
        <v>PH005</v>
      </c>
      <c r="C1336" s="5" t="str">
        <f>IFERROR(__xludf.DUMMYFUNCTION("""COMPUTED_VALUE"""),"NÃO POSSUI")</f>
        <v>NÃO POSSUI</v>
      </c>
      <c r="D1336" s="5" t="str">
        <f>IFERROR(__xludf.DUMMYFUNCTION("""COMPUTED_VALUE"""),"FIXADA EM POSTE")</f>
        <v>FIXADA EM POSTE</v>
      </c>
      <c r="E1336" s="5" t="str">
        <f>IFERROR(__xludf.DUMMYFUNCTION("""COMPUTED_VALUE"""),"SEM BAIA")</f>
        <v>SEM BAIA</v>
      </c>
      <c r="F1336" s="5" t="str">
        <f>IFERROR(__xludf.DUMMYFUNCTION("""COMPUTED_VALUE"""),"NÃO")</f>
        <v>NÃO</v>
      </c>
      <c r="G1336" s="5" t="str">
        <f>IFERROR(__xludf.DUMMYFUNCTION("""COMPUTED_VALUE"""),"NÃO")</f>
        <v>NÃO</v>
      </c>
      <c r="H1336" s="5" t="str">
        <f>IFERROR(__xludf.DUMMYFUNCTION("""COMPUTED_VALUE"""),"PAVIMENTADA")</f>
        <v>PAVIMENTADA</v>
      </c>
      <c r="I1336" s="6" t="str">
        <f>IFERROR(__xludf.DUMMYFUNCTION("""COMPUTED_VALUE"""),"-9.632094")</f>
        <v>-9.632094</v>
      </c>
      <c r="J1336" s="6" t="str">
        <f>IFERROR(__xludf.DUMMYFUNCTION("""COMPUTED_VALUE"""),"-35.740024")</f>
        <v>-35.740024</v>
      </c>
      <c r="K1336" s="5" t="str">
        <f>IFERROR(__xludf.DUMMYFUNCTION("""COMPUTED_VALUE"""),"RUA PROFESSOR JOSÉ DA SILVEIRA CAMERINO, 527")</f>
        <v>RUA PROFESSOR JOSÉ DA SILVEIRA CAMERINO, 527</v>
      </c>
      <c r="L1336" s="5" t="str">
        <f>IFERROR(__xludf.DUMMYFUNCTION("""COMPUTED_VALUE"""),"COLETORA")</f>
        <v>COLETORA</v>
      </c>
      <c r="M1336" s="5" t="str">
        <f>IFERROR(__xludf.DUMMYFUNCTION("""COMPUTED_VALUE"""),"PINHEIRO")</f>
        <v>PINHEIRO</v>
      </c>
      <c r="N1336" s="5" t="str">
        <f>IFERROR(__xludf.DUMMYFUNCTION("""COMPUTED_VALUE"""),"BAIRRO - CENTRO")</f>
        <v>BAIRRO - CENTRO</v>
      </c>
      <c r="O1336" s="5" t="str">
        <f>IFERROR(__xludf.DUMMYFUNCTION("""COMPUTED_VALUE"""),"EM FRENTE AO EDILSON FUMÊ")</f>
        <v>EM FRENTE AO EDILSON FUMÊ</v>
      </c>
      <c r="P1336" s="5" t="str">
        <f>IFERROR(__xludf.DUMMYFUNCTION("""COMPUTED_VALUE"""),"PRIORIDADE BAIXA")</f>
        <v>PRIORIDADE BAIXA</v>
      </c>
      <c r="Q1336" s="5"/>
      <c r="R1336" s="5" t="str">
        <f>IFERROR(__xludf.DUMMYFUNCTION("""COMPUTED_VALUE"""),"NENHUMA DAS OPÇÕES")</f>
        <v>NENHUMA DAS OPÇÕES</v>
      </c>
      <c r="S1336" s="5"/>
      <c r="T1336" s="5"/>
      <c r="U1336" s="5"/>
      <c r="V1336" s="9" t="str">
        <f>IFERROR(__xludf.DUMMYFUNCTION("""COMPUTED_VALUE"""),"https://drive.google.com/uc?id=1hyTcqUZH1F0pZ6OsoUXSSH8Cx95kv65V")</f>
        <v>https://drive.google.com/uc?id=1hyTcqUZH1F0pZ6OsoUXSSH8Cx95kv65V</v>
      </c>
      <c r="W1336" s="5" t="str">
        <f>IFERROR(__xludf.DUMMYFUNCTION("""COMPUTED_VALUE"""),"NÃO")</f>
        <v>NÃO</v>
      </c>
      <c r="X1336" s="5" t="str">
        <f>IFERROR(__xludf.DUMMYFUNCTION("""COMPUTED_VALUE"""),"NÃO SE APLICA")</f>
        <v>NÃO SE APLICA</v>
      </c>
    </row>
    <row r="1337">
      <c r="A1337" s="5">
        <f>IFERROR(__xludf.DUMMYFUNCTION("""COMPUTED_VALUE"""),3.0)</f>
        <v>3</v>
      </c>
      <c r="B1337" s="5" t="str">
        <f>IFERROR(__xludf.DUMMYFUNCTION("""COMPUTED_VALUE"""),"PH006")</f>
        <v>PH006</v>
      </c>
      <c r="C1337" s="5" t="str">
        <f>IFERROR(__xludf.DUMMYFUNCTION("""COMPUTED_VALUE"""),"ABRIGO CONCRETO")</f>
        <v>ABRIGO CONCRETO</v>
      </c>
      <c r="D1337" s="5" t="str">
        <f>IFERROR(__xludf.DUMMYFUNCTION("""COMPUTED_VALUE"""),"SEM PLACA")</f>
        <v>SEM PLACA</v>
      </c>
      <c r="E1337" s="5" t="str">
        <f>IFERROR(__xludf.DUMMYFUNCTION("""COMPUTED_VALUE"""),"SEM BAIA")</f>
        <v>SEM BAIA</v>
      </c>
      <c r="F1337" s="5" t="str">
        <f>IFERROR(__xludf.DUMMYFUNCTION("""COMPUTED_VALUE"""),"NÃO")</f>
        <v>NÃO</v>
      </c>
      <c r="G1337" s="5" t="str">
        <f>IFERROR(__xludf.DUMMYFUNCTION("""COMPUTED_VALUE"""),"NÃO")</f>
        <v>NÃO</v>
      </c>
      <c r="H1337" s="5" t="str">
        <f>IFERROR(__xludf.DUMMYFUNCTION("""COMPUTED_VALUE"""),"PAVIMENTADA")</f>
        <v>PAVIMENTADA</v>
      </c>
      <c r="I1337" s="6" t="str">
        <f>IFERROR(__xludf.DUMMYFUNCTION("""COMPUTED_VALUE"""),"-9.629875")</f>
        <v>-9.629875</v>
      </c>
      <c r="J1337" s="6" t="str">
        <f>IFERROR(__xludf.DUMMYFUNCTION("""COMPUTED_VALUE"""),"-35.741023")</f>
        <v>-35.741023</v>
      </c>
      <c r="K1337" s="5" t="str">
        <f>IFERROR(__xludf.DUMMYFUNCTION("""COMPUTED_VALUE"""),"RUA PROFESSOR JOSÉ DA SILVEIRA CAMERINO, S/N")</f>
        <v>RUA PROFESSOR JOSÉ DA SILVEIRA CAMERINO, S/N</v>
      </c>
      <c r="L1337" s="5" t="str">
        <f>IFERROR(__xludf.DUMMYFUNCTION("""COMPUTED_VALUE"""),"COLETORA")</f>
        <v>COLETORA</v>
      </c>
      <c r="M1337" s="5" t="str">
        <f>IFERROR(__xludf.DUMMYFUNCTION("""COMPUTED_VALUE"""),"PINHEIRO")</f>
        <v>PINHEIRO</v>
      </c>
      <c r="N1337" s="5" t="str">
        <f>IFERROR(__xludf.DUMMYFUNCTION("""COMPUTED_VALUE"""),"BAIRRO - CENTRO")</f>
        <v>BAIRRO - CENTRO</v>
      </c>
      <c r="O1337" s="5" t="str">
        <f>IFERROR(__xludf.DUMMYFUNCTION("""COMPUTED_VALUE"""),"AO LADO DAS RUÍNAS DO HOSPITAL DO HAPVIDA")</f>
        <v>AO LADO DAS RUÍNAS DO HOSPITAL DO HAPVIDA</v>
      </c>
      <c r="P1337" s="5" t="str">
        <f>IFERROR(__xludf.DUMMYFUNCTION("""COMPUTED_VALUE"""),"PRIORIDADE BAIXA")</f>
        <v>PRIORIDADE BAIXA</v>
      </c>
      <c r="Q1337" s="5"/>
      <c r="R1337" s="5" t="str">
        <f>IFERROR(__xludf.DUMMYFUNCTION("""COMPUTED_VALUE"""),"SUBSTITUIR ABRIGO")</f>
        <v>SUBSTITUIR ABRIGO</v>
      </c>
      <c r="S1337" s="5"/>
      <c r="T1337" s="5"/>
      <c r="U1337" s="5"/>
      <c r="V1337" s="9" t="str">
        <f>IFERROR(__xludf.DUMMYFUNCTION("""COMPUTED_VALUE"""),"https://drive.google.com/uc?id=1vU3q3g9vApkFDB5j8xzpHeM8OhTas_wk")</f>
        <v>https://drive.google.com/uc?id=1vU3q3g9vApkFDB5j8xzpHeM8OhTas_wk</v>
      </c>
      <c r="W1337" s="5" t="str">
        <f>IFERROR(__xludf.DUMMYFUNCTION("""COMPUTED_VALUE"""),"NÃO")</f>
        <v>NÃO</v>
      </c>
      <c r="X1337" s="5" t="str">
        <f>IFERROR(__xludf.DUMMYFUNCTION("""COMPUTED_VALUE"""),"NÃO SE APLICA")</f>
        <v>NÃO SE APLICA</v>
      </c>
    </row>
    <row r="1338" hidden="1">
      <c r="A1338" s="5">
        <f>IFERROR(__xludf.DUMMYFUNCTION("""COMPUTED_VALUE"""),3.0)</f>
        <v>3</v>
      </c>
      <c r="B1338" s="5" t="str">
        <f>IFERROR(__xludf.DUMMYFUNCTION("""COMPUTED_VALUE"""),"PH007")</f>
        <v>PH007</v>
      </c>
      <c r="C1338" s="5" t="str">
        <f>IFERROR(__xludf.DUMMYFUNCTION("""COMPUTED_VALUE"""),"NÃO POSSUI")</f>
        <v>NÃO POSSUI</v>
      </c>
      <c r="D1338" s="5" t="str">
        <f>IFERROR(__xludf.DUMMYFUNCTION("""COMPUTED_VALUE"""),"COM SUPORTE")</f>
        <v>COM SUPORTE</v>
      </c>
      <c r="E1338" s="5" t="str">
        <f>IFERROR(__xludf.DUMMYFUNCTION("""COMPUTED_VALUE"""),"SEM BAIA")</f>
        <v>SEM BAIA</v>
      </c>
      <c r="F1338" s="5" t="str">
        <f>IFERROR(__xludf.DUMMYFUNCTION("""COMPUTED_VALUE"""),"NÃO")</f>
        <v>NÃO</v>
      </c>
      <c r="G1338" s="5" t="str">
        <f>IFERROR(__xludf.DUMMYFUNCTION("""COMPUTED_VALUE"""),"NÃO")</f>
        <v>NÃO</v>
      </c>
      <c r="H1338" s="5" t="str">
        <f>IFERROR(__xludf.DUMMYFUNCTION("""COMPUTED_VALUE"""),"PAVIMENTADA")</f>
        <v>PAVIMENTADA</v>
      </c>
      <c r="I1338" s="6" t="str">
        <f>IFERROR(__xludf.DUMMYFUNCTION("""COMPUTED_VALUE"""),"-9.628130")</f>
        <v>-9.628130</v>
      </c>
      <c r="J1338" s="6" t="str">
        <f>IFERROR(__xludf.DUMMYFUNCTION("""COMPUTED_VALUE"""),"-35.741938")</f>
        <v>-35.741938</v>
      </c>
      <c r="K1338" s="5" t="str">
        <f>IFERROR(__xludf.DUMMYFUNCTION("""COMPUTED_VALUE"""),"RUA PROFESSOR JOSÉ DA SILVEIRA CAMERINO, 890")</f>
        <v>RUA PROFESSOR JOSÉ DA SILVEIRA CAMERINO, 890</v>
      </c>
      <c r="L1338" s="5" t="str">
        <f>IFERROR(__xludf.DUMMYFUNCTION("""COMPUTED_VALUE"""),"COLETORA")</f>
        <v>COLETORA</v>
      </c>
      <c r="M1338" s="5" t="str">
        <f>IFERROR(__xludf.DUMMYFUNCTION("""COMPUTED_VALUE"""),"PINHEIRO")</f>
        <v>PINHEIRO</v>
      </c>
      <c r="N1338" s="5" t="str">
        <f>IFERROR(__xludf.DUMMYFUNCTION("""COMPUTED_VALUE"""),"CENTRO - BAIRRO")</f>
        <v>CENTRO - BAIRRO</v>
      </c>
      <c r="O1338" s="5" t="str">
        <f>IFERROR(__xludf.DUMMYFUNCTION("""COMPUTED_VALUE"""),"AO LADO O CALDINHO DO VIEIRA")</f>
        <v>AO LADO O CALDINHO DO VIEIRA</v>
      </c>
      <c r="P1338" s="5" t="str">
        <f>IFERROR(__xludf.DUMMYFUNCTION("""COMPUTED_VALUE"""),"PRIORIDADE BAIXA")</f>
        <v>PRIORIDADE BAIXA</v>
      </c>
      <c r="Q1338" s="5"/>
      <c r="R1338" s="5" t="str">
        <f>IFERROR(__xludf.DUMMYFUNCTION("""COMPUTED_VALUE"""),"NENHUMA DAS OPÇÕES")</f>
        <v>NENHUMA DAS OPÇÕES</v>
      </c>
      <c r="S1338" s="5"/>
      <c r="T1338" s="5"/>
      <c r="U1338" s="5"/>
      <c r="V1338" s="9" t="str">
        <f>IFERROR(__xludf.DUMMYFUNCTION("""COMPUTED_VALUE"""),"https://drive.google.com/uc?id=10rzj8T9pQdRNgjXJtgxDRCYDwuxUMc7v")</f>
        <v>https://drive.google.com/uc?id=10rzj8T9pQdRNgjXJtgxDRCYDwuxUMc7v</v>
      </c>
      <c r="W1338" s="5" t="str">
        <f>IFERROR(__xludf.DUMMYFUNCTION("""COMPUTED_VALUE"""),"NÃO")</f>
        <v>NÃO</v>
      </c>
      <c r="X1338" s="5" t="str">
        <f>IFERROR(__xludf.DUMMYFUNCTION("""COMPUTED_VALUE"""),"NÃO SE APLICA")</f>
        <v>NÃO SE APLICA</v>
      </c>
    </row>
    <row r="1339" hidden="1">
      <c r="A1339" s="5">
        <f>IFERROR(__xludf.DUMMYFUNCTION("""COMPUTED_VALUE"""),3.0)</f>
        <v>3</v>
      </c>
      <c r="B1339" s="5" t="str">
        <f>IFERROR(__xludf.DUMMYFUNCTION("""COMPUTED_VALUE"""),"PH008")</f>
        <v>PH008</v>
      </c>
      <c r="C1339" s="5" t="str">
        <f>IFERROR(__xludf.DUMMYFUNCTION("""COMPUTED_VALUE"""),"NÃO POSSUI")</f>
        <v>NÃO POSSUI</v>
      </c>
      <c r="D1339" s="5" t="str">
        <f>IFERROR(__xludf.DUMMYFUNCTION("""COMPUTED_VALUE"""),"COM SUPORTE")</f>
        <v>COM SUPORTE</v>
      </c>
      <c r="E1339" s="5" t="str">
        <f>IFERROR(__xludf.DUMMYFUNCTION("""COMPUTED_VALUE"""),"SEM BAIA")</f>
        <v>SEM BAIA</v>
      </c>
      <c r="F1339" s="5" t="str">
        <f>IFERROR(__xludf.DUMMYFUNCTION("""COMPUTED_VALUE"""),"NÃO")</f>
        <v>NÃO</v>
      </c>
      <c r="G1339" s="5" t="str">
        <f>IFERROR(__xludf.DUMMYFUNCTION("""COMPUTED_VALUE"""),"NÃO")</f>
        <v>NÃO</v>
      </c>
      <c r="H1339" s="5" t="str">
        <f>IFERROR(__xludf.DUMMYFUNCTION("""COMPUTED_VALUE"""),"PAVIMENTADA")</f>
        <v>PAVIMENTADA</v>
      </c>
      <c r="I1339" s="6" t="str">
        <f>IFERROR(__xludf.DUMMYFUNCTION("""COMPUTED_VALUE"""),"-9.629754")</f>
        <v>-9.629754</v>
      </c>
      <c r="J1339" s="6" t="str">
        <f>IFERROR(__xludf.DUMMYFUNCTION("""COMPUTED_VALUE"""),"-35.741047")</f>
        <v>-35.741047</v>
      </c>
      <c r="K1339" s="5" t="str">
        <f>IFERROR(__xludf.DUMMYFUNCTION("""COMPUTED_VALUE"""),"RUA PROFESSOR JOSÉ DA SILVEIRA CAMERINO, S/N")</f>
        <v>RUA PROFESSOR JOSÉ DA SILVEIRA CAMERINO, S/N</v>
      </c>
      <c r="L1339" s="5" t="str">
        <f>IFERROR(__xludf.DUMMYFUNCTION("""COMPUTED_VALUE"""),"COLETORA")</f>
        <v>COLETORA</v>
      </c>
      <c r="M1339" s="5" t="str">
        <f>IFERROR(__xludf.DUMMYFUNCTION("""COMPUTED_VALUE"""),"PINHEIRO")</f>
        <v>PINHEIRO</v>
      </c>
      <c r="N1339" s="5" t="str">
        <f>IFERROR(__xludf.DUMMYFUNCTION("""COMPUTED_VALUE"""),"CENTRO - BAIRRO")</f>
        <v>CENTRO - BAIRRO</v>
      </c>
      <c r="O1339" s="5" t="str">
        <f>IFERROR(__xludf.DUMMYFUNCTION("""COMPUTED_VALUE"""),"AO LADO DAS RUÍNAS DO HOSPITAL DO HAPVIDA")</f>
        <v>AO LADO DAS RUÍNAS DO HOSPITAL DO HAPVIDA</v>
      </c>
      <c r="P1339" s="5" t="str">
        <f>IFERROR(__xludf.DUMMYFUNCTION("""COMPUTED_VALUE"""),"PRIORIDADE BAIXA")</f>
        <v>PRIORIDADE BAIXA</v>
      </c>
      <c r="Q1339" s="5"/>
      <c r="R1339" s="5" t="str">
        <f>IFERROR(__xludf.DUMMYFUNCTION("""COMPUTED_VALUE"""),"NENHUMA DAS OPÇÕES")</f>
        <v>NENHUMA DAS OPÇÕES</v>
      </c>
      <c r="S1339" s="5"/>
      <c r="T1339" s="5"/>
      <c r="U1339" s="5"/>
      <c r="V1339" s="9" t="str">
        <f>IFERROR(__xludf.DUMMYFUNCTION("""COMPUTED_VALUE"""),"https://drive.google.com/uc?id=1NZufFInDOrMThFHzQBJBxnE0JNuW67yj")</f>
        <v>https://drive.google.com/uc?id=1NZufFInDOrMThFHzQBJBxnE0JNuW67yj</v>
      </c>
      <c r="W1339" s="5" t="str">
        <f>IFERROR(__xludf.DUMMYFUNCTION("""COMPUTED_VALUE"""),"NÃO")</f>
        <v>NÃO</v>
      </c>
      <c r="X1339" s="5" t="str">
        <f>IFERROR(__xludf.DUMMYFUNCTION("""COMPUTED_VALUE"""),"NÃO SE APLICA")</f>
        <v>NÃO SE APLICA</v>
      </c>
    </row>
    <row r="1340" hidden="1">
      <c r="A1340" s="5">
        <f>IFERROR(__xludf.DUMMYFUNCTION("""COMPUTED_VALUE"""),3.0)</f>
        <v>3</v>
      </c>
      <c r="B1340" s="5" t="str">
        <f>IFERROR(__xludf.DUMMYFUNCTION("""COMPUTED_VALUE"""),"PH009")</f>
        <v>PH009</v>
      </c>
      <c r="C1340" s="5" t="str">
        <f>IFERROR(__xludf.DUMMYFUNCTION("""COMPUTED_VALUE"""),"NÃO POSSUI")</f>
        <v>NÃO POSSUI</v>
      </c>
      <c r="D1340" s="5" t="str">
        <f>IFERROR(__xludf.DUMMYFUNCTION("""COMPUTED_VALUE"""),"SEM PLACA")</f>
        <v>SEM PLACA</v>
      </c>
      <c r="E1340" s="5" t="str">
        <f>IFERROR(__xludf.DUMMYFUNCTION("""COMPUTED_VALUE"""),"SEM BAIA")</f>
        <v>SEM BAIA</v>
      </c>
      <c r="F1340" s="5" t="str">
        <f>IFERROR(__xludf.DUMMYFUNCTION("""COMPUTED_VALUE"""),"NÃO")</f>
        <v>NÃO</v>
      </c>
      <c r="G1340" s="5" t="str">
        <f>IFERROR(__xludf.DUMMYFUNCTION("""COMPUTED_VALUE"""),"NÃO")</f>
        <v>NÃO</v>
      </c>
      <c r="H1340" s="5" t="str">
        <f>IFERROR(__xludf.DUMMYFUNCTION("""COMPUTED_VALUE"""),"PAVIMENTADA")</f>
        <v>PAVIMENTADA</v>
      </c>
      <c r="I1340" s="6" t="str">
        <f>IFERROR(__xludf.DUMMYFUNCTION("""COMPUTED_VALUE"""),"-9.624021")</f>
        <v>-9.624021</v>
      </c>
      <c r="J1340" s="6" t="str">
        <f>IFERROR(__xludf.DUMMYFUNCTION("""COMPUTED_VALUE"""),"-35.744496")</f>
        <v>-35.744496</v>
      </c>
      <c r="K1340" s="5" t="str">
        <f>IFERROR(__xludf.DUMMYFUNCTION("""COMPUTED_VALUE"""),"RUA TEN. FRANCISCO OLIVEIRA, S/N")</f>
        <v>RUA TEN. FRANCISCO OLIVEIRA, S/N</v>
      </c>
      <c r="L1340" s="5" t="str">
        <f>IFERROR(__xludf.DUMMYFUNCTION("""COMPUTED_VALUE"""),"LOCAL")</f>
        <v>LOCAL</v>
      </c>
      <c r="M1340" s="5" t="str">
        <f>IFERROR(__xludf.DUMMYFUNCTION("""COMPUTED_VALUE"""),"PINHEIRO")</f>
        <v>PINHEIRO</v>
      </c>
      <c r="N1340" s="5" t="str">
        <f>IFERROR(__xludf.DUMMYFUNCTION("""COMPUTED_VALUE"""),"BAIRRO - CENTRO")</f>
        <v>BAIRRO - CENTRO</v>
      </c>
      <c r="O1340" s="5" t="str">
        <f>IFERROR(__xludf.DUMMYFUNCTION("""COMPUTED_VALUE"""),"EM FRENTE A CASA N°87")</f>
        <v>EM FRENTE A CASA N°87</v>
      </c>
      <c r="P1340" s="5" t="str">
        <f>IFERROR(__xludf.DUMMYFUNCTION("""COMPUTED_VALUE"""),"PRIORIDADE BAIXA")</f>
        <v>PRIORIDADE BAIXA</v>
      </c>
      <c r="Q1340" s="5"/>
      <c r="R1340" s="5" t="str">
        <f>IFERROR(__xludf.DUMMYFUNCTION("""COMPUTED_VALUE"""),"NENHUMA DAS OPÇÕES")</f>
        <v>NENHUMA DAS OPÇÕES</v>
      </c>
      <c r="S1340" s="5"/>
      <c r="T1340" s="5"/>
      <c r="U1340" s="5"/>
      <c r="V1340" s="9" t="str">
        <f>IFERROR(__xludf.DUMMYFUNCTION("""COMPUTED_VALUE"""),"https://drive.google.com/uc?id=11vJe7dzXEckrcT29N8N0Xh4dqSpaK1A-")</f>
        <v>https://drive.google.com/uc?id=11vJe7dzXEckrcT29N8N0Xh4dqSpaK1A-</v>
      </c>
      <c r="W1340" s="5" t="str">
        <f>IFERROR(__xludf.DUMMYFUNCTION("""COMPUTED_VALUE"""),"NÃO")</f>
        <v>NÃO</v>
      </c>
      <c r="X1340" s="5" t="str">
        <f>IFERROR(__xludf.DUMMYFUNCTION("""COMPUTED_VALUE"""),"NÃO SE APLICA")</f>
        <v>NÃO SE APLICA</v>
      </c>
    </row>
    <row r="1341" hidden="1">
      <c r="A1341" s="5">
        <f>IFERROR(__xludf.DUMMYFUNCTION("""COMPUTED_VALUE"""),3.0)</f>
        <v>3</v>
      </c>
      <c r="B1341" s="5" t="str">
        <f>IFERROR(__xludf.DUMMYFUNCTION("""COMPUTED_VALUE"""),"PH010")</f>
        <v>PH010</v>
      </c>
      <c r="C1341" s="5" t="str">
        <f>IFERROR(__xludf.DUMMYFUNCTION("""COMPUTED_VALUE"""),"NÃO POSSUI")</f>
        <v>NÃO POSSUI</v>
      </c>
      <c r="D1341" s="5" t="str">
        <f>IFERROR(__xludf.DUMMYFUNCTION("""COMPUTED_VALUE"""),"FIXADA EM POSTE")</f>
        <v>FIXADA EM POSTE</v>
      </c>
      <c r="E1341" s="5" t="str">
        <f>IFERROR(__xludf.DUMMYFUNCTION("""COMPUTED_VALUE"""),"SEM BAIA")</f>
        <v>SEM BAIA</v>
      </c>
      <c r="F1341" s="5" t="str">
        <f>IFERROR(__xludf.DUMMYFUNCTION("""COMPUTED_VALUE"""),"NÃO")</f>
        <v>NÃO</v>
      </c>
      <c r="G1341" s="5" t="str">
        <f>IFERROR(__xludf.DUMMYFUNCTION("""COMPUTED_VALUE"""),"NÃO")</f>
        <v>NÃO</v>
      </c>
      <c r="H1341" s="5" t="str">
        <f>IFERROR(__xludf.DUMMYFUNCTION("""COMPUTED_VALUE"""),"PAVIMENTADA")</f>
        <v>PAVIMENTADA</v>
      </c>
      <c r="I1341" s="6" t="str">
        <f>IFERROR(__xludf.DUMMYFUNCTION("""COMPUTED_VALUE"""),"-9.626594")</f>
        <v>-9.626594</v>
      </c>
      <c r="J1341" s="6" t="str">
        <f>IFERROR(__xludf.DUMMYFUNCTION("""COMPUTED_VALUE"""),"-35.743174")</f>
        <v>-35.743174</v>
      </c>
      <c r="K1341" s="5" t="str">
        <f>IFERROR(__xludf.DUMMYFUNCTION("""COMPUTED_VALUE"""),"RUA PROF. JOSÉ SILVEIRA CAMERINO, S/N")</f>
        <v>RUA PROF. JOSÉ SILVEIRA CAMERINO, S/N</v>
      </c>
      <c r="L1341" s="5" t="str">
        <f>IFERROR(__xludf.DUMMYFUNCTION("""COMPUTED_VALUE"""),"COLETORA")</f>
        <v>COLETORA</v>
      </c>
      <c r="M1341" s="5" t="str">
        <f>IFERROR(__xludf.DUMMYFUNCTION("""COMPUTED_VALUE"""),"PINHEIRO")</f>
        <v>PINHEIRO</v>
      </c>
      <c r="N1341" s="5" t="str">
        <f>IFERROR(__xludf.DUMMYFUNCTION("""COMPUTED_VALUE"""),"BAIRRO - CENTRO")</f>
        <v>BAIRRO - CENTRO</v>
      </c>
      <c r="O1341" s="5" t="str">
        <f>IFERROR(__xludf.DUMMYFUNCTION("""COMPUTED_VALUE"""),"EM FRENTE A ENTRADA DE VEÍCULOS  DO HOSPITAL SANATÓRIO")</f>
        <v>EM FRENTE A ENTRADA DE VEÍCULOS  DO HOSPITAL SANATÓRIO</v>
      </c>
      <c r="P1341" s="5" t="str">
        <f>IFERROR(__xludf.DUMMYFUNCTION("""COMPUTED_VALUE"""),"PRIORIDADE BAIXA")</f>
        <v>PRIORIDADE BAIXA</v>
      </c>
      <c r="Q1341" s="5"/>
      <c r="R1341" s="5" t="str">
        <f>IFERROR(__xludf.DUMMYFUNCTION("""COMPUTED_VALUE"""),"NENHUMA DAS OPÇÕES")</f>
        <v>NENHUMA DAS OPÇÕES</v>
      </c>
      <c r="S1341" s="5"/>
      <c r="T1341" s="5"/>
      <c r="U1341" s="5"/>
      <c r="V1341" s="9" t="str">
        <f>IFERROR(__xludf.DUMMYFUNCTION("""COMPUTED_VALUE"""),"https://drive.google.com/uc?id=18GRCNvoVUN8Y76e8sYZxscB5qWPbq-kd")</f>
        <v>https://drive.google.com/uc?id=18GRCNvoVUN8Y76e8sYZxscB5qWPbq-kd</v>
      </c>
      <c r="W1341" s="5" t="str">
        <f>IFERROR(__xludf.DUMMYFUNCTION("""COMPUTED_VALUE"""),"NÃO")</f>
        <v>NÃO</v>
      </c>
      <c r="X1341" s="5" t="str">
        <f>IFERROR(__xludf.DUMMYFUNCTION("""COMPUTED_VALUE"""),"NÃO SE APLICA")</f>
        <v>NÃO SE APLICA</v>
      </c>
    </row>
    <row r="1342">
      <c r="A1342" s="5">
        <f>IFERROR(__xludf.DUMMYFUNCTION("""COMPUTED_VALUE"""),3.0)</f>
        <v>3</v>
      </c>
      <c r="B1342" s="5" t="str">
        <f>IFERROR(__xludf.DUMMYFUNCTION("""COMPUTED_VALUE"""),"PH011")</f>
        <v>PH011</v>
      </c>
      <c r="C1342" s="5" t="str">
        <f>IFERROR(__xludf.DUMMYFUNCTION("""COMPUTED_VALUE"""),"ABRIGO METÁLICO PEQUENO PORTE")</f>
        <v>ABRIGO METÁLICO PEQUENO PORTE</v>
      </c>
      <c r="D1342" s="5" t="str">
        <f>IFERROR(__xludf.DUMMYFUNCTION("""COMPUTED_VALUE"""),"FIXADA EM POSTE")</f>
        <v>FIXADA EM POSTE</v>
      </c>
      <c r="E1342" s="5" t="str">
        <f>IFERROR(__xludf.DUMMYFUNCTION("""COMPUTED_VALUE"""),"SEM BAIA")</f>
        <v>SEM BAIA</v>
      </c>
      <c r="F1342" s="5" t="str">
        <f>IFERROR(__xludf.DUMMYFUNCTION("""COMPUTED_VALUE"""),"SIM")</f>
        <v>SIM</v>
      </c>
      <c r="G1342" s="5" t="str">
        <f>IFERROR(__xludf.DUMMYFUNCTION("""COMPUTED_VALUE"""),"NÃO")</f>
        <v>NÃO</v>
      </c>
      <c r="H1342" s="5" t="str">
        <f>IFERROR(__xludf.DUMMYFUNCTION("""COMPUTED_VALUE"""),"PAVIMENTADA")</f>
        <v>PAVIMENTADA</v>
      </c>
      <c r="I1342" s="6" t="str">
        <f>IFERROR(__xludf.DUMMYFUNCTION("""COMPUTED_VALUE"""),"-9.633476")</f>
        <v>-9.633476</v>
      </c>
      <c r="J1342" s="6" t="str">
        <f>IFERROR(__xludf.DUMMYFUNCTION("""COMPUTED_VALUE"""),"-35.736847")</f>
        <v>-35.736847</v>
      </c>
      <c r="K1342" s="5" t="str">
        <f>IFERROR(__xludf.DUMMYFUNCTION("""COMPUTED_VALUE"""),"AV. FERNANDES LIMA")</f>
        <v>AV. FERNANDES LIMA</v>
      </c>
      <c r="L1342" s="5" t="str">
        <f>IFERROR(__xludf.DUMMYFUNCTION("""COMPUTED_VALUE"""),"ARTERIAL ")</f>
        <v>ARTERIAL </v>
      </c>
      <c r="M1342" s="5" t="str">
        <f>IFERROR(__xludf.DUMMYFUNCTION("""COMPUTED_VALUE"""),"PINHEIRO")</f>
        <v>PINHEIRO</v>
      </c>
      <c r="N1342" s="5" t="str">
        <f>IFERROR(__xludf.DUMMYFUNCTION("""COMPUTED_VALUE"""),"BAIRRO - CENTRO")</f>
        <v>BAIRRO - CENTRO</v>
      </c>
      <c r="O1342" s="5" t="str">
        <f>IFERROR(__xludf.DUMMYFUNCTION("""COMPUTED_VALUE"""),"EM FRENTE AO SINDUSCON")</f>
        <v>EM FRENTE AO SINDUSCON</v>
      </c>
      <c r="P1342" s="5" t="str">
        <f>IFERROR(__xludf.DUMMYFUNCTION("""COMPUTED_VALUE"""),"PRIORIDADE BAIXA")</f>
        <v>PRIORIDADE BAIXA</v>
      </c>
      <c r="Q1342" s="5"/>
      <c r="R1342" s="5" t="str">
        <f>IFERROR(__xludf.DUMMYFUNCTION("""COMPUTED_VALUE"""),"NENHUMA DAS OPÇÕES")</f>
        <v>NENHUMA DAS OPÇÕES</v>
      </c>
      <c r="S1342" s="5"/>
      <c r="T1342" s="5"/>
      <c r="U1342" s="5"/>
      <c r="V1342" s="9" t="str">
        <f>IFERROR(__xludf.DUMMYFUNCTION("""COMPUTED_VALUE"""),"https://drive.google.com/uc?id=1Qy_dGsr98SJoyQiGvrzncNRLtwtCV9JW")</f>
        <v>https://drive.google.com/uc?id=1Qy_dGsr98SJoyQiGvrzncNRLtwtCV9JW</v>
      </c>
      <c r="W1342" s="5" t="str">
        <f>IFERROR(__xludf.DUMMYFUNCTION("""COMPUTED_VALUE"""),"NÃO")</f>
        <v>NÃO</v>
      </c>
      <c r="X1342" s="5" t="str">
        <f>IFERROR(__xludf.DUMMYFUNCTION("""COMPUTED_VALUE"""),"SIM")</f>
        <v>SIM</v>
      </c>
    </row>
    <row r="1343">
      <c r="A1343" s="13">
        <f>IFERROR(__xludf.DUMMYFUNCTION("IMPORTRANGE(""https://docs.google.com/spreadsheets/d/1mdBY0PJzlDiHezRddgrNuVbV7dNEdLAOyTnpPefaMX0/edit#gid=367515123"", ""FAROL!A2:X24"")"),3.0)</f>
        <v>3</v>
      </c>
      <c r="B1343" s="5" t="str">
        <f>IFERROR(__xludf.DUMMYFUNCTION("""COMPUTED_VALUE"""),"FA001")</f>
        <v>FA001</v>
      </c>
      <c r="C1343" s="5" t="str">
        <f>IFERROR(__xludf.DUMMYFUNCTION("""COMPUTED_VALUE"""),"ABRIGO METÁLICO GRANDE PORTE")</f>
        <v>ABRIGO METÁLICO GRANDE PORTE</v>
      </c>
      <c r="D1343" s="5" t="str">
        <f>IFERROR(__xludf.DUMMYFUNCTION("""COMPUTED_VALUE"""),"COM SUPORTE")</f>
        <v>COM SUPORTE</v>
      </c>
      <c r="E1343" s="5" t="str">
        <f>IFERROR(__xludf.DUMMYFUNCTION("""COMPUTED_VALUE"""),"SEM BAIA")</f>
        <v>SEM BAIA</v>
      </c>
      <c r="F1343" s="5" t="str">
        <f>IFERROR(__xludf.DUMMYFUNCTION("""COMPUTED_VALUE"""),"NÃO")</f>
        <v>NÃO</v>
      </c>
      <c r="G1343" s="5" t="str">
        <f>IFERROR(__xludf.DUMMYFUNCTION("""COMPUTED_VALUE"""),"SIM")</f>
        <v>SIM</v>
      </c>
      <c r="H1343" s="5" t="str">
        <f>IFERROR(__xludf.DUMMYFUNCTION("""COMPUTED_VALUE"""),"PAVIMENTADA")</f>
        <v>PAVIMENTADA</v>
      </c>
      <c r="I1343" s="6" t="str">
        <f>IFERROR(__xludf.DUMMYFUNCTION("""COMPUTED_VALUE"""),"-9.638577")</f>
        <v>-9.638577</v>
      </c>
      <c r="J1343" s="6" t="str">
        <f>IFERROR(__xludf.DUMMYFUNCTION("""COMPUTED_VALUE"""),"-35.735873 ")</f>
        <v>-35.735873 </v>
      </c>
      <c r="K1343" s="5" t="str">
        <f>IFERROR(__xludf.DUMMYFUNCTION("""COMPUTED_VALUE"""),"AV. FERNANDES LIMA")</f>
        <v>AV. FERNANDES LIMA</v>
      </c>
      <c r="L1343" s="5" t="str">
        <f>IFERROR(__xludf.DUMMYFUNCTION("""COMPUTED_VALUE"""),"ARTERIAL ")</f>
        <v>ARTERIAL </v>
      </c>
      <c r="M1343" s="5" t="str">
        <f>IFERROR(__xludf.DUMMYFUNCTION("""COMPUTED_VALUE"""),"FAROL")</f>
        <v>FAROL</v>
      </c>
      <c r="N1343" s="5" t="str">
        <f>IFERROR(__xludf.DUMMYFUNCTION("""COMPUTED_VALUE"""),"BAIRRO - CENTRO")</f>
        <v>BAIRRO - CENTRO</v>
      </c>
      <c r="O1343" s="5" t="str">
        <f>IFERROR(__xludf.DUMMYFUNCTION("""COMPUTED_VALUE"""),"EM FRENTE AO CEPA")</f>
        <v>EM FRENTE AO CEPA</v>
      </c>
      <c r="P1343" s="5" t="str">
        <f>IFERROR(__xludf.DUMMYFUNCTION("""COMPUTED_VALUE"""),"PRIORIDADE BAIXA")</f>
        <v>PRIORIDADE BAIXA</v>
      </c>
      <c r="Q1343" s="5"/>
      <c r="R1343" s="5" t="str">
        <f>IFERROR(__xludf.DUMMYFUNCTION("""COMPUTED_VALUE"""),"SUBSTITUIR ABRIGO")</f>
        <v>SUBSTITUIR ABRIGO</v>
      </c>
      <c r="S1343" s="5"/>
      <c r="T1343" s="5"/>
      <c r="U1343" s="5"/>
      <c r="V1343" s="9" t="str">
        <f>IFERROR(__xludf.DUMMYFUNCTION("""COMPUTED_VALUE"""),"https://drive.google.com/uc?id=1QU9juaVW6bgkglvGBpZqm-l2M3PGtEnM")</f>
        <v>https://drive.google.com/uc?id=1QU9juaVW6bgkglvGBpZqm-l2M3PGtEnM</v>
      </c>
      <c r="W1343" s="5" t="str">
        <f>IFERROR(__xludf.DUMMYFUNCTION("""COMPUTED_VALUE"""),"NÃO")</f>
        <v>NÃO</v>
      </c>
      <c r="X1343" s="5" t="str">
        <f>IFERROR(__xludf.DUMMYFUNCTION("""COMPUTED_VALUE"""),"SIM")</f>
        <v>SIM</v>
      </c>
    </row>
    <row r="1344">
      <c r="A1344" s="5">
        <f>IFERROR(__xludf.DUMMYFUNCTION("""COMPUTED_VALUE"""),3.0)</f>
        <v>3</v>
      </c>
      <c r="B1344" s="5" t="str">
        <f>IFERROR(__xludf.DUMMYFUNCTION("""COMPUTED_VALUE"""),"FA002")</f>
        <v>FA002</v>
      </c>
      <c r="C1344" s="5" t="str">
        <f>IFERROR(__xludf.DUMMYFUNCTION("""COMPUTED_VALUE"""),"ABRIGO METÁLICO PEQUENO PORTE")</f>
        <v>ABRIGO METÁLICO PEQUENO PORTE</v>
      </c>
      <c r="D1344" s="5" t="str">
        <f>IFERROR(__xludf.DUMMYFUNCTION("""COMPUTED_VALUE"""),"COM SUPORTE")</f>
        <v>COM SUPORTE</v>
      </c>
      <c r="E1344" s="5" t="str">
        <f>IFERROR(__xludf.DUMMYFUNCTION("""COMPUTED_VALUE"""),"SEM BAIA")</f>
        <v>SEM BAIA</v>
      </c>
      <c r="F1344" s="5" t="str">
        <f>IFERROR(__xludf.DUMMYFUNCTION("""COMPUTED_VALUE"""),"SIM")</f>
        <v>SIM</v>
      </c>
      <c r="G1344" s="5" t="str">
        <f>IFERROR(__xludf.DUMMYFUNCTION("""COMPUTED_VALUE"""),"SIM")</f>
        <v>SIM</v>
      </c>
      <c r="H1344" s="5" t="str">
        <f>IFERROR(__xludf.DUMMYFUNCTION("""COMPUTED_VALUE"""),"PAVIMENTADA")</f>
        <v>PAVIMENTADA</v>
      </c>
      <c r="I1344" s="6" t="str">
        <f>IFERROR(__xludf.DUMMYFUNCTION("""COMPUTED_VALUE"""),"-9.640665")</f>
        <v>-9.640665</v>
      </c>
      <c r="J1344" s="6" t="str">
        <f>IFERROR(__xludf.DUMMYFUNCTION("""COMPUTED_VALUE"""),"-35.735482")</f>
        <v>-35.735482</v>
      </c>
      <c r="K1344" s="5" t="str">
        <f>IFERROR(__xludf.DUMMYFUNCTION("""COMPUTED_VALUE"""),"AV. FERNANDES LIMA")</f>
        <v>AV. FERNANDES LIMA</v>
      </c>
      <c r="L1344" s="5" t="str">
        <f>IFERROR(__xludf.DUMMYFUNCTION("""COMPUTED_VALUE"""),"ARTERIAL ")</f>
        <v>ARTERIAL </v>
      </c>
      <c r="M1344" s="5" t="str">
        <f>IFERROR(__xludf.DUMMYFUNCTION("""COMPUTED_VALUE"""),"FAROL")</f>
        <v>FAROL</v>
      </c>
      <c r="N1344" s="5" t="str">
        <f>IFERROR(__xludf.DUMMYFUNCTION("""COMPUTED_VALUE"""),"BAIRRO - CENTRO")</f>
        <v>BAIRRO - CENTRO</v>
      </c>
      <c r="O1344" s="5" t="str">
        <f>IFERROR(__xludf.DUMMYFUNCTION("""COMPUTED_VALUE"""),"EM FRENTE AO LINDA MASCARENHAS")</f>
        <v>EM FRENTE AO LINDA MASCARENHAS</v>
      </c>
      <c r="P1344" s="5" t="str">
        <f>IFERROR(__xludf.DUMMYFUNCTION("""COMPUTED_VALUE"""),"PRIORIDADE BAIXA")</f>
        <v>PRIORIDADE BAIXA</v>
      </c>
      <c r="Q1344" s="5"/>
      <c r="R1344" s="5" t="str">
        <f>IFERROR(__xludf.DUMMYFUNCTION("""COMPUTED_VALUE"""),"SUBSTITUIR ABRIGO")</f>
        <v>SUBSTITUIR ABRIGO</v>
      </c>
      <c r="S1344" s="5"/>
      <c r="T1344" s="5"/>
      <c r="U1344" s="5"/>
      <c r="V1344" s="9" t="str">
        <f>IFERROR(__xludf.DUMMYFUNCTION("""COMPUTED_VALUE"""),"https://drive.google.com/uc?id=1G9ZY2Zx922hNUn1RPtu3VvmD1qaC1W1d
")</f>
        <v>https://drive.google.com/uc?id=1G9ZY2Zx922hNUn1RPtu3VvmD1qaC1W1d
</v>
      </c>
      <c r="W1344" s="5" t="str">
        <f>IFERROR(__xludf.DUMMYFUNCTION("""COMPUTED_VALUE"""),"NÃO")</f>
        <v>NÃO</v>
      </c>
      <c r="X1344" s="5" t="str">
        <f>IFERROR(__xludf.DUMMYFUNCTION("""COMPUTED_VALUE"""),"SIM")</f>
        <v>SIM</v>
      </c>
    </row>
    <row r="1345">
      <c r="A1345" s="5">
        <f>IFERROR(__xludf.DUMMYFUNCTION("""COMPUTED_VALUE"""),3.0)</f>
        <v>3</v>
      </c>
      <c r="B1345" s="5" t="str">
        <f>IFERROR(__xludf.DUMMYFUNCTION("""COMPUTED_VALUE"""),"FA003")</f>
        <v>FA003</v>
      </c>
      <c r="C1345" s="5" t="str">
        <f>IFERROR(__xludf.DUMMYFUNCTION("""COMPUTED_VALUE"""),"ABRIGO METÁLICO PEQUENO PORTE")</f>
        <v>ABRIGO METÁLICO PEQUENO PORTE</v>
      </c>
      <c r="D1345" s="5" t="str">
        <f>IFERROR(__xludf.DUMMYFUNCTION("""COMPUTED_VALUE"""),"SEM PLACA")</f>
        <v>SEM PLACA</v>
      </c>
      <c r="E1345" s="5" t="str">
        <f>IFERROR(__xludf.DUMMYFUNCTION("""COMPUTED_VALUE"""),"SEM BAIA")</f>
        <v>SEM BAIA</v>
      </c>
      <c r="F1345" s="5" t="str">
        <f>IFERROR(__xludf.DUMMYFUNCTION("""COMPUTED_VALUE"""),"NÃO")</f>
        <v>NÃO</v>
      </c>
      <c r="G1345" s="5" t="str">
        <f>IFERROR(__xludf.DUMMYFUNCTION("""COMPUTED_VALUE"""),"NÃO")</f>
        <v>NÃO</v>
      </c>
      <c r="H1345" s="5" t="str">
        <f>IFERROR(__xludf.DUMMYFUNCTION("""COMPUTED_VALUE"""),"PAVIMENTADA")</f>
        <v>PAVIMENTADA</v>
      </c>
      <c r="I1345" s="6" t="str">
        <f>IFERROR(__xludf.DUMMYFUNCTION("""COMPUTED_VALUE"""),"-9.646214")</f>
        <v>-9.646214</v>
      </c>
      <c r="J1345" s="6" t="str">
        <f>IFERROR(__xludf.DUMMYFUNCTION("""COMPUTED_VALUE"""),"-35.734381")</f>
        <v>-35.734381</v>
      </c>
      <c r="K1345" s="5" t="str">
        <f>IFERROR(__xludf.DUMMYFUNCTION("""COMPUTED_VALUE"""),"AV. FERNANDES LIMA")</f>
        <v>AV. FERNANDES LIMA</v>
      </c>
      <c r="L1345" s="5" t="str">
        <f>IFERROR(__xludf.DUMMYFUNCTION("""COMPUTED_VALUE"""),"ARTERIAL ")</f>
        <v>ARTERIAL </v>
      </c>
      <c r="M1345" s="5" t="str">
        <f>IFERROR(__xludf.DUMMYFUNCTION("""COMPUTED_VALUE"""),"FAROL")</f>
        <v>FAROL</v>
      </c>
      <c r="N1345" s="5" t="str">
        <f>IFERROR(__xludf.DUMMYFUNCTION("""COMPUTED_VALUE"""),"BAIRRO - CENTRO")</f>
        <v>BAIRRO - CENTRO</v>
      </c>
      <c r="O1345" s="5" t="str">
        <f>IFERROR(__xludf.DUMMYFUNCTION("""COMPUTED_VALUE"""),"AO LADO DO POSTO SHELL")</f>
        <v>AO LADO DO POSTO SHELL</v>
      </c>
      <c r="P1345" s="5" t="str">
        <f>IFERROR(__xludf.DUMMYFUNCTION("""COMPUTED_VALUE"""),"PRIORIDADE BAIXA")</f>
        <v>PRIORIDADE BAIXA</v>
      </c>
      <c r="Q1345" s="5"/>
      <c r="R1345" s="5" t="str">
        <f>IFERROR(__xludf.DUMMYFUNCTION("""COMPUTED_VALUE"""),"SUBSTITUIR ABRIGO")</f>
        <v>SUBSTITUIR ABRIGO</v>
      </c>
      <c r="S1345" s="5"/>
      <c r="T1345" s="5"/>
      <c r="U1345" s="5"/>
      <c r="V1345" s="9" t="str">
        <f>IFERROR(__xludf.DUMMYFUNCTION("""COMPUTED_VALUE"""),"https://drive.google.com/uc?id=1FEd3y6Pq0MSixbRm893cSVnbxdlwTHnW")</f>
        <v>https://drive.google.com/uc?id=1FEd3y6Pq0MSixbRm893cSVnbxdlwTHnW</v>
      </c>
      <c r="W1345" s="5" t="str">
        <f>IFERROR(__xludf.DUMMYFUNCTION("""COMPUTED_VALUE"""),"NÃO")</f>
        <v>NÃO</v>
      </c>
      <c r="X1345" s="5" t="str">
        <f>IFERROR(__xludf.DUMMYFUNCTION("""COMPUTED_VALUE"""),"SIM")</f>
        <v>SIM</v>
      </c>
    </row>
    <row r="1346">
      <c r="A1346" s="5">
        <f>IFERROR(__xludf.DUMMYFUNCTION("""COMPUTED_VALUE"""),3.0)</f>
        <v>3</v>
      </c>
      <c r="B1346" s="5" t="str">
        <f>IFERROR(__xludf.DUMMYFUNCTION("""COMPUTED_VALUE"""),"FA004")</f>
        <v>FA004</v>
      </c>
      <c r="C1346" s="5" t="str">
        <f>IFERROR(__xludf.DUMMYFUNCTION("""COMPUTED_VALUE"""),"ABRIGO METÁLICO PEQUENO PORTE")</f>
        <v>ABRIGO METÁLICO PEQUENO PORTE</v>
      </c>
      <c r="D1346" s="5" t="str">
        <f>IFERROR(__xludf.DUMMYFUNCTION("""COMPUTED_VALUE"""),"COM SUPORTE")</f>
        <v>COM SUPORTE</v>
      </c>
      <c r="E1346" s="5" t="str">
        <f>IFERROR(__xludf.DUMMYFUNCTION("""COMPUTED_VALUE"""),"SEM BAIA")</f>
        <v>SEM BAIA</v>
      </c>
      <c r="F1346" s="5" t="str">
        <f>IFERROR(__xludf.DUMMYFUNCTION("""COMPUTED_VALUE"""),"NÃO")</f>
        <v>NÃO</v>
      </c>
      <c r="G1346" s="5" t="str">
        <f>IFERROR(__xludf.DUMMYFUNCTION("""COMPUTED_VALUE"""),"NÃO")</f>
        <v>NÃO</v>
      </c>
      <c r="H1346" s="5" t="str">
        <f>IFERROR(__xludf.DUMMYFUNCTION("""COMPUTED_VALUE"""),"PAVIMENTADA")</f>
        <v>PAVIMENTADA</v>
      </c>
      <c r="I1346" s="6" t="str">
        <f>IFERROR(__xludf.DUMMYFUNCTION("""COMPUTED_VALUE"""),"-9.649270")</f>
        <v>-9.649270</v>
      </c>
      <c r="J1346" s="6" t="str">
        <f>IFERROR(__xludf.DUMMYFUNCTION("""COMPUTED_VALUE"""),"-35.733735")</f>
        <v>-35.733735</v>
      </c>
      <c r="K1346" s="5" t="str">
        <f>IFERROR(__xludf.DUMMYFUNCTION("""COMPUTED_VALUE"""),"AV. FERNANDES LIMA")</f>
        <v>AV. FERNANDES LIMA</v>
      </c>
      <c r="L1346" s="5" t="str">
        <f>IFERROR(__xludf.DUMMYFUNCTION("""COMPUTED_VALUE"""),"ARTERIAL ")</f>
        <v>ARTERIAL </v>
      </c>
      <c r="M1346" s="5" t="str">
        <f>IFERROR(__xludf.DUMMYFUNCTION("""COMPUTED_VALUE"""),"FAROL")</f>
        <v>FAROL</v>
      </c>
      <c r="N1346" s="5" t="str">
        <f>IFERROR(__xludf.DUMMYFUNCTION("""COMPUTED_VALUE"""),"BAIRRO - CENTRO")</f>
        <v>BAIRRO - CENTRO</v>
      </c>
      <c r="O1346" s="5" t="str">
        <f>IFERROR(__xludf.DUMMYFUNCTION("""COMPUTED_VALUE"""),"AO LADO DO HAPVIDA")</f>
        <v>AO LADO DO HAPVIDA</v>
      </c>
      <c r="P1346" s="5" t="str">
        <f>IFERROR(__xludf.DUMMYFUNCTION("""COMPUTED_VALUE"""),"PRIORIDADE BAIXA")</f>
        <v>PRIORIDADE BAIXA</v>
      </c>
      <c r="Q1346" s="5"/>
      <c r="R1346" s="5" t="str">
        <f>IFERROR(__xludf.DUMMYFUNCTION("""COMPUTED_VALUE"""),"SUBSTITUIR ABRIGO")</f>
        <v>SUBSTITUIR ABRIGO</v>
      </c>
      <c r="S1346" s="5"/>
      <c r="T1346" s="5"/>
      <c r="U1346" s="5"/>
      <c r="V1346" s="9" t="str">
        <f>IFERROR(__xludf.DUMMYFUNCTION("""COMPUTED_VALUE"""),"https://drive.google.com/uc?id=1ppOVpPPzKAe7VMPZvHSpNNDWSZk3-j7e")</f>
        <v>https://drive.google.com/uc?id=1ppOVpPPzKAe7VMPZvHSpNNDWSZk3-j7e</v>
      </c>
      <c r="W1346" s="5" t="str">
        <f>IFERROR(__xludf.DUMMYFUNCTION("""COMPUTED_VALUE"""),"NÃO")</f>
        <v>NÃO</v>
      </c>
      <c r="X1346" s="5" t="str">
        <f>IFERROR(__xludf.DUMMYFUNCTION("""COMPUTED_VALUE"""),"SIM")</f>
        <v>SIM</v>
      </c>
    </row>
    <row r="1347">
      <c r="A1347" s="5">
        <f>IFERROR(__xludf.DUMMYFUNCTION("""COMPUTED_VALUE"""),3.0)</f>
        <v>3</v>
      </c>
      <c r="B1347" s="5" t="str">
        <f>IFERROR(__xludf.DUMMYFUNCTION("""COMPUTED_VALUE"""),"FA005")</f>
        <v>FA005</v>
      </c>
      <c r="C1347" s="5" t="str">
        <f>IFERROR(__xludf.DUMMYFUNCTION("""COMPUTED_VALUE"""),"ABRIGO METÁLICO PEQUENO PORTE")</f>
        <v>ABRIGO METÁLICO PEQUENO PORTE</v>
      </c>
      <c r="D1347" s="5" t="str">
        <f>IFERROR(__xludf.DUMMYFUNCTION("""COMPUTED_VALUE"""),"COM SUPORTE")</f>
        <v>COM SUPORTE</v>
      </c>
      <c r="E1347" s="5" t="str">
        <f>IFERROR(__xludf.DUMMYFUNCTION("""COMPUTED_VALUE"""),"SEM BAIA")</f>
        <v>SEM BAIA</v>
      </c>
      <c r="F1347" s="5" t="str">
        <f>IFERROR(__xludf.DUMMYFUNCTION("""COMPUTED_VALUE"""),"NÃO")</f>
        <v>NÃO</v>
      </c>
      <c r="G1347" s="5" t="str">
        <f>IFERROR(__xludf.DUMMYFUNCTION("""COMPUTED_VALUE"""),"NÃO")</f>
        <v>NÃO</v>
      </c>
      <c r="H1347" s="5" t="str">
        <f>IFERROR(__xludf.DUMMYFUNCTION("""COMPUTED_VALUE"""),"PAVIMENTADA")</f>
        <v>PAVIMENTADA</v>
      </c>
      <c r="I1347" s="6" t="str">
        <f>IFERROR(__xludf.DUMMYFUNCTION("""COMPUTED_VALUE"""),"-9.652719")</f>
        <v>-9.652719</v>
      </c>
      <c r="J1347" s="6" t="str">
        <f>IFERROR(__xludf.DUMMYFUNCTION("""COMPUTED_VALUE"""),"-35.733829")</f>
        <v>-35.733829</v>
      </c>
      <c r="K1347" s="5" t="str">
        <f>IFERROR(__xludf.DUMMYFUNCTION("""COMPUTED_VALUE"""),"AV. FERNANDES LIMA")</f>
        <v>AV. FERNANDES LIMA</v>
      </c>
      <c r="L1347" s="5" t="str">
        <f>IFERROR(__xludf.DUMMYFUNCTION("""COMPUTED_VALUE"""),"ARTERIAL ")</f>
        <v>ARTERIAL </v>
      </c>
      <c r="M1347" s="5" t="str">
        <f>IFERROR(__xludf.DUMMYFUNCTION("""COMPUTED_VALUE"""),"FAROL")</f>
        <v>FAROL</v>
      </c>
      <c r="N1347" s="5" t="str">
        <f>IFERROR(__xludf.DUMMYFUNCTION("""COMPUTED_VALUE"""),"BAIRRO - CENTRO")</f>
        <v>BAIRRO - CENTRO</v>
      </c>
      <c r="O1347" s="5" t="str">
        <f>IFERROR(__xludf.DUMMYFUNCTION("""COMPUTED_VALUE"""),"EM FRENTE AO CESMAC")</f>
        <v>EM FRENTE AO CESMAC</v>
      </c>
      <c r="P1347" s="5" t="str">
        <f>IFERROR(__xludf.DUMMYFUNCTION("""COMPUTED_VALUE"""),"PRIORIDADE BAIXA")</f>
        <v>PRIORIDADE BAIXA</v>
      </c>
      <c r="Q1347" s="5"/>
      <c r="R1347" s="5" t="str">
        <f>IFERROR(__xludf.DUMMYFUNCTION("""COMPUTED_VALUE"""),"SUBSTITUIR ABRIGO")</f>
        <v>SUBSTITUIR ABRIGO</v>
      </c>
      <c r="S1347" s="5"/>
      <c r="T1347" s="5"/>
      <c r="U1347" s="5"/>
      <c r="V1347" s="9" t="str">
        <f>IFERROR(__xludf.DUMMYFUNCTION("""COMPUTED_VALUE"""),"https://drive.google.com/uc?id=12dHdPGE9RFjVN5twlscsKADngkHOjw4r")</f>
        <v>https://drive.google.com/uc?id=12dHdPGE9RFjVN5twlscsKADngkHOjw4r</v>
      </c>
      <c r="W1347" s="5" t="str">
        <f>IFERROR(__xludf.DUMMYFUNCTION("""COMPUTED_VALUE"""),"NÃO")</f>
        <v>NÃO</v>
      </c>
      <c r="X1347" s="5" t="str">
        <f>IFERROR(__xludf.DUMMYFUNCTION("""COMPUTED_VALUE"""),"SIM")</f>
        <v>SIM</v>
      </c>
    </row>
    <row r="1348">
      <c r="A1348" s="5">
        <f>IFERROR(__xludf.DUMMYFUNCTION("""COMPUTED_VALUE"""),3.0)</f>
        <v>3</v>
      </c>
      <c r="B1348" s="5" t="str">
        <f>IFERROR(__xludf.DUMMYFUNCTION("""COMPUTED_VALUE"""),"FA006")</f>
        <v>FA006</v>
      </c>
      <c r="C1348" s="5" t="str">
        <f>IFERROR(__xludf.DUMMYFUNCTION("""COMPUTED_VALUE"""),"ABRIGO METÁLICO PEQUENO PORTE")</f>
        <v>ABRIGO METÁLICO PEQUENO PORTE</v>
      </c>
      <c r="D1348" s="5" t="str">
        <f>IFERROR(__xludf.DUMMYFUNCTION("""COMPUTED_VALUE"""),"SEM PLACA")</f>
        <v>SEM PLACA</v>
      </c>
      <c r="E1348" s="5" t="str">
        <f>IFERROR(__xludf.DUMMYFUNCTION("""COMPUTED_VALUE"""),"SEM BAIA")</f>
        <v>SEM BAIA</v>
      </c>
      <c r="F1348" s="5" t="str">
        <f>IFERROR(__xludf.DUMMYFUNCTION("""COMPUTED_VALUE"""),"NÃO")</f>
        <v>NÃO</v>
      </c>
      <c r="G1348" s="5" t="str">
        <f>IFERROR(__xludf.DUMMYFUNCTION("""COMPUTED_VALUE"""),"SIM")</f>
        <v>SIM</v>
      </c>
      <c r="H1348" s="5" t="str">
        <f>IFERROR(__xludf.DUMMYFUNCTION("""COMPUTED_VALUE"""),"PAVIMENTADA")</f>
        <v>PAVIMENTADA</v>
      </c>
      <c r="I1348" s="6" t="str">
        <f>IFERROR(__xludf.DUMMYFUNCTION("""COMPUTED_VALUE"""),"-9.658420")</f>
        <v>-9.658420</v>
      </c>
      <c r="J1348" s="6" t="str">
        <f>IFERROR(__xludf.DUMMYFUNCTION("""COMPUTED_VALUE"""),"-35.735176")</f>
        <v>-35.735176</v>
      </c>
      <c r="K1348" s="5" t="str">
        <f>IFERROR(__xludf.DUMMYFUNCTION("""COMPUTED_VALUE"""),"RUA SANTA CRUZ")</f>
        <v>RUA SANTA CRUZ</v>
      </c>
      <c r="L1348" s="5" t="str">
        <f>IFERROR(__xludf.DUMMYFUNCTION("""COMPUTED_VALUE"""),"COLETORA")</f>
        <v>COLETORA</v>
      </c>
      <c r="M1348" s="5" t="str">
        <f>IFERROR(__xludf.DUMMYFUNCTION("""COMPUTED_VALUE"""),"FAROL")</f>
        <v>FAROL</v>
      </c>
      <c r="N1348" s="5" t="str">
        <f>IFERROR(__xludf.DUMMYFUNCTION("""COMPUTED_VALUE"""),"BAIRRO - CENTRO")</f>
        <v>BAIRRO - CENTRO</v>
      </c>
      <c r="O1348" s="5" t="str">
        <f>IFERROR(__xludf.DUMMYFUNCTION("""COMPUTED_VALUE"""),"COLÉGIO PONTUAL")</f>
        <v>COLÉGIO PONTUAL</v>
      </c>
      <c r="P1348" s="5" t="str">
        <f>IFERROR(__xludf.DUMMYFUNCTION("""COMPUTED_VALUE"""),"PRIORIDADE BAIXA")</f>
        <v>PRIORIDADE BAIXA</v>
      </c>
      <c r="Q1348" s="5"/>
      <c r="R1348" s="5" t="str">
        <f>IFERROR(__xludf.DUMMYFUNCTION("""COMPUTED_VALUE"""),"SUBSTITUIR ABRIGO")</f>
        <v>SUBSTITUIR ABRIGO</v>
      </c>
      <c r="S1348" s="5"/>
      <c r="T1348" s="5"/>
      <c r="U1348" s="5"/>
      <c r="V1348" s="9" t="str">
        <f>IFERROR(__xludf.DUMMYFUNCTION("""COMPUTED_VALUE"""),"https://drive.google.com/uc?id=1_FMZ0FhtxUDRa93mbwzMQRTe5DuVQm0I")</f>
        <v>https://drive.google.com/uc?id=1_FMZ0FhtxUDRa93mbwzMQRTe5DuVQm0I</v>
      </c>
      <c r="W1348" s="5" t="str">
        <f>IFERROR(__xludf.DUMMYFUNCTION("""COMPUTED_VALUE"""),"NÃO")</f>
        <v>NÃO</v>
      </c>
      <c r="X1348" s="5" t="str">
        <f>IFERROR(__xludf.DUMMYFUNCTION("""COMPUTED_VALUE"""),"SIM")</f>
        <v>SIM</v>
      </c>
    </row>
    <row r="1349" hidden="1">
      <c r="A1349" s="5">
        <f>IFERROR(__xludf.DUMMYFUNCTION("""COMPUTED_VALUE"""),3.0)</f>
        <v>3</v>
      </c>
      <c r="B1349" s="5" t="str">
        <f>IFERROR(__xludf.DUMMYFUNCTION("""COMPUTED_VALUE"""),"FA007")</f>
        <v>FA007</v>
      </c>
      <c r="C1349" s="5" t="str">
        <f>IFERROR(__xludf.DUMMYFUNCTION("""COMPUTED_VALUE"""),"NÃO POSSUI")</f>
        <v>NÃO POSSUI</v>
      </c>
      <c r="D1349" s="5" t="str">
        <f>IFERROR(__xludf.DUMMYFUNCTION("""COMPUTED_VALUE"""),"FIXADA EM POSTE")</f>
        <v>FIXADA EM POSTE</v>
      </c>
      <c r="E1349" s="5" t="str">
        <f>IFERROR(__xludf.DUMMYFUNCTION("""COMPUTED_VALUE"""),"SEM BAIA")</f>
        <v>SEM BAIA</v>
      </c>
      <c r="F1349" s="5" t="str">
        <f>IFERROR(__xludf.DUMMYFUNCTION("""COMPUTED_VALUE"""),"NÃO")</f>
        <v>NÃO</v>
      </c>
      <c r="G1349" s="5" t="str">
        <f>IFERROR(__xludf.DUMMYFUNCTION("""COMPUTED_VALUE"""),"NÃO")</f>
        <v>NÃO</v>
      </c>
      <c r="H1349" s="5" t="str">
        <f>IFERROR(__xludf.DUMMYFUNCTION("""COMPUTED_VALUE"""),"PAVIMENTADA")</f>
        <v>PAVIMENTADA</v>
      </c>
      <c r="I1349" s="6" t="str">
        <f>IFERROR(__xludf.DUMMYFUNCTION("""COMPUTED_VALUE"""),"-9.660065")</f>
        <v>-9.660065</v>
      </c>
      <c r="J1349" s="6" t="str">
        <f>IFERROR(__xludf.DUMMYFUNCTION("""COMPUTED_VALUE"""),"-35.733572")</f>
        <v>-35.733572</v>
      </c>
      <c r="K1349" s="5" t="str">
        <f>IFERROR(__xludf.DUMMYFUNCTION("""COMPUTED_VALUE"""),"RUA COMENDADOR PALMEIRA")</f>
        <v>RUA COMENDADOR PALMEIRA</v>
      </c>
      <c r="L1349" s="5" t="str">
        <f>IFERROR(__xludf.DUMMYFUNCTION("""COMPUTED_VALUE"""),"COLETORA")</f>
        <v>COLETORA</v>
      </c>
      <c r="M1349" s="5" t="str">
        <f>IFERROR(__xludf.DUMMYFUNCTION("""COMPUTED_VALUE"""),"FAROL")</f>
        <v>FAROL</v>
      </c>
      <c r="N1349" s="5" t="str">
        <f>IFERROR(__xludf.DUMMYFUNCTION("""COMPUTED_VALUE"""),"BAIRRO - CENTRO")</f>
        <v>BAIRRO - CENTRO</v>
      </c>
      <c r="O1349" s="5"/>
      <c r="P1349" s="5" t="str">
        <f>IFERROR(__xludf.DUMMYFUNCTION("""COMPUTED_VALUE"""),"PRIORIDADE BAIXA")</f>
        <v>PRIORIDADE BAIXA</v>
      </c>
      <c r="Q1349" s="5"/>
      <c r="R1349" s="5" t="str">
        <f>IFERROR(__xludf.DUMMYFUNCTION("""COMPUTED_VALUE"""),"SUBSTITUIR ABRIGO")</f>
        <v>SUBSTITUIR ABRIGO</v>
      </c>
      <c r="S1349" s="5"/>
      <c r="T1349" s="5"/>
      <c r="U1349" s="5"/>
      <c r="V1349" s="9" t="str">
        <f>IFERROR(__xludf.DUMMYFUNCTION("""COMPUTED_VALUE"""),"https://drive.google.com/uc?id=1DOWclejA0ohzUX_v1W0xOnUWoCM5x90Z")</f>
        <v>https://drive.google.com/uc?id=1DOWclejA0ohzUX_v1W0xOnUWoCM5x90Z</v>
      </c>
      <c r="W1349" s="5" t="str">
        <f>IFERROR(__xludf.DUMMYFUNCTION("""COMPUTED_VALUE"""),"NÃO")</f>
        <v>NÃO</v>
      </c>
      <c r="X1349" s="5" t="str">
        <f>IFERROR(__xludf.DUMMYFUNCTION("""COMPUTED_VALUE"""),"SIM")</f>
        <v>SIM</v>
      </c>
    </row>
    <row r="1350">
      <c r="A1350" s="5">
        <f>IFERROR(__xludf.DUMMYFUNCTION("""COMPUTED_VALUE"""),3.0)</f>
        <v>3</v>
      </c>
      <c r="B1350" s="5" t="str">
        <f>IFERROR(__xludf.DUMMYFUNCTION("""COMPUTED_VALUE"""),"FA008")</f>
        <v>FA008</v>
      </c>
      <c r="C1350" s="5" t="str">
        <f>IFERROR(__xludf.DUMMYFUNCTION("""COMPUTED_VALUE"""),"ABRIGO METÁLICO PEQUENO PORTE")</f>
        <v>ABRIGO METÁLICO PEQUENO PORTE</v>
      </c>
      <c r="D1350" s="5" t="str">
        <f>IFERROR(__xludf.DUMMYFUNCTION("""COMPUTED_VALUE"""),"SEM PLACA")</f>
        <v>SEM PLACA</v>
      </c>
      <c r="E1350" s="5" t="str">
        <f>IFERROR(__xludf.DUMMYFUNCTION("""COMPUTED_VALUE"""),"SEM BAIA")</f>
        <v>SEM BAIA</v>
      </c>
      <c r="F1350" s="5" t="str">
        <f>IFERROR(__xludf.DUMMYFUNCTION("""COMPUTED_VALUE"""),"NÃO")</f>
        <v>NÃO</v>
      </c>
      <c r="G1350" s="5" t="str">
        <f>IFERROR(__xludf.DUMMYFUNCTION("""COMPUTED_VALUE"""),"NÃO")</f>
        <v>NÃO</v>
      </c>
      <c r="H1350" s="5" t="str">
        <f>IFERROR(__xludf.DUMMYFUNCTION("""COMPUTED_VALUE"""),"PAVIMENTADA")</f>
        <v>PAVIMENTADA</v>
      </c>
      <c r="I1350" s="6" t="str">
        <f>IFERROR(__xludf.DUMMYFUNCTION("""COMPUTED_VALUE"""),"-9.661247")</f>
        <v>-9.661247</v>
      </c>
      <c r="J1350" s="6" t="str">
        <f>IFERROR(__xludf.DUMMYFUNCTION("""COMPUTED_VALUE"""),"-35.735504")</f>
        <v>-35.735504</v>
      </c>
      <c r="K1350" s="5" t="str">
        <f>IFERROR(__xludf.DUMMYFUNCTION("""COMPUTED_VALUE"""),"LADEIRA DO BRITO")</f>
        <v>LADEIRA DO BRITO</v>
      </c>
      <c r="L1350" s="5" t="str">
        <f>IFERROR(__xludf.DUMMYFUNCTION("""COMPUTED_VALUE"""),"COLETORA")</f>
        <v>COLETORA</v>
      </c>
      <c r="M1350" s="5" t="str">
        <f>IFERROR(__xludf.DUMMYFUNCTION("""COMPUTED_VALUE"""),"FAROL")</f>
        <v>FAROL</v>
      </c>
      <c r="N1350" s="5" t="str">
        <f>IFERROR(__xludf.DUMMYFUNCTION("""COMPUTED_VALUE"""),"BAIRRO - CENTRO")</f>
        <v>BAIRRO - CENTRO</v>
      </c>
      <c r="O1350" s="5"/>
      <c r="P1350" s="5" t="str">
        <f>IFERROR(__xludf.DUMMYFUNCTION("""COMPUTED_VALUE"""),"PRIORIDADE BAIXA")</f>
        <v>PRIORIDADE BAIXA</v>
      </c>
      <c r="Q1350" s="5"/>
      <c r="R1350" s="5" t="str">
        <f>IFERROR(__xludf.DUMMYFUNCTION("""COMPUTED_VALUE"""),"SUBSTITUIR ABRIGO")</f>
        <v>SUBSTITUIR ABRIGO</v>
      </c>
      <c r="S1350" s="5"/>
      <c r="T1350" s="5"/>
      <c r="U1350" s="5"/>
      <c r="V1350" s="9" t="str">
        <f>IFERROR(__xludf.DUMMYFUNCTION("""COMPUTED_VALUE"""),"https://drive.google.com/uc?id=1qXoczdQBLVn3eYlsf3PS8RBZP82v2GPB")</f>
        <v>https://drive.google.com/uc?id=1qXoczdQBLVn3eYlsf3PS8RBZP82v2GPB</v>
      </c>
      <c r="W1350" s="5" t="str">
        <f>IFERROR(__xludf.DUMMYFUNCTION("""COMPUTED_VALUE"""),"NÃO")</f>
        <v>NÃO</v>
      </c>
      <c r="X1350" s="5" t="str">
        <f>IFERROR(__xludf.DUMMYFUNCTION("""COMPUTED_VALUE"""),"SIM")</f>
        <v>SIM</v>
      </c>
    </row>
    <row r="1351">
      <c r="A1351" s="5">
        <f>IFERROR(__xludf.DUMMYFUNCTION("""COMPUTED_VALUE"""),3.0)</f>
        <v>3</v>
      </c>
      <c r="B1351" s="5" t="str">
        <f>IFERROR(__xludf.DUMMYFUNCTION("""COMPUTED_VALUE"""),"FA009")</f>
        <v>FA009</v>
      </c>
      <c r="C1351" s="5" t="str">
        <f>IFERROR(__xludf.DUMMYFUNCTION("""COMPUTED_VALUE"""),"ABRIGO METÁLICO PEQUENO PORTE")</f>
        <v>ABRIGO METÁLICO PEQUENO PORTE</v>
      </c>
      <c r="D1351" s="5" t="str">
        <f>IFERROR(__xludf.DUMMYFUNCTION("""COMPUTED_VALUE"""),"SEM PLACA")</f>
        <v>SEM PLACA</v>
      </c>
      <c r="E1351" s="5" t="str">
        <f>IFERROR(__xludf.DUMMYFUNCTION("""COMPUTED_VALUE"""),"SEM BAIA")</f>
        <v>SEM BAIA</v>
      </c>
      <c r="F1351" s="5" t="str">
        <f>IFERROR(__xludf.DUMMYFUNCTION("""COMPUTED_VALUE"""),"NÃO")</f>
        <v>NÃO</v>
      </c>
      <c r="G1351" s="5" t="str">
        <f>IFERROR(__xludf.DUMMYFUNCTION("""COMPUTED_VALUE"""),"NÃO")</f>
        <v>NÃO</v>
      </c>
      <c r="H1351" s="5" t="str">
        <f>IFERROR(__xludf.DUMMYFUNCTION("""COMPUTED_VALUE"""),"PAVIMENTADA")</f>
        <v>PAVIMENTADA</v>
      </c>
      <c r="I1351" s="6" t="str">
        <f>IFERROR(__xludf.DUMMYFUNCTION("""COMPUTED_VALUE"""),"-9.658680")</f>
        <v>-9.658680</v>
      </c>
      <c r="J1351" s="6" t="str">
        <f>IFERROR(__xludf.DUMMYFUNCTION("""COMPUTED_VALUE"""),"-35.736214")</f>
        <v>-35.736214</v>
      </c>
      <c r="K1351" s="5" t="str">
        <f>IFERROR(__xludf.DUMMYFUNCTION("""COMPUTED_VALUE"""),"AV. MOREIRA E SILVA")</f>
        <v>AV. MOREIRA E SILVA</v>
      </c>
      <c r="L1351" s="5" t="str">
        <f>IFERROR(__xludf.DUMMYFUNCTION("""COMPUTED_VALUE"""),"COLETORA")</f>
        <v>COLETORA</v>
      </c>
      <c r="M1351" s="5" t="str">
        <f>IFERROR(__xludf.DUMMYFUNCTION("""COMPUTED_VALUE"""),"FAROL")</f>
        <v>FAROL</v>
      </c>
      <c r="N1351" s="5" t="str">
        <f>IFERROR(__xludf.DUMMYFUNCTION("""COMPUTED_VALUE"""),"BAIRRO - CENTRO")</f>
        <v>BAIRRO - CENTRO</v>
      </c>
      <c r="O1351" s="5" t="str">
        <f>IFERROR(__xludf.DUMMYFUNCTION("""COMPUTED_VALUE"""),"LADEIRA DOS MARTÍRIOS")</f>
        <v>LADEIRA DOS MARTÍRIOS</v>
      </c>
      <c r="P1351" s="5" t="str">
        <f>IFERROR(__xludf.DUMMYFUNCTION("""COMPUTED_VALUE"""),"PRIORIDADE BAIXA")</f>
        <v>PRIORIDADE BAIXA</v>
      </c>
      <c r="Q1351" s="5"/>
      <c r="R1351" s="5" t="str">
        <f>IFERROR(__xludf.DUMMYFUNCTION("""COMPUTED_VALUE"""),"SUBSTITUIR ABRIGO")</f>
        <v>SUBSTITUIR ABRIGO</v>
      </c>
      <c r="S1351" s="5"/>
      <c r="T1351" s="5"/>
      <c r="U1351" s="5"/>
      <c r="V1351" s="9" t="str">
        <f>IFERROR(__xludf.DUMMYFUNCTION("""COMPUTED_VALUE"""),"https://drive.google.com/uc?id=1Vk7vH8lg7ETRxxt97pCb1enECYZjtPGW")</f>
        <v>https://drive.google.com/uc?id=1Vk7vH8lg7ETRxxt97pCb1enECYZjtPGW</v>
      </c>
      <c r="W1351" s="5" t="str">
        <f>IFERROR(__xludf.DUMMYFUNCTION("""COMPUTED_VALUE"""),"NÃO")</f>
        <v>NÃO</v>
      </c>
      <c r="X1351" s="5" t="str">
        <f>IFERROR(__xludf.DUMMYFUNCTION("""COMPUTED_VALUE"""),"SIM")</f>
        <v>SIM</v>
      </c>
    </row>
    <row r="1352">
      <c r="A1352" s="5">
        <f>IFERROR(__xludf.DUMMYFUNCTION("""COMPUTED_VALUE"""),3.0)</f>
        <v>3</v>
      </c>
      <c r="B1352" s="5" t="str">
        <f>IFERROR(__xludf.DUMMYFUNCTION("""COMPUTED_VALUE"""),"FA010")</f>
        <v>FA010</v>
      </c>
      <c r="C1352" s="5" t="str">
        <f>IFERROR(__xludf.DUMMYFUNCTION("""COMPUTED_VALUE"""),"ABRIGO METÁLICO PEQUENO PORTE")</f>
        <v>ABRIGO METÁLICO PEQUENO PORTE</v>
      </c>
      <c r="D1352" s="5" t="str">
        <f>IFERROR(__xludf.DUMMYFUNCTION("""COMPUTED_VALUE"""),"SEM PLACA")</f>
        <v>SEM PLACA</v>
      </c>
      <c r="E1352" s="5" t="str">
        <f>IFERROR(__xludf.DUMMYFUNCTION("""COMPUTED_VALUE"""),"SEM BAIA")</f>
        <v>SEM BAIA</v>
      </c>
      <c r="F1352" s="5" t="str">
        <f>IFERROR(__xludf.DUMMYFUNCTION("""COMPUTED_VALUE"""),"NÃO")</f>
        <v>NÃO</v>
      </c>
      <c r="G1352" s="5" t="str">
        <f>IFERROR(__xludf.DUMMYFUNCTION("""COMPUTED_VALUE"""),"NÃO")</f>
        <v>NÃO</v>
      </c>
      <c r="H1352" s="5" t="str">
        <f>IFERROR(__xludf.DUMMYFUNCTION("""COMPUTED_VALUE"""),"PAVIMENTADA")</f>
        <v>PAVIMENTADA</v>
      </c>
      <c r="I1352" s="6" t="str">
        <f>IFERROR(__xludf.DUMMYFUNCTION("""COMPUTED_VALUE"""),"-9.657439")</f>
        <v>-9.657439</v>
      </c>
      <c r="J1352" s="6" t="str">
        <f>IFERROR(__xludf.DUMMYFUNCTION("""COMPUTED_VALUE"""),"-35.733359")</f>
        <v>-35.733359</v>
      </c>
      <c r="K1352" s="5" t="str">
        <f>IFERROR(__xludf.DUMMYFUNCTION("""COMPUTED_VALUE"""),"AV. TOMÁS ESPINDOLA")</f>
        <v>AV. TOMÁS ESPINDOLA</v>
      </c>
      <c r="L1352" s="5" t="str">
        <f>IFERROR(__xludf.DUMMYFUNCTION("""COMPUTED_VALUE"""),"ARTERIAL ")</f>
        <v>ARTERIAL </v>
      </c>
      <c r="M1352" s="5" t="str">
        <f>IFERROR(__xludf.DUMMYFUNCTION("""COMPUTED_VALUE"""),"FAROL")</f>
        <v>FAROL</v>
      </c>
      <c r="N1352" s="5" t="str">
        <f>IFERROR(__xludf.DUMMYFUNCTION("""COMPUTED_VALUE"""),"BAIRRO - CENTRO")</f>
        <v>BAIRRO - CENTRO</v>
      </c>
      <c r="O1352" s="5"/>
      <c r="P1352" s="5" t="str">
        <f>IFERROR(__xludf.DUMMYFUNCTION("""COMPUTED_VALUE"""),"PRIORIDADE BAIXA")</f>
        <v>PRIORIDADE BAIXA</v>
      </c>
      <c r="Q1352" s="5"/>
      <c r="R1352" s="5" t="str">
        <f>IFERROR(__xludf.DUMMYFUNCTION("""COMPUTED_VALUE"""),"SUBSTITUIR ABRIGO")</f>
        <v>SUBSTITUIR ABRIGO</v>
      </c>
      <c r="S1352" s="5"/>
      <c r="T1352" s="5"/>
      <c r="U1352" s="5"/>
      <c r="V1352" s="9" t="str">
        <f>IFERROR(__xludf.DUMMYFUNCTION("""COMPUTED_VALUE"""),"https://drive.google.com/uc?id=1oXWwFGBkPmrDkinmj-KfWK2laauq64Ui")</f>
        <v>https://drive.google.com/uc?id=1oXWwFGBkPmrDkinmj-KfWK2laauq64Ui</v>
      </c>
      <c r="W1352" s="5" t="str">
        <f>IFERROR(__xludf.DUMMYFUNCTION("""COMPUTED_VALUE"""),"NÃO")</f>
        <v>NÃO</v>
      </c>
      <c r="X1352" s="5" t="str">
        <f>IFERROR(__xludf.DUMMYFUNCTION("""COMPUTED_VALUE"""),"SIM")</f>
        <v>SIM</v>
      </c>
    </row>
    <row r="1353">
      <c r="A1353" s="5">
        <f>IFERROR(__xludf.DUMMYFUNCTION("""COMPUTED_VALUE"""),3.0)</f>
        <v>3</v>
      </c>
      <c r="B1353" s="5" t="str">
        <f>IFERROR(__xludf.DUMMYFUNCTION("""COMPUTED_VALUE"""),"FA011")</f>
        <v>FA011</v>
      </c>
      <c r="C1353" s="5" t="str">
        <f>IFERROR(__xludf.DUMMYFUNCTION("""COMPUTED_VALUE"""),"ABRIGO METÁLICO MÉDIO PORTE")</f>
        <v>ABRIGO METÁLICO MÉDIO PORTE</v>
      </c>
      <c r="D1353" s="5" t="str">
        <f>IFERROR(__xludf.DUMMYFUNCTION("""COMPUTED_VALUE"""),"COM SUPORTE")</f>
        <v>COM SUPORTE</v>
      </c>
      <c r="E1353" s="5" t="str">
        <f>IFERROR(__xludf.DUMMYFUNCTION("""COMPUTED_VALUE"""),"SEM BAIA")</f>
        <v>SEM BAIA</v>
      </c>
      <c r="F1353" s="5" t="str">
        <f>IFERROR(__xludf.DUMMYFUNCTION("""COMPUTED_VALUE"""),"NÃO")</f>
        <v>NÃO</v>
      </c>
      <c r="G1353" s="5" t="str">
        <f>IFERROR(__xludf.DUMMYFUNCTION("""COMPUTED_VALUE"""),"NÃO")</f>
        <v>NÃO</v>
      </c>
      <c r="H1353" s="5" t="str">
        <f>IFERROR(__xludf.DUMMYFUNCTION("""COMPUTED_VALUE"""),"PAVIMENTADA")</f>
        <v>PAVIMENTADA</v>
      </c>
      <c r="I1353" s="6" t="str">
        <f>IFERROR(__xludf.DUMMYFUNCTION("""COMPUTED_VALUE"""),"-9.655418")</f>
        <v>-9.655418</v>
      </c>
      <c r="J1353" s="6" t="str">
        <f>IFERROR(__xludf.DUMMYFUNCTION("""COMPUTED_VALUE"""),"-35.733191")</f>
        <v>-35.733191</v>
      </c>
      <c r="K1353" s="5" t="str">
        <f>IFERROR(__xludf.DUMMYFUNCTION("""COMPUTED_VALUE"""),"AV. TOMÁS ESPINDOLA")</f>
        <v>AV. TOMÁS ESPINDOLA</v>
      </c>
      <c r="L1353" s="5" t="str">
        <f>IFERROR(__xludf.DUMMYFUNCTION("""COMPUTED_VALUE"""),"ARTERIAL ")</f>
        <v>ARTERIAL </v>
      </c>
      <c r="M1353" s="5" t="str">
        <f>IFERROR(__xludf.DUMMYFUNCTION("""COMPUTED_VALUE"""),"FAROL")</f>
        <v>FAROL</v>
      </c>
      <c r="N1353" s="5" t="str">
        <f>IFERROR(__xludf.DUMMYFUNCTION("""COMPUTED_VALUE"""),"BAIRRO - CENTRO")</f>
        <v>BAIRRO - CENTRO</v>
      </c>
      <c r="O1353" s="5"/>
      <c r="P1353" s="5" t="str">
        <f>IFERROR(__xludf.DUMMYFUNCTION("""COMPUTED_VALUE"""),"PRIORIDADE BAIXA")</f>
        <v>PRIORIDADE BAIXA</v>
      </c>
      <c r="Q1353" s="5"/>
      <c r="R1353" s="5" t="str">
        <f>IFERROR(__xludf.DUMMYFUNCTION("""COMPUTED_VALUE"""),"SUBSTITUIR ABRIGO")</f>
        <v>SUBSTITUIR ABRIGO</v>
      </c>
      <c r="S1353" s="5"/>
      <c r="T1353" s="5"/>
      <c r="U1353" s="5"/>
      <c r="V1353" s="9" t="str">
        <f>IFERROR(__xludf.DUMMYFUNCTION("""COMPUTED_VALUE"""),"https://drive.google.com/uc?id=1m1K1hROXmaCI75FNso1O3Rog1Miwzu0n")</f>
        <v>https://drive.google.com/uc?id=1m1K1hROXmaCI75FNso1O3Rog1Miwzu0n</v>
      </c>
      <c r="W1353" s="5" t="str">
        <f>IFERROR(__xludf.DUMMYFUNCTION("""COMPUTED_VALUE"""),"NÃO")</f>
        <v>NÃO</v>
      </c>
      <c r="X1353" s="5" t="str">
        <f>IFERROR(__xludf.DUMMYFUNCTION("""COMPUTED_VALUE"""),"SIM")</f>
        <v>SIM</v>
      </c>
    </row>
    <row r="1354" hidden="1">
      <c r="A1354" s="5">
        <f>IFERROR(__xludf.DUMMYFUNCTION("""COMPUTED_VALUE"""),3.0)</f>
        <v>3</v>
      </c>
      <c r="B1354" s="5" t="str">
        <f>IFERROR(__xludf.DUMMYFUNCTION("""COMPUTED_VALUE"""),"FA012")</f>
        <v>FA012</v>
      </c>
      <c r="C1354" s="5" t="str">
        <f>IFERROR(__xludf.DUMMYFUNCTION("""COMPUTED_VALUE"""),"NÃO POSSUI")</f>
        <v>NÃO POSSUI</v>
      </c>
      <c r="D1354" s="5" t="str">
        <f>IFERROR(__xludf.DUMMYFUNCTION("""COMPUTED_VALUE"""),"COM SUPORTE")</f>
        <v>COM SUPORTE</v>
      </c>
      <c r="E1354" s="5" t="str">
        <f>IFERROR(__xludf.DUMMYFUNCTION("""COMPUTED_VALUE"""),"SEM BAIA")</f>
        <v>SEM BAIA</v>
      </c>
      <c r="F1354" s="5" t="str">
        <f>IFERROR(__xludf.DUMMYFUNCTION("""COMPUTED_VALUE"""),"NÃO")</f>
        <v>NÃO</v>
      </c>
      <c r="G1354" s="5" t="str">
        <f>IFERROR(__xludf.DUMMYFUNCTION("""COMPUTED_VALUE"""),"NÃO")</f>
        <v>NÃO</v>
      </c>
      <c r="H1354" s="5" t="str">
        <f>IFERROR(__xludf.DUMMYFUNCTION("""COMPUTED_VALUE"""),"PAVIMENTADA")</f>
        <v>PAVIMENTADA</v>
      </c>
      <c r="I1354" s="6" t="str">
        <f>IFERROR(__xludf.DUMMYFUNCTION("""COMPUTED_VALUE"""),"-9.652587")</f>
        <v>-9.652587</v>
      </c>
      <c r="J1354" s="6" t="str">
        <f>IFERROR(__xludf.DUMMYFUNCTION("""COMPUTED_VALUE"""),"-35.733075")</f>
        <v>-35.733075</v>
      </c>
      <c r="K1354" s="5" t="str">
        <f>IFERROR(__xludf.DUMMYFUNCTION("""COMPUTED_VALUE"""),"AV. TOMÁS ESPINDOLA")</f>
        <v>AV. TOMÁS ESPINDOLA</v>
      </c>
      <c r="L1354" s="5" t="str">
        <f>IFERROR(__xludf.DUMMYFUNCTION("""COMPUTED_VALUE"""),"ARTERIAL ")</f>
        <v>ARTERIAL </v>
      </c>
      <c r="M1354" s="5" t="str">
        <f>IFERROR(__xludf.DUMMYFUNCTION("""COMPUTED_VALUE"""),"FAROL")</f>
        <v>FAROL</v>
      </c>
      <c r="N1354" s="5" t="str">
        <f>IFERROR(__xludf.DUMMYFUNCTION("""COMPUTED_VALUE"""),"BAIRRO - CENTRO")</f>
        <v>BAIRRO - CENTRO</v>
      </c>
      <c r="O1354" s="5"/>
      <c r="P1354" s="5" t="str">
        <f>IFERROR(__xludf.DUMMYFUNCTION("""COMPUTED_VALUE"""),"PRIORIDADE BAIXA")</f>
        <v>PRIORIDADE BAIXA</v>
      </c>
      <c r="Q1354" s="5"/>
      <c r="R1354" s="5" t="str">
        <f>IFERROR(__xludf.DUMMYFUNCTION("""COMPUTED_VALUE"""),"SUBSTITUIR ABRIGO")</f>
        <v>SUBSTITUIR ABRIGO</v>
      </c>
      <c r="S1354" s="5"/>
      <c r="T1354" s="5"/>
      <c r="U1354" s="5"/>
      <c r="V1354" s="9" t="str">
        <f>IFERROR(__xludf.DUMMYFUNCTION("""COMPUTED_VALUE"""),"https://drive.google.com/uc?id=1k0qLfE1-I1h1bsrSgCV4RFf3apmAxH-2")</f>
        <v>https://drive.google.com/uc?id=1k0qLfE1-I1h1bsrSgCV4RFf3apmAxH-2</v>
      </c>
      <c r="W1354" s="5" t="str">
        <f>IFERROR(__xludf.DUMMYFUNCTION("""COMPUTED_VALUE"""),"NÃO")</f>
        <v>NÃO</v>
      </c>
      <c r="X1354" s="5" t="str">
        <f>IFERROR(__xludf.DUMMYFUNCTION("""COMPUTED_VALUE"""),"SIM")</f>
        <v>SIM</v>
      </c>
    </row>
    <row r="1355">
      <c r="A1355" s="5">
        <f>IFERROR(__xludf.DUMMYFUNCTION("""COMPUTED_VALUE"""),3.0)</f>
        <v>3</v>
      </c>
      <c r="B1355" s="5" t="str">
        <f>IFERROR(__xludf.DUMMYFUNCTION("""COMPUTED_VALUE"""),"FA013")</f>
        <v>FA013</v>
      </c>
      <c r="C1355" s="5" t="str">
        <f>IFERROR(__xludf.DUMMYFUNCTION("""COMPUTED_VALUE"""),"ABRIGO CONCRETO")</f>
        <v>ABRIGO CONCRETO</v>
      </c>
      <c r="D1355" s="5" t="str">
        <f>IFERROR(__xludf.DUMMYFUNCTION("""COMPUTED_VALUE"""),"SEM PLACA")</f>
        <v>SEM PLACA</v>
      </c>
      <c r="E1355" s="5" t="str">
        <f>IFERROR(__xludf.DUMMYFUNCTION("""COMPUTED_VALUE"""),"SEM BAIA")</f>
        <v>SEM BAIA</v>
      </c>
      <c r="F1355" s="5" t="str">
        <f>IFERROR(__xludf.DUMMYFUNCTION("""COMPUTED_VALUE"""),"NÃO")</f>
        <v>NÃO</v>
      </c>
      <c r="G1355" s="5" t="str">
        <f>IFERROR(__xludf.DUMMYFUNCTION("""COMPUTED_VALUE"""),"NÃO")</f>
        <v>NÃO</v>
      </c>
      <c r="H1355" s="5" t="str">
        <f>IFERROR(__xludf.DUMMYFUNCTION("""COMPUTED_VALUE"""),"PAVIMENTADA")</f>
        <v>PAVIMENTADA</v>
      </c>
      <c r="I1355" s="6" t="str">
        <f>IFERROR(__xludf.DUMMYFUNCTION("""COMPUTED_VALUE"""),"-9.648778")</f>
        <v>-9.648778</v>
      </c>
      <c r="J1355" s="6" t="str">
        <f>IFERROR(__xludf.DUMMYFUNCTION("""COMPUTED_VALUE"""),"-35.739274")</f>
        <v>-35.739274</v>
      </c>
      <c r="K1355" s="5" t="str">
        <f>IFERROR(__xludf.DUMMYFUNCTION("""COMPUTED_VALUE"""),"RUA JOSÉ DE ALENCAR")</f>
        <v>RUA JOSÉ DE ALENCAR</v>
      </c>
      <c r="L1355" s="5" t="str">
        <f>IFERROR(__xludf.DUMMYFUNCTION("""COMPUTED_VALUE"""),"LOCAL")</f>
        <v>LOCAL</v>
      </c>
      <c r="M1355" s="5" t="str">
        <f>IFERROR(__xludf.DUMMYFUNCTION("""COMPUTED_VALUE"""),"FAROL")</f>
        <v>FAROL</v>
      </c>
      <c r="N1355" s="5" t="str">
        <f>IFERROR(__xludf.DUMMYFUNCTION("""COMPUTED_VALUE"""),"CENTRO - BAIRRO")</f>
        <v>CENTRO - BAIRRO</v>
      </c>
      <c r="O1355" s="5" t="str">
        <f>IFERROR(__xludf.DUMMYFUNCTION("""COMPUTED_VALUE"""),"PRÓXIMO A NASSAU")</f>
        <v>PRÓXIMO A NASSAU</v>
      </c>
      <c r="P1355" s="5" t="str">
        <f>IFERROR(__xludf.DUMMYFUNCTION("""COMPUTED_VALUE"""),"PRIORIDADE BAIXA")</f>
        <v>PRIORIDADE BAIXA</v>
      </c>
      <c r="Q1355" s="5"/>
      <c r="R1355" s="5" t="str">
        <f>IFERROR(__xludf.DUMMYFUNCTION("""COMPUTED_VALUE"""),"SUBSTITUIR ABRIGO")</f>
        <v>SUBSTITUIR ABRIGO</v>
      </c>
      <c r="S1355" s="5"/>
      <c r="T1355" s="5"/>
      <c r="U1355" s="5"/>
      <c r="V1355" s="9" t="str">
        <f>IFERROR(__xludf.DUMMYFUNCTION("""COMPUTED_VALUE"""),"https://drive.google.com/uc?id=1CguiWaU6ra0vhz5T_4EHhMZzt_Pd1tV7")</f>
        <v>https://drive.google.com/uc?id=1CguiWaU6ra0vhz5T_4EHhMZzt_Pd1tV7</v>
      </c>
      <c r="W1355" s="5" t="str">
        <f>IFERROR(__xludf.DUMMYFUNCTION("""COMPUTED_VALUE"""),"NÃO")</f>
        <v>NÃO</v>
      </c>
      <c r="X1355" s="5" t="str">
        <f>IFERROR(__xludf.DUMMYFUNCTION("""COMPUTED_VALUE"""),"NÃO")</f>
        <v>NÃO</v>
      </c>
    </row>
    <row r="1356" hidden="1">
      <c r="A1356" s="5">
        <f>IFERROR(__xludf.DUMMYFUNCTION("""COMPUTED_VALUE"""),3.0)</f>
        <v>3</v>
      </c>
      <c r="B1356" s="5" t="str">
        <f>IFERROR(__xludf.DUMMYFUNCTION("""COMPUTED_VALUE"""),"FA014")</f>
        <v>FA014</v>
      </c>
      <c r="C1356" s="5" t="str">
        <f>IFERROR(__xludf.DUMMYFUNCTION("""COMPUTED_VALUE"""),"NÃO POSSUI")</f>
        <v>NÃO POSSUI</v>
      </c>
      <c r="D1356" s="5" t="str">
        <f>IFERROR(__xludf.DUMMYFUNCTION("""COMPUTED_VALUE"""),"SEM PLACA")</f>
        <v>SEM PLACA</v>
      </c>
      <c r="E1356" s="5" t="str">
        <f>IFERROR(__xludf.DUMMYFUNCTION("""COMPUTED_VALUE"""),"SEM BAIA")</f>
        <v>SEM BAIA</v>
      </c>
      <c r="F1356" s="5" t="str">
        <f>IFERROR(__xludf.DUMMYFUNCTION("""COMPUTED_VALUE"""),"NÃO")</f>
        <v>NÃO</v>
      </c>
      <c r="G1356" s="5" t="str">
        <f>IFERROR(__xludf.DUMMYFUNCTION("""COMPUTED_VALUE"""),"NÃO")</f>
        <v>NÃO</v>
      </c>
      <c r="H1356" s="5" t="str">
        <f>IFERROR(__xludf.DUMMYFUNCTION("""COMPUTED_VALUE"""),"PAVIMENTADA")</f>
        <v>PAVIMENTADA</v>
      </c>
      <c r="I1356" s="6" t="str">
        <f>IFERROR(__xludf.DUMMYFUNCTION("""COMPUTED_VALUE"""),"-9.650802")</f>
        <v>-9.650802</v>
      </c>
      <c r="J1356" s="6" t="str">
        <f>IFERROR(__xludf.DUMMYFUNCTION("""COMPUTED_VALUE"""),"-35.739143")</f>
        <v>-35.739143</v>
      </c>
      <c r="K1356" s="5" t="str">
        <f>IFERROR(__xludf.DUMMYFUNCTION("""COMPUTED_VALUE"""),"RUA CONSELHEIRO JOSÉ BEZERRA")</f>
        <v>RUA CONSELHEIRO JOSÉ BEZERRA</v>
      </c>
      <c r="L1356" s="5" t="str">
        <f>IFERROR(__xludf.DUMMYFUNCTION("""COMPUTED_VALUE"""),"LOCAL")</f>
        <v>LOCAL</v>
      </c>
      <c r="M1356" s="5" t="str">
        <f>IFERROR(__xludf.DUMMYFUNCTION("""COMPUTED_VALUE"""),"FAROL")</f>
        <v>FAROL</v>
      </c>
      <c r="N1356" s="5" t="str">
        <f>IFERROR(__xludf.DUMMYFUNCTION("""COMPUTED_VALUE"""),"BAIRRO - CENTRO")</f>
        <v>BAIRRO - CENTRO</v>
      </c>
      <c r="O1356" s="5" t="str">
        <f>IFERROR(__xludf.DUMMYFUNCTION("""COMPUTED_VALUE"""),"COLEGIO CRISTO REI")</f>
        <v>COLEGIO CRISTO REI</v>
      </c>
      <c r="P1356" s="5" t="str">
        <f>IFERROR(__xludf.DUMMYFUNCTION("""COMPUTED_VALUE"""),"PRIORIDADE BAIXA")</f>
        <v>PRIORIDADE BAIXA</v>
      </c>
      <c r="Q1356" s="5"/>
      <c r="R1356" s="5" t="str">
        <f>IFERROR(__xludf.DUMMYFUNCTION("""COMPUTED_VALUE"""),"IMPLANTAR ABRIGO")</f>
        <v>IMPLANTAR ABRIGO</v>
      </c>
      <c r="S1356" s="5"/>
      <c r="T1356" s="5"/>
      <c r="U1356" s="5"/>
      <c r="V1356" s="9" t="str">
        <f>IFERROR(__xludf.DUMMYFUNCTION("""COMPUTED_VALUE"""),"https://drive.google.com/uc?id=12aihLHUNK7npmm6xe9YXPkt3tGhFgmkB")</f>
        <v>https://drive.google.com/uc?id=12aihLHUNK7npmm6xe9YXPkt3tGhFgmkB</v>
      </c>
      <c r="W1356" s="5" t="str">
        <f>IFERROR(__xludf.DUMMYFUNCTION("""COMPUTED_VALUE"""),"NÃO")</f>
        <v>NÃO</v>
      </c>
      <c r="X1356" s="5" t="str">
        <f>IFERROR(__xludf.DUMMYFUNCTION("""COMPUTED_VALUE"""),"NÃO SE APLICA")</f>
        <v>NÃO SE APLICA</v>
      </c>
    </row>
    <row r="1357" hidden="1">
      <c r="A1357" s="5">
        <f>IFERROR(__xludf.DUMMYFUNCTION("""COMPUTED_VALUE"""),3.0)</f>
        <v>3</v>
      </c>
      <c r="B1357" s="5" t="str">
        <f>IFERROR(__xludf.DUMMYFUNCTION("""COMPUTED_VALUE"""),"FA015")</f>
        <v>FA015</v>
      </c>
      <c r="C1357" s="5" t="str">
        <f>IFERROR(__xludf.DUMMYFUNCTION("""COMPUTED_VALUE"""),"NÃO POSSUI")</f>
        <v>NÃO POSSUI</v>
      </c>
      <c r="D1357" s="5" t="str">
        <f>IFERROR(__xludf.DUMMYFUNCTION("""COMPUTED_VALUE"""),"SEM PLACA")</f>
        <v>SEM PLACA</v>
      </c>
      <c r="E1357" s="5" t="str">
        <f>IFERROR(__xludf.DUMMYFUNCTION("""COMPUTED_VALUE"""),"SEM BAIA")</f>
        <v>SEM BAIA</v>
      </c>
      <c r="F1357" s="5" t="str">
        <f>IFERROR(__xludf.DUMMYFUNCTION("""COMPUTED_VALUE"""),"NÃO")</f>
        <v>NÃO</v>
      </c>
      <c r="G1357" s="5" t="str">
        <f>IFERROR(__xludf.DUMMYFUNCTION("""COMPUTED_VALUE"""),"NÃO")</f>
        <v>NÃO</v>
      </c>
      <c r="H1357" s="5" t="str">
        <f>IFERROR(__xludf.DUMMYFUNCTION("""COMPUTED_VALUE"""),"PAVIMENTADA")</f>
        <v>PAVIMENTADA</v>
      </c>
      <c r="I1357" s="6" t="str">
        <f>IFERROR(__xludf.DUMMYFUNCTION("""COMPUTED_VALUE"""),"-9.650387")</f>
        <v>-9.650387</v>
      </c>
      <c r="J1357" s="6" t="str">
        <f>IFERROR(__xludf.DUMMYFUNCTION("""COMPUTED_VALUE"""),"-35.738196")</f>
        <v>-35.738196</v>
      </c>
      <c r="K1357" s="5" t="str">
        <f>IFERROR(__xludf.DUMMYFUNCTION("""COMPUTED_VALUE"""),"RUA DR. LUÍS MASCARENHA")</f>
        <v>RUA DR. LUÍS MASCARENHA</v>
      </c>
      <c r="L1357" s="5" t="str">
        <f>IFERROR(__xludf.DUMMYFUNCTION("""COMPUTED_VALUE"""),"LOCAL")</f>
        <v>LOCAL</v>
      </c>
      <c r="M1357" s="5" t="str">
        <f>IFERROR(__xludf.DUMMYFUNCTION("""COMPUTED_VALUE"""),"FAROL")</f>
        <v>FAROL</v>
      </c>
      <c r="N1357" s="5" t="str">
        <f>IFERROR(__xludf.DUMMYFUNCTION("""COMPUTED_VALUE"""),"CENTRO - BAIRRO")</f>
        <v>CENTRO - BAIRRO</v>
      </c>
      <c r="O1357" s="5" t="str">
        <f>IFERROR(__xludf.DUMMYFUNCTION("""COMPUTED_VALUE"""),"RUA DR. LUÍS MASCARENHA")</f>
        <v>RUA DR. LUÍS MASCARENHA</v>
      </c>
      <c r="P1357" s="5" t="str">
        <f>IFERROR(__xludf.DUMMYFUNCTION("""COMPUTED_VALUE"""),"PRIORIDADE BAIXA")</f>
        <v>PRIORIDADE BAIXA</v>
      </c>
      <c r="Q1357" s="5"/>
      <c r="R1357" s="5" t="str">
        <f>IFERROR(__xludf.DUMMYFUNCTION("""COMPUTED_VALUE"""),"IMPLANTAR ABRIGO")</f>
        <v>IMPLANTAR ABRIGO</v>
      </c>
      <c r="S1357" s="5"/>
      <c r="T1357" s="5"/>
      <c r="U1357" s="5"/>
      <c r="V1357" s="9" t="str">
        <f>IFERROR(__xludf.DUMMYFUNCTION("""COMPUTED_VALUE"""),"https://drive.google.com/uc?id=1UzDWw7HW4KMP6Pbe7amoSYy71egL9QnO")</f>
        <v>https://drive.google.com/uc?id=1UzDWw7HW4KMP6Pbe7amoSYy71egL9QnO</v>
      </c>
      <c r="W1357" s="5" t="str">
        <f>IFERROR(__xludf.DUMMYFUNCTION("""COMPUTED_VALUE"""),"NÃO")</f>
        <v>NÃO</v>
      </c>
      <c r="X1357" s="5" t="str">
        <f>IFERROR(__xludf.DUMMYFUNCTION("""COMPUTED_VALUE"""),"NÃO SE APLICA")</f>
        <v>NÃO SE APLICA</v>
      </c>
    </row>
    <row r="1358" hidden="1">
      <c r="A1358" s="5">
        <f>IFERROR(__xludf.DUMMYFUNCTION("""COMPUTED_VALUE"""),3.0)</f>
        <v>3</v>
      </c>
      <c r="B1358" s="5" t="str">
        <f>IFERROR(__xludf.DUMMYFUNCTION("""COMPUTED_VALUE"""),"FA016")</f>
        <v>FA016</v>
      </c>
      <c r="C1358" s="5" t="str">
        <f>IFERROR(__xludf.DUMMYFUNCTION("""COMPUTED_VALUE"""),"NÃO POSSUI")</f>
        <v>NÃO POSSUI</v>
      </c>
      <c r="D1358" s="5" t="str">
        <f>IFERROR(__xludf.DUMMYFUNCTION("""COMPUTED_VALUE"""),"SEM PLACA")</f>
        <v>SEM PLACA</v>
      </c>
      <c r="E1358" s="5" t="str">
        <f>IFERROR(__xludf.DUMMYFUNCTION("""COMPUTED_VALUE"""),"SEM BAIA")</f>
        <v>SEM BAIA</v>
      </c>
      <c r="F1358" s="5" t="str">
        <f>IFERROR(__xludf.DUMMYFUNCTION("""COMPUTED_VALUE"""),"NÃO")</f>
        <v>NÃO</v>
      </c>
      <c r="G1358" s="5" t="str">
        <f>IFERROR(__xludf.DUMMYFUNCTION("""COMPUTED_VALUE"""),"NÃO")</f>
        <v>NÃO</v>
      </c>
      <c r="H1358" s="5" t="str">
        <f>IFERROR(__xludf.DUMMYFUNCTION("""COMPUTED_VALUE"""),"PAVIMENTADA")</f>
        <v>PAVIMENTADA</v>
      </c>
      <c r="I1358" s="6" t="str">
        <f>IFERROR(__xludf.DUMMYFUNCTION("""COMPUTED_VALUE"""),"-9.648683")</f>
        <v>-9.648683</v>
      </c>
      <c r="J1358" s="6" t="str">
        <f>IFERROR(__xludf.DUMMYFUNCTION("""COMPUTED_VALUE"""),"-35.738147")</f>
        <v>-35.738147</v>
      </c>
      <c r="K1358" s="5" t="str">
        <f>IFERROR(__xludf.DUMMYFUNCTION("""COMPUTED_VALUE"""),"RUA MAJ. FRANCISCO DE BARROS RÊGO")</f>
        <v>RUA MAJ. FRANCISCO DE BARROS RÊGO</v>
      </c>
      <c r="L1358" s="5" t="str">
        <f>IFERROR(__xludf.DUMMYFUNCTION("""COMPUTED_VALUE"""),"LOCAL")</f>
        <v>LOCAL</v>
      </c>
      <c r="M1358" s="5" t="str">
        <f>IFERROR(__xludf.DUMMYFUNCTION("""COMPUTED_VALUE"""),"FAROL")</f>
        <v>FAROL</v>
      </c>
      <c r="N1358" s="5" t="str">
        <f>IFERROR(__xludf.DUMMYFUNCTION("""COMPUTED_VALUE"""),"CENTRO - BAIRRO")</f>
        <v>CENTRO - BAIRRO</v>
      </c>
      <c r="O1358" s="5"/>
      <c r="P1358" s="5" t="str">
        <f>IFERROR(__xludf.DUMMYFUNCTION("""COMPUTED_VALUE"""),"PRIORIDADE BAIXA")</f>
        <v>PRIORIDADE BAIXA</v>
      </c>
      <c r="Q1358" s="5"/>
      <c r="R1358" s="5" t="str">
        <f>IFERROR(__xludf.DUMMYFUNCTION("""COMPUTED_VALUE"""),"IMPLANTAR PLACA COM SUPORTE")</f>
        <v>IMPLANTAR PLACA COM SUPORTE</v>
      </c>
      <c r="S1358" s="5"/>
      <c r="T1358" s="5"/>
      <c r="U1358" s="5"/>
      <c r="V1358" s="9" t="str">
        <f>IFERROR(__xludf.DUMMYFUNCTION("""COMPUTED_VALUE"""),"https://drive.google.com/uc?id=147S5JbDny-tyIHA4a2HI6fkjIVtLXXDH")</f>
        <v>https://drive.google.com/uc?id=147S5JbDny-tyIHA4a2HI6fkjIVtLXXDH</v>
      </c>
      <c r="W1358" s="5" t="str">
        <f>IFERROR(__xludf.DUMMYFUNCTION("""COMPUTED_VALUE"""),"NÃO")</f>
        <v>NÃO</v>
      </c>
      <c r="X1358" s="5" t="str">
        <f>IFERROR(__xludf.DUMMYFUNCTION("""COMPUTED_VALUE"""),"NÃO SE APLICA")</f>
        <v>NÃO SE APLICA</v>
      </c>
    </row>
    <row r="1359" hidden="1">
      <c r="A1359" s="5">
        <f>IFERROR(__xludf.DUMMYFUNCTION("""COMPUTED_VALUE"""),3.0)</f>
        <v>3</v>
      </c>
      <c r="B1359" s="5" t="str">
        <f>IFERROR(__xludf.DUMMYFUNCTION("""COMPUTED_VALUE"""),"FA017")</f>
        <v>FA017</v>
      </c>
      <c r="C1359" s="5" t="str">
        <f>IFERROR(__xludf.DUMMYFUNCTION("""COMPUTED_VALUE"""),"NÃO POSSUI")</f>
        <v>NÃO POSSUI</v>
      </c>
      <c r="D1359" s="5" t="str">
        <f>IFERROR(__xludf.DUMMYFUNCTION("""COMPUTED_VALUE"""),"SEM PLACA")</f>
        <v>SEM PLACA</v>
      </c>
      <c r="E1359" s="5" t="str">
        <f>IFERROR(__xludf.DUMMYFUNCTION("""COMPUTED_VALUE"""),"SEM BAIA")</f>
        <v>SEM BAIA</v>
      </c>
      <c r="F1359" s="5" t="str">
        <f>IFERROR(__xludf.DUMMYFUNCTION("""COMPUTED_VALUE"""),"NÃO")</f>
        <v>NÃO</v>
      </c>
      <c r="G1359" s="5" t="str">
        <f>IFERROR(__xludf.DUMMYFUNCTION("""COMPUTED_VALUE"""),"NÃO")</f>
        <v>NÃO</v>
      </c>
      <c r="H1359" s="5" t="str">
        <f>IFERROR(__xludf.DUMMYFUNCTION("""COMPUTED_VALUE"""),"PAVIMENTADA")</f>
        <v>PAVIMENTADA</v>
      </c>
      <c r="I1359" s="6" t="str">
        <f>IFERROR(__xludf.DUMMYFUNCTION("""COMPUTED_VALUE"""),"-9.645326")</f>
        <v>-9.645326</v>
      </c>
      <c r="J1359" s="6" t="str">
        <f>IFERROR(__xludf.DUMMYFUNCTION("""COMPUTED_VALUE"""),"-35.736804")</f>
        <v>-35.736804</v>
      </c>
      <c r="K1359" s="5" t="str">
        <f>IFERROR(__xludf.DUMMYFUNCTION("""COMPUTED_VALUE"""),"RUA INDUSTRIAL LUIZ CALHEIROS JUNIOR")</f>
        <v>RUA INDUSTRIAL LUIZ CALHEIROS JUNIOR</v>
      </c>
      <c r="L1359" s="5" t="str">
        <f>IFERROR(__xludf.DUMMYFUNCTION("""COMPUTED_VALUE"""),"COLETORA")</f>
        <v>COLETORA</v>
      </c>
      <c r="M1359" s="5" t="str">
        <f>IFERROR(__xludf.DUMMYFUNCTION("""COMPUTED_VALUE"""),"FAROL")</f>
        <v>FAROL</v>
      </c>
      <c r="N1359" s="5" t="str">
        <f>IFERROR(__xludf.DUMMYFUNCTION("""COMPUTED_VALUE"""),"BAIRRO - CENTRO")</f>
        <v>BAIRRO - CENTRO</v>
      </c>
      <c r="O1359" s="5" t="str">
        <f>IFERROR(__xludf.DUMMYFUNCTION("""COMPUTED_VALUE"""),"APOS AS LOJAS AMERICANAS")</f>
        <v>APOS AS LOJAS AMERICANAS</v>
      </c>
      <c r="P1359" s="5" t="str">
        <f>IFERROR(__xludf.DUMMYFUNCTION("""COMPUTED_VALUE"""),"PRIORIDADE BAIXA")</f>
        <v>PRIORIDADE BAIXA</v>
      </c>
      <c r="Q1359" s="5"/>
      <c r="R1359" s="5" t="str">
        <f>IFERROR(__xludf.DUMMYFUNCTION("""COMPUTED_VALUE"""),"IMPLANTAR PLACA COM SUPORTE")</f>
        <v>IMPLANTAR PLACA COM SUPORTE</v>
      </c>
      <c r="S1359" s="5"/>
      <c r="T1359" s="5"/>
      <c r="U1359" s="5"/>
      <c r="V1359" s="9" t="str">
        <f>IFERROR(__xludf.DUMMYFUNCTION("""COMPUTED_VALUE"""),"https://drive.google.com/uc?id=17GSkmf7AV5UQmplTGFBYEwdVKG-H9fil")</f>
        <v>https://drive.google.com/uc?id=17GSkmf7AV5UQmplTGFBYEwdVKG-H9fil</v>
      </c>
      <c r="W1359" s="5" t="str">
        <f>IFERROR(__xludf.DUMMYFUNCTION("""COMPUTED_VALUE"""),"NÃO")</f>
        <v>NÃO</v>
      </c>
      <c r="X1359" s="5" t="str">
        <f>IFERROR(__xludf.DUMMYFUNCTION("""COMPUTED_VALUE"""),"NÃO SE APLICA")</f>
        <v>NÃO SE APLICA</v>
      </c>
    </row>
    <row r="1360" hidden="1">
      <c r="A1360" s="5">
        <f>IFERROR(__xludf.DUMMYFUNCTION("""COMPUTED_VALUE"""),3.0)</f>
        <v>3</v>
      </c>
      <c r="B1360" s="5" t="str">
        <f>IFERROR(__xludf.DUMMYFUNCTION("""COMPUTED_VALUE"""),"FA018")</f>
        <v>FA018</v>
      </c>
      <c r="C1360" s="5" t="str">
        <f>IFERROR(__xludf.DUMMYFUNCTION("""COMPUTED_VALUE"""),"NÃO POSSUI")</f>
        <v>NÃO POSSUI</v>
      </c>
      <c r="D1360" s="5" t="str">
        <f>IFERROR(__xludf.DUMMYFUNCTION("""COMPUTED_VALUE"""),"SEM PLACA")</f>
        <v>SEM PLACA</v>
      </c>
      <c r="E1360" s="5" t="str">
        <f>IFERROR(__xludf.DUMMYFUNCTION("""COMPUTED_VALUE"""),"SEM BAIA")</f>
        <v>SEM BAIA</v>
      </c>
      <c r="F1360" s="5" t="str">
        <f>IFERROR(__xludf.DUMMYFUNCTION("""COMPUTED_VALUE"""),"NÃO")</f>
        <v>NÃO</v>
      </c>
      <c r="G1360" s="5" t="str">
        <f>IFERROR(__xludf.DUMMYFUNCTION("""COMPUTED_VALUE"""),"NÃO")</f>
        <v>NÃO</v>
      </c>
      <c r="H1360" s="5" t="str">
        <f>IFERROR(__xludf.DUMMYFUNCTION("""COMPUTED_VALUE"""),"PAVIMENTADA")</f>
        <v>PAVIMENTADA</v>
      </c>
      <c r="I1360" s="6" t="str">
        <f>IFERROR(__xludf.DUMMYFUNCTION("""COMPUTED_VALUE"""),"-9.647039")</f>
        <v>-9.647039</v>
      </c>
      <c r="J1360" s="6" t="str">
        <f>IFERROR(__xludf.DUMMYFUNCTION("""COMPUTED_VALUE"""),"-35.740495")</f>
        <v>-35.740495</v>
      </c>
      <c r="K1360" s="5" t="str">
        <f>IFERROR(__xludf.DUMMYFUNCTION("""COMPUTED_VALUE"""),"RUA SANTA RITA")</f>
        <v>RUA SANTA RITA</v>
      </c>
      <c r="L1360" s="5" t="str">
        <f>IFERROR(__xludf.DUMMYFUNCTION("""COMPUTED_VALUE"""),"COLETORA")</f>
        <v>COLETORA</v>
      </c>
      <c r="M1360" s="5" t="str">
        <f>IFERROR(__xludf.DUMMYFUNCTION("""COMPUTED_VALUE"""),"FAROL")</f>
        <v>FAROL</v>
      </c>
      <c r="N1360" s="5" t="str">
        <f>IFERROR(__xludf.DUMMYFUNCTION("""COMPUTED_VALUE"""),"BAIRRO - CENTRO")</f>
        <v>BAIRRO - CENTRO</v>
      </c>
      <c r="O1360" s="5" t="str">
        <f>IFERROR(__xludf.DUMMYFUNCTION("""COMPUTED_VALUE"""),"ANTES DA LADEIRA ")</f>
        <v>ANTES DA LADEIRA </v>
      </c>
      <c r="P1360" s="5" t="str">
        <f>IFERROR(__xludf.DUMMYFUNCTION("""COMPUTED_VALUE"""),"PRIORIDADE BAIXA")</f>
        <v>PRIORIDADE BAIXA</v>
      </c>
      <c r="Q1360" s="5"/>
      <c r="R1360" s="5" t="str">
        <f>IFERROR(__xludf.DUMMYFUNCTION("""COMPUTED_VALUE"""),"IMPLANTAR PLACA COM SUPORTE")</f>
        <v>IMPLANTAR PLACA COM SUPORTE</v>
      </c>
      <c r="S1360" s="5"/>
      <c r="T1360" s="5"/>
      <c r="U1360" s="5"/>
      <c r="V1360" s="9" t="str">
        <f>IFERROR(__xludf.DUMMYFUNCTION("""COMPUTED_VALUE"""),"https://drive.google.com/uc?id=1La5l0EC-20HavpjoYZRacvRo48FkE3Y1")</f>
        <v>https://drive.google.com/uc?id=1La5l0EC-20HavpjoYZRacvRo48FkE3Y1</v>
      </c>
      <c r="W1360" s="5" t="str">
        <f>IFERROR(__xludf.DUMMYFUNCTION("""COMPUTED_VALUE"""),"NÃO")</f>
        <v>NÃO</v>
      </c>
      <c r="X1360" s="5" t="str">
        <f>IFERROR(__xludf.DUMMYFUNCTION("""COMPUTED_VALUE"""),"NÃO SE APLICA")</f>
        <v>NÃO SE APLICA</v>
      </c>
    </row>
    <row r="1361" hidden="1">
      <c r="A1361" s="5">
        <f>IFERROR(__xludf.DUMMYFUNCTION("""COMPUTED_VALUE"""),3.0)</f>
        <v>3</v>
      </c>
      <c r="B1361" s="5" t="str">
        <f>IFERROR(__xludf.DUMMYFUNCTION("""COMPUTED_VALUE"""),"FA019")</f>
        <v>FA019</v>
      </c>
      <c r="C1361" s="5" t="str">
        <f>IFERROR(__xludf.DUMMYFUNCTION("""COMPUTED_VALUE"""),"NÃO POSSUI")</f>
        <v>NÃO POSSUI</v>
      </c>
      <c r="D1361" s="5" t="str">
        <f>IFERROR(__xludf.DUMMYFUNCTION("""COMPUTED_VALUE"""),"SEM PLACA")</f>
        <v>SEM PLACA</v>
      </c>
      <c r="E1361" s="5" t="str">
        <f>IFERROR(__xludf.DUMMYFUNCTION("""COMPUTED_VALUE"""),"SEM BAIA")</f>
        <v>SEM BAIA</v>
      </c>
      <c r="F1361" s="5" t="str">
        <f>IFERROR(__xludf.DUMMYFUNCTION("""COMPUTED_VALUE"""),"NÃO")</f>
        <v>NÃO</v>
      </c>
      <c r="G1361" s="5" t="str">
        <f>IFERROR(__xludf.DUMMYFUNCTION("""COMPUTED_VALUE"""),"NÃO")</f>
        <v>NÃO</v>
      </c>
      <c r="H1361" s="5" t="str">
        <f>IFERROR(__xludf.DUMMYFUNCTION("""COMPUTED_VALUE"""),"PAVIMENTADA")</f>
        <v>PAVIMENTADA</v>
      </c>
      <c r="I1361" s="6" t="str">
        <f>IFERROR(__xludf.DUMMYFUNCTION("""COMPUTED_VALUE"""),"-9.648582")</f>
        <v>-9.648582</v>
      </c>
      <c r="J1361" s="6" t="str">
        <f>IFERROR(__xludf.DUMMYFUNCTION("""COMPUTED_VALUE"""),"-35.731521")</f>
        <v>-35.731521</v>
      </c>
      <c r="K1361" s="5" t="str">
        <f>IFERROR(__xludf.DUMMYFUNCTION("""COMPUTED_VALUE"""),"RUA JOAQUIM NABUCO")</f>
        <v>RUA JOAQUIM NABUCO</v>
      </c>
      <c r="L1361" s="5" t="str">
        <f>IFERROR(__xludf.DUMMYFUNCTION("""COMPUTED_VALUE"""),"COLETORA")</f>
        <v>COLETORA</v>
      </c>
      <c r="M1361" s="5" t="str">
        <f>IFERROR(__xludf.DUMMYFUNCTION("""COMPUTED_VALUE"""),"FAROL")</f>
        <v>FAROL</v>
      </c>
      <c r="N1361" s="5" t="str">
        <f>IFERROR(__xludf.DUMMYFUNCTION("""COMPUTED_VALUE"""),"CENTRO - BAIRRO")</f>
        <v>CENTRO - BAIRRO</v>
      </c>
      <c r="O1361" s="5"/>
      <c r="P1361" s="5" t="str">
        <f>IFERROR(__xludf.DUMMYFUNCTION("""COMPUTED_VALUE"""),"PRIORIDADE BAIXA")</f>
        <v>PRIORIDADE BAIXA</v>
      </c>
      <c r="Q1361" s="5"/>
      <c r="R1361" s="5" t="str">
        <f>IFERROR(__xludf.DUMMYFUNCTION("""COMPUTED_VALUE"""),"IMPLANTAR PLACA COM SUPORTE")</f>
        <v>IMPLANTAR PLACA COM SUPORTE</v>
      </c>
      <c r="S1361" s="5"/>
      <c r="T1361" s="5"/>
      <c r="U1361" s="5"/>
      <c r="V1361" s="9" t="str">
        <f>IFERROR(__xludf.DUMMYFUNCTION("""COMPUTED_VALUE"""),"https://drive.google.com/uc?id=1i7f80kNVPAtlGfUJXQBnCJDhkP6NzC7R")</f>
        <v>https://drive.google.com/uc?id=1i7f80kNVPAtlGfUJXQBnCJDhkP6NzC7R</v>
      </c>
      <c r="W1361" s="5" t="str">
        <f>IFERROR(__xludf.DUMMYFUNCTION("""COMPUTED_VALUE"""),"NÃO")</f>
        <v>NÃO</v>
      </c>
      <c r="X1361" s="5" t="str">
        <f>IFERROR(__xludf.DUMMYFUNCTION("""COMPUTED_VALUE"""),"NÃO SE APLICA")</f>
        <v>NÃO SE APLICA</v>
      </c>
    </row>
    <row r="1362">
      <c r="A1362" s="5">
        <f>IFERROR(__xludf.DUMMYFUNCTION("""COMPUTED_VALUE"""),3.0)</f>
        <v>3</v>
      </c>
      <c r="B1362" s="5" t="str">
        <f>IFERROR(__xludf.DUMMYFUNCTION("""COMPUTED_VALUE"""),"FA020")</f>
        <v>FA020</v>
      </c>
      <c r="C1362" s="5" t="str">
        <f>IFERROR(__xludf.DUMMYFUNCTION("""COMPUTED_VALUE"""),"ABRIGO METÁLICO PEQUENO PORTE")</f>
        <v>ABRIGO METÁLICO PEQUENO PORTE</v>
      </c>
      <c r="D1362" s="5" t="str">
        <f>IFERROR(__xludf.DUMMYFUNCTION("""COMPUTED_VALUE"""),"COM SUPORTE")</f>
        <v>COM SUPORTE</v>
      </c>
      <c r="E1362" s="5" t="str">
        <f>IFERROR(__xludf.DUMMYFUNCTION("""COMPUTED_VALUE"""),"SEM BAIA")</f>
        <v>SEM BAIA</v>
      </c>
      <c r="F1362" s="5" t="str">
        <f>IFERROR(__xludf.DUMMYFUNCTION("""COMPUTED_VALUE"""),"NÃO")</f>
        <v>NÃO</v>
      </c>
      <c r="G1362" s="5" t="str">
        <f>IFERROR(__xludf.DUMMYFUNCTION("""COMPUTED_VALUE"""),"NÃO")</f>
        <v>NÃO</v>
      </c>
      <c r="H1362" s="5" t="str">
        <f>IFERROR(__xludf.DUMMYFUNCTION("""COMPUTED_VALUE"""),"PAVIMENTADA")</f>
        <v>PAVIMENTADA</v>
      </c>
      <c r="I1362" s="6" t="str">
        <f>IFERROR(__xludf.DUMMYFUNCTION("""COMPUTED_VALUE"""),"-9.644284")</f>
        <v>-9.644284</v>
      </c>
      <c r="J1362" s="6" t="str">
        <f>IFERROR(__xludf.DUMMYFUNCTION("""COMPUTED_VALUE"""),"-35.734489")</f>
        <v>-35.734489</v>
      </c>
      <c r="K1362" s="5" t="str">
        <f>IFERROR(__xludf.DUMMYFUNCTION("""COMPUTED_VALUE"""),"AV. FERNANDES LIMA")</f>
        <v>AV. FERNANDES LIMA</v>
      </c>
      <c r="L1362" s="5" t="str">
        <f>IFERROR(__xludf.DUMMYFUNCTION("""COMPUTED_VALUE"""),"ARTERIAL ")</f>
        <v>ARTERIAL </v>
      </c>
      <c r="M1362" s="5" t="str">
        <f>IFERROR(__xludf.DUMMYFUNCTION("""COMPUTED_VALUE"""),"FAROL")</f>
        <v>FAROL</v>
      </c>
      <c r="N1362" s="5" t="str">
        <f>IFERROR(__xludf.DUMMYFUNCTION("""COMPUTED_VALUE"""),"CENTRO - BAIRRO")</f>
        <v>CENTRO - BAIRRO</v>
      </c>
      <c r="O1362" s="5" t="str">
        <f>IFERROR(__xludf.DUMMYFUNCTION("""COMPUTED_VALUE"""),"EM FRENTE A SUPER PIZZA")</f>
        <v>EM FRENTE A SUPER PIZZA</v>
      </c>
      <c r="P1362" s="5" t="str">
        <f>IFERROR(__xludf.DUMMYFUNCTION("""COMPUTED_VALUE"""),"PRIORIDADE BAIXA")</f>
        <v>PRIORIDADE BAIXA</v>
      </c>
      <c r="Q1362" s="5"/>
      <c r="R1362" s="5" t="str">
        <f>IFERROR(__xludf.DUMMYFUNCTION("""COMPUTED_VALUE"""),"REALOCAR ABRIGO")</f>
        <v>REALOCAR ABRIGO</v>
      </c>
      <c r="S1362" s="5"/>
      <c r="T1362" s="5"/>
      <c r="U1362" s="5"/>
      <c r="V1362" s="9" t="str">
        <f>IFERROR(__xludf.DUMMYFUNCTION("""COMPUTED_VALUE"""),"https://drive.google.com/uc?id=1tnm_QpIfrq7T2x75NenMDRwumJc_23vc")</f>
        <v>https://drive.google.com/uc?id=1tnm_QpIfrq7T2x75NenMDRwumJc_23vc</v>
      </c>
      <c r="W1362" s="5" t="str">
        <f>IFERROR(__xludf.DUMMYFUNCTION("""COMPUTED_VALUE"""),"NÃO")</f>
        <v>NÃO</v>
      </c>
      <c r="X1362" s="5" t="str">
        <f>IFERROR(__xludf.DUMMYFUNCTION("""COMPUTED_VALUE"""),"NÃO")</f>
        <v>NÃO</v>
      </c>
    </row>
    <row r="1363">
      <c r="A1363" s="5">
        <f>IFERROR(__xludf.DUMMYFUNCTION("""COMPUTED_VALUE"""),3.0)</f>
        <v>3</v>
      </c>
      <c r="B1363" s="5" t="str">
        <f>IFERROR(__xludf.DUMMYFUNCTION("""COMPUTED_VALUE"""),"FA021")</f>
        <v>FA021</v>
      </c>
      <c r="C1363" s="5" t="str">
        <f>IFERROR(__xludf.DUMMYFUNCTION("""COMPUTED_VALUE"""),"ABRIGO METÁLICO PEQUENO PORTE")</f>
        <v>ABRIGO METÁLICO PEQUENO PORTE</v>
      </c>
      <c r="D1363" s="5" t="str">
        <f>IFERROR(__xludf.DUMMYFUNCTION("""COMPUTED_VALUE"""),"COM SUPORTE")</f>
        <v>COM SUPORTE</v>
      </c>
      <c r="E1363" s="5" t="str">
        <f>IFERROR(__xludf.DUMMYFUNCTION("""COMPUTED_VALUE"""),"SEM BAIA")</f>
        <v>SEM BAIA</v>
      </c>
      <c r="F1363" s="5" t="str">
        <f>IFERROR(__xludf.DUMMYFUNCTION("""COMPUTED_VALUE"""),"NÃO")</f>
        <v>NÃO</v>
      </c>
      <c r="G1363" s="5" t="str">
        <f>IFERROR(__xludf.DUMMYFUNCTION("""COMPUTED_VALUE"""),"NÃO")</f>
        <v>NÃO</v>
      </c>
      <c r="H1363" s="5" t="str">
        <f>IFERROR(__xludf.DUMMYFUNCTION("""COMPUTED_VALUE"""),"PAVIMENTADA")</f>
        <v>PAVIMENTADA</v>
      </c>
      <c r="I1363" s="6" t="str">
        <f>IFERROR(__xludf.DUMMYFUNCTION("""COMPUTED_VALUE"""),"-9.644285")</f>
        <v>-9.644285</v>
      </c>
      <c r="J1363" s="6" t="str">
        <f>IFERROR(__xludf.DUMMYFUNCTION("""COMPUTED_VALUE"""),"-35.734490")</f>
        <v>-35.734490</v>
      </c>
      <c r="K1363" s="5" t="str">
        <f>IFERROR(__xludf.DUMMYFUNCTION("""COMPUTED_VALUE"""),"AV. FERNANDES LIMA")</f>
        <v>AV. FERNANDES LIMA</v>
      </c>
      <c r="L1363" s="5" t="str">
        <f>IFERROR(__xludf.DUMMYFUNCTION("""COMPUTED_VALUE"""),"ARTERIAL ")</f>
        <v>ARTERIAL </v>
      </c>
      <c r="M1363" s="5" t="str">
        <f>IFERROR(__xludf.DUMMYFUNCTION("""COMPUTED_VALUE"""),"FAROL")</f>
        <v>FAROL</v>
      </c>
      <c r="N1363" s="5" t="str">
        <f>IFERROR(__xludf.DUMMYFUNCTION("""COMPUTED_VALUE"""),"CENTRO - BAIRRO")</f>
        <v>CENTRO - BAIRRO</v>
      </c>
      <c r="O1363" s="5" t="str">
        <f>IFERROR(__xludf.DUMMYFUNCTION("""COMPUTED_VALUE"""),"EM FRENTE A SUPER PIZZA")</f>
        <v>EM FRENTE A SUPER PIZZA</v>
      </c>
      <c r="P1363" s="5" t="str">
        <f>IFERROR(__xludf.DUMMYFUNCTION("""COMPUTED_VALUE"""),"PRIORIDADE BAIXA")</f>
        <v>PRIORIDADE BAIXA</v>
      </c>
      <c r="Q1363" s="5"/>
      <c r="R1363" s="5" t="str">
        <f>IFERROR(__xludf.DUMMYFUNCTION("""COMPUTED_VALUE"""),"REALOCAR ABRIGO")</f>
        <v>REALOCAR ABRIGO</v>
      </c>
      <c r="S1363" s="5"/>
      <c r="T1363" s="5"/>
      <c r="U1363" s="5"/>
      <c r="V1363" s="9" t="str">
        <f>IFERROR(__xludf.DUMMYFUNCTION("""COMPUTED_VALUE"""),"https://drive.google.com/uc?id=1tnm_QpIfrq7T2x75NenMDRwumJc_23vc")</f>
        <v>https://drive.google.com/uc?id=1tnm_QpIfrq7T2x75NenMDRwumJc_23vc</v>
      </c>
      <c r="W1363" s="5" t="str">
        <f>IFERROR(__xludf.DUMMYFUNCTION("""COMPUTED_VALUE"""),"SIM")</f>
        <v>SIM</v>
      </c>
      <c r="X1363" s="5" t="str">
        <f>IFERROR(__xludf.DUMMYFUNCTION("""COMPUTED_VALUE"""),"NÃO")</f>
        <v>NÃO</v>
      </c>
    </row>
    <row r="1364">
      <c r="A1364" s="5">
        <f>IFERROR(__xludf.DUMMYFUNCTION("""COMPUTED_VALUE"""),3.0)</f>
        <v>3</v>
      </c>
      <c r="B1364" s="5" t="str">
        <f>IFERROR(__xludf.DUMMYFUNCTION("""COMPUTED_VALUE"""),"FA022")</f>
        <v>FA022</v>
      </c>
      <c r="C1364" s="5" t="str">
        <f>IFERROR(__xludf.DUMMYFUNCTION("""COMPUTED_VALUE"""),"ABRIGO METÁLICO PEQUENO PORTE")</f>
        <v>ABRIGO METÁLICO PEQUENO PORTE</v>
      </c>
      <c r="D1364" s="5" t="str">
        <f>IFERROR(__xludf.DUMMYFUNCTION("""COMPUTED_VALUE"""),"COM SUPORTE")</f>
        <v>COM SUPORTE</v>
      </c>
      <c r="E1364" s="5" t="str">
        <f>IFERROR(__xludf.DUMMYFUNCTION("""COMPUTED_VALUE"""),"SEM BAIA")</f>
        <v>SEM BAIA</v>
      </c>
      <c r="F1364" s="5" t="str">
        <f>IFERROR(__xludf.DUMMYFUNCTION("""COMPUTED_VALUE"""),"NÃO")</f>
        <v>NÃO</v>
      </c>
      <c r="G1364" s="5" t="str">
        <f>IFERROR(__xludf.DUMMYFUNCTION("""COMPUTED_VALUE"""),"NÃO")</f>
        <v>NÃO</v>
      </c>
      <c r="H1364" s="5" t="str">
        <f>IFERROR(__xludf.DUMMYFUNCTION("""COMPUTED_VALUE"""),"PAVIMENTADA")</f>
        <v>PAVIMENTADA</v>
      </c>
      <c r="I1364" s="6" t="str">
        <f>IFERROR(__xludf.DUMMYFUNCTION("""COMPUTED_VALUE"""),"-9.649347")</f>
        <v>-9.649347</v>
      </c>
      <c r="J1364" s="6" t="str">
        <f>IFERROR(__xludf.DUMMYFUNCTION("""COMPUTED_VALUE"""),"-35.732106")</f>
        <v>-35.732106</v>
      </c>
      <c r="K1364" s="5" t="str">
        <f>IFERROR(__xludf.DUMMYFUNCTION("""COMPUTED_VALUE"""),"AV. GOV AFRÂNIO LAGES")</f>
        <v>AV. GOV AFRÂNIO LAGES</v>
      </c>
      <c r="L1364" s="5" t="str">
        <f>IFERROR(__xludf.DUMMYFUNCTION("""COMPUTED_VALUE"""),"ARTERIAL ")</f>
        <v>ARTERIAL </v>
      </c>
      <c r="M1364" s="5" t="str">
        <f>IFERROR(__xludf.DUMMYFUNCTION("""COMPUTED_VALUE"""),"FAROL")</f>
        <v>FAROL</v>
      </c>
      <c r="N1364" s="5" t="str">
        <f>IFERROR(__xludf.DUMMYFUNCTION("""COMPUTED_VALUE"""),"CENTRO - BAIRRO")</f>
        <v>CENTRO - BAIRRO</v>
      </c>
      <c r="O1364" s="5" t="str">
        <f>IFERROR(__xludf.DUMMYFUNCTION("""COMPUTED_VALUE"""),"EM FRENTE A IGREJA AMOR DE DEUS")</f>
        <v>EM FRENTE A IGREJA AMOR DE DEUS</v>
      </c>
      <c r="P1364" s="5" t="str">
        <f>IFERROR(__xludf.DUMMYFUNCTION("""COMPUTED_VALUE"""),"PRIORIDADE BAIXA")</f>
        <v>PRIORIDADE BAIXA</v>
      </c>
      <c r="Q1364" s="5"/>
      <c r="R1364" s="5" t="str">
        <f>IFERROR(__xludf.DUMMYFUNCTION("""COMPUTED_VALUE"""),"NENHUMA DAS OPÇÕES")</f>
        <v>NENHUMA DAS OPÇÕES</v>
      </c>
      <c r="S1364" s="5"/>
      <c r="T1364" s="5"/>
      <c r="U1364" s="5"/>
      <c r="V1364" s="9" t="str">
        <f>IFERROR(__xludf.DUMMYFUNCTION("""COMPUTED_VALUE"""),"https://drive.google.com/uc?id=1TE6UEsjHmYR5gUYhq0ijGechbFjSCME6")</f>
        <v>https://drive.google.com/uc?id=1TE6UEsjHmYR5gUYhq0ijGechbFjSCME6</v>
      </c>
      <c r="W1364" s="5" t="str">
        <f>IFERROR(__xludf.DUMMYFUNCTION("""COMPUTED_VALUE"""),"NÃO")</f>
        <v>NÃO</v>
      </c>
      <c r="X1364" s="5" t="str">
        <f>IFERROR(__xludf.DUMMYFUNCTION("""COMPUTED_VALUE"""),"SIM")</f>
        <v>SIM</v>
      </c>
    </row>
    <row r="1365">
      <c r="A1365" s="5">
        <f>IFERROR(__xludf.DUMMYFUNCTION("""COMPUTED_VALUE"""),3.0)</f>
        <v>3</v>
      </c>
      <c r="B1365" s="5" t="str">
        <f>IFERROR(__xludf.DUMMYFUNCTION("""COMPUTED_VALUE"""),"FA023")</f>
        <v>FA023</v>
      </c>
      <c r="C1365" s="5" t="str">
        <f>IFERROR(__xludf.DUMMYFUNCTION("""COMPUTED_VALUE"""),"ABRIGO METÁLICO PEQUENO PORTE")</f>
        <v>ABRIGO METÁLICO PEQUENO PORTE</v>
      </c>
      <c r="D1365" s="5" t="str">
        <f>IFERROR(__xludf.DUMMYFUNCTION("""COMPUTED_VALUE"""),"COM SUPORTE")</f>
        <v>COM SUPORTE</v>
      </c>
      <c r="E1365" s="5" t="str">
        <f>IFERROR(__xludf.DUMMYFUNCTION("""COMPUTED_VALUE"""),"SEM BAIA")</f>
        <v>SEM BAIA</v>
      </c>
      <c r="F1365" s="5" t="str">
        <f>IFERROR(__xludf.DUMMYFUNCTION("""COMPUTED_VALUE"""),"NÃO")</f>
        <v>NÃO</v>
      </c>
      <c r="G1365" s="5" t="str">
        <f>IFERROR(__xludf.DUMMYFUNCTION("""COMPUTED_VALUE"""),"NÃO")</f>
        <v>NÃO</v>
      </c>
      <c r="H1365" s="5" t="str">
        <f>IFERROR(__xludf.DUMMYFUNCTION("""COMPUTED_VALUE"""),"PAVIMENTADA")</f>
        <v>PAVIMENTADA</v>
      </c>
      <c r="I1365" s="6" t="str">
        <f>IFERROR(__xludf.DUMMYFUNCTION("""COMPUTED_VALUE"""),"-9.647461")</f>
        <v>-9.647461</v>
      </c>
      <c r="J1365" s="6" t="str">
        <f>IFERROR(__xludf.DUMMYFUNCTION("""COMPUTED_VALUE"""),"-35.733829")</f>
        <v>-35.733829</v>
      </c>
      <c r="K1365" s="5" t="str">
        <f>IFERROR(__xludf.DUMMYFUNCTION("""COMPUTED_VALUE"""),"AV. FERNANDES LIMA")</f>
        <v>AV. FERNANDES LIMA</v>
      </c>
      <c r="L1365" s="5" t="str">
        <f>IFERROR(__xludf.DUMMYFUNCTION("""COMPUTED_VALUE"""),"ARTERIAL ")</f>
        <v>ARTERIAL </v>
      </c>
      <c r="M1365" s="5" t="str">
        <f>IFERROR(__xludf.DUMMYFUNCTION("""COMPUTED_VALUE"""),"FAROL")</f>
        <v>FAROL</v>
      </c>
      <c r="N1365" s="5" t="str">
        <f>IFERROR(__xludf.DUMMYFUNCTION("""COMPUTED_VALUE"""),"CENTRO - BAIRRO")</f>
        <v>CENTRO - BAIRRO</v>
      </c>
      <c r="O1365" s="5" t="str">
        <f>IFERROR(__xludf.DUMMYFUNCTION("""COMPUTED_VALUE"""),"EM FRENTE A IGREJA PAZ E VIVA")</f>
        <v>EM FRENTE A IGREJA PAZ E VIVA</v>
      </c>
      <c r="P1365" s="5" t="str">
        <f>IFERROR(__xludf.DUMMYFUNCTION("""COMPUTED_VALUE"""),"PRIORIDADE BAIXA")</f>
        <v>PRIORIDADE BAIXA</v>
      </c>
      <c r="Q1365" s="5"/>
      <c r="R1365" s="5" t="str">
        <f>IFERROR(__xludf.DUMMYFUNCTION("""COMPUTED_VALUE"""),"NENHUMA DAS OPÇÕES")</f>
        <v>NENHUMA DAS OPÇÕES</v>
      </c>
      <c r="S1365" s="5"/>
      <c r="T1365" s="5"/>
      <c r="U1365" s="5"/>
      <c r="V1365" s="9" t="str">
        <f>IFERROR(__xludf.DUMMYFUNCTION("""COMPUTED_VALUE"""),"https://drive.google.com/uc?id=11LzQpWI1Bh0vTwDroYhJffS75krfDlhf")</f>
        <v>https://drive.google.com/uc?id=11LzQpWI1Bh0vTwDroYhJffS75krfDlhf</v>
      </c>
      <c r="W1365" s="5" t="str">
        <f>IFERROR(__xludf.DUMMYFUNCTION("""COMPUTED_VALUE"""),"NÃO")</f>
        <v>NÃO</v>
      </c>
      <c r="X1365" s="5" t="str">
        <f>IFERROR(__xludf.DUMMYFUNCTION("""COMPUTED_VALUE"""),"SIM")</f>
        <v>SIM</v>
      </c>
    </row>
    <row r="1366" hidden="1">
      <c r="A1366" s="13">
        <f>IFERROR(__xludf.DUMMYFUNCTION("IMPORTRANGE(""https://docs.google.com/spreadsheets/d/1UVIacvoteqWSc0BsiO5oc6hQTTDI_D6exkrFOSzaJVM/edit#gid=156501808"", ""JARAGUÁ!A2:X16"")"),1.0)</f>
        <v>1</v>
      </c>
      <c r="B1366" s="5" t="str">
        <f>IFERROR(__xludf.DUMMYFUNCTION("""COMPUTED_VALUE"""),"JG001")</f>
        <v>JG001</v>
      </c>
      <c r="C1366" s="5" t="str">
        <f>IFERROR(__xludf.DUMMYFUNCTION("""COMPUTED_VALUE"""),"NÃO POSSUI")</f>
        <v>NÃO POSSUI</v>
      </c>
      <c r="D1366" s="5" t="str">
        <f>IFERROR(__xludf.DUMMYFUNCTION("""COMPUTED_VALUE"""),"FIXADA EM POSTE")</f>
        <v>FIXADA EM POSTE</v>
      </c>
      <c r="E1366" s="5" t="str">
        <f>IFERROR(__xludf.DUMMYFUNCTION("""COMPUTED_VALUE"""),"SEM BAIA")</f>
        <v>SEM BAIA</v>
      </c>
      <c r="F1366" s="5" t="str">
        <f>IFERROR(__xludf.DUMMYFUNCTION("""COMPUTED_VALUE"""),"NÃO")</f>
        <v>NÃO</v>
      </c>
      <c r="G1366" s="5" t="str">
        <f>IFERROR(__xludf.DUMMYFUNCTION("""COMPUTED_VALUE"""),"NÃO")</f>
        <v>NÃO</v>
      </c>
      <c r="H1366" s="5" t="str">
        <f>IFERROR(__xludf.DUMMYFUNCTION("""COMPUTED_VALUE"""),"PAVIMENTADA")</f>
        <v>PAVIMENTADA</v>
      </c>
      <c r="I1366" s="6" t="str">
        <f>IFERROR(__xludf.DUMMYFUNCTION("""COMPUTED_VALUE"""),"-9.667908")</f>
        <v>-9.667908</v>
      </c>
      <c r="J1366" s="6" t="str">
        <f>IFERROR(__xludf.DUMMYFUNCTION("""COMPUTED_VALUE"""),"-35.725175")</f>
        <v>-35.725175</v>
      </c>
      <c r="K1366" s="5" t="str">
        <f>IFERROR(__xludf.DUMMYFUNCTION("""COMPUTED_VALUE"""),"AV. COMENDADOR LEÃO 293")</f>
        <v>AV. COMENDADOR LEÃO 293</v>
      </c>
      <c r="L1366" s="5" t="str">
        <f>IFERROR(__xludf.DUMMYFUNCTION("""COMPUTED_VALUE"""),"COLETORA")</f>
        <v>COLETORA</v>
      </c>
      <c r="M1366" s="5" t="str">
        <f>IFERROR(__xludf.DUMMYFUNCTION("""COMPUTED_VALUE"""),"JARAGUÁ")</f>
        <v>JARAGUÁ</v>
      </c>
      <c r="N1366" s="5" t="str">
        <f>IFERROR(__xludf.DUMMYFUNCTION("""COMPUTED_VALUE"""),"CENTRO - BAIRRO")</f>
        <v>CENTRO - BAIRRO</v>
      </c>
      <c r="O1366" s="5" t="str">
        <f>IFERROR(__xludf.DUMMYFUNCTION("""COMPUTED_VALUE"""),"JARAGUÁ TÊNIS CLUBE")</f>
        <v>JARAGUÁ TÊNIS CLUBE</v>
      </c>
      <c r="P1366" s="5"/>
      <c r="Q1366" s="5"/>
      <c r="R1366" s="5" t="str">
        <f>IFERROR(__xludf.DUMMYFUNCTION("""COMPUTED_VALUE"""),"IMPLANTAR ABRIGO")</f>
        <v>IMPLANTAR ABRIGO</v>
      </c>
      <c r="S1366" s="5"/>
      <c r="T1366" s="5"/>
      <c r="U1366" s="5"/>
      <c r="V1366" s="9" t="str">
        <f>IFERROR(__xludf.DUMMYFUNCTION("""COMPUTED_VALUE"""),"https://drive.google.com/uc?id=1UMqQ3alwtNJX1nGbdfJeF3pUQ1KKyaDp")</f>
        <v>https://drive.google.com/uc?id=1UMqQ3alwtNJX1nGbdfJeF3pUQ1KKyaDp</v>
      </c>
      <c r="W1366" s="5" t="str">
        <f>IFERROR(__xludf.DUMMYFUNCTION("""COMPUTED_VALUE"""),"NÃO")</f>
        <v>NÃO</v>
      </c>
      <c r="X1366" s="5" t="str">
        <f>IFERROR(__xludf.DUMMYFUNCTION("""COMPUTED_VALUE"""),"NÃO SE APLICA")</f>
        <v>NÃO SE APLICA</v>
      </c>
    </row>
    <row r="1367" hidden="1">
      <c r="A1367" s="5">
        <f>IFERROR(__xludf.DUMMYFUNCTION("""COMPUTED_VALUE"""),1.0)</f>
        <v>1</v>
      </c>
      <c r="B1367" s="5" t="str">
        <f>IFERROR(__xludf.DUMMYFUNCTION("""COMPUTED_VALUE"""),"JG002")</f>
        <v>JG002</v>
      </c>
      <c r="C1367" s="5" t="str">
        <f>IFERROR(__xludf.DUMMYFUNCTION("""COMPUTED_VALUE"""),"NÃO POSSUI")</f>
        <v>NÃO POSSUI</v>
      </c>
      <c r="D1367" s="5" t="str">
        <f>IFERROR(__xludf.DUMMYFUNCTION("""COMPUTED_VALUE"""),"FIXADA EM POSTE")</f>
        <v>FIXADA EM POSTE</v>
      </c>
      <c r="E1367" s="5" t="str">
        <f>IFERROR(__xludf.DUMMYFUNCTION("""COMPUTED_VALUE"""),"SEM BAIA")</f>
        <v>SEM BAIA</v>
      </c>
      <c r="F1367" s="5" t="str">
        <f>IFERROR(__xludf.DUMMYFUNCTION("""COMPUTED_VALUE"""),"NÃO")</f>
        <v>NÃO</v>
      </c>
      <c r="G1367" s="5" t="str">
        <f>IFERROR(__xludf.DUMMYFUNCTION("""COMPUTED_VALUE"""),"NÃO")</f>
        <v>NÃO</v>
      </c>
      <c r="H1367" s="5" t="str">
        <f>IFERROR(__xludf.DUMMYFUNCTION("""COMPUTED_VALUE"""),"PAVIMENTADA")</f>
        <v>PAVIMENTADA</v>
      </c>
      <c r="I1367" s="6" t="str">
        <f>IFERROR(__xludf.DUMMYFUNCTION("""COMPUTED_VALUE"""),"-9.669950 ")</f>
        <v>-9.669950 </v>
      </c>
      <c r="J1367" s="6" t="str">
        <f>IFERROR(__xludf.DUMMYFUNCTION("""COMPUTED_VALUE"""),"-35.725093")</f>
        <v>-35.725093</v>
      </c>
      <c r="K1367" s="5" t="str">
        <f>IFERROR(__xludf.DUMMYFUNCTION("""COMPUTED_VALUE"""),"Rua Barão de Jaraguá")</f>
        <v>Rua Barão de Jaraguá</v>
      </c>
      <c r="L1367" s="5" t="str">
        <f>IFERROR(__xludf.DUMMYFUNCTION("""COMPUTED_VALUE"""),"LOCAL")</f>
        <v>LOCAL</v>
      </c>
      <c r="M1367" s="5" t="str">
        <f>IFERROR(__xludf.DUMMYFUNCTION("""COMPUTED_VALUE"""),"JARAGUÁ")</f>
        <v>JARAGUÁ</v>
      </c>
      <c r="N1367" s="5" t="str">
        <f>IFERROR(__xludf.DUMMYFUNCTION("""COMPUTED_VALUE"""),"BAIRRO - CENTRO")</f>
        <v>BAIRRO - CENTRO</v>
      </c>
      <c r="O1367" s="5" t="str">
        <f>IFERROR(__xludf.DUMMYFUNCTION("""COMPUTED_VALUE"""),"PRÓXIMO DA SECTI")</f>
        <v>PRÓXIMO DA SECTI</v>
      </c>
      <c r="P1367" s="5"/>
      <c r="Q1367" s="5"/>
      <c r="R1367" s="5" t="str">
        <f>IFERROR(__xludf.DUMMYFUNCTION("""COMPUTED_VALUE"""),"IMPLANTAR ABRIGO")</f>
        <v>IMPLANTAR ABRIGO</v>
      </c>
      <c r="S1367" s="5"/>
      <c r="T1367" s="5"/>
      <c r="U1367" s="5"/>
      <c r="V1367" s="9" t="str">
        <f>IFERROR(__xludf.DUMMYFUNCTION("""COMPUTED_VALUE"""),"https://drive.google.com/uc?id=1DjTnJnD2zuW2JB4R6sQ2Nzqz4Wrxviyn")</f>
        <v>https://drive.google.com/uc?id=1DjTnJnD2zuW2JB4R6sQ2Nzqz4Wrxviyn</v>
      </c>
      <c r="W1367" s="5"/>
      <c r="X1367" s="5"/>
    </row>
    <row r="1368" hidden="1">
      <c r="A1368" s="5">
        <f>IFERROR(__xludf.DUMMYFUNCTION("""COMPUTED_VALUE"""),1.0)</f>
        <v>1</v>
      </c>
      <c r="B1368" s="5" t="str">
        <f>IFERROR(__xludf.DUMMYFUNCTION("""COMPUTED_VALUE"""),"JG003")</f>
        <v>JG003</v>
      </c>
      <c r="C1368" s="5" t="str">
        <f>IFERROR(__xludf.DUMMYFUNCTION("""COMPUTED_VALUE"""),"NÃO POSSUI")</f>
        <v>NÃO POSSUI</v>
      </c>
      <c r="D1368" s="5" t="str">
        <f>IFERROR(__xludf.DUMMYFUNCTION("""COMPUTED_VALUE"""),"FIXADA EM POSTE")</f>
        <v>FIXADA EM POSTE</v>
      </c>
      <c r="E1368" s="5" t="str">
        <f>IFERROR(__xludf.DUMMYFUNCTION("""COMPUTED_VALUE"""),"SEM BAIA")</f>
        <v>SEM BAIA</v>
      </c>
      <c r="F1368" s="5" t="str">
        <f>IFERROR(__xludf.DUMMYFUNCTION("""COMPUTED_VALUE"""),"NÃO")</f>
        <v>NÃO</v>
      </c>
      <c r="G1368" s="5" t="str">
        <f>IFERROR(__xludf.DUMMYFUNCTION("""COMPUTED_VALUE"""),"NÃO")</f>
        <v>NÃO</v>
      </c>
      <c r="H1368" s="5" t="str">
        <f>IFERROR(__xludf.DUMMYFUNCTION("""COMPUTED_VALUE"""),"PAVIMENTADA")</f>
        <v>PAVIMENTADA</v>
      </c>
      <c r="I1368" s="6" t="str">
        <f>IFERROR(__xludf.DUMMYFUNCTION("""COMPUTED_VALUE"""),"-9.668896")</f>
        <v>-9.668896</v>
      </c>
      <c r="J1368" s="6" t="str">
        <f>IFERROR(__xludf.DUMMYFUNCTION("""COMPUTED_VALUE"""),"-35.726286")</f>
        <v>-35.726286</v>
      </c>
      <c r="K1368" s="5" t="str">
        <f>IFERROR(__xludf.DUMMYFUNCTION("""COMPUTED_VALUE"""),"Rua Campos Salles")</f>
        <v>Rua Campos Salles</v>
      </c>
      <c r="L1368" s="5" t="str">
        <f>IFERROR(__xludf.DUMMYFUNCTION("""COMPUTED_VALUE"""),"LOCAL")</f>
        <v>LOCAL</v>
      </c>
      <c r="M1368" s="5" t="str">
        <f>IFERROR(__xludf.DUMMYFUNCTION("""COMPUTED_VALUE"""),"JARAGUÁ")</f>
        <v>JARAGUÁ</v>
      </c>
      <c r="N1368" s="5" t="str">
        <f>IFERROR(__xludf.DUMMYFUNCTION("""COMPUTED_VALUE"""),"BAIRRO - CENTRO")</f>
        <v>BAIRRO - CENTRO</v>
      </c>
      <c r="O1368" s="5" t="str">
        <f>IFERROR(__xludf.DUMMYFUNCTION("""COMPUTED_VALUE"""),"PRAÇA RAIOL")</f>
        <v>PRAÇA RAIOL</v>
      </c>
      <c r="P1368" s="5"/>
      <c r="Q1368" s="5"/>
      <c r="R1368" s="5" t="str">
        <f>IFERROR(__xludf.DUMMYFUNCTION("""COMPUTED_VALUE"""),"IMPLANTAR ABRIGO")</f>
        <v>IMPLANTAR ABRIGO</v>
      </c>
      <c r="S1368" s="5"/>
      <c r="T1368" s="5"/>
      <c r="U1368" s="5"/>
      <c r="V1368" s="9" t="str">
        <f>IFERROR(__xludf.DUMMYFUNCTION("""COMPUTED_VALUE"""),"https://drive.google.com/uc?id=1g_E5QMjgyqpo9c9YjUrmB2Tm5TzgTbVY")</f>
        <v>https://drive.google.com/uc?id=1g_E5QMjgyqpo9c9YjUrmB2Tm5TzgTbVY</v>
      </c>
      <c r="W1368" s="5"/>
      <c r="X1368" s="5"/>
    </row>
    <row r="1369" hidden="1">
      <c r="A1369" s="5">
        <f>IFERROR(__xludf.DUMMYFUNCTION("""COMPUTED_VALUE"""),1.0)</f>
        <v>1</v>
      </c>
      <c r="B1369" s="5" t="str">
        <f>IFERROR(__xludf.DUMMYFUNCTION("""COMPUTED_VALUE"""),"JG004")</f>
        <v>JG004</v>
      </c>
      <c r="C1369" s="5" t="str">
        <f>IFERROR(__xludf.DUMMYFUNCTION("""COMPUTED_VALUE"""),"NÃO POSSUI")</f>
        <v>NÃO POSSUI</v>
      </c>
      <c r="D1369" s="5" t="str">
        <f>IFERROR(__xludf.DUMMYFUNCTION("""COMPUTED_VALUE"""),"FIXADA EM POSTE")</f>
        <v>FIXADA EM POSTE</v>
      </c>
      <c r="E1369" s="5" t="str">
        <f>IFERROR(__xludf.DUMMYFUNCTION("""COMPUTED_VALUE"""),"SEM BAIA")</f>
        <v>SEM BAIA</v>
      </c>
      <c r="F1369" s="5" t="str">
        <f>IFERROR(__xludf.DUMMYFUNCTION("""COMPUTED_VALUE"""),"NÃO")</f>
        <v>NÃO</v>
      </c>
      <c r="G1369" s="5" t="str">
        <f>IFERROR(__xludf.DUMMYFUNCTION("""COMPUTED_VALUE"""),"NÃO")</f>
        <v>NÃO</v>
      </c>
      <c r="H1369" s="5" t="str">
        <f>IFERROR(__xludf.DUMMYFUNCTION("""COMPUTED_VALUE"""),"PAVIMENTADA")</f>
        <v>PAVIMENTADA</v>
      </c>
      <c r="I1369" s="6" t="str">
        <f>IFERROR(__xludf.DUMMYFUNCTION("""COMPUTED_VALUE"""),"-9.668649")</f>
        <v>-9.668649</v>
      </c>
      <c r="J1369" s="6" t="str">
        <f>IFERROR(__xludf.DUMMYFUNCTION("""COMPUTED_VALUE"""),"-35.726960")</f>
        <v>-35.726960</v>
      </c>
      <c r="K1369" s="5" t="str">
        <f>IFERROR(__xludf.DUMMYFUNCTION("""COMPUTED_VALUE"""),"Av. Juca Nunes")</f>
        <v>Av. Juca Nunes</v>
      </c>
      <c r="L1369" s="5" t="str">
        <f>IFERROR(__xludf.DUMMYFUNCTION("""COMPUTED_VALUE"""),"LOCAL")</f>
        <v>LOCAL</v>
      </c>
      <c r="M1369" s="5" t="str">
        <f>IFERROR(__xludf.DUMMYFUNCTION("""COMPUTED_VALUE"""),"JARAGUÁ")</f>
        <v>JARAGUÁ</v>
      </c>
      <c r="N1369" s="5" t="str">
        <f>IFERROR(__xludf.DUMMYFUNCTION("""COMPUTED_VALUE"""),"CENTRO - BAIRRO")</f>
        <v>CENTRO - BAIRRO</v>
      </c>
      <c r="O1369" s="5" t="str">
        <f>IFERROR(__xludf.DUMMYFUNCTION("""COMPUTED_VALUE"""),"SCOLTT SERVIÇOS")</f>
        <v>SCOLTT SERVIÇOS</v>
      </c>
      <c r="P1369" s="5"/>
      <c r="Q1369" s="5"/>
      <c r="R1369" s="5" t="str">
        <f>IFERROR(__xludf.DUMMYFUNCTION("""COMPUTED_VALUE"""),"IMPLANTAR ABRIGO")</f>
        <v>IMPLANTAR ABRIGO</v>
      </c>
      <c r="S1369" s="5"/>
      <c r="T1369" s="5"/>
      <c r="U1369" s="5"/>
      <c r="V1369" s="9" t="str">
        <f>IFERROR(__xludf.DUMMYFUNCTION("""COMPUTED_VALUE"""),"https://drive.google.com/uc?id=1Nuojzye61oddihPfoSYT-fqIgW34jj9U")</f>
        <v>https://drive.google.com/uc?id=1Nuojzye61oddihPfoSYT-fqIgW34jj9U</v>
      </c>
      <c r="W1369" s="5"/>
      <c r="X1369" s="5"/>
    </row>
    <row r="1370">
      <c r="A1370" s="5">
        <f>IFERROR(__xludf.DUMMYFUNCTION("""COMPUTED_VALUE"""),1.0)</f>
        <v>1</v>
      </c>
      <c r="B1370" s="5" t="str">
        <f>IFERROR(__xludf.DUMMYFUNCTION("""COMPUTED_VALUE"""),"JG005")</f>
        <v>JG005</v>
      </c>
      <c r="C1370" s="5" t="str">
        <f>IFERROR(__xludf.DUMMYFUNCTION("""COMPUTED_VALUE"""),"ABRIGO CONCRETO")</f>
        <v>ABRIGO CONCRETO</v>
      </c>
      <c r="D1370" s="5" t="str">
        <f>IFERROR(__xludf.DUMMYFUNCTION("""COMPUTED_VALUE"""),"SEM PLACA")</f>
        <v>SEM PLACA</v>
      </c>
      <c r="E1370" s="5" t="str">
        <f>IFERROR(__xludf.DUMMYFUNCTION("""COMPUTED_VALUE"""),"SEM BAIA")</f>
        <v>SEM BAIA</v>
      </c>
      <c r="F1370" s="5" t="str">
        <f>IFERROR(__xludf.DUMMYFUNCTION("""COMPUTED_VALUE"""),"SIM")</f>
        <v>SIM</v>
      </c>
      <c r="G1370" s="5" t="str">
        <f>IFERROR(__xludf.DUMMYFUNCTION("""COMPUTED_VALUE"""),"SIM")</f>
        <v>SIM</v>
      </c>
      <c r="H1370" s="5" t="str">
        <f>IFERROR(__xludf.DUMMYFUNCTION("""COMPUTED_VALUE"""),"PAVIMENTADA")</f>
        <v>PAVIMENTADA</v>
      </c>
      <c r="I1370" s="6" t="str">
        <f>IFERROR(__xludf.DUMMYFUNCTION("""COMPUTED_VALUE"""),"-9.667068")</f>
        <v>-9.667068</v>
      </c>
      <c r="J1370" s="6" t="str">
        <f>IFERROR(__xludf.DUMMYFUNCTION("""COMPUTED_VALUE"""),"-35.728431")</f>
        <v>-35.728431</v>
      </c>
      <c r="K1370" s="5" t="str">
        <f>IFERROR(__xludf.DUMMYFUNCTION("""COMPUTED_VALUE"""),"AV. WALTER ANANIAS")</f>
        <v>AV. WALTER ANANIAS</v>
      </c>
      <c r="L1370" s="5" t="str">
        <f>IFERROR(__xludf.DUMMYFUNCTION("""COMPUTED_VALUE"""),"COLETORA")</f>
        <v>COLETORA</v>
      </c>
      <c r="M1370" s="5" t="str">
        <f>IFERROR(__xludf.DUMMYFUNCTION("""COMPUTED_VALUE"""),"JARAGUÁ")</f>
        <v>JARAGUÁ</v>
      </c>
      <c r="N1370" s="5" t="str">
        <f>IFERROR(__xludf.DUMMYFUNCTION("""COMPUTED_VALUE"""),"BAIRRO - CENTRO / CENTRO - BAIRRO")</f>
        <v>BAIRRO - CENTRO / CENTRO - BAIRRO</v>
      </c>
      <c r="O1370" s="5" t="str">
        <f>IFERROR(__xludf.DUMMYFUNCTION("""COMPUTED_VALUE"""),"EM FRENTE AO CONDOMINIO ROSA DOS VENTOS")</f>
        <v>EM FRENTE AO CONDOMINIO ROSA DOS VENTOS</v>
      </c>
      <c r="P1370" s="5"/>
      <c r="Q1370" s="5"/>
      <c r="R1370" s="5" t="str">
        <f>IFERROR(__xludf.DUMMYFUNCTION("""COMPUTED_VALUE"""),"REALOCAR ABRIGO")</f>
        <v>REALOCAR ABRIGO</v>
      </c>
      <c r="S1370" s="5"/>
      <c r="T1370" s="5"/>
      <c r="U1370" s="5"/>
      <c r="V1370" s="9" t="str">
        <f>IFERROR(__xludf.DUMMYFUNCTION("""COMPUTED_VALUE"""),"https://drive.google.com/uc?id=1F7u6d0TyyHE9EZTLCOT-7GgSliFSKYFx")</f>
        <v>https://drive.google.com/uc?id=1F7u6d0TyyHE9EZTLCOT-7GgSliFSKYFx</v>
      </c>
      <c r="W1370" s="5"/>
      <c r="X1370" s="5"/>
    </row>
    <row r="1371" hidden="1">
      <c r="A1371" s="5">
        <f>IFERROR(__xludf.DUMMYFUNCTION("""COMPUTED_VALUE"""),1.0)</f>
        <v>1</v>
      </c>
      <c r="B1371" s="5" t="str">
        <f>IFERROR(__xludf.DUMMYFUNCTION("""COMPUTED_VALUE"""),"JG006")</f>
        <v>JG006</v>
      </c>
      <c r="C1371" s="5" t="str">
        <f>IFERROR(__xludf.DUMMYFUNCTION("""COMPUTED_VALUE"""),"NÃO POSSUI")</f>
        <v>NÃO POSSUI</v>
      </c>
      <c r="D1371" s="5" t="str">
        <f>IFERROR(__xludf.DUMMYFUNCTION("""COMPUTED_VALUE"""),"FIXADA EM POSTE")</f>
        <v>FIXADA EM POSTE</v>
      </c>
      <c r="E1371" s="5" t="str">
        <f>IFERROR(__xludf.DUMMYFUNCTION("""COMPUTED_VALUE"""),"SEM BAIA")</f>
        <v>SEM BAIA</v>
      </c>
      <c r="F1371" s="5" t="str">
        <f>IFERROR(__xludf.DUMMYFUNCTION("""COMPUTED_VALUE"""),"NÃO")</f>
        <v>NÃO</v>
      </c>
      <c r="G1371" s="5" t="str">
        <f>IFERROR(__xludf.DUMMYFUNCTION("""COMPUTED_VALUE"""),"NÃO")</f>
        <v>NÃO</v>
      </c>
      <c r="H1371" s="5" t="str">
        <f>IFERROR(__xludf.DUMMYFUNCTION("""COMPUTED_VALUE"""),"PAVIMENTADA")</f>
        <v>PAVIMENTADA</v>
      </c>
      <c r="I1371" s="6" t="str">
        <f>IFERROR(__xludf.DUMMYFUNCTION("""COMPUTED_VALUE"""),"-9.668947")</f>
        <v>-9.668947</v>
      </c>
      <c r="J1371" s="6" t="str">
        <f>IFERROR(__xludf.DUMMYFUNCTION("""COMPUTED_VALUE"""),"-35.727580")</f>
        <v>-35.727580</v>
      </c>
      <c r="K1371" s="5" t="str">
        <f>IFERROR(__xludf.DUMMYFUNCTION("""COMPUTED_VALUE"""),"Rua do Uruguai")</f>
        <v>Rua do Uruguai</v>
      </c>
      <c r="L1371" s="5" t="str">
        <f>IFERROR(__xludf.DUMMYFUNCTION("""COMPUTED_VALUE"""),"COLETORA")</f>
        <v>COLETORA</v>
      </c>
      <c r="M1371" s="5" t="str">
        <f>IFERROR(__xludf.DUMMYFUNCTION("""COMPUTED_VALUE"""),"JARAGUÁ")</f>
        <v>JARAGUÁ</v>
      </c>
      <c r="N1371" s="5" t="str">
        <f>IFERROR(__xludf.DUMMYFUNCTION("""COMPUTED_VALUE"""),"BAIRRO - CENTRO")</f>
        <v>BAIRRO - CENTRO</v>
      </c>
      <c r="O1371" s="5" t="str">
        <f>IFERROR(__xludf.DUMMYFUNCTION("""COMPUTED_VALUE"""),"LADO OPOSTO A MERCEARIA SANTANA")</f>
        <v>LADO OPOSTO A MERCEARIA SANTANA</v>
      </c>
      <c r="P1371" s="5"/>
      <c r="Q1371" s="5"/>
      <c r="R1371" s="5" t="str">
        <f>IFERROR(__xludf.DUMMYFUNCTION("""COMPUTED_VALUE"""),"SUBSTITUIR PLACA")</f>
        <v>SUBSTITUIR PLACA</v>
      </c>
      <c r="S1371" s="5"/>
      <c r="T1371" s="5"/>
      <c r="U1371" s="5"/>
      <c r="V1371" s="9" t="str">
        <f>IFERROR(__xludf.DUMMYFUNCTION("""COMPUTED_VALUE"""),"https://drive.google.com/uc?id=1H6dEaS1nVCLEy_YD-Z-0A5Gw1g1PCqw1")</f>
        <v>https://drive.google.com/uc?id=1H6dEaS1nVCLEy_YD-Z-0A5Gw1g1PCqw1</v>
      </c>
      <c r="W1371" s="5"/>
      <c r="X1371" s="5"/>
    </row>
    <row r="1372" ht="18.0" hidden="1" customHeight="1">
      <c r="A1372" s="5">
        <f>IFERROR(__xludf.DUMMYFUNCTION("""COMPUTED_VALUE"""),1.0)</f>
        <v>1</v>
      </c>
      <c r="B1372" s="5" t="str">
        <f>IFERROR(__xludf.DUMMYFUNCTION("""COMPUTED_VALUE"""),"JG007")</f>
        <v>JG007</v>
      </c>
      <c r="C1372" s="5" t="str">
        <f>IFERROR(__xludf.DUMMYFUNCTION("""COMPUTED_VALUE"""),"NÃO POSSUI")</f>
        <v>NÃO POSSUI</v>
      </c>
      <c r="D1372" s="5" t="str">
        <f>IFERROR(__xludf.DUMMYFUNCTION("""COMPUTED_VALUE"""),"COM SUPORTE")</f>
        <v>COM SUPORTE</v>
      </c>
      <c r="E1372" s="5" t="str">
        <f>IFERROR(__xludf.DUMMYFUNCTION("""COMPUTED_VALUE"""),"SEM BAIA")</f>
        <v>SEM BAIA</v>
      </c>
      <c r="F1372" s="5" t="str">
        <f>IFERROR(__xludf.DUMMYFUNCTION("""COMPUTED_VALUE"""),"NÃO")</f>
        <v>NÃO</v>
      </c>
      <c r="G1372" s="5" t="str">
        <f>IFERROR(__xludf.DUMMYFUNCTION("""COMPUTED_VALUE"""),"NÃO")</f>
        <v>NÃO</v>
      </c>
      <c r="H1372" s="5" t="str">
        <f>IFERROR(__xludf.DUMMYFUNCTION("""COMPUTED_VALUE"""),"NÃO PAVIMENTADA")</f>
        <v>NÃO PAVIMENTADA</v>
      </c>
      <c r="I1372" s="6" t="str">
        <f>IFERROR(__xludf.DUMMYFUNCTION("""COMPUTED_VALUE"""),"-9.669091")</f>
        <v>-9.669091</v>
      </c>
      <c r="J1372" s="6" t="str">
        <f>IFERROR(__xludf.DUMMYFUNCTION("""COMPUTED_VALUE"""),"-35.726553")</f>
        <v>-35.726553</v>
      </c>
      <c r="K1372" s="5" t="str">
        <f>IFERROR(__xludf.DUMMYFUNCTION("""COMPUTED_VALUE"""),"Rua Des. Paulo da Rocha Mendes")</f>
        <v>Rua Des. Paulo da Rocha Mendes</v>
      </c>
      <c r="L1372" s="5" t="str">
        <f>IFERROR(__xludf.DUMMYFUNCTION("""COMPUTED_VALUE"""),"COLETORA")</f>
        <v>COLETORA</v>
      </c>
      <c r="M1372" s="5" t="str">
        <f>IFERROR(__xludf.DUMMYFUNCTION("""COMPUTED_VALUE"""),"JARAGUÁ")</f>
        <v>JARAGUÁ</v>
      </c>
      <c r="N1372" s="5" t="str">
        <f>IFERROR(__xludf.DUMMYFUNCTION("""COMPUTED_VALUE"""),"CENTRO - BAIRRO")</f>
        <v>CENTRO - BAIRRO</v>
      </c>
      <c r="O1372" s="5" t="str">
        <f>IFERROR(__xludf.DUMMYFUNCTION("""COMPUTED_VALUE"""),"PRAÇA RAIOL")</f>
        <v>PRAÇA RAIOL</v>
      </c>
      <c r="P1372" s="5"/>
      <c r="Q1372" s="5"/>
      <c r="R1372" s="5" t="str">
        <f>IFERROR(__xludf.DUMMYFUNCTION("""COMPUTED_VALUE"""),"IMPLANTAR ABRIGO")</f>
        <v>IMPLANTAR ABRIGO</v>
      </c>
      <c r="S1372" s="5"/>
      <c r="T1372" s="5"/>
      <c r="U1372" s="5"/>
      <c r="V1372" s="9" t="str">
        <f>IFERROR(__xludf.DUMMYFUNCTION("""COMPUTED_VALUE"""),"https://drive.google.com/uc?id=1BT46P2cEAGsUieuJXnvc5oGkl9sEH_n_")</f>
        <v>https://drive.google.com/uc?id=1BT46P2cEAGsUieuJXnvc5oGkl9sEH_n_</v>
      </c>
      <c r="W1372" s="5"/>
      <c r="X1372" s="5"/>
    </row>
    <row r="1373">
      <c r="A1373" s="5">
        <f>IFERROR(__xludf.DUMMYFUNCTION("""COMPUTED_VALUE"""),1.0)</f>
        <v>1</v>
      </c>
      <c r="B1373" s="5" t="str">
        <f>IFERROR(__xludf.DUMMYFUNCTION("""COMPUTED_VALUE"""),"JG008")</f>
        <v>JG008</v>
      </c>
      <c r="C1373" s="5" t="str">
        <f>IFERROR(__xludf.DUMMYFUNCTION("""COMPUTED_VALUE"""),"ABRIGO METÁLICO PEQUENO PORTE")</f>
        <v>ABRIGO METÁLICO PEQUENO PORTE</v>
      </c>
      <c r="D1373" s="5" t="str">
        <f>IFERROR(__xludf.DUMMYFUNCTION("""COMPUTED_VALUE"""),"SEM PLACA")</f>
        <v>SEM PLACA</v>
      </c>
      <c r="E1373" s="5" t="str">
        <f>IFERROR(__xludf.DUMMYFUNCTION("""COMPUTED_VALUE"""),"SEM BAIA")</f>
        <v>SEM BAIA</v>
      </c>
      <c r="F1373" s="5" t="str">
        <f>IFERROR(__xludf.DUMMYFUNCTION("""COMPUTED_VALUE"""),"NÃO")</f>
        <v>NÃO</v>
      </c>
      <c r="G1373" s="5" t="str">
        <f>IFERROR(__xludf.DUMMYFUNCTION("""COMPUTED_VALUE"""),"NÃO")</f>
        <v>NÃO</v>
      </c>
      <c r="H1373" s="5" t="str">
        <f>IFERROR(__xludf.DUMMYFUNCTION("""COMPUTED_VALUE"""),"PAVIMENTADA")</f>
        <v>PAVIMENTADA</v>
      </c>
      <c r="I1373" s="6" t="str">
        <f>IFERROR(__xludf.DUMMYFUNCTION("""COMPUTED_VALUE"""),"-9.667302")</f>
        <v>-9.667302</v>
      </c>
      <c r="J1373" s="6" t="str">
        <f>IFERROR(__xludf.DUMMYFUNCTION("""COMPUTED_VALUE"""),"-35.723383")</f>
        <v>-35.723383</v>
      </c>
      <c r="K1373" s="5" t="str">
        <f>IFERROR(__xludf.DUMMYFUNCTION("""COMPUTED_VALUE"""),"AV. WALTER ANANIAS")</f>
        <v>AV. WALTER ANANIAS</v>
      </c>
      <c r="L1373" s="5" t="str">
        <f>IFERROR(__xludf.DUMMYFUNCTION("""COMPUTED_VALUE"""),"COLETORA")</f>
        <v>COLETORA</v>
      </c>
      <c r="M1373" s="5" t="str">
        <f>IFERROR(__xludf.DUMMYFUNCTION("""COMPUTED_VALUE"""),"JARAGUÁ")</f>
        <v>JARAGUÁ</v>
      </c>
      <c r="N1373" s="5" t="str">
        <f>IFERROR(__xludf.DUMMYFUNCTION("""COMPUTED_VALUE"""),"CENTRO - BAIRRO")</f>
        <v>CENTRO - BAIRRO</v>
      </c>
      <c r="O1373" s="5" t="str">
        <f>IFERROR(__xludf.DUMMYFUNCTION("""COMPUTED_VALUE"""),"VIP CENTRO AUTOMOTIVA")</f>
        <v>VIP CENTRO AUTOMOTIVA</v>
      </c>
      <c r="P1373" s="5"/>
      <c r="Q1373" s="5"/>
      <c r="R1373" s="5" t="str">
        <f>IFERROR(__xludf.DUMMYFUNCTION("""COMPUTED_VALUE"""),"SUBSTITUIR ABRIGO")</f>
        <v>SUBSTITUIR ABRIGO</v>
      </c>
      <c r="S1373" s="5"/>
      <c r="T1373" s="5"/>
      <c r="U1373" s="5"/>
      <c r="V1373" s="9" t="str">
        <f>IFERROR(__xludf.DUMMYFUNCTION("""COMPUTED_VALUE"""),"https://drive.google.com/uc?id=1FlLZaxxge1Yb3VFuiwnBGAkPtym4UYon")</f>
        <v>https://drive.google.com/uc?id=1FlLZaxxge1Yb3VFuiwnBGAkPtym4UYon</v>
      </c>
      <c r="W1373" s="5" t="str">
        <f>IFERROR(__xludf.DUMMYFUNCTION("""COMPUTED_VALUE"""),"NÃO")</f>
        <v>NÃO</v>
      </c>
      <c r="X1373" s="5" t="str">
        <f>IFERROR(__xludf.DUMMYFUNCTION("""COMPUTED_VALUE"""),"NÃO")</f>
        <v>NÃO</v>
      </c>
    </row>
    <row r="1374" hidden="1">
      <c r="A1374" s="5">
        <f>IFERROR(__xludf.DUMMYFUNCTION("""COMPUTED_VALUE"""),1.0)</f>
        <v>1</v>
      </c>
      <c r="B1374" s="5" t="str">
        <f>IFERROR(__xludf.DUMMYFUNCTION("""COMPUTED_VALUE"""),"JG009")</f>
        <v>JG009</v>
      </c>
      <c r="C1374" s="5" t="str">
        <f>IFERROR(__xludf.DUMMYFUNCTION("""COMPUTED_VALUE"""),"NÃO POSSUI")</f>
        <v>NÃO POSSUI</v>
      </c>
      <c r="D1374" s="5" t="str">
        <f>IFERROR(__xludf.DUMMYFUNCTION("""COMPUTED_VALUE"""),"COM SUPORTE")</f>
        <v>COM SUPORTE</v>
      </c>
      <c r="E1374" s="5" t="str">
        <f>IFERROR(__xludf.DUMMYFUNCTION("""COMPUTED_VALUE"""),"SEM BAIA")</f>
        <v>SEM BAIA</v>
      </c>
      <c r="F1374" s="5" t="str">
        <f>IFERROR(__xludf.DUMMYFUNCTION("""COMPUTED_VALUE"""),"NÃO")</f>
        <v>NÃO</v>
      </c>
      <c r="G1374" s="5" t="str">
        <f>IFERROR(__xludf.DUMMYFUNCTION("""COMPUTED_VALUE"""),"NÃO")</f>
        <v>NÃO</v>
      </c>
      <c r="H1374" s="5" t="str">
        <f>IFERROR(__xludf.DUMMYFUNCTION("""COMPUTED_VALUE"""),"PAVIMENTADA")</f>
        <v>PAVIMENTADA</v>
      </c>
      <c r="I1374" s="6" t="str">
        <f>IFERROR(__xludf.DUMMYFUNCTION("""COMPUTED_VALUE"""),"-9.668396")</f>
        <v>-9.668396</v>
      </c>
      <c r="J1374" s="6" t="str">
        <f>IFERROR(__xludf.DUMMYFUNCTION("""COMPUTED_VALUE"""),"-35.720480")</f>
        <v>-35.720480</v>
      </c>
      <c r="K1374" s="5" t="str">
        <f>IFERROR(__xludf.DUMMYFUNCTION("""COMPUTED_VALUE"""),"AV. WALTER ANANIAS")</f>
        <v>AV. WALTER ANANIAS</v>
      </c>
      <c r="L1374" s="5" t="str">
        <f>IFERROR(__xludf.DUMMYFUNCTION("""COMPUTED_VALUE"""),"COLETORA")</f>
        <v>COLETORA</v>
      </c>
      <c r="M1374" s="5" t="str">
        <f>IFERROR(__xludf.DUMMYFUNCTION("""COMPUTED_VALUE"""),"JARAGUÁ")</f>
        <v>JARAGUÁ</v>
      </c>
      <c r="N1374" s="5" t="str">
        <f>IFERROR(__xludf.DUMMYFUNCTION("""COMPUTED_VALUE"""),"CENTRO - BAIRRO")</f>
        <v>CENTRO - BAIRRO</v>
      </c>
      <c r="O1374" s="5" t="str">
        <f>IFERROR(__xludf.DUMMYFUNCTION("""COMPUTED_VALUE"""),"UPA JARAGUÁ")</f>
        <v>UPA JARAGUÁ</v>
      </c>
      <c r="P1374" s="5"/>
      <c r="Q1374" s="5"/>
      <c r="R1374" s="5" t="str">
        <f>IFERROR(__xludf.DUMMYFUNCTION("""COMPUTED_VALUE"""),"IMPLANTAR ABRIGO")</f>
        <v>IMPLANTAR ABRIGO</v>
      </c>
      <c r="S1374" s="5"/>
      <c r="T1374" s="5"/>
      <c r="U1374" s="5"/>
      <c r="V1374" s="9" t="str">
        <f>IFERROR(__xludf.DUMMYFUNCTION("""COMPUTED_VALUE"""),"https://drive.google.com/uc?id=1X1Y5tnrTJRBAgWqhqXaCkCcDbYo6Nb7U")</f>
        <v>https://drive.google.com/uc?id=1X1Y5tnrTJRBAgWqhqXaCkCcDbYo6Nb7U</v>
      </c>
      <c r="W1374" s="5"/>
      <c r="X1374" s="5"/>
    </row>
    <row r="1375" hidden="1">
      <c r="A1375" s="5">
        <f>IFERROR(__xludf.DUMMYFUNCTION("""COMPUTED_VALUE"""),1.0)</f>
        <v>1</v>
      </c>
      <c r="B1375" s="5" t="str">
        <f>IFERROR(__xludf.DUMMYFUNCTION("""COMPUTED_VALUE"""),"JG010")</f>
        <v>JG010</v>
      </c>
      <c r="C1375" s="5" t="str">
        <f>IFERROR(__xludf.DUMMYFUNCTION("""COMPUTED_VALUE"""),"NÃO POSSUI")</f>
        <v>NÃO POSSUI</v>
      </c>
      <c r="D1375" s="5" t="str">
        <f>IFERROR(__xludf.DUMMYFUNCTION("""COMPUTED_VALUE"""),"COM SUPORTE")</f>
        <v>COM SUPORTE</v>
      </c>
      <c r="E1375" s="5" t="str">
        <f>IFERROR(__xludf.DUMMYFUNCTION("""COMPUTED_VALUE"""),"SEM BAIA")</f>
        <v>SEM BAIA</v>
      </c>
      <c r="F1375" s="5" t="str">
        <f>IFERROR(__xludf.DUMMYFUNCTION("""COMPUTED_VALUE"""),"NÃO")</f>
        <v>NÃO</v>
      </c>
      <c r="G1375" s="5" t="str">
        <f>IFERROR(__xludf.DUMMYFUNCTION("""COMPUTED_VALUE"""),"NÃO")</f>
        <v>NÃO</v>
      </c>
      <c r="H1375" s="5" t="str">
        <f>IFERROR(__xludf.DUMMYFUNCTION("""COMPUTED_VALUE"""),"PAVIMENTADA")</f>
        <v>PAVIMENTADA</v>
      </c>
      <c r="I1375" s="6" t="str">
        <f>IFERROR(__xludf.DUMMYFUNCTION("""COMPUTED_VALUE"""),"-9.671088")</f>
        <v>-9.671088</v>
      </c>
      <c r="J1375" s="6" t="str">
        <f>IFERROR(__xludf.DUMMYFUNCTION("""COMPUTED_VALUE"""),"-35.719905")</f>
        <v>-35.719905</v>
      </c>
      <c r="K1375" s="5" t="str">
        <f>IFERROR(__xludf.DUMMYFUNCTION("""COMPUTED_VALUE"""),"AV. WALTER ANANIAS")</f>
        <v>AV. WALTER ANANIAS</v>
      </c>
      <c r="L1375" s="5" t="str">
        <f>IFERROR(__xludf.DUMMYFUNCTION("""COMPUTED_VALUE"""),"COLETORA")</f>
        <v>COLETORA</v>
      </c>
      <c r="M1375" s="5" t="str">
        <f>IFERROR(__xludf.DUMMYFUNCTION("""COMPUTED_VALUE"""),"JARAGUÁ")</f>
        <v>JARAGUÁ</v>
      </c>
      <c r="N1375" s="5" t="str">
        <f>IFERROR(__xludf.DUMMYFUNCTION("""COMPUTED_VALUE"""),"CENTRO - BAIRRO")</f>
        <v>CENTRO - BAIRRO</v>
      </c>
      <c r="O1375" s="5" t="str">
        <f>IFERROR(__xludf.DUMMYFUNCTION("""COMPUTED_VALUE"""),"ESTAÇÃO DO JARAGUÁ")</f>
        <v>ESTAÇÃO DO JARAGUÁ</v>
      </c>
      <c r="P1375" s="5"/>
      <c r="Q1375" s="5"/>
      <c r="R1375" s="5" t="str">
        <f>IFERROR(__xludf.DUMMYFUNCTION("""COMPUTED_VALUE"""),"IMPLANTAR ABRIGO")</f>
        <v>IMPLANTAR ABRIGO</v>
      </c>
      <c r="S1375" s="5"/>
      <c r="T1375" s="5"/>
      <c r="U1375" s="5"/>
      <c r="V1375" s="9" t="str">
        <f>IFERROR(__xludf.DUMMYFUNCTION("""COMPUTED_VALUE"""),"https://drive.google.com/uc?id=1XEtcx9whHukFw5KjIahG4TDkJhiuSmUn")</f>
        <v>https://drive.google.com/uc?id=1XEtcx9whHukFw5KjIahG4TDkJhiuSmUn</v>
      </c>
      <c r="W1375" s="5" t="str">
        <f>IFERROR(__xludf.DUMMYFUNCTION("""COMPUTED_VALUE"""),"NÃO")</f>
        <v>NÃO</v>
      </c>
      <c r="X1375" s="5" t="str">
        <f>IFERROR(__xludf.DUMMYFUNCTION("""COMPUTED_VALUE"""),"NÃO SE APLICA")</f>
        <v>NÃO SE APLICA</v>
      </c>
    </row>
    <row r="1376">
      <c r="A1376" s="5">
        <f>IFERROR(__xludf.DUMMYFUNCTION("""COMPUTED_VALUE"""),1.0)</f>
        <v>1</v>
      </c>
      <c r="B1376" s="5" t="str">
        <f>IFERROR(__xludf.DUMMYFUNCTION("""COMPUTED_VALUE"""),"JG011")</f>
        <v>JG011</v>
      </c>
      <c r="C1376" s="5" t="str">
        <f>IFERROR(__xludf.DUMMYFUNCTION("""COMPUTED_VALUE"""),"ABRIGO METÁLICO PEQUENO PORTE")</f>
        <v>ABRIGO METÁLICO PEQUENO PORTE</v>
      </c>
      <c r="D1376" s="5" t="str">
        <f>IFERROR(__xludf.DUMMYFUNCTION("""COMPUTED_VALUE"""),"SEM PLACA")</f>
        <v>SEM PLACA</v>
      </c>
      <c r="E1376" s="5" t="str">
        <f>IFERROR(__xludf.DUMMYFUNCTION("""COMPUTED_VALUE"""),"BAIA CONSTRUÍDA")</f>
        <v>BAIA CONSTRUÍDA</v>
      </c>
      <c r="F1376" s="5" t="str">
        <f>IFERROR(__xludf.DUMMYFUNCTION("""COMPUTED_VALUE"""),"NÃO")</f>
        <v>NÃO</v>
      </c>
      <c r="G1376" s="5" t="str">
        <f>IFERROR(__xludf.DUMMYFUNCTION("""COMPUTED_VALUE"""),"NÃO")</f>
        <v>NÃO</v>
      </c>
      <c r="H1376" s="5" t="str">
        <f>IFERROR(__xludf.DUMMYFUNCTION("""COMPUTED_VALUE"""),"PAVIMENTADA")</f>
        <v>PAVIMENTADA</v>
      </c>
      <c r="I1376" s="6" t="str">
        <f>IFERROR(__xludf.DUMMYFUNCTION("""COMPUTED_VALUE"""),"-9.671578")</f>
        <v>-9.671578</v>
      </c>
      <c r="J1376" s="6" t="str">
        <f>IFERROR(__xludf.DUMMYFUNCTION("""COMPUTED_VALUE"""),"-35.726910")</f>
        <v>-35.726910</v>
      </c>
      <c r="K1376" s="5" t="str">
        <f>IFERROR(__xludf.DUMMYFUNCTION("""COMPUTED_VALUE"""),"Av. Industrial Cícero Toledo")</f>
        <v>Av. Industrial Cícero Toledo</v>
      </c>
      <c r="L1376" s="5" t="str">
        <f>IFERROR(__xludf.DUMMYFUNCTION("""COMPUTED_VALUE"""),"ARTERIAL ")</f>
        <v>ARTERIAL </v>
      </c>
      <c r="M1376" s="5" t="str">
        <f>IFERROR(__xludf.DUMMYFUNCTION("""COMPUTED_VALUE"""),"JARAGUÁ")</f>
        <v>JARAGUÁ</v>
      </c>
      <c r="N1376" s="5" t="str">
        <f>IFERROR(__xludf.DUMMYFUNCTION("""COMPUTED_VALUE"""),"CENTRO - BAIRRO")</f>
        <v>CENTRO - BAIRRO</v>
      </c>
      <c r="O1376" s="5" t="str">
        <f>IFERROR(__xludf.DUMMYFUNCTION("""COMPUTED_VALUE"""),"ESTACIONAMENTO DO JARAGUÁ")</f>
        <v>ESTACIONAMENTO DO JARAGUÁ</v>
      </c>
      <c r="P1376" s="5"/>
      <c r="Q1376" s="5"/>
      <c r="R1376" s="5" t="str">
        <f>IFERROR(__xludf.DUMMYFUNCTION("""COMPUTED_VALUE"""),"SUBSTITUIR ABRIGO")</f>
        <v>SUBSTITUIR ABRIGO</v>
      </c>
      <c r="S1376" s="5"/>
      <c r="T1376" s="5"/>
      <c r="U1376" s="5"/>
      <c r="V1376" s="9" t="str">
        <f>IFERROR(__xludf.DUMMYFUNCTION("""COMPUTED_VALUE"""),"https://drive.google.com/uc?id=1Pbo4TXE9jxn4ZsBt2MBEbmkv0mdSyR0B")</f>
        <v>https://drive.google.com/uc?id=1Pbo4TXE9jxn4ZsBt2MBEbmkv0mdSyR0B</v>
      </c>
      <c r="W1376" s="5"/>
      <c r="X1376" s="5"/>
    </row>
    <row r="1377">
      <c r="A1377" s="5">
        <f>IFERROR(__xludf.DUMMYFUNCTION("""COMPUTED_VALUE"""),1.0)</f>
        <v>1</v>
      </c>
      <c r="B1377" s="5" t="str">
        <f>IFERROR(__xludf.DUMMYFUNCTION("""COMPUTED_VALUE"""),"JG012")</f>
        <v>JG012</v>
      </c>
      <c r="C1377" s="5" t="str">
        <f>IFERROR(__xludf.DUMMYFUNCTION("""COMPUTED_VALUE"""),"ABRIGO EUCALIPTO PEQUENO PORTE")</f>
        <v>ABRIGO EUCALIPTO PEQUENO PORTE</v>
      </c>
      <c r="D1377" s="5" t="str">
        <f>IFERROR(__xludf.DUMMYFUNCTION("""COMPUTED_VALUE"""),"SEM PLACA")</f>
        <v>SEM PLACA</v>
      </c>
      <c r="E1377" s="5" t="str">
        <f>IFERROR(__xludf.DUMMYFUNCTION("""COMPUTED_VALUE"""),"BAIA CONSTRUÍDA")</f>
        <v>BAIA CONSTRUÍDA</v>
      </c>
      <c r="F1377" s="5" t="str">
        <f>IFERROR(__xludf.DUMMYFUNCTION("""COMPUTED_VALUE"""),"NÃO")</f>
        <v>NÃO</v>
      </c>
      <c r="G1377" s="5" t="str">
        <f>IFERROR(__xludf.DUMMYFUNCTION("""COMPUTED_VALUE"""),"NÃO")</f>
        <v>NÃO</v>
      </c>
      <c r="H1377" s="5" t="str">
        <f>IFERROR(__xludf.DUMMYFUNCTION("""COMPUTED_VALUE"""),"PAVIMENTADA")</f>
        <v>PAVIMENTADA</v>
      </c>
      <c r="I1377" s="6" t="str">
        <f>IFERROR(__xludf.DUMMYFUNCTION("""COMPUTED_VALUE"""),"-9.673257")</f>
        <v>-9.673257</v>
      </c>
      <c r="J1377" s="6" t="str">
        <f>IFERROR(__xludf.DUMMYFUNCTION("""COMPUTED_VALUE"""),"-35.722108")</f>
        <v>-35.722108</v>
      </c>
      <c r="K1377" s="5" t="str">
        <f>IFERROR(__xludf.DUMMYFUNCTION("""COMPUTED_VALUE"""),"Av. Industrial Cícero Toledo")</f>
        <v>Av. Industrial Cícero Toledo</v>
      </c>
      <c r="L1377" s="5" t="str">
        <f>IFERROR(__xludf.DUMMYFUNCTION("""COMPUTED_VALUE"""),"ARTERIAL ")</f>
        <v>ARTERIAL </v>
      </c>
      <c r="M1377" s="5" t="str">
        <f>IFERROR(__xludf.DUMMYFUNCTION("""COMPUTED_VALUE"""),"JARAGUÁ")</f>
        <v>JARAGUÁ</v>
      </c>
      <c r="N1377" s="5" t="str">
        <f>IFERROR(__xludf.DUMMYFUNCTION("""COMPUTED_VALUE"""),"CENTRO - BAIRRO")</f>
        <v>CENTRO - BAIRRO</v>
      </c>
      <c r="O1377" s="5" t="str">
        <f>IFERROR(__xludf.DUMMYFUNCTION("""COMPUTED_VALUE"""),"ESTACIONAMENTO DO JARAGUÁ")</f>
        <v>ESTACIONAMENTO DO JARAGUÁ</v>
      </c>
      <c r="P1377" s="5"/>
      <c r="Q1377" s="5"/>
      <c r="R1377" s="5" t="str">
        <f>IFERROR(__xludf.DUMMYFUNCTION("""COMPUTED_VALUE"""),"SUBSTITUIR ABRIGO")</f>
        <v>SUBSTITUIR ABRIGO</v>
      </c>
      <c r="S1377" s="5"/>
      <c r="T1377" s="5"/>
      <c r="U1377" s="5"/>
      <c r="V1377" s="9" t="str">
        <f>IFERROR(__xludf.DUMMYFUNCTION("""COMPUTED_VALUE"""),"https://drive.google.com/uc?id=1WK9LMGMq4OwlGu1EJjrjoq5wDzOeM5vs")</f>
        <v>https://drive.google.com/uc?id=1WK9LMGMq4OwlGu1EJjrjoq5wDzOeM5vs</v>
      </c>
      <c r="W1377" s="5" t="str">
        <f>IFERROR(__xludf.DUMMYFUNCTION("""COMPUTED_VALUE"""),"NÃO")</f>
        <v>NÃO</v>
      </c>
      <c r="X1377" s="5" t="str">
        <f>IFERROR(__xludf.DUMMYFUNCTION("""COMPUTED_VALUE"""),"NÃO")</f>
        <v>NÃO</v>
      </c>
    </row>
    <row r="1378">
      <c r="A1378" s="5">
        <f>IFERROR(__xludf.DUMMYFUNCTION("""COMPUTED_VALUE"""),1.0)</f>
        <v>1</v>
      </c>
      <c r="B1378" s="5" t="str">
        <f>IFERROR(__xludf.DUMMYFUNCTION("""COMPUTED_VALUE"""),"JG013")</f>
        <v>JG013</v>
      </c>
      <c r="C1378" s="5" t="str">
        <f>IFERROR(__xludf.DUMMYFUNCTION("""COMPUTED_VALUE"""),"ABRIGO EUCALIPTO GRANDE PORTE")</f>
        <v>ABRIGO EUCALIPTO GRANDE PORTE</v>
      </c>
      <c r="D1378" s="5" t="str">
        <f>IFERROR(__xludf.DUMMYFUNCTION("""COMPUTED_VALUE"""),"SEM PLACA")</f>
        <v>SEM PLACA</v>
      </c>
      <c r="E1378" s="5" t="str">
        <f>IFERROR(__xludf.DUMMYFUNCTION("""COMPUTED_VALUE"""),"SEM BAIA")</f>
        <v>SEM BAIA</v>
      </c>
      <c r="F1378" s="5" t="str">
        <f>IFERROR(__xludf.DUMMYFUNCTION("""COMPUTED_VALUE"""),"NÃO")</f>
        <v>NÃO</v>
      </c>
      <c r="G1378" s="5" t="str">
        <f>IFERROR(__xludf.DUMMYFUNCTION("""COMPUTED_VALUE"""),"NÃO")</f>
        <v>NÃO</v>
      </c>
      <c r="H1378" s="5" t="str">
        <f>IFERROR(__xludf.DUMMYFUNCTION("""COMPUTED_VALUE"""),"PAVIMENTADA")</f>
        <v>PAVIMENTADA</v>
      </c>
      <c r="I1378" s="6" t="str">
        <f>IFERROR(__xludf.DUMMYFUNCTION("""COMPUTED_VALUE"""),"-9.670097")</f>
        <v>-9.670097</v>
      </c>
      <c r="J1378" s="6" t="str">
        <f>IFERROR(__xludf.DUMMYFUNCTION("""COMPUTED_VALUE"""),"-35.728232")</f>
        <v>-35.728232</v>
      </c>
      <c r="K1378" s="5" t="str">
        <f>IFERROR(__xludf.DUMMYFUNCTION("""COMPUTED_VALUE"""),"Av. Industrial Cícero Toledo")</f>
        <v>Av. Industrial Cícero Toledo</v>
      </c>
      <c r="L1378" s="5" t="str">
        <f>IFERROR(__xludf.DUMMYFUNCTION("""COMPUTED_VALUE"""),"ARTERIAL ")</f>
        <v>ARTERIAL </v>
      </c>
      <c r="M1378" s="5" t="str">
        <f>IFERROR(__xludf.DUMMYFUNCTION("""COMPUTED_VALUE"""),"JARAGUÁ")</f>
        <v>JARAGUÁ</v>
      </c>
      <c r="N1378" s="5" t="str">
        <f>IFERROR(__xludf.DUMMYFUNCTION("""COMPUTED_VALUE"""),"BAIRRO - CENTRO")</f>
        <v>BAIRRO - CENTRO</v>
      </c>
      <c r="O1378" s="5" t="str">
        <f>IFERROR(__xludf.DUMMYFUNCTION("""COMPUTED_VALUE"""),"CENTRO POP I")</f>
        <v>CENTRO POP I</v>
      </c>
      <c r="P1378" s="5"/>
      <c r="Q1378" s="5"/>
      <c r="R1378" s="5" t="str">
        <f>IFERROR(__xludf.DUMMYFUNCTION("""COMPUTED_VALUE"""),"SUBSTITUIR ABRIGO")</f>
        <v>SUBSTITUIR ABRIGO</v>
      </c>
      <c r="S1378" s="5"/>
      <c r="T1378" s="5"/>
      <c r="U1378" s="5"/>
      <c r="V1378" s="9" t="str">
        <f>IFERROR(__xludf.DUMMYFUNCTION("""COMPUTED_VALUE"""),"https://drive.google.com/uc?id=17e2ZyodHlt6s7k_g9eplc79P7dksFp4I")</f>
        <v>https://drive.google.com/uc?id=17e2ZyodHlt6s7k_g9eplc79P7dksFp4I</v>
      </c>
      <c r="W1378" s="5" t="str">
        <f>IFERROR(__xludf.DUMMYFUNCTION("""COMPUTED_VALUE"""),"NÃO")</f>
        <v>NÃO</v>
      </c>
      <c r="X1378" s="5" t="str">
        <f>IFERROR(__xludf.DUMMYFUNCTION("""COMPUTED_VALUE"""),"SIM")</f>
        <v>SIM</v>
      </c>
    </row>
    <row r="1379" hidden="1">
      <c r="A1379" s="5">
        <f>IFERROR(__xludf.DUMMYFUNCTION("""COMPUTED_VALUE"""),1.0)</f>
        <v>1</v>
      </c>
      <c r="B1379" s="5" t="str">
        <f>IFERROR(__xludf.DUMMYFUNCTION("""COMPUTED_VALUE"""),"JG014")</f>
        <v>JG014</v>
      </c>
      <c r="C1379" s="5" t="str">
        <f>IFERROR(__xludf.DUMMYFUNCTION("""COMPUTED_VALUE"""),"NÃO POSSUI")</f>
        <v>NÃO POSSUI</v>
      </c>
      <c r="D1379" s="5" t="str">
        <f>IFERROR(__xludf.DUMMYFUNCTION("""COMPUTED_VALUE"""),"FIXADA EM POSTE")</f>
        <v>FIXADA EM POSTE</v>
      </c>
      <c r="E1379" s="5" t="str">
        <f>IFERROR(__xludf.DUMMYFUNCTION("""COMPUTED_VALUE"""),"SEM BAIA")</f>
        <v>SEM BAIA</v>
      </c>
      <c r="F1379" s="5" t="str">
        <f>IFERROR(__xludf.DUMMYFUNCTION("""COMPUTED_VALUE"""),"SIM")</f>
        <v>SIM</v>
      </c>
      <c r="G1379" s="5" t="str">
        <f>IFERROR(__xludf.DUMMYFUNCTION("""COMPUTED_VALUE"""),"NÃO")</f>
        <v>NÃO</v>
      </c>
      <c r="H1379" s="5" t="str">
        <f>IFERROR(__xludf.DUMMYFUNCTION("""COMPUTED_VALUE"""),"PAVIMENTADA")</f>
        <v>PAVIMENTADA</v>
      </c>
      <c r="I1379" s="6" t="str">
        <f>IFERROR(__xludf.DUMMYFUNCTION("""COMPUTED_VALUE"""),"-9.673800")</f>
        <v>-9.673800</v>
      </c>
      <c r="J1379" s="6" t="str">
        <f>IFERROR(__xludf.DUMMYFUNCTION("""COMPUTED_VALUE"""),"-35.719708")</f>
        <v>-35.719708</v>
      </c>
      <c r="K1379" s="5" t="str">
        <f>IFERROR(__xludf.DUMMYFUNCTION("""COMPUTED_VALUE"""),"RUA EPAMINONDAS GRACINDO")</f>
        <v>RUA EPAMINONDAS GRACINDO</v>
      </c>
      <c r="L1379" s="5" t="str">
        <f>IFERROR(__xludf.DUMMYFUNCTION("""COMPUTED_VALUE"""),"COLETORA")</f>
        <v>COLETORA</v>
      </c>
      <c r="M1379" s="5" t="str">
        <f>IFERROR(__xludf.DUMMYFUNCTION("""COMPUTED_VALUE"""),"JARAGUÁ")</f>
        <v>JARAGUÁ</v>
      </c>
      <c r="N1379" s="5" t="str">
        <f>IFERROR(__xludf.DUMMYFUNCTION("""COMPUTED_VALUE"""),"BAIRRO - CENTRO")</f>
        <v>BAIRRO - CENTRO</v>
      </c>
      <c r="O1379" s="5" t="str">
        <f>IFERROR(__xludf.DUMMYFUNCTION("""COMPUTED_VALUE"""),"POSTO PAJÚ -  SHELL")</f>
        <v>POSTO PAJÚ -  SHELL</v>
      </c>
      <c r="P1379" s="5"/>
      <c r="Q1379" s="5"/>
      <c r="R1379" s="5" t="str">
        <f>IFERROR(__xludf.DUMMYFUNCTION("""COMPUTED_VALUE"""),"IMPLANTAR ABRIGO")</f>
        <v>IMPLANTAR ABRIGO</v>
      </c>
      <c r="S1379" s="5"/>
      <c r="T1379" s="5"/>
      <c r="U1379" s="5"/>
      <c r="V1379" s="9" t="str">
        <f>IFERROR(__xludf.DUMMYFUNCTION("""COMPUTED_VALUE"""),"https://drive.google.com/uc?id=1CjkpUY0nGOTfiRs41BtB4fdqiQd7fdOY")</f>
        <v>https://drive.google.com/uc?id=1CjkpUY0nGOTfiRs41BtB4fdqiQd7fdOY</v>
      </c>
      <c r="W1379" s="5" t="str">
        <f>IFERROR(__xludf.DUMMYFUNCTION("""COMPUTED_VALUE"""),"NÃO")</f>
        <v>NÃO</v>
      </c>
      <c r="X1379" s="5" t="str">
        <f>IFERROR(__xludf.DUMMYFUNCTION("""COMPUTED_VALUE"""),"NÃO SE APLICA")</f>
        <v>NÃO SE APLICA</v>
      </c>
    </row>
    <row r="1380" hidden="1">
      <c r="A1380" s="5">
        <f>IFERROR(__xludf.DUMMYFUNCTION("""COMPUTED_VALUE"""),1.0)</f>
        <v>1</v>
      </c>
      <c r="B1380" s="5" t="str">
        <f>IFERROR(__xludf.DUMMYFUNCTION("""COMPUTED_VALUE"""),"JG015")</f>
        <v>JG015</v>
      </c>
      <c r="C1380" s="5" t="str">
        <f>IFERROR(__xludf.DUMMYFUNCTION("""COMPUTED_VALUE"""),"NÃO POSSUI")</f>
        <v>NÃO POSSUI</v>
      </c>
      <c r="D1380" s="5" t="str">
        <f>IFERROR(__xludf.DUMMYFUNCTION("""COMPUTED_VALUE"""),"FIXADA EM POSTE")</f>
        <v>FIXADA EM POSTE</v>
      </c>
      <c r="E1380" s="5" t="str">
        <f>IFERROR(__xludf.DUMMYFUNCTION("""COMPUTED_VALUE"""),"SEM BAIA")</f>
        <v>SEM BAIA</v>
      </c>
      <c r="F1380" s="5" t="str">
        <f>IFERROR(__xludf.DUMMYFUNCTION("""COMPUTED_VALUE"""),"NÃO")</f>
        <v>NÃO</v>
      </c>
      <c r="G1380" s="5" t="str">
        <f>IFERROR(__xludf.DUMMYFUNCTION("""COMPUTED_VALUE"""),"NÃO")</f>
        <v>NÃO</v>
      </c>
      <c r="H1380" s="5" t="str">
        <f>IFERROR(__xludf.DUMMYFUNCTION("""COMPUTED_VALUE"""),"PAVIMENTADA")</f>
        <v>PAVIMENTADA</v>
      </c>
      <c r="I1380" s="6" t="str">
        <f>IFERROR(__xludf.DUMMYFUNCTION("""COMPUTED_VALUE"""),"-9.671800")</f>
        <v>-9.671800</v>
      </c>
      <c r="J1380" s="6" t="str">
        <f>IFERROR(__xludf.DUMMYFUNCTION("""COMPUTED_VALUE"""),"-35.722105")</f>
        <v>-35.722105</v>
      </c>
      <c r="K1380" s="5" t="str">
        <f>IFERROR(__xludf.DUMMYFUNCTION("""COMPUTED_VALUE"""),"RUA BARÃO DE JARAGUÁ")</f>
        <v>RUA BARÃO DE JARAGUÁ</v>
      </c>
      <c r="L1380" s="5" t="str">
        <f>IFERROR(__xludf.DUMMYFUNCTION("""COMPUTED_VALUE"""),"LOCAL")</f>
        <v>LOCAL</v>
      </c>
      <c r="M1380" s="5" t="str">
        <f>IFERROR(__xludf.DUMMYFUNCTION("""COMPUTED_VALUE"""),"JARAGUÁ")</f>
        <v>JARAGUÁ</v>
      </c>
      <c r="N1380" s="5" t="str">
        <f>IFERROR(__xludf.DUMMYFUNCTION("""COMPUTED_VALUE"""),"BAIRRO - CENTRO")</f>
        <v>BAIRRO - CENTRO</v>
      </c>
      <c r="O1380" s="5" t="str">
        <f>IFERROR(__xludf.DUMMYFUNCTION("""COMPUTED_VALUE"""),"PRAÇA DOIS LEÕES")</f>
        <v>PRAÇA DOIS LEÕES</v>
      </c>
      <c r="P1380" s="5"/>
      <c r="Q1380" s="5"/>
      <c r="R1380" s="5" t="str">
        <f>IFERROR(__xludf.DUMMYFUNCTION("""COMPUTED_VALUE"""),"IMPLANTAR ABRIGO")</f>
        <v>IMPLANTAR ABRIGO</v>
      </c>
      <c r="S1380" s="5"/>
      <c r="T1380" s="5"/>
      <c r="U1380" s="5"/>
      <c r="V1380" s="9" t="str">
        <f>IFERROR(__xludf.DUMMYFUNCTION("""COMPUTED_VALUE"""),"https://drive.google.com/uc?id=144UjICt7XZaVc5lX_jjtpj0Ai5VoGqAu")</f>
        <v>https://drive.google.com/uc?id=144UjICt7XZaVc5lX_jjtpj0Ai5VoGqAu</v>
      </c>
      <c r="W1380" s="5" t="str">
        <f>IFERROR(__xludf.DUMMYFUNCTION("""COMPUTED_VALUE"""),"NÃO")</f>
        <v>NÃO</v>
      </c>
      <c r="X1380" s="5" t="str">
        <f>IFERROR(__xludf.DUMMYFUNCTION("""COMPUTED_VALUE"""),"NÃO SE APLICA")</f>
        <v>NÃO SE APLICA</v>
      </c>
    </row>
    <row r="1381">
      <c r="A1381" s="13">
        <f>IFERROR(__xludf.DUMMYFUNCTION("IMPORTRANGE(""https://docs.google.com/spreadsheets/d/1UVIacvoteqWSc0BsiO5oc6hQTTDI_D6exkrFOSzaJVM/edit#gid=1037564128"", ""JATIÚCA!A2:X31"")"),1.0)</f>
        <v>1</v>
      </c>
      <c r="B1381" s="5" t="str">
        <f>IFERROR(__xludf.DUMMYFUNCTION("""COMPUTED_VALUE"""),"JT01")</f>
        <v>JT01</v>
      </c>
      <c r="C1381" s="5" t="str">
        <f>IFERROR(__xludf.DUMMYFUNCTION("""COMPUTED_VALUE"""),"ABRIGO METÁLICO PEQUENO PORTE")</f>
        <v>ABRIGO METÁLICO PEQUENO PORTE</v>
      </c>
      <c r="D1381" s="5" t="str">
        <f>IFERROR(__xludf.DUMMYFUNCTION("""COMPUTED_VALUE"""),"SEM PLACA")</f>
        <v>SEM PLACA</v>
      </c>
      <c r="E1381" s="5" t="str">
        <f>IFERROR(__xludf.DUMMYFUNCTION("""COMPUTED_VALUE"""),"SEM BAIA")</f>
        <v>SEM BAIA</v>
      </c>
      <c r="F1381" s="5" t="str">
        <f>IFERROR(__xludf.DUMMYFUNCTION("""COMPUTED_VALUE"""),"NÃO")</f>
        <v>NÃO</v>
      </c>
      <c r="G1381" s="5" t="str">
        <f>IFERROR(__xludf.DUMMYFUNCTION("""COMPUTED_VALUE"""),"NÃO")</f>
        <v>NÃO</v>
      </c>
      <c r="H1381" s="5" t="str">
        <f>IFERROR(__xludf.DUMMYFUNCTION("""COMPUTED_VALUE"""),"PAVIMENTADA")</f>
        <v>PAVIMENTADA</v>
      </c>
      <c r="I1381" s="6" t="str">
        <f>IFERROR(__xludf.DUMMYFUNCTION("""COMPUTED_VALUE"""),"-9.641518")</f>
        <v>-9.641518</v>
      </c>
      <c r="J1381" s="6" t="str">
        <f>IFERROR(__xludf.DUMMYFUNCTION("""COMPUTED_VALUE"""),"-35.700293
")</f>
        <v>-35.700293
</v>
      </c>
      <c r="K1381" s="5" t="str">
        <f>IFERROR(__xludf.DUMMYFUNCTION("""COMPUTED_VALUE"""),"AV. ROBERTO MASCARENHAS BRITO")</f>
        <v>AV. ROBERTO MASCARENHAS BRITO</v>
      </c>
      <c r="L1381" s="5" t="str">
        <f>IFERROR(__xludf.DUMMYFUNCTION("""COMPUTED_VALUE"""),"ARTERIAL ")</f>
        <v>ARTERIAL </v>
      </c>
      <c r="M1381" s="5" t="str">
        <f>IFERROR(__xludf.DUMMYFUNCTION("""COMPUTED_VALUE"""),"JATIÚCA")</f>
        <v>JATIÚCA</v>
      </c>
      <c r="N1381" s="5" t="str">
        <f>IFERROR(__xludf.DUMMYFUNCTION("""COMPUTED_VALUE"""),"CENTRO - BAIRRO")</f>
        <v>CENTRO - BAIRRO</v>
      </c>
      <c r="O1381" s="5"/>
      <c r="P1381" s="5" t="str">
        <f>IFERROR(__xludf.DUMMYFUNCTION("""COMPUTED_VALUE"""),"PRIORIDADE MÉDIA")</f>
        <v>PRIORIDADE MÉDIA</v>
      </c>
      <c r="Q1381" s="5"/>
      <c r="R1381" s="5" t="str">
        <f>IFERROR(__xludf.DUMMYFUNCTION("""COMPUTED_VALUE"""),"SUBSTITUIR ABRIGO")</f>
        <v>SUBSTITUIR ABRIGO</v>
      </c>
      <c r="S1381" s="5"/>
      <c r="T1381" s="5"/>
      <c r="U1381" s="5"/>
      <c r="V1381" s="9" t="str">
        <f>IFERROR(__xludf.DUMMYFUNCTION("""COMPUTED_VALUE"""),"https://drive.google.com/uc?id=1g7js7Ya3p-EzUR-8djpT-Wr-7firdK9L")</f>
        <v>https://drive.google.com/uc?id=1g7js7Ya3p-EzUR-8djpT-Wr-7firdK9L</v>
      </c>
      <c r="W1381" s="5" t="str">
        <f>IFERROR(__xludf.DUMMYFUNCTION("""COMPUTED_VALUE"""),"NÃO")</f>
        <v>NÃO</v>
      </c>
      <c r="X1381" s="5" t="str">
        <f>IFERROR(__xludf.DUMMYFUNCTION("""COMPUTED_VALUE"""),"SIM")</f>
        <v>SIM</v>
      </c>
    </row>
    <row r="1382" ht="18.75" customHeight="1">
      <c r="A1382" s="5">
        <f>IFERROR(__xludf.DUMMYFUNCTION("""COMPUTED_VALUE"""),1.0)</f>
        <v>1</v>
      </c>
      <c r="B1382" s="5" t="str">
        <f>IFERROR(__xludf.DUMMYFUNCTION("""COMPUTED_VALUE"""),"JT02")</f>
        <v>JT02</v>
      </c>
      <c r="C1382" s="5" t="str">
        <f>IFERROR(__xludf.DUMMYFUNCTION("""COMPUTED_VALUE"""),"ABRIGO METÁLICO PEQUENO PORTE")</f>
        <v>ABRIGO METÁLICO PEQUENO PORTE</v>
      </c>
      <c r="D1382" s="5" t="str">
        <f>IFERROR(__xludf.DUMMYFUNCTION("""COMPUTED_VALUE"""),"SEM PLACA")</f>
        <v>SEM PLACA</v>
      </c>
      <c r="E1382" s="5" t="str">
        <f>IFERROR(__xludf.DUMMYFUNCTION("""COMPUTED_VALUE"""),"SEM BAIA")</f>
        <v>SEM BAIA</v>
      </c>
      <c r="F1382" s="5" t="str">
        <f>IFERROR(__xludf.DUMMYFUNCTION("""COMPUTED_VALUE"""),"NÃO")</f>
        <v>NÃO</v>
      </c>
      <c r="G1382" s="5" t="str">
        <f>IFERROR(__xludf.DUMMYFUNCTION("""COMPUTED_VALUE"""),"NÃO")</f>
        <v>NÃO</v>
      </c>
      <c r="H1382" s="5" t="str">
        <f>IFERROR(__xludf.DUMMYFUNCTION("""COMPUTED_VALUE"""),"PAVIMENTADA COM AVARIAS")</f>
        <v>PAVIMENTADA COM AVARIAS</v>
      </c>
      <c r="I1382" s="6" t="str">
        <f>IFERROR(__xludf.DUMMYFUNCTION("""COMPUTED_VALUE"""),"-9.640815")</f>
        <v>-9.640815</v>
      </c>
      <c r="J1382" s="6" t="str">
        <f>IFERROR(__xludf.DUMMYFUNCTION("""COMPUTED_VALUE"""),"-35.702603
")</f>
        <v>-35.702603
</v>
      </c>
      <c r="K1382" s="5" t="str">
        <f>IFERROR(__xludf.DUMMYFUNCTION("""COMPUTED_VALUE"""),"RUA JOSÉ LOURENÇO  DE ALBUQUERQUE
")</f>
        <v>RUA JOSÉ LOURENÇO  DE ALBUQUERQUE
</v>
      </c>
      <c r="L1382" s="5" t="str">
        <f>IFERROR(__xludf.DUMMYFUNCTION("""COMPUTED_VALUE"""),"LOCAL")</f>
        <v>LOCAL</v>
      </c>
      <c r="M1382" s="5" t="str">
        <f>IFERROR(__xludf.DUMMYFUNCTION("""COMPUTED_VALUE"""),"JATIÚCA")</f>
        <v>JATIÚCA</v>
      </c>
      <c r="N1382" s="5" t="str">
        <f>IFERROR(__xludf.DUMMYFUNCTION("""COMPUTED_VALUE"""),"BAIRRO - CENTRO")</f>
        <v>BAIRRO - CENTRO</v>
      </c>
      <c r="O1382" s="5"/>
      <c r="P1382" s="5" t="str">
        <f>IFERROR(__xludf.DUMMYFUNCTION("""COMPUTED_VALUE"""),"PRIORIDADE MÉDIA")</f>
        <v>PRIORIDADE MÉDIA</v>
      </c>
      <c r="Q1382" s="5"/>
      <c r="R1382" s="5" t="str">
        <f>IFERROR(__xludf.DUMMYFUNCTION("""COMPUTED_VALUE"""),"SUBSTITUIR ABRIGO")</f>
        <v>SUBSTITUIR ABRIGO</v>
      </c>
      <c r="S1382" s="5"/>
      <c r="T1382" s="5"/>
      <c r="U1382" s="5"/>
      <c r="V1382" s="9" t="str">
        <f>IFERROR(__xludf.DUMMYFUNCTION("""COMPUTED_VALUE"""),"https://drive.google.com/uc?id=16uVitUdOaytih71VcDQ5MJTJN4DTyTUb")</f>
        <v>https://drive.google.com/uc?id=16uVitUdOaytih71VcDQ5MJTJN4DTyTUb</v>
      </c>
      <c r="W1382" s="5" t="str">
        <f>IFERROR(__xludf.DUMMYFUNCTION("""COMPUTED_VALUE"""),"NÃO")</f>
        <v>NÃO</v>
      </c>
      <c r="X1382" s="5" t="str">
        <f>IFERROR(__xludf.DUMMYFUNCTION("""COMPUTED_VALUE"""),"NÃO")</f>
        <v>NÃO</v>
      </c>
    </row>
    <row r="1383">
      <c r="A1383" s="5">
        <f>IFERROR(__xludf.DUMMYFUNCTION("""COMPUTED_VALUE"""),1.0)</f>
        <v>1</v>
      </c>
      <c r="B1383" s="5" t="str">
        <f>IFERROR(__xludf.DUMMYFUNCTION("""COMPUTED_VALUE"""),"JT04")</f>
        <v>JT04</v>
      </c>
      <c r="C1383" s="5" t="str">
        <f>IFERROR(__xludf.DUMMYFUNCTION("""COMPUTED_VALUE"""),"ABRIGO METÁLICO MÉDIO PORTE")</f>
        <v>ABRIGO METÁLICO MÉDIO PORTE</v>
      </c>
      <c r="D1383" s="5" t="str">
        <f>IFERROR(__xludf.DUMMYFUNCTION("""COMPUTED_VALUE"""),"SEM PLACA")</f>
        <v>SEM PLACA</v>
      </c>
      <c r="E1383" s="5" t="str">
        <f>IFERROR(__xludf.DUMMYFUNCTION("""COMPUTED_VALUE"""),"SEM BAIA")</f>
        <v>SEM BAIA</v>
      </c>
      <c r="F1383" s="5" t="str">
        <f>IFERROR(__xludf.DUMMYFUNCTION("""COMPUTED_VALUE"""),"SIM")</f>
        <v>SIM</v>
      </c>
      <c r="G1383" s="5" t="str">
        <f>IFERROR(__xludf.DUMMYFUNCTION("""COMPUTED_VALUE"""),"NÃO")</f>
        <v>NÃO</v>
      </c>
      <c r="H1383" s="5" t="str">
        <f>IFERROR(__xludf.DUMMYFUNCTION("""COMPUTED_VALUE"""),"PAVIMENTADA")</f>
        <v>PAVIMENTADA</v>
      </c>
      <c r="I1383" s="6" t="str">
        <f>IFERROR(__xludf.DUMMYFUNCTION("""COMPUTED_VALUE"""),"-9.645019")</f>
        <v>-9.645019</v>
      </c>
      <c r="J1383" s="6" t="str">
        <f>IFERROR(__xludf.DUMMYFUNCTION("""COMPUTED_VALUE"""),"-35.707525
")</f>
        <v>-35.707525
</v>
      </c>
      <c r="K1383" s="5" t="str">
        <f>IFERROR(__xludf.DUMMYFUNCTION("""COMPUTED_VALUE"""),"AV. ALMIRANTE ÁLVARO CALHEIROS")</f>
        <v>AV. ALMIRANTE ÁLVARO CALHEIROS</v>
      </c>
      <c r="L1383" s="5" t="str">
        <f>IFERROR(__xludf.DUMMYFUNCTION("""COMPUTED_VALUE"""),"ARTERIAL ")</f>
        <v>ARTERIAL </v>
      </c>
      <c r="M1383" s="5" t="str">
        <f>IFERROR(__xludf.DUMMYFUNCTION("""COMPUTED_VALUE"""),"JATIÚCA")</f>
        <v>JATIÚCA</v>
      </c>
      <c r="N1383" s="5" t="str">
        <f>IFERROR(__xludf.DUMMYFUNCTION("""COMPUTED_VALUE"""),"BAIRRO - CENTRO")</f>
        <v>BAIRRO - CENTRO</v>
      </c>
      <c r="O1383" s="5"/>
      <c r="P1383" s="5" t="str">
        <f>IFERROR(__xludf.DUMMYFUNCTION("""COMPUTED_VALUE"""),"PRIORIDADE MÉDIA")</f>
        <v>PRIORIDADE MÉDIA</v>
      </c>
      <c r="Q1383" s="5"/>
      <c r="R1383" s="5" t="str">
        <f>IFERROR(__xludf.DUMMYFUNCTION("""COMPUTED_VALUE"""),"SUBSTITUIR ABRIGO")</f>
        <v>SUBSTITUIR ABRIGO</v>
      </c>
      <c r="S1383" s="5"/>
      <c r="T1383" s="5"/>
      <c r="U1383" s="5"/>
      <c r="V1383" s="9" t="str">
        <f>IFERROR(__xludf.DUMMYFUNCTION("""COMPUTED_VALUE"""),"https://drive.google.com/uc?id=1GfNZv0Mx59l480w5fOhuWvzJZ4WzJctz")</f>
        <v>https://drive.google.com/uc?id=1GfNZv0Mx59l480w5fOhuWvzJZ4WzJctz</v>
      </c>
      <c r="W1383" s="5" t="str">
        <f>IFERROR(__xludf.DUMMYFUNCTION("""COMPUTED_VALUE"""),"NÃO")</f>
        <v>NÃO</v>
      </c>
      <c r="X1383" s="5" t="str">
        <f>IFERROR(__xludf.DUMMYFUNCTION("""COMPUTED_VALUE"""),"SIM")</f>
        <v>SIM</v>
      </c>
    </row>
    <row r="1384">
      <c r="A1384" s="5">
        <f>IFERROR(__xludf.DUMMYFUNCTION("""COMPUTED_VALUE"""),1.0)</f>
        <v>1</v>
      </c>
      <c r="B1384" s="5" t="str">
        <f>IFERROR(__xludf.DUMMYFUNCTION("""COMPUTED_VALUE"""),"JT05")</f>
        <v>JT05</v>
      </c>
      <c r="C1384" s="5" t="str">
        <f>IFERROR(__xludf.DUMMYFUNCTION("""COMPUTED_VALUE"""),"ABRIGO METÁLICO MÉDIO PORTE")</f>
        <v>ABRIGO METÁLICO MÉDIO PORTE</v>
      </c>
      <c r="D1384" s="5" t="str">
        <f>IFERROR(__xludf.DUMMYFUNCTION("""COMPUTED_VALUE"""),"SEM PLACA")</f>
        <v>SEM PLACA</v>
      </c>
      <c r="E1384" s="5" t="str">
        <f>IFERROR(__xludf.DUMMYFUNCTION("""COMPUTED_VALUE"""),"SEM BAIA")</f>
        <v>SEM BAIA</v>
      </c>
      <c r="F1384" s="5" t="str">
        <f>IFERROR(__xludf.DUMMYFUNCTION("""COMPUTED_VALUE"""),"SIM")</f>
        <v>SIM</v>
      </c>
      <c r="G1384" s="5" t="str">
        <f>IFERROR(__xludf.DUMMYFUNCTION("""COMPUTED_VALUE"""),"NÃO")</f>
        <v>NÃO</v>
      </c>
      <c r="H1384" s="5" t="str">
        <f>IFERROR(__xludf.DUMMYFUNCTION("""COMPUTED_VALUE"""),"PAVIMENTADA")</f>
        <v>PAVIMENTADA</v>
      </c>
      <c r="I1384" s="6" t="str">
        <f>IFERROR(__xludf.DUMMYFUNCTION("""COMPUTED_VALUE"""),"-9.645176")</f>
        <v>-9.645176</v>
      </c>
      <c r="J1384" s="6" t="str">
        <f>IFERROR(__xludf.DUMMYFUNCTION("""COMPUTED_VALUE"""),"-35.703507
")</f>
        <v>-35.703507
</v>
      </c>
      <c r="K1384" s="5" t="str">
        <f>IFERROR(__xludf.DUMMYFUNCTION("""COMPUTED_VALUE"""),"AV. ALMIRANTE ÁLVARO CALHEIROS")</f>
        <v>AV. ALMIRANTE ÁLVARO CALHEIROS</v>
      </c>
      <c r="L1384" s="5" t="str">
        <f>IFERROR(__xludf.DUMMYFUNCTION("""COMPUTED_VALUE"""),"ARTERIAL ")</f>
        <v>ARTERIAL </v>
      </c>
      <c r="M1384" s="5" t="str">
        <f>IFERROR(__xludf.DUMMYFUNCTION("""COMPUTED_VALUE"""),"JATIÚCA")</f>
        <v>JATIÚCA</v>
      </c>
      <c r="N1384" s="5" t="str">
        <f>IFERROR(__xludf.DUMMYFUNCTION("""COMPUTED_VALUE"""),"BAIRRO - CENTRO")</f>
        <v>BAIRRO - CENTRO</v>
      </c>
      <c r="O1384" s="5"/>
      <c r="P1384" s="5" t="str">
        <f>IFERROR(__xludf.DUMMYFUNCTION("""COMPUTED_VALUE"""),"PRIORIDADE MÉDIA")</f>
        <v>PRIORIDADE MÉDIA</v>
      </c>
      <c r="Q1384" s="5"/>
      <c r="R1384" s="5" t="str">
        <f>IFERROR(__xludf.DUMMYFUNCTION("""COMPUTED_VALUE"""),"SUBSTITUIR ABRIGO")</f>
        <v>SUBSTITUIR ABRIGO</v>
      </c>
      <c r="S1384" s="5"/>
      <c r="T1384" s="5"/>
      <c r="U1384" s="5"/>
      <c r="V1384" s="9" t="str">
        <f>IFERROR(__xludf.DUMMYFUNCTION("""COMPUTED_VALUE"""),"https://drive.google.com/uc?id=1L2bz4NDCkRp4a6KnEGOStMtx33E3tiPF")</f>
        <v>https://drive.google.com/uc?id=1L2bz4NDCkRp4a6KnEGOStMtx33E3tiPF</v>
      </c>
      <c r="W1384" s="5" t="str">
        <f>IFERROR(__xludf.DUMMYFUNCTION("""COMPUTED_VALUE"""),"NÃO")</f>
        <v>NÃO</v>
      </c>
      <c r="X1384" s="5" t="str">
        <f>IFERROR(__xludf.DUMMYFUNCTION("""COMPUTED_VALUE"""),"NÃO")</f>
        <v>NÃO</v>
      </c>
    </row>
    <row r="1385">
      <c r="A1385" s="5">
        <f>IFERROR(__xludf.DUMMYFUNCTION("""COMPUTED_VALUE"""),1.0)</f>
        <v>1</v>
      </c>
      <c r="B1385" s="5" t="str">
        <f>IFERROR(__xludf.DUMMYFUNCTION("""COMPUTED_VALUE"""),"JT06")</f>
        <v>JT06</v>
      </c>
      <c r="C1385" s="5" t="str">
        <f>IFERROR(__xludf.DUMMYFUNCTION("""COMPUTED_VALUE"""),"ABRIGO EUCALIPTO PEQUENO PORTE")</f>
        <v>ABRIGO EUCALIPTO PEQUENO PORTE</v>
      </c>
      <c r="D1385" s="5" t="str">
        <f>IFERROR(__xludf.DUMMYFUNCTION("""COMPUTED_VALUE"""),"SEM PLACA")</f>
        <v>SEM PLACA</v>
      </c>
      <c r="E1385" s="5" t="str">
        <f>IFERROR(__xludf.DUMMYFUNCTION("""COMPUTED_VALUE"""),"SEM BAIA")</f>
        <v>SEM BAIA</v>
      </c>
      <c r="F1385" s="5" t="str">
        <f>IFERROR(__xludf.DUMMYFUNCTION("""COMPUTED_VALUE"""),"SIM")</f>
        <v>SIM</v>
      </c>
      <c r="G1385" s="5" t="str">
        <f>IFERROR(__xludf.DUMMYFUNCTION("""COMPUTED_VALUE"""),"NÃO")</f>
        <v>NÃO</v>
      </c>
      <c r="H1385" s="5" t="str">
        <f>IFERROR(__xludf.DUMMYFUNCTION("""COMPUTED_VALUE"""),"PAVIMENTADA")</f>
        <v>PAVIMENTADA</v>
      </c>
      <c r="I1385" s="6" t="str">
        <f>IFERROR(__xludf.DUMMYFUNCTION("""COMPUTED_VALUE"""),"-9.647758")</f>
        <v>-9.647758</v>
      </c>
      <c r="J1385" s="6" t="str">
        <f>IFERROR(__xludf.DUMMYFUNCTION("""COMPUTED_VALUE"""),"-35.700295")</f>
        <v>-35.700295</v>
      </c>
      <c r="K1385" s="5" t="str">
        <f>IFERROR(__xludf.DUMMYFUNCTION("""COMPUTED_VALUE"""),"AV. ÁLVARO OTACÍLIO")</f>
        <v>AV. ÁLVARO OTACÍLIO</v>
      </c>
      <c r="L1385" s="5" t="str">
        <f>IFERROR(__xludf.DUMMYFUNCTION("""COMPUTED_VALUE"""),"ARTERIAL ")</f>
        <v>ARTERIAL </v>
      </c>
      <c r="M1385" s="5" t="str">
        <f>IFERROR(__xludf.DUMMYFUNCTION("""COMPUTED_VALUE"""),"JATIÚCA")</f>
        <v>JATIÚCA</v>
      </c>
      <c r="N1385" s="5" t="str">
        <f>IFERROR(__xludf.DUMMYFUNCTION("""COMPUTED_VALUE"""),"BAIRRO - CENTRO")</f>
        <v>BAIRRO - CENTRO</v>
      </c>
      <c r="O1385" s="5"/>
      <c r="P1385" s="5" t="str">
        <f>IFERROR(__xludf.DUMMYFUNCTION("""COMPUTED_VALUE"""),"PRIORIDADE MÉDIA")</f>
        <v>PRIORIDADE MÉDIA</v>
      </c>
      <c r="Q1385" s="5"/>
      <c r="R1385" s="5" t="str">
        <f>IFERROR(__xludf.DUMMYFUNCTION("""COMPUTED_VALUE"""),"SUBSTITUIR ABRIGO")</f>
        <v>SUBSTITUIR ABRIGO</v>
      </c>
      <c r="S1385" s="5"/>
      <c r="T1385" s="5"/>
      <c r="U1385" s="5"/>
      <c r="V1385" s="9" t="str">
        <f>IFERROR(__xludf.DUMMYFUNCTION("""COMPUTED_VALUE"""),"https://drive.google.com/uc?id=1XmKnUYVt4tA4e0xo76SnR7iev3qghhVa")</f>
        <v>https://drive.google.com/uc?id=1XmKnUYVt4tA4e0xo76SnR7iev3qghhVa</v>
      </c>
      <c r="W1385" s="5" t="str">
        <f>IFERROR(__xludf.DUMMYFUNCTION("""COMPUTED_VALUE"""),"NÃO")</f>
        <v>NÃO</v>
      </c>
      <c r="X1385" s="5" t="str">
        <f>IFERROR(__xludf.DUMMYFUNCTION("""COMPUTED_VALUE"""),"SIM")</f>
        <v>SIM</v>
      </c>
    </row>
    <row r="1386">
      <c r="A1386" s="5">
        <f>IFERROR(__xludf.DUMMYFUNCTION("""COMPUTED_VALUE"""),1.0)</f>
        <v>1</v>
      </c>
      <c r="B1386" s="5" t="str">
        <f>IFERROR(__xludf.DUMMYFUNCTION("""COMPUTED_VALUE"""),"JT07")</f>
        <v>JT07</v>
      </c>
      <c r="C1386" s="5" t="str">
        <f>IFERROR(__xludf.DUMMYFUNCTION("""COMPUTED_VALUE"""),"ABRIGO EUCALIPTO PEQUENO PORTE")</f>
        <v>ABRIGO EUCALIPTO PEQUENO PORTE</v>
      </c>
      <c r="D1386" s="5" t="str">
        <f>IFERROR(__xludf.DUMMYFUNCTION("""COMPUTED_VALUE"""),"SEM PLACA")</f>
        <v>SEM PLACA</v>
      </c>
      <c r="E1386" s="5" t="str">
        <f>IFERROR(__xludf.DUMMYFUNCTION("""COMPUTED_VALUE"""),"SEM BAIA")</f>
        <v>SEM BAIA</v>
      </c>
      <c r="F1386" s="5" t="str">
        <f>IFERROR(__xludf.DUMMYFUNCTION("""COMPUTED_VALUE"""),"NÃO")</f>
        <v>NÃO</v>
      </c>
      <c r="G1386" s="5" t="str">
        <f>IFERROR(__xludf.DUMMYFUNCTION("""COMPUTED_VALUE"""),"NÃO")</f>
        <v>NÃO</v>
      </c>
      <c r="H1386" s="5" t="str">
        <f>IFERROR(__xludf.DUMMYFUNCTION("""COMPUTED_VALUE"""),"PAVIMENTADA")</f>
        <v>PAVIMENTADA</v>
      </c>
      <c r="I1386" s="6" t="str">
        <f>IFERROR(__xludf.DUMMYFUNCTION("""COMPUTED_VALUE"""),"-9.646209")</f>
        <v>-9.646209</v>
      </c>
      <c r="J1386" s="6" t="str">
        <f>IFERROR(__xludf.DUMMYFUNCTION("""COMPUTED_VALUE"""),"-35.699869")</f>
        <v>-35.699869</v>
      </c>
      <c r="K1386" s="5" t="str">
        <f>IFERROR(__xludf.DUMMYFUNCTION("""COMPUTED_VALUE"""),"AV. ÁLVARO OTACÍLIO")</f>
        <v>AV. ÁLVARO OTACÍLIO</v>
      </c>
      <c r="L1386" s="5" t="str">
        <f>IFERROR(__xludf.DUMMYFUNCTION("""COMPUTED_VALUE"""),"ARTERIAL ")</f>
        <v>ARTERIAL </v>
      </c>
      <c r="M1386" s="5" t="str">
        <f>IFERROR(__xludf.DUMMYFUNCTION("""COMPUTED_VALUE"""),"JATIÚCA")</f>
        <v>JATIÚCA</v>
      </c>
      <c r="N1386" s="5" t="str">
        <f>IFERROR(__xludf.DUMMYFUNCTION("""COMPUTED_VALUE"""),"BAIRRO - CENTRO")</f>
        <v>BAIRRO - CENTRO</v>
      </c>
      <c r="O1386" s="5"/>
      <c r="P1386" s="5" t="str">
        <f>IFERROR(__xludf.DUMMYFUNCTION("""COMPUTED_VALUE"""),"PRIORIDADE MÉDIA")</f>
        <v>PRIORIDADE MÉDIA</v>
      </c>
      <c r="Q1386" s="5"/>
      <c r="R1386" s="5" t="str">
        <f>IFERROR(__xludf.DUMMYFUNCTION("""COMPUTED_VALUE"""),"SUBSTITUIR ABRIGO")</f>
        <v>SUBSTITUIR ABRIGO</v>
      </c>
      <c r="S1386" s="5"/>
      <c r="T1386" s="5"/>
      <c r="U1386" s="5"/>
      <c r="V1386" s="9" t="str">
        <f>IFERROR(__xludf.DUMMYFUNCTION("""COMPUTED_VALUE"""),"https://drive.google.com/uc?id=1rO4D20axH-4j5J_PKKde1__ZYUo93-Mr/")</f>
        <v>https://drive.google.com/uc?id=1rO4D20axH-4j5J_PKKde1__ZYUo93-Mr/</v>
      </c>
      <c r="W1386" s="5" t="str">
        <f>IFERROR(__xludf.DUMMYFUNCTION("""COMPUTED_VALUE"""),"NÃO")</f>
        <v>NÃO</v>
      </c>
      <c r="X1386" s="5" t="str">
        <f>IFERROR(__xludf.DUMMYFUNCTION("""COMPUTED_VALUE"""),"SIM")</f>
        <v>SIM</v>
      </c>
    </row>
    <row r="1387">
      <c r="A1387" s="5">
        <f>IFERROR(__xludf.DUMMYFUNCTION("""COMPUTED_VALUE"""),1.0)</f>
        <v>1</v>
      </c>
      <c r="B1387" s="5" t="str">
        <f>IFERROR(__xludf.DUMMYFUNCTION("""COMPUTED_VALUE"""),"JT08")</f>
        <v>JT08</v>
      </c>
      <c r="C1387" s="5" t="str">
        <f>IFERROR(__xludf.DUMMYFUNCTION("""COMPUTED_VALUE"""),"ABRIGO EUCALIPTO PEQUENO PORTE")</f>
        <v>ABRIGO EUCALIPTO PEQUENO PORTE</v>
      </c>
      <c r="D1387" s="5" t="str">
        <f>IFERROR(__xludf.DUMMYFUNCTION("""COMPUTED_VALUE"""),"SEM PLACA")</f>
        <v>SEM PLACA</v>
      </c>
      <c r="E1387" s="5" t="str">
        <f>IFERROR(__xludf.DUMMYFUNCTION("""COMPUTED_VALUE"""),"SEM BAIA")</f>
        <v>SEM BAIA</v>
      </c>
      <c r="F1387" s="5" t="str">
        <f>IFERROR(__xludf.DUMMYFUNCTION("""COMPUTED_VALUE"""),"SIM")</f>
        <v>SIM</v>
      </c>
      <c r="G1387" s="5" t="str">
        <f>IFERROR(__xludf.DUMMYFUNCTION("""COMPUTED_VALUE"""),"NÃO")</f>
        <v>NÃO</v>
      </c>
      <c r="H1387" s="5" t="str">
        <f>IFERROR(__xludf.DUMMYFUNCTION("""COMPUTED_VALUE"""),"PAVIMENTADA")</f>
        <v>PAVIMENTADA</v>
      </c>
      <c r="I1387" s="6" t="str">
        <f>IFERROR(__xludf.DUMMYFUNCTION("""COMPUTED_VALUE"""),"-9.650346")</f>
        <v>-9.650346</v>
      </c>
      <c r="J1387" s="6" t="str">
        <f>IFERROR(__xludf.DUMMYFUNCTION("""COMPUTED_VALUE"""),"-35.699746")</f>
        <v>-35.699746</v>
      </c>
      <c r="K1387" s="5" t="str">
        <f>IFERROR(__xludf.DUMMYFUNCTION("""COMPUTED_VALUE"""),"AV. ÁLVARO OTACÍLIO")</f>
        <v>AV. ÁLVARO OTACÍLIO</v>
      </c>
      <c r="L1387" s="5" t="str">
        <f>IFERROR(__xludf.DUMMYFUNCTION("""COMPUTED_VALUE"""),"ARTERIAL ")</f>
        <v>ARTERIAL </v>
      </c>
      <c r="M1387" s="5" t="str">
        <f>IFERROR(__xludf.DUMMYFUNCTION("""COMPUTED_VALUE"""),"JATIÚCA")</f>
        <v>JATIÚCA</v>
      </c>
      <c r="N1387" s="5" t="str">
        <f>IFERROR(__xludf.DUMMYFUNCTION("""COMPUTED_VALUE"""),"BAIRRO - CENTRO")</f>
        <v>BAIRRO - CENTRO</v>
      </c>
      <c r="O1387" s="5"/>
      <c r="P1387" s="5" t="str">
        <f>IFERROR(__xludf.DUMMYFUNCTION("""COMPUTED_VALUE"""),"PRIORIDADE MÉDIA")</f>
        <v>PRIORIDADE MÉDIA</v>
      </c>
      <c r="Q1387" s="5"/>
      <c r="R1387" s="5" t="str">
        <f>IFERROR(__xludf.DUMMYFUNCTION("""COMPUTED_VALUE"""),"SUBSTITUIR ABRIGO")</f>
        <v>SUBSTITUIR ABRIGO</v>
      </c>
      <c r="S1387" s="5"/>
      <c r="T1387" s="5"/>
      <c r="U1387" s="5"/>
      <c r="V1387" s="9" t="str">
        <f>IFERROR(__xludf.DUMMYFUNCTION("""COMPUTED_VALUE"""),"https://drive.google.com/uc?id=1gOBDix7Y8fIZfynNCv8mclbnu_AEc8Yd")</f>
        <v>https://drive.google.com/uc?id=1gOBDix7Y8fIZfynNCv8mclbnu_AEc8Yd</v>
      </c>
      <c r="W1387" s="5" t="str">
        <f>IFERROR(__xludf.DUMMYFUNCTION("""COMPUTED_VALUE"""),"NÃO")</f>
        <v>NÃO</v>
      </c>
      <c r="X1387" s="5" t="str">
        <f>IFERROR(__xludf.DUMMYFUNCTION("""COMPUTED_VALUE"""),"NÃO")</f>
        <v>NÃO</v>
      </c>
    </row>
    <row r="1388" hidden="1">
      <c r="A1388" s="5">
        <f>IFERROR(__xludf.DUMMYFUNCTION("""COMPUTED_VALUE"""),1.0)</f>
        <v>1</v>
      </c>
      <c r="B1388" s="5" t="str">
        <f>IFERROR(__xludf.DUMMYFUNCTION("""COMPUTED_VALUE"""),"JT09")</f>
        <v>JT09</v>
      </c>
      <c r="C1388" s="5" t="str">
        <f>IFERROR(__xludf.DUMMYFUNCTION("""COMPUTED_VALUE"""),"NÃO POSSUI")</f>
        <v>NÃO POSSUI</v>
      </c>
      <c r="D1388" s="5" t="str">
        <f>IFERROR(__xludf.DUMMYFUNCTION("""COMPUTED_VALUE"""),"COM SUPORTE")</f>
        <v>COM SUPORTE</v>
      </c>
      <c r="E1388" s="5" t="str">
        <f>IFERROR(__xludf.DUMMYFUNCTION("""COMPUTED_VALUE"""),"SEM BAIA")</f>
        <v>SEM BAIA</v>
      </c>
      <c r="F1388" s="5" t="str">
        <f>IFERROR(__xludf.DUMMYFUNCTION("""COMPUTED_VALUE"""),"NÃO")</f>
        <v>NÃO</v>
      </c>
      <c r="G1388" s="5" t="str">
        <f>IFERROR(__xludf.DUMMYFUNCTION("""COMPUTED_VALUE"""),"NÃO")</f>
        <v>NÃO</v>
      </c>
      <c r="H1388" s="5" t="str">
        <f>IFERROR(__xludf.DUMMYFUNCTION("""COMPUTED_VALUE"""),"PAVIMENTADA")</f>
        <v>PAVIMENTADA</v>
      </c>
      <c r="I1388" s="6" t="str">
        <f>IFERROR(__xludf.DUMMYFUNCTION("""COMPUTED_VALUE"""),"-9.654402")</f>
        <v>-9.654402</v>
      </c>
      <c r="J1388" s="6" t="str">
        <f>IFERROR(__xludf.DUMMYFUNCTION("""COMPUTED_VALUE"""),"-35.698764")</f>
        <v>-35.698764</v>
      </c>
      <c r="K1388" s="5" t="str">
        <f>IFERROR(__xludf.DUMMYFUNCTION("""COMPUTED_VALUE"""),"AV. ÁLVARO OTACÍLIO")</f>
        <v>AV. ÁLVARO OTACÍLIO</v>
      </c>
      <c r="L1388" s="5" t="str">
        <f>IFERROR(__xludf.DUMMYFUNCTION("""COMPUTED_VALUE"""),"ARTERIAL ")</f>
        <v>ARTERIAL </v>
      </c>
      <c r="M1388" s="5" t="str">
        <f>IFERROR(__xludf.DUMMYFUNCTION("""COMPUTED_VALUE"""),"JATIÚCA")</f>
        <v>JATIÚCA</v>
      </c>
      <c r="N1388" s="5" t="str">
        <f>IFERROR(__xludf.DUMMYFUNCTION("""COMPUTED_VALUE"""),"BAIRRO - CENTRO")</f>
        <v>BAIRRO - CENTRO</v>
      </c>
      <c r="O1388" s="5"/>
      <c r="P1388" s="5" t="str">
        <f>IFERROR(__xludf.DUMMYFUNCTION("""COMPUTED_VALUE"""),"PRIORIDADE MÉDIA")</f>
        <v>PRIORIDADE MÉDIA</v>
      </c>
      <c r="Q1388" s="5"/>
      <c r="R1388" s="5" t="str">
        <f>IFERROR(__xludf.DUMMYFUNCTION("""COMPUTED_VALUE"""),"NENHUMA DAS OPÇÕES")</f>
        <v>NENHUMA DAS OPÇÕES</v>
      </c>
      <c r="S1388" s="5"/>
      <c r="T1388" s="5"/>
      <c r="U1388" s="5"/>
      <c r="V1388" s="9" t="str">
        <f>IFERROR(__xludf.DUMMYFUNCTION("""COMPUTED_VALUE"""),"https://drive.google.com/uc?id=1wRHYLPiJh6tArf9C_FEp2I3qLt66AmP1")</f>
        <v>https://drive.google.com/uc?id=1wRHYLPiJh6tArf9C_FEp2I3qLt66AmP1</v>
      </c>
      <c r="W1388" s="5" t="str">
        <f>IFERROR(__xludf.DUMMYFUNCTION("""COMPUTED_VALUE"""),"NÃO")</f>
        <v>NÃO</v>
      </c>
      <c r="X1388" s="5" t="str">
        <f>IFERROR(__xludf.DUMMYFUNCTION("""COMPUTED_VALUE"""),"SIM")</f>
        <v>SIM</v>
      </c>
    </row>
    <row r="1389">
      <c r="A1389" s="5">
        <f>IFERROR(__xludf.DUMMYFUNCTION("""COMPUTED_VALUE"""),1.0)</f>
        <v>1</v>
      </c>
      <c r="B1389" s="5" t="str">
        <f>IFERROR(__xludf.DUMMYFUNCTION("""COMPUTED_VALUE"""),"JT10")</f>
        <v>JT10</v>
      </c>
      <c r="C1389" s="5" t="str">
        <f>IFERROR(__xludf.DUMMYFUNCTION("""COMPUTED_VALUE"""),"ABRIGO METÁLICO PEQUENO PORTE")</f>
        <v>ABRIGO METÁLICO PEQUENO PORTE</v>
      </c>
      <c r="D1389" s="5" t="str">
        <f>IFERROR(__xludf.DUMMYFUNCTION("""COMPUTED_VALUE"""),"SEM PLACA")</f>
        <v>SEM PLACA</v>
      </c>
      <c r="E1389" s="5" t="str">
        <f>IFERROR(__xludf.DUMMYFUNCTION("""COMPUTED_VALUE"""),"SEM BAIA")</f>
        <v>SEM BAIA</v>
      </c>
      <c r="F1389" s="5" t="str">
        <f>IFERROR(__xludf.DUMMYFUNCTION("""COMPUTED_VALUE"""),"NÃO")</f>
        <v>NÃO</v>
      </c>
      <c r="G1389" s="5" t="str">
        <f>IFERROR(__xludf.DUMMYFUNCTION("""COMPUTED_VALUE"""),"NÃO")</f>
        <v>NÃO</v>
      </c>
      <c r="H1389" s="5" t="str">
        <f>IFERROR(__xludf.DUMMYFUNCTION("""COMPUTED_VALUE"""),"NÃO PAVIMENTADA")</f>
        <v>NÃO PAVIMENTADA</v>
      </c>
      <c r="I1389" s="6" t="str">
        <f>IFERROR(__xludf.DUMMYFUNCTION("""COMPUTED_VALUE"""),"-9.646840")</f>
        <v>-9.646840</v>
      </c>
      <c r="J1389" s="6" t="str">
        <f>IFERROR(__xludf.DUMMYFUNCTION("""COMPUTED_VALUE"""),"-35.712075")</f>
        <v>-35.712075</v>
      </c>
      <c r="K1389" s="5" t="str">
        <f>IFERROR(__xludf.DUMMYFUNCTION("""COMPUTED_VALUE"""),"AV. DONA CONSTANÇA DE GOES MONTEIRO")</f>
        <v>AV. DONA CONSTANÇA DE GOES MONTEIRO</v>
      </c>
      <c r="L1389" s="5" t="str">
        <f>IFERROR(__xludf.DUMMYFUNCTION("""COMPUTED_VALUE"""),"COLETORA")</f>
        <v>COLETORA</v>
      </c>
      <c r="M1389" s="5" t="str">
        <f>IFERROR(__xludf.DUMMYFUNCTION("""COMPUTED_VALUE"""),"JATIÚCA")</f>
        <v>JATIÚCA</v>
      </c>
      <c r="N1389" s="5" t="str">
        <f>IFERROR(__xludf.DUMMYFUNCTION("""COMPUTED_VALUE"""),"BAIRRO - CENTRO")</f>
        <v>BAIRRO - CENTRO</v>
      </c>
      <c r="O1389" s="5"/>
      <c r="P1389" s="5" t="str">
        <f>IFERROR(__xludf.DUMMYFUNCTION("""COMPUTED_VALUE"""),"PRIORIDADE MÉDIA")</f>
        <v>PRIORIDADE MÉDIA</v>
      </c>
      <c r="Q1389" s="5"/>
      <c r="R1389" s="5" t="str">
        <f>IFERROR(__xludf.DUMMYFUNCTION("""COMPUTED_VALUE"""),"SUBSTITUIR ABRIGO")</f>
        <v>SUBSTITUIR ABRIGO</v>
      </c>
      <c r="S1389" s="5"/>
      <c r="T1389" s="5"/>
      <c r="U1389" s="5"/>
      <c r="V1389" s="9" t="str">
        <f>IFERROR(__xludf.DUMMYFUNCTION("""COMPUTED_VALUE"""),"https://drive.google.com/uc?id=14YtCXFM_GoDzorNfSupO9QqTdUgWqku-")</f>
        <v>https://drive.google.com/uc?id=14YtCXFM_GoDzorNfSupO9QqTdUgWqku-</v>
      </c>
      <c r="W1389" s="5" t="str">
        <f>IFERROR(__xludf.DUMMYFUNCTION("""COMPUTED_VALUE"""),"NÃO")</f>
        <v>NÃO</v>
      </c>
      <c r="X1389" s="5" t="str">
        <f>IFERROR(__xludf.DUMMYFUNCTION("""COMPUTED_VALUE"""),"SIM")</f>
        <v>SIM</v>
      </c>
    </row>
    <row r="1390">
      <c r="A1390" s="5">
        <f>IFERROR(__xludf.DUMMYFUNCTION("""COMPUTED_VALUE"""),1.0)</f>
        <v>1</v>
      </c>
      <c r="B1390" s="5" t="str">
        <f>IFERROR(__xludf.DUMMYFUNCTION("""COMPUTED_VALUE"""),"JT11")</f>
        <v>JT11</v>
      </c>
      <c r="C1390" s="5" t="str">
        <f>IFERROR(__xludf.DUMMYFUNCTION("""COMPUTED_VALUE"""),"ABRIGO METÁLICO GRANDE PORTE")</f>
        <v>ABRIGO METÁLICO GRANDE PORTE</v>
      </c>
      <c r="D1390" s="5" t="str">
        <f>IFERROR(__xludf.DUMMYFUNCTION("""COMPUTED_VALUE"""),"SEM PLACA")</f>
        <v>SEM PLACA</v>
      </c>
      <c r="E1390" s="5" t="str">
        <f>IFERROR(__xludf.DUMMYFUNCTION("""COMPUTED_VALUE"""),"SEM BAIA")</f>
        <v>SEM BAIA</v>
      </c>
      <c r="F1390" s="5" t="str">
        <f>IFERROR(__xludf.DUMMYFUNCTION("""COMPUTED_VALUE"""),"SIM")</f>
        <v>SIM</v>
      </c>
      <c r="G1390" s="5" t="str">
        <f>IFERROR(__xludf.DUMMYFUNCTION("""COMPUTED_VALUE"""),"NÃO")</f>
        <v>NÃO</v>
      </c>
      <c r="H1390" s="5" t="str">
        <f>IFERROR(__xludf.DUMMYFUNCTION("""COMPUTED_VALUE"""),"PAVIMENTADA")</f>
        <v>PAVIMENTADA</v>
      </c>
      <c r="I1390" s="6" t="str">
        <f>IFERROR(__xludf.DUMMYFUNCTION("""COMPUTED_VALUE"""),"-9.649151")</f>
        <v>-9.649151</v>
      </c>
      <c r="J1390" s="6" t="str">
        <f>IFERROR(__xludf.DUMMYFUNCTION("""COMPUTED_VALUE"""),"-35.714077")</f>
        <v>-35.714077</v>
      </c>
      <c r="K1390" s="5" t="str">
        <f>IFERROR(__xludf.DUMMYFUNCTION("""COMPUTED_VALUE"""),"AV. DONA CONSTANÇA DE GOES MONTEIRO")</f>
        <v>AV. DONA CONSTANÇA DE GOES MONTEIRO</v>
      </c>
      <c r="L1390" s="5" t="str">
        <f>IFERROR(__xludf.DUMMYFUNCTION("""COMPUTED_VALUE"""),"COLETORA")</f>
        <v>COLETORA</v>
      </c>
      <c r="M1390" s="5" t="str">
        <f>IFERROR(__xludf.DUMMYFUNCTION("""COMPUTED_VALUE"""),"JATIÚCA")</f>
        <v>JATIÚCA</v>
      </c>
      <c r="N1390" s="5" t="str">
        <f>IFERROR(__xludf.DUMMYFUNCTION("""COMPUTED_VALUE"""),"BAIRRO - CENTRO")</f>
        <v>BAIRRO - CENTRO</v>
      </c>
      <c r="O1390" s="5"/>
      <c r="P1390" s="5" t="str">
        <f>IFERROR(__xludf.DUMMYFUNCTION("""COMPUTED_VALUE"""),"PRIORIDADE MÉDIA")</f>
        <v>PRIORIDADE MÉDIA</v>
      </c>
      <c r="Q1390" s="5"/>
      <c r="R1390" s="5" t="str">
        <f>IFERROR(__xludf.DUMMYFUNCTION("""COMPUTED_VALUE"""),"SUBSTITUIR ABRIGO")</f>
        <v>SUBSTITUIR ABRIGO</v>
      </c>
      <c r="S1390" s="5"/>
      <c r="T1390" s="5"/>
      <c r="U1390" s="5"/>
      <c r="V1390" s="9" t="str">
        <f>IFERROR(__xludf.DUMMYFUNCTION("""COMPUTED_VALUE"""),"https://drive.google.com/uc?id=1zA3UR287KPRhcwI8f_GM46xPXPZB5jKY")</f>
        <v>https://drive.google.com/uc?id=1zA3UR287KPRhcwI8f_GM46xPXPZB5jKY</v>
      </c>
      <c r="W1390" s="5" t="str">
        <f>IFERROR(__xludf.DUMMYFUNCTION("""COMPUTED_VALUE"""),"NÃO")</f>
        <v>NÃO</v>
      </c>
      <c r="X1390" s="5" t="str">
        <f>IFERROR(__xludf.DUMMYFUNCTION("""COMPUTED_VALUE"""),"SIM")</f>
        <v>SIM</v>
      </c>
    </row>
    <row r="1391">
      <c r="A1391" s="5">
        <f>IFERROR(__xludf.DUMMYFUNCTION("""COMPUTED_VALUE"""),1.0)</f>
        <v>1</v>
      </c>
      <c r="B1391" s="5" t="str">
        <f>IFERROR(__xludf.DUMMYFUNCTION("""COMPUTED_VALUE"""),"JT12")</f>
        <v>JT12</v>
      </c>
      <c r="C1391" s="5" t="str">
        <f>IFERROR(__xludf.DUMMYFUNCTION("""COMPUTED_VALUE"""),"ABRIGO METÁLICO PEQUENO PORTE")</f>
        <v>ABRIGO METÁLICO PEQUENO PORTE</v>
      </c>
      <c r="D1391" s="5" t="str">
        <f>IFERROR(__xludf.DUMMYFUNCTION("""COMPUTED_VALUE"""),"SEM PLACA")</f>
        <v>SEM PLACA</v>
      </c>
      <c r="E1391" s="5" t="str">
        <f>IFERROR(__xludf.DUMMYFUNCTION("""COMPUTED_VALUE"""),"SEM BAIA")</f>
        <v>SEM BAIA</v>
      </c>
      <c r="F1391" s="5" t="str">
        <f>IFERROR(__xludf.DUMMYFUNCTION("""COMPUTED_VALUE"""),"SIM")</f>
        <v>SIM</v>
      </c>
      <c r="G1391" s="5" t="str">
        <f>IFERROR(__xludf.DUMMYFUNCTION("""COMPUTED_VALUE"""),"NÃO")</f>
        <v>NÃO</v>
      </c>
      <c r="H1391" s="5" t="str">
        <f>IFERROR(__xludf.DUMMYFUNCTION("""COMPUTED_VALUE"""),"PAVIMENTADA")</f>
        <v>PAVIMENTADA</v>
      </c>
      <c r="I1391" s="6" t="str">
        <f>IFERROR(__xludf.DUMMYFUNCTION("""COMPUTED_VALUE"""),"-9.652099")</f>
        <v>-9.652099</v>
      </c>
      <c r="J1391" s="6" t="str">
        <f>IFERROR(__xludf.DUMMYFUNCTION("""COMPUTED_VALUE"""),"-35.717088")</f>
        <v>-35.717088</v>
      </c>
      <c r="K1391" s="5" t="str">
        <f>IFERROR(__xludf.DUMMYFUNCTION("""COMPUTED_VALUE"""),"AV. DONA CONSTANÇA DE GOES MONTEIRO")</f>
        <v>AV. DONA CONSTANÇA DE GOES MONTEIRO</v>
      </c>
      <c r="L1391" s="5" t="str">
        <f>IFERROR(__xludf.DUMMYFUNCTION("""COMPUTED_VALUE"""),"COLETORA")</f>
        <v>COLETORA</v>
      </c>
      <c r="M1391" s="5" t="str">
        <f>IFERROR(__xludf.DUMMYFUNCTION("""COMPUTED_VALUE"""),"JATIÚCA")</f>
        <v>JATIÚCA</v>
      </c>
      <c r="N1391" s="5" t="str">
        <f>IFERROR(__xludf.DUMMYFUNCTION("""COMPUTED_VALUE"""),"BAIRRO - CENTRO")</f>
        <v>BAIRRO - CENTRO</v>
      </c>
      <c r="O1391" s="5"/>
      <c r="P1391" s="5" t="str">
        <f>IFERROR(__xludf.DUMMYFUNCTION("""COMPUTED_VALUE"""),"PRIORIDADE MÉDIA")</f>
        <v>PRIORIDADE MÉDIA</v>
      </c>
      <c r="Q1391" s="5"/>
      <c r="R1391" s="5" t="str">
        <f>IFERROR(__xludf.DUMMYFUNCTION("""COMPUTED_VALUE"""),"SUBSTITUIR ABRIGO")</f>
        <v>SUBSTITUIR ABRIGO</v>
      </c>
      <c r="S1391" s="5"/>
      <c r="T1391" s="5"/>
      <c r="U1391" s="5"/>
      <c r="V1391" s="9" t="str">
        <f>IFERROR(__xludf.DUMMYFUNCTION("""COMPUTED_VALUE"""),"https://drive.google.com/uc?id=11Dexku3ew6-slezPHXBy1LV7HXwMzzFw")</f>
        <v>https://drive.google.com/uc?id=11Dexku3ew6-slezPHXBy1LV7HXwMzzFw</v>
      </c>
      <c r="W1391" s="5" t="str">
        <f>IFERROR(__xludf.DUMMYFUNCTION("""COMPUTED_VALUE"""),"SIM")</f>
        <v>SIM</v>
      </c>
      <c r="X1391" s="5" t="str">
        <f>IFERROR(__xludf.DUMMYFUNCTION("""COMPUTED_VALUE"""),"SIM")</f>
        <v>SIM</v>
      </c>
    </row>
    <row r="1392" hidden="1">
      <c r="A1392" s="5">
        <f>IFERROR(__xludf.DUMMYFUNCTION("""COMPUTED_VALUE"""),1.0)</f>
        <v>1</v>
      </c>
      <c r="B1392" s="5" t="str">
        <f>IFERROR(__xludf.DUMMYFUNCTION("""COMPUTED_VALUE"""),"JT13")</f>
        <v>JT13</v>
      </c>
      <c r="C1392" s="5" t="str">
        <f>IFERROR(__xludf.DUMMYFUNCTION("""COMPUTED_VALUE"""),"NÃO POSSUI")</f>
        <v>NÃO POSSUI</v>
      </c>
      <c r="D1392" s="5" t="str">
        <f>IFERROR(__xludf.DUMMYFUNCTION("""COMPUTED_VALUE"""),"COM SUPORTE")</f>
        <v>COM SUPORTE</v>
      </c>
      <c r="E1392" s="5" t="str">
        <f>IFERROR(__xludf.DUMMYFUNCTION("""COMPUTED_VALUE"""),"SEM BAIA")</f>
        <v>SEM BAIA</v>
      </c>
      <c r="F1392" s="5" t="str">
        <f>IFERROR(__xludf.DUMMYFUNCTION("""COMPUTED_VALUE"""),"NÃO")</f>
        <v>NÃO</v>
      </c>
      <c r="G1392" s="5" t="str">
        <f>IFERROR(__xludf.DUMMYFUNCTION("""COMPUTED_VALUE"""),"NÃO")</f>
        <v>NÃO</v>
      </c>
      <c r="H1392" s="5" t="str">
        <f>IFERROR(__xludf.DUMMYFUNCTION("""COMPUTED_VALUE"""),"PAVIMENTADA")</f>
        <v>PAVIMENTADA</v>
      </c>
      <c r="I1392" s="6" t="str">
        <f>IFERROR(__xludf.DUMMYFUNCTION("""COMPUTED_VALUE"""),"-9.654026")</f>
        <v>-9.654026</v>
      </c>
      <c r="J1392" s="6" t="str">
        <f>IFERROR(__xludf.DUMMYFUNCTION("""COMPUTED_VALUE""")," -35.719110")</f>
        <v> -35.719110</v>
      </c>
      <c r="K1392" s="5" t="str">
        <f>IFERROR(__xludf.DUMMYFUNCTION("""COMPUTED_VALUE"""),"AV. DONA CONSTANÇA DE GOES MONTEIRO")</f>
        <v>AV. DONA CONSTANÇA DE GOES MONTEIRO</v>
      </c>
      <c r="L1392" s="5" t="str">
        <f>IFERROR(__xludf.DUMMYFUNCTION("""COMPUTED_VALUE"""),"COLETORA")</f>
        <v>COLETORA</v>
      </c>
      <c r="M1392" s="5" t="str">
        <f>IFERROR(__xludf.DUMMYFUNCTION("""COMPUTED_VALUE"""),"JATIÚCA")</f>
        <v>JATIÚCA</v>
      </c>
      <c r="N1392" s="5" t="str">
        <f>IFERROR(__xludf.DUMMYFUNCTION("""COMPUTED_VALUE"""),"BAIRRO - CENTRO")</f>
        <v>BAIRRO - CENTRO</v>
      </c>
      <c r="O1392" s="5"/>
      <c r="P1392" s="5" t="str">
        <f>IFERROR(__xludf.DUMMYFUNCTION("""COMPUTED_VALUE"""),"PRIORIDADE MÉDIA")</f>
        <v>PRIORIDADE MÉDIA</v>
      </c>
      <c r="Q1392" s="5"/>
      <c r="R1392" s="5" t="str">
        <f>IFERROR(__xludf.DUMMYFUNCTION("""COMPUTED_VALUE"""),"NENHUMA DAS OPÇÕES")</f>
        <v>NENHUMA DAS OPÇÕES</v>
      </c>
      <c r="S1392" s="5"/>
      <c r="T1392" s="5"/>
      <c r="U1392" s="5"/>
      <c r="V1392" s="9" t="str">
        <f>IFERROR(__xludf.DUMMYFUNCTION("""COMPUTED_VALUE"""),"https://drive.google.com/uc?id=1znJthYa3S4Tl7jqqJFIeUhR_n2i2VbGE")</f>
        <v>https://drive.google.com/uc?id=1znJthYa3S4Tl7jqqJFIeUhR_n2i2VbGE</v>
      </c>
      <c r="W1392" s="5" t="str">
        <f>IFERROR(__xludf.DUMMYFUNCTION("""COMPUTED_VALUE"""),"NÃO")</f>
        <v>NÃO</v>
      </c>
      <c r="X1392" s="5" t="str">
        <f>IFERROR(__xludf.DUMMYFUNCTION("""COMPUTED_VALUE"""),"NÃO SE APLICA")</f>
        <v>NÃO SE APLICA</v>
      </c>
    </row>
    <row r="1393">
      <c r="A1393" s="5">
        <f>IFERROR(__xludf.DUMMYFUNCTION("""COMPUTED_VALUE"""),1.0)</f>
        <v>1</v>
      </c>
      <c r="B1393" s="5" t="str">
        <f>IFERROR(__xludf.DUMMYFUNCTION("""COMPUTED_VALUE"""),"JT14")</f>
        <v>JT14</v>
      </c>
      <c r="C1393" s="5" t="str">
        <f>IFERROR(__xludf.DUMMYFUNCTION("""COMPUTED_VALUE"""),"ABRIGO METÁLICO PEQUENO PORTE")</f>
        <v>ABRIGO METÁLICO PEQUENO PORTE</v>
      </c>
      <c r="D1393" s="5" t="str">
        <f>IFERROR(__xludf.DUMMYFUNCTION("""COMPUTED_VALUE"""),"SEM PLACA")</f>
        <v>SEM PLACA</v>
      </c>
      <c r="E1393" s="5" t="str">
        <f>IFERROR(__xludf.DUMMYFUNCTION("""COMPUTED_VALUE"""),"SEM BAIA")</f>
        <v>SEM BAIA</v>
      </c>
      <c r="F1393" s="5" t="str">
        <f>IFERROR(__xludf.DUMMYFUNCTION("""COMPUTED_VALUE"""),"NÃO")</f>
        <v>NÃO</v>
      </c>
      <c r="G1393" s="5" t="str">
        <f>IFERROR(__xludf.DUMMYFUNCTION("""COMPUTED_VALUE"""),"NÃO")</f>
        <v>NÃO</v>
      </c>
      <c r="H1393" s="5" t="str">
        <f>IFERROR(__xludf.DUMMYFUNCTION("""COMPUTED_VALUE"""),"PAVIMENTADA COM AVARIAS")</f>
        <v>PAVIMENTADA COM AVARIAS</v>
      </c>
      <c r="I1393" s="6" t="str">
        <f>IFERROR(__xludf.DUMMYFUNCTION("""COMPUTED_VALUE"""),"-9.653341")</f>
        <v>-9.653341</v>
      </c>
      <c r="J1393" s="6" t="str">
        <f>IFERROR(__xludf.DUMMYFUNCTION("""COMPUTED_VALUE"""),"-35.716586")</f>
        <v>-35.716586</v>
      </c>
      <c r="K1393" s="5" t="str">
        <f>IFERROR(__xludf.DUMMYFUNCTION("""COMPUTED_VALUE"""),"AV. DR. JÚLIO MARQUES LUZ")</f>
        <v>AV. DR. JÚLIO MARQUES LUZ</v>
      </c>
      <c r="L1393" s="5" t="str">
        <f>IFERROR(__xludf.DUMMYFUNCTION("""COMPUTED_VALUE"""),"COLETORA")</f>
        <v>COLETORA</v>
      </c>
      <c r="M1393" s="5" t="str">
        <f>IFERROR(__xludf.DUMMYFUNCTION("""COMPUTED_VALUE"""),"JATIÚCA")</f>
        <v>JATIÚCA</v>
      </c>
      <c r="N1393" s="5" t="str">
        <f>IFERROR(__xludf.DUMMYFUNCTION("""COMPUTED_VALUE"""),"BAIRRO - CENTRO")</f>
        <v>BAIRRO - CENTRO</v>
      </c>
      <c r="O1393" s="5"/>
      <c r="P1393" s="5" t="str">
        <f>IFERROR(__xludf.DUMMYFUNCTION("""COMPUTED_VALUE"""),"PRIORIDADE MÉDIA")</f>
        <v>PRIORIDADE MÉDIA</v>
      </c>
      <c r="Q1393" s="5"/>
      <c r="R1393" s="5" t="str">
        <f>IFERROR(__xludf.DUMMYFUNCTION("""COMPUTED_VALUE"""),"SUBSTITUIR ABRIGO")</f>
        <v>SUBSTITUIR ABRIGO</v>
      </c>
      <c r="S1393" s="5"/>
      <c r="T1393" s="5"/>
      <c r="U1393" s="5"/>
      <c r="V1393" s="9" t="str">
        <f>IFERROR(__xludf.DUMMYFUNCTION("""COMPUTED_VALUE"""),"https://drive.google.com/uc?id=1tCX4XwK3CwBXuB0RAwbtJ-r84x-BSa29")</f>
        <v>https://drive.google.com/uc?id=1tCX4XwK3CwBXuB0RAwbtJ-r84x-BSa29</v>
      </c>
      <c r="W1393" s="5" t="str">
        <f>IFERROR(__xludf.DUMMYFUNCTION("""COMPUTED_VALUE"""),"NÃO")</f>
        <v>NÃO</v>
      </c>
      <c r="X1393" s="5" t="str">
        <f>IFERROR(__xludf.DUMMYFUNCTION("""COMPUTED_VALUE"""),"NÃO")</f>
        <v>NÃO</v>
      </c>
    </row>
    <row r="1394">
      <c r="A1394" s="5">
        <f>IFERROR(__xludf.DUMMYFUNCTION("""COMPUTED_VALUE"""),1.0)</f>
        <v>1</v>
      </c>
      <c r="B1394" s="5" t="str">
        <f>IFERROR(__xludf.DUMMYFUNCTION("""COMPUTED_VALUE"""),"JT15")</f>
        <v>JT15</v>
      </c>
      <c r="C1394" s="5" t="str">
        <f>IFERROR(__xludf.DUMMYFUNCTION("""COMPUTED_VALUE"""),"ABRIGO METÁLICO PEQUENO PORTE")</f>
        <v>ABRIGO METÁLICO PEQUENO PORTE</v>
      </c>
      <c r="D1394" s="5" t="str">
        <f>IFERROR(__xludf.DUMMYFUNCTION("""COMPUTED_VALUE"""),"SEM PLACA")</f>
        <v>SEM PLACA</v>
      </c>
      <c r="E1394" s="5" t="str">
        <f>IFERROR(__xludf.DUMMYFUNCTION("""COMPUTED_VALUE"""),"SEM BAIA")</f>
        <v>SEM BAIA</v>
      </c>
      <c r="F1394" s="5" t="str">
        <f>IFERROR(__xludf.DUMMYFUNCTION("""COMPUTED_VALUE"""),"NÃO")</f>
        <v>NÃO</v>
      </c>
      <c r="G1394" s="5" t="str">
        <f>IFERROR(__xludf.DUMMYFUNCTION("""COMPUTED_VALUE"""),"NÃO")</f>
        <v>NÃO</v>
      </c>
      <c r="H1394" s="5" t="str">
        <f>IFERROR(__xludf.DUMMYFUNCTION("""COMPUTED_VALUE"""),"PAVIMENTADA")</f>
        <v>PAVIMENTADA</v>
      </c>
      <c r="I1394" s="6" t="str">
        <f>IFERROR(__xludf.DUMMYFUNCTION("""COMPUTED_VALUE"""),"-9.653326")</f>
        <v>-9.653326</v>
      </c>
      <c r="J1394" s="6" t="str">
        <f>IFERROR(__xludf.DUMMYFUNCTION("""COMPUTED_VALUE"""),"-35.714683")</f>
        <v>-35.714683</v>
      </c>
      <c r="K1394" s="5" t="str">
        <f>IFERROR(__xludf.DUMMYFUNCTION("""COMPUTED_VALUE"""),"AV. DR. JÚLIO MARQUES LUZ")</f>
        <v>AV. DR. JÚLIO MARQUES LUZ</v>
      </c>
      <c r="L1394" s="5" t="str">
        <f>IFERROR(__xludf.DUMMYFUNCTION("""COMPUTED_VALUE"""),"COLETORA")</f>
        <v>COLETORA</v>
      </c>
      <c r="M1394" s="5" t="str">
        <f>IFERROR(__xludf.DUMMYFUNCTION("""COMPUTED_VALUE"""),"JATIÚCA")</f>
        <v>JATIÚCA</v>
      </c>
      <c r="N1394" s="5" t="str">
        <f>IFERROR(__xludf.DUMMYFUNCTION("""COMPUTED_VALUE"""),"BAIRRO - CENTRO")</f>
        <v>BAIRRO - CENTRO</v>
      </c>
      <c r="O1394" s="5"/>
      <c r="P1394" s="5" t="str">
        <f>IFERROR(__xludf.DUMMYFUNCTION("""COMPUTED_VALUE"""),"PRIORIDADE MÉDIA")</f>
        <v>PRIORIDADE MÉDIA</v>
      </c>
      <c r="Q1394" s="5"/>
      <c r="R1394" s="5" t="str">
        <f>IFERROR(__xludf.DUMMYFUNCTION("""COMPUTED_VALUE"""),"SUBSTITUIR ABRIGO")</f>
        <v>SUBSTITUIR ABRIGO</v>
      </c>
      <c r="S1394" s="5"/>
      <c r="T1394" s="5"/>
      <c r="U1394" s="5"/>
      <c r="V1394" s="9" t="str">
        <f>IFERROR(__xludf.DUMMYFUNCTION("""COMPUTED_VALUE"""),"https://drive.google.com/uc?id=13IlmPulyqcwpAlgsNcT2uA_6oLDhZkub")</f>
        <v>https://drive.google.com/uc?id=13IlmPulyqcwpAlgsNcT2uA_6oLDhZkub</v>
      </c>
      <c r="W1394" s="5" t="str">
        <f>IFERROR(__xludf.DUMMYFUNCTION("""COMPUTED_VALUE"""),"NÃO")</f>
        <v>NÃO</v>
      </c>
      <c r="X1394" s="5" t="str">
        <f>IFERROR(__xludf.DUMMYFUNCTION("""COMPUTED_VALUE"""),"NÃO")</f>
        <v>NÃO</v>
      </c>
    </row>
    <row r="1395" hidden="1">
      <c r="A1395" s="5">
        <f>IFERROR(__xludf.DUMMYFUNCTION("""COMPUTED_VALUE"""),1.0)</f>
        <v>1</v>
      </c>
      <c r="B1395" s="5" t="str">
        <f>IFERROR(__xludf.DUMMYFUNCTION("""COMPUTED_VALUE"""),"JT16")</f>
        <v>JT16</v>
      </c>
      <c r="C1395" s="5" t="str">
        <f>IFERROR(__xludf.DUMMYFUNCTION("""COMPUTED_VALUE"""),"NÃO POSSUI")</f>
        <v>NÃO POSSUI</v>
      </c>
      <c r="D1395" s="5" t="str">
        <f>IFERROR(__xludf.DUMMYFUNCTION("""COMPUTED_VALUE"""),"COM SUPORTE")</f>
        <v>COM SUPORTE</v>
      </c>
      <c r="E1395" s="5" t="str">
        <f>IFERROR(__xludf.DUMMYFUNCTION("""COMPUTED_VALUE"""),"SEM BAIA")</f>
        <v>SEM BAIA</v>
      </c>
      <c r="F1395" s="5" t="str">
        <f>IFERROR(__xludf.DUMMYFUNCTION("""COMPUTED_VALUE"""),"NÃO")</f>
        <v>NÃO</v>
      </c>
      <c r="G1395" s="5" t="str">
        <f>IFERROR(__xludf.DUMMYFUNCTION("""COMPUTED_VALUE"""),"NÃO")</f>
        <v>NÃO</v>
      </c>
      <c r="H1395" s="5" t="str">
        <f>IFERROR(__xludf.DUMMYFUNCTION("""COMPUTED_VALUE"""),"PAVIMENTADA")</f>
        <v>PAVIMENTADA</v>
      </c>
      <c r="I1395" s="6" t="str">
        <f>IFERROR(__xludf.DUMMYFUNCTION("""COMPUTED_VALUE"""),"-9.653267")</f>
        <v>-9.653267</v>
      </c>
      <c r="J1395" s="6" t="str">
        <f>IFERROR(__xludf.DUMMYFUNCTION("""COMPUTED_VALUE"""),"-35.711577")</f>
        <v>-35.711577</v>
      </c>
      <c r="K1395" s="5" t="str">
        <f>IFERROR(__xludf.DUMMYFUNCTION("""COMPUTED_VALUE"""),"AV. DR. JÚLIO MARQUES LUZ")</f>
        <v>AV. DR. JÚLIO MARQUES LUZ</v>
      </c>
      <c r="L1395" s="5" t="str">
        <f>IFERROR(__xludf.DUMMYFUNCTION("""COMPUTED_VALUE"""),"COLETORA")</f>
        <v>COLETORA</v>
      </c>
      <c r="M1395" s="5" t="str">
        <f>IFERROR(__xludf.DUMMYFUNCTION("""COMPUTED_VALUE"""),"JATIÚCA")</f>
        <v>JATIÚCA</v>
      </c>
      <c r="N1395" s="5" t="str">
        <f>IFERROR(__xludf.DUMMYFUNCTION("""COMPUTED_VALUE"""),"BAIRRO - CENTRO")</f>
        <v>BAIRRO - CENTRO</v>
      </c>
      <c r="O1395" s="5"/>
      <c r="P1395" s="5" t="str">
        <f>IFERROR(__xludf.DUMMYFUNCTION("""COMPUTED_VALUE"""),"PRIORIDADE MÉDIA")</f>
        <v>PRIORIDADE MÉDIA</v>
      </c>
      <c r="Q1395" s="5"/>
      <c r="R1395" s="5" t="str">
        <f>IFERROR(__xludf.DUMMYFUNCTION("""COMPUTED_VALUE"""),"NENHUMA DAS OPÇÕES")</f>
        <v>NENHUMA DAS OPÇÕES</v>
      </c>
      <c r="S1395" s="5"/>
      <c r="T1395" s="5"/>
      <c r="U1395" s="5"/>
      <c r="V1395" s="9" t="str">
        <f>IFERROR(__xludf.DUMMYFUNCTION("""COMPUTED_VALUE"""),"https://drive.google.com/uc?id=1VolIAa25hLUB2se-0v12jIt0ACltPOMk")</f>
        <v>https://drive.google.com/uc?id=1VolIAa25hLUB2se-0v12jIt0ACltPOMk</v>
      </c>
      <c r="W1395" s="5" t="str">
        <f>IFERROR(__xludf.DUMMYFUNCTION("""COMPUTED_VALUE"""),"NÃO")</f>
        <v>NÃO</v>
      </c>
      <c r="X1395" s="5" t="str">
        <f>IFERROR(__xludf.DUMMYFUNCTION("""COMPUTED_VALUE"""),"NÃO SE APLICA")</f>
        <v>NÃO SE APLICA</v>
      </c>
    </row>
    <row r="1396" hidden="1">
      <c r="A1396" s="5">
        <f>IFERROR(__xludf.DUMMYFUNCTION("""COMPUTED_VALUE"""),1.0)</f>
        <v>1</v>
      </c>
      <c r="B1396" s="5" t="str">
        <f>IFERROR(__xludf.DUMMYFUNCTION("""COMPUTED_VALUE"""),"JT17")</f>
        <v>JT17</v>
      </c>
      <c r="C1396" s="5" t="str">
        <f>IFERROR(__xludf.DUMMYFUNCTION("""COMPUTED_VALUE"""),"NÃO POSSUI")</f>
        <v>NÃO POSSUI</v>
      </c>
      <c r="D1396" s="5" t="str">
        <f>IFERROR(__xludf.DUMMYFUNCTION("""COMPUTED_VALUE"""),"COM SUPORTE")</f>
        <v>COM SUPORTE</v>
      </c>
      <c r="E1396" s="5" t="str">
        <f>IFERROR(__xludf.DUMMYFUNCTION("""COMPUTED_VALUE"""),"SEM BAIA")</f>
        <v>SEM BAIA</v>
      </c>
      <c r="F1396" s="5" t="str">
        <f>IFERROR(__xludf.DUMMYFUNCTION("""COMPUTED_VALUE"""),"NÃO")</f>
        <v>NÃO</v>
      </c>
      <c r="G1396" s="5" t="str">
        <f>IFERROR(__xludf.DUMMYFUNCTION("""COMPUTED_VALUE"""),"NÃO")</f>
        <v>NÃO</v>
      </c>
      <c r="H1396" s="5" t="str">
        <f>IFERROR(__xludf.DUMMYFUNCTION("""COMPUTED_VALUE"""),"PAVIMENTADA")</f>
        <v>PAVIMENTADA</v>
      </c>
      <c r="I1396" s="6" t="str">
        <f>IFERROR(__xludf.DUMMYFUNCTION("""COMPUTED_VALUE"""),"-9.653323")</f>
        <v>-9.653323</v>
      </c>
      <c r="J1396" s="6" t="str">
        <f>IFERROR(__xludf.DUMMYFUNCTION("""COMPUTED_VALUE"""),"-35.707489")</f>
        <v>-35.707489</v>
      </c>
      <c r="K1396" s="5" t="str">
        <f>IFERROR(__xludf.DUMMYFUNCTION("""COMPUTED_VALUE"""),"AV. DR. JÚLIO MARQUES LUZ")</f>
        <v>AV. DR. JÚLIO MARQUES LUZ</v>
      </c>
      <c r="L1396" s="5" t="str">
        <f>IFERROR(__xludf.DUMMYFUNCTION("""COMPUTED_VALUE"""),"COLETORA")</f>
        <v>COLETORA</v>
      </c>
      <c r="M1396" s="5" t="str">
        <f>IFERROR(__xludf.DUMMYFUNCTION("""COMPUTED_VALUE"""),"JATIÚCA")</f>
        <v>JATIÚCA</v>
      </c>
      <c r="N1396" s="5" t="str">
        <f>IFERROR(__xludf.DUMMYFUNCTION("""COMPUTED_VALUE"""),"BAIRRO - CENTRO")</f>
        <v>BAIRRO - CENTRO</v>
      </c>
      <c r="O1396" s="5"/>
      <c r="P1396" s="5" t="str">
        <f>IFERROR(__xludf.DUMMYFUNCTION("""COMPUTED_VALUE"""),"PRIORIDADE MÉDIA")</f>
        <v>PRIORIDADE MÉDIA</v>
      </c>
      <c r="Q1396" s="5"/>
      <c r="R1396" s="5" t="str">
        <f>IFERROR(__xludf.DUMMYFUNCTION("""COMPUTED_VALUE"""),"NENHUMA DAS OPÇÕES")</f>
        <v>NENHUMA DAS OPÇÕES</v>
      </c>
      <c r="S1396" s="5"/>
      <c r="T1396" s="5"/>
      <c r="U1396" s="5"/>
      <c r="V1396" s="9" t="str">
        <f>IFERROR(__xludf.DUMMYFUNCTION("""COMPUTED_VALUE"""),"https://drive.google.com/uc?id=16kKFheMpXfRlSUEA8MFO14DbyLxDAy7j")</f>
        <v>https://drive.google.com/uc?id=16kKFheMpXfRlSUEA8MFO14DbyLxDAy7j</v>
      </c>
      <c r="W1396" s="5" t="str">
        <f>IFERROR(__xludf.DUMMYFUNCTION("""COMPUTED_VALUE"""),"NÃO")</f>
        <v>NÃO</v>
      </c>
      <c r="X1396" s="5" t="str">
        <f>IFERROR(__xludf.DUMMYFUNCTION("""COMPUTED_VALUE"""),"NÃO SE APLICA")</f>
        <v>NÃO SE APLICA</v>
      </c>
    </row>
    <row r="1397" hidden="1">
      <c r="A1397" s="5">
        <f>IFERROR(__xludf.DUMMYFUNCTION("""COMPUTED_VALUE"""),1.0)</f>
        <v>1</v>
      </c>
      <c r="B1397" s="5" t="str">
        <f>IFERROR(__xludf.DUMMYFUNCTION("""COMPUTED_VALUE"""),"JT18")</f>
        <v>JT18</v>
      </c>
      <c r="C1397" s="5" t="str">
        <f>IFERROR(__xludf.DUMMYFUNCTION("""COMPUTED_VALUE"""),"NÃO POSSUI")</f>
        <v>NÃO POSSUI</v>
      </c>
      <c r="D1397" s="5" t="str">
        <f>IFERROR(__xludf.DUMMYFUNCTION("""COMPUTED_VALUE"""),"COM SUPORTE")</f>
        <v>COM SUPORTE</v>
      </c>
      <c r="E1397" s="5" t="str">
        <f>IFERROR(__xludf.DUMMYFUNCTION("""COMPUTED_VALUE"""),"SEM BAIA")</f>
        <v>SEM BAIA</v>
      </c>
      <c r="F1397" s="5" t="str">
        <f>IFERROR(__xludf.DUMMYFUNCTION("""COMPUTED_VALUE"""),"NÃO")</f>
        <v>NÃO</v>
      </c>
      <c r="G1397" s="5" t="str">
        <f>IFERROR(__xludf.DUMMYFUNCTION("""COMPUTED_VALUE"""),"NÃO")</f>
        <v>NÃO</v>
      </c>
      <c r="H1397" s="5" t="str">
        <f>IFERROR(__xludf.DUMMYFUNCTION("""COMPUTED_VALUE"""),"PAVIMENTADA COM AVARIAS")</f>
        <v>PAVIMENTADA COM AVARIAS</v>
      </c>
      <c r="I1397" s="6" t="str">
        <f>IFERROR(__xludf.DUMMYFUNCTION("""COMPUTED_VALUE"""),"-9.653331")</f>
        <v>-9.653331</v>
      </c>
      <c r="J1397" s="6" t="str">
        <f>IFERROR(__xludf.DUMMYFUNCTION("""COMPUTED_VALUE"""),"-35.701376")</f>
        <v>-35.701376</v>
      </c>
      <c r="K1397" s="5" t="str">
        <f>IFERROR(__xludf.DUMMYFUNCTION("""COMPUTED_VALUE"""),"AV. DR. JÚLIO MARQUES LUZ")</f>
        <v>AV. DR. JÚLIO MARQUES LUZ</v>
      </c>
      <c r="L1397" s="5" t="str">
        <f>IFERROR(__xludf.DUMMYFUNCTION("""COMPUTED_VALUE"""),"COLETORA")</f>
        <v>COLETORA</v>
      </c>
      <c r="M1397" s="5" t="str">
        <f>IFERROR(__xludf.DUMMYFUNCTION("""COMPUTED_VALUE"""),"JATIÚCA")</f>
        <v>JATIÚCA</v>
      </c>
      <c r="N1397" s="5" t="str">
        <f>IFERROR(__xludf.DUMMYFUNCTION("""COMPUTED_VALUE"""),"BAIRRO - CENTRO")</f>
        <v>BAIRRO - CENTRO</v>
      </c>
      <c r="O1397" s="5"/>
      <c r="P1397" s="5" t="str">
        <f>IFERROR(__xludf.DUMMYFUNCTION("""COMPUTED_VALUE"""),"PRIORIDADE MÉDIA")</f>
        <v>PRIORIDADE MÉDIA</v>
      </c>
      <c r="Q1397" s="5"/>
      <c r="R1397" s="5" t="str">
        <f>IFERROR(__xludf.DUMMYFUNCTION("""COMPUTED_VALUE"""),"NENHUMA DAS OPÇÕES")</f>
        <v>NENHUMA DAS OPÇÕES</v>
      </c>
      <c r="S1397" s="5"/>
      <c r="T1397" s="5"/>
      <c r="U1397" s="5"/>
      <c r="V1397" s="9" t="str">
        <f>IFERROR(__xludf.DUMMYFUNCTION("""COMPUTED_VALUE"""),"https://drive.google.com/uc?id=17oOpAiZYRPqq3H_5bQisC9-J3JWHO0rp")</f>
        <v>https://drive.google.com/uc?id=17oOpAiZYRPqq3H_5bQisC9-J3JWHO0rp</v>
      </c>
      <c r="W1397" s="5" t="str">
        <f>IFERROR(__xludf.DUMMYFUNCTION("""COMPUTED_VALUE"""),"NÃO")</f>
        <v>NÃO</v>
      </c>
      <c r="X1397" s="5" t="str">
        <f>IFERROR(__xludf.DUMMYFUNCTION("""COMPUTED_VALUE"""),"NÃO SE APLICA")</f>
        <v>NÃO SE APLICA</v>
      </c>
    </row>
    <row r="1398">
      <c r="A1398" s="5">
        <f>IFERROR(__xludf.DUMMYFUNCTION("""COMPUTED_VALUE"""),1.0)</f>
        <v>1</v>
      </c>
      <c r="B1398" s="5" t="str">
        <f>IFERROR(__xludf.DUMMYFUNCTION("""COMPUTED_VALUE"""),"JT19")</f>
        <v>JT19</v>
      </c>
      <c r="C1398" s="5" t="str">
        <f>IFERROR(__xludf.DUMMYFUNCTION("""COMPUTED_VALUE"""),"ABRIGO METÁLICO PEQUENO PORTE")</f>
        <v>ABRIGO METÁLICO PEQUENO PORTE</v>
      </c>
      <c r="D1398" s="5" t="str">
        <f>IFERROR(__xludf.DUMMYFUNCTION("""COMPUTED_VALUE"""),"SEM PLACA")</f>
        <v>SEM PLACA</v>
      </c>
      <c r="E1398" s="5" t="str">
        <f>IFERROR(__xludf.DUMMYFUNCTION("""COMPUTED_VALUE"""),"SEM BAIA")</f>
        <v>SEM BAIA</v>
      </c>
      <c r="F1398" s="5" t="str">
        <f>IFERROR(__xludf.DUMMYFUNCTION("""COMPUTED_VALUE"""),"NÃO")</f>
        <v>NÃO</v>
      </c>
      <c r="G1398" s="5" t="str">
        <f>IFERROR(__xludf.DUMMYFUNCTION("""COMPUTED_VALUE"""),"NÃO")</f>
        <v>NÃO</v>
      </c>
      <c r="H1398" s="5" t="str">
        <f>IFERROR(__xludf.DUMMYFUNCTION("""COMPUTED_VALUE"""),"PAVIMENTADA")</f>
        <v>PAVIMENTADA</v>
      </c>
      <c r="I1398" s="6" t="str">
        <f>IFERROR(__xludf.DUMMYFUNCTION("""COMPUTED_VALUE"""),"-9.651240")</f>
        <v>-9.651240</v>
      </c>
      <c r="J1398" s="6" t="str">
        <f>IFERROR(__xludf.DUMMYFUNCTION("""COMPUTED_VALUE"""),"-35.711575")</f>
        <v>-35.711575</v>
      </c>
      <c r="K1398" s="5" t="str">
        <f>IFERROR(__xludf.DUMMYFUNCTION("""COMPUTED_VALUE"""),"AV. DR. ANTÔNIO GOMES DE BARROS")</f>
        <v>AV. DR. ANTÔNIO GOMES DE BARROS</v>
      </c>
      <c r="L1398" s="5" t="str">
        <f>IFERROR(__xludf.DUMMYFUNCTION("""COMPUTED_VALUE"""),"COLETORA")</f>
        <v>COLETORA</v>
      </c>
      <c r="M1398" s="5" t="str">
        <f>IFERROR(__xludf.DUMMYFUNCTION("""COMPUTED_VALUE"""),"JATIÚCA")</f>
        <v>JATIÚCA</v>
      </c>
      <c r="N1398" s="5" t="str">
        <f>IFERROR(__xludf.DUMMYFUNCTION("""COMPUTED_VALUE"""),"BAIRRO - CENTRO")</f>
        <v>BAIRRO - CENTRO</v>
      </c>
      <c r="O1398" s="5" t="str">
        <f>IFERROR(__xludf.DUMMYFUNCTION("""COMPUTED_VALUE"""),"CONJUNTO CASTELO BRANCO")</f>
        <v>CONJUNTO CASTELO BRANCO</v>
      </c>
      <c r="P1398" s="5" t="str">
        <f>IFERROR(__xludf.DUMMYFUNCTION("""COMPUTED_VALUE"""),"PRIORIDADE MÉDIA")</f>
        <v>PRIORIDADE MÉDIA</v>
      </c>
      <c r="Q1398" s="5"/>
      <c r="R1398" s="5" t="str">
        <f>IFERROR(__xludf.DUMMYFUNCTION("""COMPUTED_VALUE"""),"SUBSTITUIR ABRIGO")</f>
        <v>SUBSTITUIR ABRIGO</v>
      </c>
      <c r="S1398" s="5"/>
      <c r="T1398" s="5"/>
      <c r="U1398" s="5"/>
      <c r="V1398" s="9" t="str">
        <f>IFERROR(__xludf.DUMMYFUNCTION("""COMPUTED_VALUE"""),"https://drive.google.comuc/?id=1O0ierhshlBE-O7s0LrOqQRtnsG3e-tDC")</f>
        <v>https://drive.google.comuc/?id=1O0ierhshlBE-O7s0LrOqQRtnsG3e-tDC</v>
      </c>
      <c r="W1398" s="5" t="str">
        <f>IFERROR(__xludf.DUMMYFUNCTION("""COMPUTED_VALUE"""),"NÃO")</f>
        <v>NÃO</v>
      </c>
      <c r="X1398" s="5" t="str">
        <f>IFERROR(__xludf.DUMMYFUNCTION("""COMPUTED_VALUE"""),"SIM")</f>
        <v>SIM</v>
      </c>
    </row>
    <row r="1399">
      <c r="A1399" s="5">
        <f>IFERROR(__xludf.DUMMYFUNCTION("""COMPUTED_VALUE"""),1.0)</f>
        <v>1</v>
      </c>
      <c r="B1399" s="5" t="str">
        <f>IFERROR(__xludf.DUMMYFUNCTION("""COMPUTED_VALUE"""),"JT21")</f>
        <v>JT21</v>
      </c>
      <c r="C1399" s="5" t="str">
        <f>IFERROR(__xludf.DUMMYFUNCTION("""COMPUTED_VALUE"""),"ABRIGO METÁLICO PEQUENO PORTE")</f>
        <v>ABRIGO METÁLICO PEQUENO PORTE</v>
      </c>
      <c r="D1399" s="5" t="str">
        <f>IFERROR(__xludf.DUMMYFUNCTION("""COMPUTED_VALUE"""),"SEM PLACA")</f>
        <v>SEM PLACA</v>
      </c>
      <c r="E1399" s="5" t="str">
        <f>IFERROR(__xludf.DUMMYFUNCTION("""COMPUTED_VALUE"""),"SEM BAIA")</f>
        <v>SEM BAIA</v>
      </c>
      <c r="F1399" s="5" t="str">
        <f>IFERROR(__xludf.DUMMYFUNCTION("""COMPUTED_VALUE"""),"NÃO")</f>
        <v>NÃO</v>
      </c>
      <c r="G1399" s="5" t="str">
        <f>IFERROR(__xludf.DUMMYFUNCTION("""COMPUTED_VALUE"""),"NÃO")</f>
        <v>NÃO</v>
      </c>
      <c r="H1399" s="5" t="str">
        <f>IFERROR(__xludf.DUMMYFUNCTION("""COMPUTED_VALUE"""),"PAVIMENTADA COM AVARIAS")</f>
        <v>PAVIMENTADA COM AVARIAS</v>
      </c>
      <c r="I1399" s="6" t="str">
        <f>IFERROR(__xludf.DUMMYFUNCTION("""COMPUTED_VALUE"""),"-9.651104")</f>
        <v>-9.651104</v>
      </c>
      <c r="J1399" s="6" t="str">
        <f>IFERROR(__xludf.DUMMYFUNCTION("""COMPUTED_VALUE"""),"-35.714185")</f>
        <v>-35.714185</v>
      </c>
      <c r="K1399" s="5" t="str">
        <f>IFERROR(__xludf.DUMMYFUNCTION("""COMPUTED_VALUE"""),"AV. DR. ANTÔNIO GOMES DE BARROS")</f>
        <v>AV. DR. ANTÔNIO GOMES DE BARROS</v>
      </c>
      <c r="L1399" s="5" t="str">
        <f>IFERROR(__xludf.DUMMYFUNCTION("""COMPUTED_VALUE"""),"COLETORA")</f>
        <v>COLETORA</v>
      </c>
      <c r="M1399" s="5" t="str">
        <f>IFERROR(__xludf.DUMMYFUNCTION("""COMPUTED_VALUE"""),"JATIÚCA")</f>
        <v>JATIÚCA</v>
      </c>
      <c r="N1399" s="5" t="str">
        <f>IFERROR(__xludf.DUMMYFUNCTION("""COMPUTED_VALUE"""),"BAIRRO - CENTRO")</f>
        <v>BAIRRO - CENTRO</v>
      </c>
      <c r="O1399" s="5" t="str">
        <f>IFERROR(__xludf.DUMMYFUNCTION("""COMPUTED_VALUE"""),"EM FRENTE AO MENEZÃO PRAIA")</f>
        <v>EM FRENTE AO MENEZÃO PRAIA</v>
      </c>
      <c r="P1399" s="5" t="str">
        <f>IFERROR(__xludf.DUMMYFUNCTION("""COMPUTED_VALUE"""),"PRIORIDADE MÉDIA")</f>
        <v>PRIORIDADE MÉDIA</v>
      </c>
      <c r="Q1399" s="5"/>
      <c r="R1399" s="5" t="str">
        <f>IFERROR(__xludf.DUMMYFUNCTION("""COMPUTED_VALUE"""),"SUBSTITUIR ABRIGO")</f>
        <v>SUBSTITUIR ABRIGO</v>
      </c>
      <c r="S1399" s="5"/>
      <c r="T1399" s="5"/>
      <c r="U1399" s="5"/>
      <c r="V1399" s="9" t="str">
        <f>IFERROR(__xludf.DUMMYFUNCTION("""COMPUTED_VALUE"""),"https://drive.google.com/uc?id=1pd5r0RFW7qudDlueHa1soJddExJ6VH7H")</f>
        <v>https://drive.google.com/uc?id=1pd5r0RFW7qudDlueHa1soJddExJ6VH7H</v>
      </c>
      <c r="W1399" s="5" t="str">
        <f>IFERROR(__xludf.DUMMYFUNCTION("""COMPUTED_VALUE"""),"NÃO")</f>
        <v>NÃO</v>
      </c>
      <c r="X1399" s="5" t="str">
        <f>IFERROR(__xludf.DUMMYFUNCTION("""COMPUTED_VALUE"""),"SIM")</f>
        <v>SIM</v>
      </c>
    </row>
    <row r="1400">
      <c r="A1400" s="5">
        <f>IFERROR(__xludf.DUMMYFUNCTION("""COMPUTED_VALUE"""),1.0)</f>
        <v>1</v>
      </c>
      <c r="B1400" s="5" t="str">
        <f>IFERROR(__xludf.DUMMYFUNCTION("""COMPUTED_VALUE"""),"JT22")</f>
        <v>JT22</v>
      </c>
      <c r="C1400" s="5" t="str">
        <f>IFERROR(__xludf.DUMMYFUNCTION("""COMPUTED_VALUE"""),"ABRIGO METÁLICO PEQUENO PORTE")</f>
        <v>ABRIGO METÁLICO PEQUENO PORTE</v>
      </c>
      <c r="D1400" s="5" t="str">
        <f>IFERROR(__xludf.DUMMYFUNCTION("""COMPUTED_VALUE"""),"SEM PLACA")</f>
        <v>SEM PLACA</v>
      </c>
      <c r="E1400" s="5" t="str">
        <f>IFERROR(__xludf.DUMMYFUNCTION("""COMPUTED_VALUE"""),"SEM BAIA")</f>
        <v>SEM BAIA</v>
      </c>
      <c r="F1400" s="5" t="str">
        <f>IFERROR(__xludf.DUMMYFUNCTION("""COMPUTED_VALUE"""),"NÃO")</f>
        <v>NÃO</v>
      </c>
      <c r="G1400" s="5" t="str">
        <f>IFERROR(__xludf.DUMMYFUNCTION("""COMPUTED_VALUE"""),"NÃO")</f>
        <v>NÃO</v>
      </c>
      <c r="H1400" s="5" t="str">
        <f>IFERROR(__xludf.DUMMYFUNCTION("""COMPUTED_VALUE"""),"PAVIMENTADA COM AVARIAS")</f>
        <v>PAVIMENTADA COM AVARIAS</v>
      </c>
      <c r="I1400" s="6" t="str">
        <f>IFERROR(__xludf.DUMMYFUNCTION("""COMPUTED_VALUE"""),"-9.651259")</f>
        <v>-9.651259</v>
      </c>
      <c r="J1400" s="6" t="str">
        <f>IFERROR(__xludf.DUMMYFUNCTION("""COMPUTED_VALUE"""),"-35.709862")</f>
        <v>-35.709862</v>
      </c>
      <c r="K1400" s="5" t="str">
        <f>IFERROR(__xludf.DUMMYFUNCTION("""COMPUTED_VALUE"""),"AV. DR. ANTÔNIO GOMES DE BARROS")</f>
        <v>AV. DR. ANTÔNIO GOMES DE BARROS</v>
      </c>
      <c r="L1400" s="5" t="str">
        <f>IFERROR(__xludf.DUMMYFUNCTION("""COMPUTED_VALUE"""),"COLETORA")</f>
        <v>COLETORA</v>
      </c>
      <c r="M1400" s="5" t="str">
        <f>IFERROR(__xludf.DUMMYFUNCTION("""COMPUTED_VALUE"""),"JATIÚCA")</f>
        <v>JATIÚCA</v>
      </c>
      <c r="N1400" s="5" t="str">
        <f>IFERROR(__xludf.DUMMYFUNCTION("""COMPUTED_VALUE"""),"BAIRRO - CENTRO")</f>
        <v>BAIRRO - CENTRO</v>
      </c>
      <c r="O1400" s="5" t="str">
        <f>IFERROR(__xludf.DUMMYFUNCTION("""COMPUTED_VALUE"""),"CONJUNTO CASTELO BRANCO")</f>
        <v>CONJUNTO CASTELO BRANCO</v>
      </c>
      <c r="P1400" s="5" t="str">
        <f>IFERROR(__xludf.DUMMYFUNCTION("""COMPUTED_VALUE"""),"PRIORIDADE MÉDIA")</f>
        <v>PRIORIDADE MÉDIA</v>
      </c>
      <c r="Q1400" s="5"/>
      <c r="R1400" s="5" t="str">
        <f>IFERROR(__xludf.DUMMYFUNCTION("""COMPUTED_VALUE"""),"SUBSTITUIR ABRIGO")</f>
        <v>SUBSTITUIR ABRIGO</v>
      </c>
      <c r="S1400" s="5"/>
      <c r="T1400" s="5"/>
      <c r="U1400" s="5"/>
      <c r="V1400" s="9" t="str">
        <f>IFERROR(__xludf.DUMMYFUNCTION("""COMPUTED_VALUE"""),"https://drive.google.com/uc?id=1gGaG_wqUud7uLTwveaWGxV2XyO869fSJ")</f>
        <v>https://drive.google.com/uc?id=1gGaG_wqUud7uLTwveaWGxV2XyO869fSJ</v>
      </c>
      <c r="W1400" s="5" t="str">
        <f>IFERROR(__xludf.DUMMYFUNCTION("""COMPUTED_VALUE"""),"NÃO")</f>
        <v>NÃO</v>
      </c>
      <c r="X1400" s="5" t="str">
        <f>IFERROR(__xludf.DUMMYFUNCTION("""COMPUTED_VALUE"""),"SIM")</f>
        <v>SIM</v>
      </c>
    </row>
    <row r="1401">
      <c r="A1401" s="5">
        <f>IFERROR(__xludf.DUMMYFUNCTION("""COMPUTED_VALUE"""),1.0)</f>
        <v>1</v>
      </c>
      <c r="B1401" s="5" t="str">
        <f>IFERROR(__xludf.DUMMYFUNCTION("""COMPUTED_VALUE"""),"JT23")</f>
        <v>JT23</v>
      </c>
      <c r="C1401" s="5" t="str">
        <f>IFERROR(__xludf.DUMMYFUNCTION("""COMPUTED_VALUE"""),"ABRIGO METÁLICO PEQUENO PORTE")</f>
        <v>ABRIGO METÁLICO PEQUENO PORTE</v>
      </c>
      <c r="D1401" s="5" t="str">
        <f>IFERROR(__xludf.DUMMYFUNCTION("""COMPUTED_VALUE"""),"SEM PLACA")</f>
        <v>SEM PLACA</v>
      </c>
      <c r="E1401" s="5" t="str">
        <f>IFERROR(__xludf.DUMMYFUNCTION("""COMPUTED_VALUE"""),"SEM BAIA")</f>
        <v>SEM BAIA</v>
      </c>
      <c r="F1401" s="5" t="str">
        <f>IFERROR(__xludf.DUMMYFUNCTION("""COMPUTED_VALUE"""),"NÃO")</f>
        <v>NÃO</v>
      </c>
      <c r="G1401" s="5" t="str">
        <f>IFERROR(__xludf.DUMMYFUNCTION("""COMPUTED_VALUE"""),"NÃO")</f>
        <v>NÃO</v>
      </c>
      <c r="H1401" s="5" t="str">
        <f>IFERROR(__xludf.DUMMYFUNCTION("""COMPUTED_VALUE"""),"PAVIMENTADA")</f>
        <v>PAVIMENTADA</v>
      </c>
      <c r="I1401" s="6" t="str">
        <f>IFERROR(__xludf.DUMMYFUNCTION("""COMPUTED_VALUE"""),"-9.651280")</f>
        <v>-9.651280</v>
      </c>
      <c r="J1401" s="6" t="str">
        <f>IFERROR(__xludf.DUMMYFUNCTION("""COMPUTED_VALUE"""),"-35.707498")</f>
        <v>-35.707498</v>
      </c>
      <c r="K1401" s="5" t="str">
        <f>IFERROR(__xludf.DUMMYFUNCTION("""COMPUTED_VALUE"""),"AV. DR. ANTÔNIO GOMES DE BARROS")</f>
        <v>AV. DR. ANTÔNIO GOMES DE BARROS</v>
      </c>
      <c r="L1401" s="5" t="str">
        <f>IFERROR(__xludf.DUMMYFUNCTION("""COMPUTED_VALUE"""),"COLETORA")</f>
        <v>COLETORA</v>
      </c>
      <c r="M1401" s="5" t="str">
        <f>IFERROR(__xludf.DUMMYFUNCTION("""COMPUTED_VALUE"""),"JATIÚCA")</f>
        <v>JATIÚCA</v>
      </c>
      <c r="N1401" s="5" t="str">
        <f>IFERROR(__xludf.DUMMYFUNCTION("""COMPUTED_VALUE"""),"BAIRRO - CENTRO")</f>
        <v>BAIRRO - CENTRO</v>
      </c>
      <c r="O1401" s="5" t="str">
        <f>IFERROR(__xludf.DUMMYFUNCTION("""COMPUTED_VALUE"""),"EM FRENTE A AAPPE")</f>
        <v>EM FRENTE A AAPPE</v>
      </c>
      <c r="P1401" s="5" t="str">
        <f>IFERROR(__xludf.DUMMYFUNCTION("""COMPUTED_VALUE"""),"PRIORIDADE MÉDIA")</f>
        <v>PRIORIDADE MÉDIA</v>
      </c>
      <c r="Q1401" s="5"/>
      <c r="R1401" s="5" t="str">
        <f>IFERROR(__xludf.DUMMYFUNCTION("""COMPUTED_VALUE"""),"SUBSTITUIR ABRIGO")</f>
        <v>SUBSTITUIR ABRIGO</v>
      </c>
      <c r="S1401" s="5"/>
      <c r="T1401" s="5"/>
      <c r="U1401" s="5"/>
      <c r="V1401" s="9" t="str">
        <f>IFERROR(__xludf.DUMMYFUNCTION("""COMPUTED_VALUE"""),"https://drive.google.com/uc?id=1ZMcmsb-Pdl4fofRF5PGnpDdXDJCAF2c-")</f>
        <v>https://drive.google.com/uc?id=1ZMcmsb-Pdl4fofRF5PGnpDdXDJCAF2c-</v>
      </c>
      <c r="W1401" s="5" t="str">
        <f>IFERROR(__xludf.DUMMYFUNCTION("""COMPUTED_VALUE"""),"NÃO")</f>
        <v>NÃO</v>
      </c>
      <c r="X1401" s="5" t="str">
        <f>IFERROR(__xludf.DUMMYFUNCTION("""COMPUTED_VALUE"""),"NÃO")</f>
        <v>NÃO</v>
      </c>
    </row>
    <row r="1402">
      <c r="A1402" s="5">
        <f>IFERROR(__xludf.DUMMYFUNCTION("""COMPUTED_VALUE"""),1.0)</f>
        <v>1</v>
      </c>
      <c r="B1402" s="5" t="str">
        <f>IFERROR(__xludf.DUMMYFUNCTION("""COMPUTED_VALUE"""),"JT24")</f>
        <v>JT24</v>
      </c>
      <c r="C1402" s="5" t="str">
        <f>IFERROR(__xludf.DUMMYFUNCTION("""COMPUTED_VALUE"""),"ABRIGO METÁLICO PEQUENO PORTE")</f>
        <v>ABRIGO METÁLICO PEQUENO PORTE</v>
      </c>
      <c r="D1402" s="5" t="str">
        <f>IFERROR(__xludf.DUMMYFUNCTION("""COMPUTED_VALUE"""),"FIXADA EM POSTE")</f>
        <v>FIXADA EM POSTE</v>
      </c>
      <c r="E1402" s="5" t="str">
        <f>IFERROR(__xludf.DUMMYFUNCTION("""COMPUTED_VALUE"""),"SEM BAIA")</f>
        <v>SEM BAIA</v>
      </c>
      <c r="F1402" s="5" t="str">
        <f>IFERROR(__xludf.DUMMYFUNCTION("""COMPUTED_VALUE"""),"NÃO")</f>
        <v>NÃO</v>
      </c>
      <c r="G1402" s="5" t="str">
        <f>IFERROR(__xludf.DUMMYFUNCTION("""COMPUTED_VALUE"""),"NÃO")</f>
        <v>NÃO</v>
      </c>
      <c r="H1402" s="5" t="str">
        <f>IFERROR(__xludf.DUMMYFUNCTION("""COMPUTED_VALUE"""),"PAVIMENTADA")</f>
        <v>PAVIMENTADA</v>
      </c>
      <c r="I1402" s="6" t="str">
        <f>IFERROR(__xludf.DUMMYFUNCTION("""COMPUTED_VALUE"""),"-9.651163")</f>
        <v>-9.651163</v>
      </c>
      <c r="J1402" s="6" t="str">
        <f>IFERROR(__xludf.DUMMYFUNCTION("""COMPUTED_VALUE"""),"-35.706325")</f>
        <v>-35.706325</v>
      </c>
      <c r="K1402" s="5" t="str">
        <f>IFERROR(__xludf.DUMMYFUNCTION("""COMPUTED_VALUE"""),"AV. DR. ANTÔNIO GOMES DE BARROS")</f>
        <v>AV. DR. ANTÔNIO GOMES DE BARROS</v>
      </c>
      <c r="L1402" s="5" t="str">
        <f>IFERROR(__xludf.DUMMYFUNCTION("""COMPUTED_VALUE"""),"COLETORA")</f>
        <v>COLETORA</v>
      </c>
      <c r="M1402" s="5" t="str">
        <f>IFERROR(__xludf.DUMMYFUNCTION("""COMPUTED_VALUE"""),"JATIÚCA")</f>
        <v>JATIÚCA</v>
      </c>
      <c r="N1402" s="5" t="str">
        <f>IFERROR(__xludf.DUMMYFUNCTION("""COMPUTED_VALUE"""),"BAIRRO - CENTRO")</f>
        <v>BAIRRO - CENTRO</v>
      </c>
      <c r="O1402" s="5" t="str">
        <f>IFERROR(__xludf.DUMMYFUNCTION("""COMPUTED_VALUE"""),"EM FRENTE AO RESTAURANTE YANG CHENG")</f>
        <v>EM FRENTE AO RESTAURANTE YANG CHENG</v>
      </c>
      <c r="P1402" s="5" t="str">
        <f>IFERROR(__xludf.DUMMYFUNCTION("""COMPUTED_VALUE"""),"PRIORIDADE MÉDIA")</f>
        <v>PRIORIDADE MÉDIA</v>
      </c>
      <c r="Q1402" s="5"/>
      <c r="R1402" s="5" t="str">
        <f>IFERROR(__xludf.DUMMYFUNCTION("""COMPUTED_VALUE"""),"SUBSTITUIR ABRIGO")</f>
        <v>SUBSTITUIR ABRIGO</v>
      </c>
      <c r="S1402" s="5"/>
      <c r="T1402" s="5"/>
      <c r="U1402" s="5"/>
      <c r="V1402" s="9" t="str">
        <f>IFERROR(__xludf.DUMMYFUNCTION("""COMPUTED_VALUE"""),"https://drive.google.com/uc?id=1Ym__K0W_iqj7LED1_xjuE6Y2XGwhtffW")</f>
        <v>https://drive.google.com/uc?id=1Ym__K0W_iqj7LED1_xjuE6Y2XGwhtffW</v>
      </c>
      <c r="W1402" s="5" t="str">
        <f>IFERROR(__xludf.DUMMYFUNCTION("""COMPUTED_VALUE"""),"NÃO")</f>
        <v>NÃO</v>
      </c>
      <c r="X1402" s="5" t="str">
        <f>IFERROR(__xludf.DUMMYFUNCTION("""COMPUTED_VALUE"""),"SIM")</f>
        <v>SIM</v>
      </c>
    </row>
    <row r="1403">
      <c r="A1403" s="5">
        <f>IFERROR(__xludf.DUMMYFUNCTION("""COMPUTED_VALUE"""),1.0)</f>
        <v>1</v>
      </c>
      <c r="B1403" s="5" t="str">
        <f>IFERROR(__xludf.DUMMYFUNCTION("""COMPUTED_VALUE"""),"JT25")</f>
        <v>JT25</v>
      </c>
      <c r="C1403" s="5" t="str">
        <f>IFERROR(__xludf.DUMMYFUNCTION("""COMPUTED_VALUE"""),"ABRIGO METÁLICO PEQUENO PORTE")</f>
        <v>ABRIGO METÁLICO PEQUENO PORTE</v>
      </c>
      <c r="D1403" s="5" t="str">
        <f>IFERROR(__xludf.DUMMYFUNCTION("""COMPUTED_VALUE"""),"SEM PLACA")</f>
        <v>SEM PLACA</v>
      </c>
      <c r="E1403" s="5" t="str">
        <f>IFERROR(__xludf.DUMMYFUNCTION("""COMPUTED_VALUE"""),"SEM BAIA")</f>
        <v>SEM BAIA</v>
      </c>
      <c r="F1403" s="5" t="str">
        <f>IFERROR(__xludf.DUMMYFUNCTION("""COMPUTED_VALUE"""),"NÃO")</f>
        <v>NÃO</v>
      </c>
      <c r="G1403" s="5" t="str">
        <f>IFERROR(__xludf.DUMMYFUNCTION("""COMPUTED_VALUE"""),"NÃO")</f>
        <v>NÃO</v>
      </c>
      <c r="H1403" s="5" t="str">
        <f>IFERROR(__xludf.DUMMYFUNCTION("""COMPUTED_VALUE"""),"NÃO PAVIMENTADA")</f>
        <v>NÃO PAVIMENTADA</v>
      </c>
      <c r="I1403" s="6" t="str">
        <f>IFERROR(__xludf.DUMMYFUNCTION("""COMPUTED_VALUE"""),"-9.651334")</f>
        <v>-9.651334</v>
      </c>
      <c r="J1403" s="6" t="str">
        <f>IFERROR(__xludf.DUMMYFUNCTION("""COMPUTED_VALUE"""),"-35.704871")</f>
        <v>-35.704871</v>
      </c>
      <c r="K1403" s="5" t="str">
        <f>IFERROR(__xludf.DUMMYFUNCTION("""COMPUTED_VALUE"""),"AV. DR. ANTÔNIO GOMES DE BARROS")</f>
        <v>AV. DR. ANTÔNIO GOMES DE BARROS</v>
      </c>
      <c r="L1403" s="5" t="str">
        <f>IFERROR(__xludf.DUMMYFUNCTION("""COMPUTED_VALUE"""),"COLETORA")</f>
        <v>COLETORA</v>
      </c>
      <c r="M1403" s="5" t="str">
        <f>IFERROR(__xludf.DUMMYFUNCTION("""COMPUTED_VALUE"""),"JATIÚCA")</f>
        <v>JATIÚCA</v>
      </c>
      <c r="N1403" s="5" t="str">
        <f>IFERROR(__xludf.DUMMYFUNCTION("""COMPUTED_VALUE"""),"BAIRRO - CENTRO")</f>
        <v>BAIRRO - CENTRO</v>
      </c>
      <c r="O1403" s="5" t="str">
        <f>IFERROR(__xludf.DUMMYFUNCTION("""COMPUTED_VALUE"""),"EM FRENTE A FARMÁCIA PERMANENTE")</f>
        <v>EM FRENTE A FARMÁCIA PERMANENTE</v>
      </c>
      <c r="P1403" s="5" t="str">
        <f>IFERROR(__xludf.DUMMYFUNCTION("""COMPUTED_VALUE"""),"PRIORIDADE MÉDIA")</f>
        <v>PRIORIDADE MÉDIA</v>
      </c>
      <c r="Q1403" s="5"/>
      <c r="R1403" s="5" t="str">
        <f>IFERROR(__xludf.DUMMYFUNCTION("""COMPUTED_VALUE"""),"SUBSTITUIR ABRIGO")</f>
        <v>SUBSTITUIR ABRIGO</v>
      </c>
      <c r="S1403" s="5"/>
      <c r="T1403" s="5"/>
      <c r="U1403" s="5"/>
      <c r="V1403" s="9" t="str">
        <f>IFERROR(__xludf.DUMMYFUNCTION("""COMPUTED_VALUE"""),"https://drive.google.com/uc?id=1tjCiJQhGkKk5MmgmaBhpjNOIGZlbmf_J")</f>
        <v>https://drive.google.com/uc?id=1tjCiJQhGkKk5MmgmaBhpjNOIGZlbmf_J</v>
      </c>
      <c r="W1403" s="5" t="str">
        <f>IFERROR(__xludf.DUMMYFUNCTION("""COMPUTED_VALUE"""),"NÃO")</f>
        <v>NÃO</v>
      </c>
      <c r="X1403" s="5" t="str">
        <f>IFERROR(__xludf.DUMMYFUNCTION("""COMPUTED_VALUE"""),"SIM")</f>
        <v>SIM</v>
      </c>
    </row>
    <row r="1404">
      <c r="A1404" s="5">
        <f>IFERROR(__xludf.DUMMYFUNCTION("""COMPUTED_VALUE"""),1.0)</f>
        <v>1</v>
      </c>
      <c r="B1404" s="5" t="str">
        <f>IFERROR(__xludf.DUMMYFUNCTION("""COMPUTED_VALUE"""),"JT26")</f>
        <v>JT26</v>
      </c>
      <c r="C1404" s="5" t="str">
        <f>IFERROR(__xludf.DUMMYFUNCTION("""COMPUTED_VALUE"""),"ABRIGO METÁLICO PEQUENO PORTE")</f>
        <v>ABRIGO METÁLICO PEQUENO PORTE</v>
      </c>
      <c r="D1404" s="5" t="str">
        <f>IFERROR(__xludf.DUMMYFUNCTION("""COMPUTED_VALUE"""),"SEM PLACA")</f>
        <v>SEM PLACA</v>
      </c>
      <c r="E1404" s="5" t="str">
        <f>IFERROR(__xludf.DUMMYFUNCTION("""COMPUTED_VALUE"""),"SEM BAIA")</f>
        <v>SEM BAIA</v>
      </c>
      <c r="F1404" s="5" t="str">
        <f>IFERROR(__xludf.DUMMYFUNCTION("""COMPUTED_VALUE"""),"SIM")</f>
        <v>SIM</v>
      </c>
      <c r="G1404" s="5" t="str">
        <f>IFERROR(__xludf.DUMMYFUNCTION("""COMPUTED_VALUE"""),"SIM")</f>
        <v>SIM</v>
      </c>
      <c r="H1404" s="5" t="str">
        <f>IFERROR(__xludf.DUMMYFUNCTION("""COMPUTED_VALUE"""),"PAVIMENTADA")</f>
        <v>PAVIMENTADA</v>
      </c>
      <c r="I1404" s="6" t="str">
        <f>IFERROR(__xludf.DUMMYFUNCTION("""COMPUTED_VALUE"""),"-9.651318")</f>
        <v>-9.651318</v>
      </c>
      <c r="J1404" s="6" t="str">
        <f>IFERROR(__xludf.DUMMYFUNCTION("""COMPUTED_VALUE"""),"-35.701138")</f>
        <v>-35.701138</v>
      </c>
      <c r="K1404" s="5" t="str">
        <f>IFERROR(__xludf.DUMMYFUNCTION("""COMPUTED_VALUE"""),"AV. DR. ANTÔNIO GOMES DE BARROS")</f>
        <v>AV. DR. ANTÔNIO GOMES DE BARROS</v>
      </c>
      <c r="L1404" s="5" t="str">
        <f>IFERROR(__xludf.DUMMYFUNCTION("""COMPUTED_VALUE"""),"COLETORA")</f>
        <v>COLETORA</v>
      </c>
      <c r="M1404" s="5" t="str">
        <f>IFERROR(__xludf.DUMMYFUNCTION("""COMPUTED_VALUE"""),"JATIÚCA")</f>
        <v>JATIÚCA</v>
      </c>
      <c r="N1404" s="5" t="str">
        <f>IFERROR(__xludf.DUMMYFUNCTION("""COMPUTED_VALUE"""),"BAIRRO - CENTRO")</f>
        <v>BAIRRO - CENTRO</v>
      </c>
      <c r="O1404" s="5" t="str">
        <f>IFERROR(__xludf.DUMMYFUNCTION("""COMPUTED_VALUE"""),"EM FRENTE AO TRUCKZONE")</f>
        <v>EM FRENTE AO TRUCKZONE</v>
      </c>
      <c r="P1404" s="5" t="str">
        <f>IFERROR(__xludf.DUMMYFUNCTION("""COMPUTED_VALUE"""),"PRIORIDADE MÉDIA")</f>
        <v>PRIORIDADE MÉDIA</v>
      </c>
      <c r="Q1404" s="5"/>
      <c r="R1404" s="5" t="str">
        <f>IFERROR(__xludf.DUMMYFUNCTION("""COMPUTED_VALUE"""),"SUBSTITUIR ABRIGO")</f>
        <v>SUBSTITUIR ABRIGO</v>
      </c>
      <c r="S1404" s="5"/>
      <c r="T1404" s="5"/>
      <c r="U1404" s="5"/>
      <c r="V1404" s="9" t="str">
        <f>IFERROR(__xludf.DUMMYFUNCTION("""COMPUTED_VALUE"""),"https://drive.google.com/uc?id=1X01-0t1OhzIVnP9ICWSbGdkMF7rVf09v")</f>
        <v>https://drive.google.com/uc?id=1X01-0t1OhzIVnP9ICWSbGdkMF7rVf09v</v>
      </c>
      <c r="W1404" s="5" t="str">
        <f>IFERROR(__xludf.DUMMYFUNCTION("""COMPUTED_VALUE"""),"NÃO")</f>
        <v>NÃO</v>
      </c>
      <c r="X1404" s="5" t="str">
        <f>IFERROR(__xludf.DUMMYFUNCTION("""COMPUTED_VALUE"""),"SIM")</f>
        <v>SIM</v>
      </c>
    </row>
    <row r="1405" hidden="1">
      <c r="A1405" s="5">
        <f>IFERROR(__xludf.DUMMYFUNCTION("""COMPUTED_VALUE"""),1.0)</f>
        <v>1</v>
      </c>
      <c r="B1405" s="5" t="str">
        <f>IFERROR(__xludf.DUMMYFUNCTION("""COMPUTED_VALUE"""),"JT27")</f>
        <v>JT27</v>
      </c>
      <c r="C1405" s="5" t="str">
        <f>IFERROR(__xludf.DUMMYFUNCTION("""COMPUTED_VALUE"""),"NÃO POSSUI")</f>
        <v>NÃO POSSUI</v>
      </c>
      <c r="D1405" s="5" t="str">
        <f>IFERROR(__xludf.DUMMYFUNCTION("""COMPUTED_VALUE"""),"SEM PLACA")</f>
        <v>SEM PLACA</v>
      </c>
      <c r="E1405" s="5" t="str">
        <f>IFERROR(__xludf.DUMMYFUNCTION("""COMPUTED_VALUE"""),"SEM BAIA")</f>
        <v>SEM BAIA</v>
      </c>
      <c r="F1405" s="5" t="str">
        <f>IFERROR(__xludf.DUMMYFUNCTION("""COMPUTED_VALUE"""),"NÃO")</f>
        <v>NÃO</v>
      </c>
      <c r="G1405" s="5" t="str">
        <f>IFERROR(__xludf.DUMMYFUNCTION("""COMPUTED_VALUE"""),"NÃO")</f>
        <v>NÃO</v>
      </c>
      <c r="H1405" s="5" t="str">
        <f>IFERROR(__xludf.DUMMYFUNCTION("""COMPUTED_VALUE"""),"PAVIMENTADA")</f>
        <v>PAVIMENTADA</v>
      </c>
      <c r="I1405" s="6" t="str">
        <f>IFERROR(__xludf.DUMMYFUNCTION("""COMPUTED_VALUE"""),"-9.651122 ")</f>
        <v>-9.651122 </v>
      </c>
      <c r="J1405" s="6" t="str">
        <f>IFERROR(__xludf.DUMMYFUNCTION("""COMPUTED_VALUE"""),"-35.701785")</f>
        <v>-35.701785</v>
      </c>
      <c r="K1405" s="5" t="str">
        <f>IFERROR(__xludf.DUMMYFUNCTION("""COMPUTED_VALUE"""),"AV. DR. ANTÔNIO GOMES DE BARROS")</f>
        <v>AV. DR. ANTÔNIO GOMES DE BARROS</v>
      </c>
      <c r="L1405" s="5" t="str">
        <f>IFERROR(__xludf.DUMMYFUNCTION("""COMPUTED_VALUE"""),"COLETORA")</f>
        <v>COLETORA</v>
      </c>
      <c r="M1405" s="5" t="str">
        <f>IFERROR(__xludf.DUMMYFUNCTION("""COMPUTED_VALUE"""),"JATIÚCA")</f>
        <v>JATIÚCA</v>
      </c>
      <c r="N1405" s="5" t="str">
        <f>IFERROR(__xludf.DUMMYFUNCTION("""COMPUTED_VALUE"""),"BAIRRO - CENTRO")</f>
        <v>BAIRRO - CENTRO</v>
      </c>
      <c r="O1405" s="5" t="str">
        <f>IFERROR(__xludf.DUMMYFUNCTION("""COMPUTED_VALUE"""),"EM FRENTE AO BOTEQUIM PAULISTA")</f>
        <v>EM FRENTE AO BOTEQUIM PAULISTA</v>
      </c>
      <c r="P1405" s="5"/>
      <c r="Q1405" s="5"/>
      <c r="R1405" s="5" t="str">
        <f>IFERROR(__xludf.DUMMYFUNCTION("""COMPUTED_VALUE"""),"NENHUMA DAS OPÇÕES")</f>
        <v>NENHUMA DAS OPÇÕES</v>
      </c>
      <c r="S1405" s="5"/>
      <c r="T1405" s="5"/>
      <c r="U1405" s="5"/>
      <c r="V1405" s="9" t="str">
        <f>IFERROR(__xludf.DUMMYFUNCTION("""COMPUTED_VALUE"""),"https://drive.google.com/uc?id=1bLU83Hxmcsi3VpFkiFaRObTWod-zm7Tv")</f>
        <v>https://drive.google.com/uc?id=1bLU83Hxmcsi3VpFkiFaRObTWod-zm7Tv</v>
      </c>
      <c r="W1405" s="5" t="str">
        <f>IFERROR(__xludf.DUMMYFUNCTION("""COMPUTED_VALUE"""),"NÃO")</f>
        <v>NÃO</v>
      </c>
      <c r="X1405" s="5" t="str">
        <f>IFERROR(__xludf.DUMMYFUNCTION("""COMPUTED_VALUE"""),"NÃO SE APLICA")</f>
        <v>NÃO SE APLICA</v>
      </c>
    </row>
    <row r="1406">
      <c r="A1406" s="5">
        <f>IFERROR(__xludf.DUMMYFUNCTION("""COMPUTED_VALUE"""),1.0)</f>
        <v>1</v>
      </c>
      <c r="B1406" s="5" t="str">
        <f>IFERROR(__xludf.DUMMYFUNCTION("""COMPUTED_VALUE"""),"JT028")</f>
        <v>JT028</v>
      </c>
      <c r="C1406" s="5" t="str">
        <f>IFERROR(__xludf.DUMMYFUNCTION("""COMPUTED_VALUE"""),"ABRIGO METÁLICO PEQUENO PORTE")</f>
        <v>ABRIGO METÁLICO PEQUENO PORTE</v>
      </c>
      <c r="D1406" s="5" t="str">
        <f>IFERROR(__xludf.DUMMYFUNCTION("""COMPUTED_VALUE"""),"FIXADA EM POSTE")</f>
        <v>FIXADA EM POSTE</v>
      </c>
      <c r="E1406" s="5" t="str">
        <f>IFERROR(__xludf.DUMMYFUNCTION("""COMPUTED_VALUE"""),"SEM BAIA")</f>
        <v>SEM BAIA</v>
      </c>
      <c r="F1406" s="5" t="str">
        <f>IFERROR(__xludf.DUMMYFUNCTION("""COMPUTED_VALUE"""),"NÃO")</f>
        <v>NÃO</v>
      </c>
      <c r="G1406" s="5" t="str">
        <f>IFERROR(__xludf.DUMMYFUNCTION("""COMPUTED_VALUE"""),"NÃO")</f>
        <v>NÃO</v>
      </c>
      <c r="H1406" s="5" t="str">
        <f>IFERROR(__xludf.DUMMYFUNCTION("""COMPUTED_VALUE"""),"PAVIMENTADA")</f>
        <v>PAVIMENTADA</v>
      </c>
      <c r="I1406" s="6" t="str">
        <f>IFERROR(__xludf.DUMMYFUNCTION("""COMPUTED_VALUE"""),"-9.651113 ")</f>
        <v>-9.651113 </v>
      </c>
      <c r="J1406" s="6" t="str">
        <f>IFERROR(__xludf.DUMMYFUNCTION("""COMPUTED_VALUE"""),"-35.711880")</f>
        <v>-35.711880</v>
      </c>
      <c r="K1406" s="5" t="str">
        <f>IFERROR(__xludf.DUMMYFUNCTION("""COMPUTED_VALUE"""),"AV. DR. ANTÔNIO GOMES DE BARROS")</f>
        <v>AV. DR. ANTÔNIO GOMES DE BARROS</v>
      </c>
      <c r="L1406" s="5" t="str">
        <f>IFERROR(__xludf.DUMMYFUNCTION("""COMPUTED_VALUE"""),"COLETORA")</f>
        <v>COLETORA</v>
      </c>
      <c r="M1406" s="5" t="str">
        <f>IFERROR(__xludf.DUMMYFUNCTION("""COMPUTED_VALUE"""),"JATIÚCA")</f>
        <v>JATIÚCA</v>
      </c>
      <c r="N1406" s="5" t="str">
        <f>IFERROR(__xludf.DUMMYFUNCTION("""COMPUTED_VALUE"""),"BAIRRO - CENTRO")</f>
        <v>BAIRRO - CENTRO</v>
      </c>
      <c r="O1406" s="5" t="str">
        <f>IFERROR(__xludf.DUMMYFUNCTION("""COMPUTED_VALUE"""),"EM FRENTE AO ANIMAL AMIGO")</f>
        <v>EM FRENTE AO ANIMAL AMIGO</v>
      </c>
      <c r="P1406" s="5"/>
      <c r="Q1406" s="5"/>
      <c r="R1406" s="5" t="str">
        <f>IFERROR(__xludf.DUMMYFUNCTION("""COMPUTED_VALUE"""),"NENHUMA DAS OPÇÕES")</f>
        <v>NENHUMA DAS OPÇÕES</v>
      </c>
      <c r="S1406" s="5"/>
      <c r="T1406" s="5"/>
      <c r="U1406" s="5"/>
      <c r="V1406" s="9" t="str">
        <f>IFERROR(__xludf.DUMMYFUNCTION("""COMPUTED_VALUE"""),"https://drive.google.com/uc?id=1BDrnnn0POlXAxU4HHo1AcwzOvNaZr8Td")</f>
        <v>https://drive.google.com/uc?id=1BDrnnn0POlXAxU4HHo1AcwzOvNaZr8Td</v>
      </c>
      <c r="W1406" s="5" t="str">
        <f>IFERROR(__xludf.DUMMYFUNCTION("""COMPUTED_VALUE"""),"NÃO")</f>
        <v>NÃO</v>
      </c>
      <c r="X1406" s="5" t="str">
        <f>IFERROR(__xludf.DUMMYFUNCTION("""COMPUTED_VALUE"""),"SIM")</f>
        <v>SIM</v>
      </c>
    </row>
    <row r="1407" hidden="1">
      <c r="A1407" s="5">
        <f>IFERROR(__xludf.DUMMYFUNCTION("""COMPUTED_VALUE"""),1.0)</f>
        <v>1</v>
      </c>
      <c r="B1407" s="5" t="str">
        <f>IFERROR(__xludf.DUMMYFUNCTION("""COMPUTED_VALUE"""),"JT029")</f>
        <v>JT029</v>
      </c>
      <c r="C1407" s="5" t="str">
        <f>IFERROR(__xludf.DUMMYFUNCTION("""COMPUTED_VALUE"""),"NÃO POSSUI")</f>
        <v>NÃO POSSUI</v>
      </c>
      <c r="D1407" s="5" t="str">
        <f>IFERROR(__xludf.DUMMYFUNCTION("""COMPUTED_VALUE"""),"FIXADA EM POSTE")</f>
        <v>FIXADA EM POSTE</v>
      </c>
      <c r="E1407" s="5" t="str">
        <f>IFERROR(__xludf.DUMMYFUNCTION("""COMPUTED_VALUE"""),"SEM BAIA")</f>
        <v>SEM BAIA</v>
      </c>
      <c r="F1407" s="5" t="str">
        <f>IFERROR(__xludf.DUMMYFUNCTION("""COMPUTED_VALUE"""),"SIM")</f>
        <v>SIM</v>
      </c>
      <c r="G1407" s="5" t="str">
        <f>IFERROR(__xludf.DUMMYFUNCTION("""COMPUTED_VALUE"""),"NÃO")</f>
        <v>NÃO</v>
      </c>
      <c r="H1407" s="5" t="str">
        <f>IFERROR(__xludf.DUMMYFUNCTION("""COMPUTED_VALUE"""),"PAVIMENTADA")</f>
        <v>PAVIMENTADA</v>
      </c>
      <c r="I1407" s="6" t="str">
        <f>IFERROR(__xludf.DUMMYFUNCTION("""COMPUTED_VALUE"""),"-9.651126")</f>
        <v>-9.651126</v>
      </c>
      <c r="J1407" s="6" t="str">
        <f>IFERROR(__xludf.DUMMYFUNCTION("""COMPUTED_VALUE""")," -35.709444")</f>
        <v> -35.709444</v>
      </c>
      <c r="K1407" s="5" t="str">
        <f>IFERROR(__xludf.DUMMYFUNCTION("""COMPUTED_VALUE"""),"AV. DR. ANTÔNIO GOMES DE BARROS")</f>
        <v>AV. DR. ANTÔNIO GOMES DE BARROS</v>
      </c>
      <c r="L1407" s="5" t="str">
        <f>IFERROR(__xludf.DUMMYFUNCTION("""COMPUTED_VALUE"""),"COLETORA")</f>
        <v>COLETORA</v>
      </c>
      <c r="M1407" s="5" t="str">
        <f>IFERROR(__xludf.DUMMYFUNCTION("""COMPUTED_VALUE"""),"JATIÚCA")</f>
        <v>JATIÚCA</v>
      </c>
      <c r="N1407" s="5" t="str">
        <f>IFERROR(__xludf.DUMMYFUNCTION("""COMPUTED_VALUE"""),"BAIRRO - CENTRO")</f>
        <v>BAIRRO - CENTRO</v>
      </c>
      <c r="O1407" s="5" t="str">
        <f>IFERROR(__xludf.DUMMYFUNCTION("""COMPUTED_VALUE"""),"EM FRENTE AO COCO IMPERIAL")</f>
        <v>EM FRENTE AO COCO IMPERIAL</v>
      </c>
      <c r="P1407" s="5"/>
      <c r="Q1407" s="5"/>
      <c r="R1407" s="5" t="str">
        <f>IFERROR(__xludf.DUMMYFUNCTION("""COMPUTED_VALUE"""),"NENHUMA DAS OPÇÕES")</f>
        <v>NENHUMA DAS OPÇÕES</v>
      </c>
      <c r="S1407" s="5"/>
      <c r="T1407" s="5"/>
      <c r="U1407" s="5"/>
      <c r="V1407" s="9" t="str">
        <f>IFERROR(__xludf.DUMMYFUNCTION("""COMPUTED_VALUE"""),"https://drive.google.com/uc?id=1dzwmPWbxIg9WCLydWQz14SoBtjEUO-nQ")</f>
        <v>https://drive.google.com/uc?id=1dzwmPWbxIg9WCLydWQz14SoBtjEUO-nQ</v>
      </c>
      <c r="W1407" s="5" t="str">
        <f>IFERROR(__xludf.DUMMYFUNCTION("""COMPUTED_VALUE"""),"NÃO")</f>
        <v>NÃO</v>
      </c>
      <c r="X1407" s="5" t="str">
        <f>IFERROR(__xludf.DUMMYFUNCTION("""COMPUTED_VALUE"""),"NÃO SE APLICA")</f>
        <v>NÃO SE APLICA</v>
      </c>
    </row>
    <row r="1408" hidden="1">
      <c r="A1408" s="5">
        <f>IFERROR(__xludf.DUMMYFUNCTION("""COMPUTED_VALUE"""),1.0)</f>
        <v>1</v>
      </c>
      <c r="B1408" s="5" t="str">
        <f>IFERROR(__xludf.DUMMYFUNCTION("""COMPUTED_VALUE"""),"JT030")</f>
        <v>JT030</v>
      </c>
      <c r="C1408" s="5" t="str">
        <f>IFERROR(__xludf.DUMMYFUNCTION("""COMPUTED_VALUE"""),"NÃO POSSUI")</f>
        <v>NÃO POSSUI</v>
      </c>
      <c r="D1408" s="5" t="str">
        <f>IFERROR(__xludf.DUMMYFUNCTION("""COMPUTED_VALUE"""),"SEM PLACA")</f>
        <v>SEM PLACA</v>
      </c>
      <c r="E1408" s="5" t="str">
        <f>IFERROR(__xludf.DUMMYFUNCTION("""COMPUTED_VALUE"""),"SEM BAIA")</f>
        <v>SEM BAIA</v>
      </c>
      <c r="F1408" s="5" t="str">
        <f>IFERROR(__xludf.DUMMYFUNCTION("""COMPUTED_VALUE"""),"SIM")</f>
        <v>SIM</v>
      </c>
      <c r="G1408" s="5" t="str">
        <f>IFERROR(__xludf.DUMMYFUNCTION("""COMPUTED_VALUE"""),"SIM")</f>
        <v>SIM</v>
      </c>
      <c r="H1408" s="5" t="str">
        <f>IFERROR(__xludf.DUMMYFUNCTION("""COMPUTED_VALUE"""),"PAVIMENTADA")</f>
        <v>PAVIMENTADA</v>
      </c>
      <c r="I1408" s="6" t="str">
        <f>IFERROR(__xludf.DUMMYFUNCTION("""COMPUTED_VALUE"""),"-9.643194")</f>
        <v>-9.643194</v>
      </c>
      <c r="J1408" s="6" t="str">
        <f>IFERROR(__xludf.DUMMYFUNCTION("""COMPUTED_VALUE"""),"-35.701218")</f>
        <v>-35.701218</v>
      </c>
      <c r="K1408" s="5" t="str">
        <f>IFERROR(__xludf.DUMMYFUNCTION("""COMPUTED_VALUE"""),"AV. JOÃO DAVINO")</f>
        <v>AV. JOÃO DAVINO</v>
      </c>
      <c r="L1408" s="5" t="str">
        <f>IFERROR(__xludf.DUMMYFUNCTION("""COMPUTED_VALUE"""),"ARTERIAL ")</f>
        <v>ARTERIAL </v>
      </c>
      <c r="M1408" s="5" t="str">
        <f>IFERROR(__xludf.DUMMYFUNCTION("""COMPUTED_VALUE"""),"JATIÚCA")</f>
        <v>JATIÚCA</v>
      </c>
      <c r="N1408" s="5" t="str">
        <f>IFERROR(__xludf.DUMMYFUNCTION("""COMPUTED_VALUE"""),"CENTRO - BAIRRO")</f>
        <v>CENTRO - BAIRRO</v>
      </c>
      <c r="O1408" s="5" t="str">
        <f>IFERROR(__xludf.DUMMYFUNCTION("""COMPUTED_VALUE"""),"EM FRENTE AO HOTEL VELEIRO ")</f>
        <v>EM FRENTE AO HOTEL VELEIRO </v>
      </c>
      <c r="P1408" s="5"/>
      <c r="Q1408" s="5"/>
      <c r="R1408" s="5" t="str">
        <f>IFERROR(__xludf.DUMMYFUNCTION("""COMPUTED_VALUE"""),"NENHUMA DAS OPÇÕES")</f>
        <v>NENHUMA DAS OPÇÕES</v>
      </c>
      <c r="S1408" s="5"/>
      <c r="T1408" s="5"/>
      <c r="U1408" s="5"/>
      <c r="V1408" s="9" t="str">
        <f>IFERROR(__xludf.DUMMYFUNCTION("""COMPUTED_VALUE"""),"https://drive.google.com/uc?id=1d7woD_Lfa3ho_XQ0S7cPqhHb8RGhEPQw")</f>
        <v>https://drive.google.com/uc?id=1d7woD_Lfa3ho_XQ0S7cPqhHb8RGhEPQw</v>
      </c>
      <c r="W1408" s="5" t="str">
        <f>IFERROR(__xludf.DUMMYFUNCTION("""COMPUTED_VALUE"""),"NÃO")</f>
        <v>NÃO</v>
      </c>
      <c r="X1408" s="5" t="str">
        <f>IFERROR(__xludf.DUMMYFUNCTION("""COMPUTED_VALUE"""),"NÃO SE APLICA")</f>
        <v>NÃO SE APLICA</v>
      </c>
    </row>
    <row r="1409">
      <c r="A1409" s="5">
        <f>IFERROR(__xludf.DUMMYFUNCTION("""COMPUTED_VALUE"""),1.0)</f>
        <v>1</v>
      </c>
      <c r="B1409" s="5" t="str">
        <f>IFERROR(__xludf.DUMMYFUNCTION("""COMPUTED_VALUE"""),"JT031")</f>
        <v>JT031</v>
      </c>
      <c r="C1409" s="5" t="str">
        <f>IFERROR(__xludf.DUMMYFUNCTION("""COMPUTED_VALUE"""),"ABRIGO METÁLICO PEQUENO PORTE")</f>
        <v>ABRIGO METÁLICO PEQUENO PORTE</v>
      </c>
      <c r="D1409" s="5" t="str">
        <f>IFERROR(__xludf.DUMMYFUNCTION("""COMPUTED_VALUE"""),"SEM PLACA")</f>
        <v>SEM PLACA</v>
      </c>
      <c r="E1409" s="5" t="str">
        <f>IFERROR(__xludf.DUMMYFUNCTION("""COMPUTED_VALUE"""),"SEM BAIA")</f>
        <v>SEM BAIA</v>
      </c>
      <c r="F1409" s="5" t="str">
        <f>IFERROR(__xludf.DUMMYFUNCTION("""COMPUTED_VALUE"""),"SIM")</f>
        <v>SIM</v>
      </c>
      <c r="G1409" s="5" t="str">
        <f>IFERROR(__xludf.DUMMYFUNCTION("""COMPUTED_VALUE"""),"SIM")</f>
        <v>SIM</v>
      </c>
      <c r="H1409" s="5" t="str">
        <f>IFERROR(__xludf.DUMMYFUNCTION("""COMPUTED_VALUE"""),"PAVIMENTADA")</f>
        <v>PAVIMENTADA</v>
      </c>
      <c r="I1409" s="6" t="str">
        <f>IFERROR(__xludf.DUMMYFUNCTION("""COMPUTED_VALUE"""),"-9.642633")</f>
        <v>-9.642633</v>
      </c>
      <c r="J1409" s="6" t="str">
        <f>IFERROR(__xludf.DUMMYFUNCTION("""COMPUTED_VALUE"""),"-35.708847")</f>
        <v>-35.708847</v>
      </c>
      <c r="K1409" s="5" t="str">
        <f>IFERROR(__xludf.DUMMYFUNCTION("""COMPUTED_VALUE"""),"AV. JOÃO DAVINO")</f>
        <v>AV. JOÃO DAVINO</v>
      </c>
      <c r="L1409" s="5" t="str">
        <f>IFERROR(__xludf.DUMMYFUNCTION("""COMPUTED_VALUE"""),"ARTERIAL ")</f>
        <v>ARTERIAL </v>
      </c>
      <c r="M1409" s="5" t="str">
        <f>IFERROR(__xludf.DUMMYFUNCTION("""COMPUTED_VALUE"""),"JATIÚCA")</f>
        <v>JATIÚCA</v>
      </c>
      <c r="N1409" s="5" t="str">
        <f>IFERROR(__xludf.DUMMYFUNCTION("""COMPUTED_VALUE"""),"CENTRO - BAIRRO")</f>
        <v>CENTRO - BAIRRO</v>
      </c>
      <c r="O1409" s="5" t="str">
        <f>IFERROR(__xludf.DUMMYFUNCTION("""COMPUTED_VALUE"""),"ATRÁS DA MANGABEIRAS TURISMO")</f>
        <v>ATRÁS DA MANGABEIRAS TURISMO</v>
      </c>
      <c r="P1409" s="5"/>
      <c r="Q1409" s="5"/>
      <c r="R1409" s="5"/>
      <c r="S1409" s="5"/>
      <c r="T1409" s="5"/>
      <c r="U1409" s="5"/>
      <c r="V1409" s="9" t="str">
        <f>IFERROR(__xludf.DUMMYFUNCTION("""COMPUTED_VALUE"""),"https://drive.google.com/uc?id=1_eE_m6ASybvU9EocoqF7K9NopEga4KLa")</f>
        <v>https://drive.google.com/uc?id=1_eE_m6ASybvU9EocoqF7K9NopEga4KLa</v>
      </c>
      <c r="W1409" s="5" t="str">
        <f>IFERROR(__xludf.DUMMYFUNCTION("""COMPUTED_VALUE"""),"NÃO")</f>
        <v>NÃO</v>
      </c>
      <c r="X1409" s="5" t="str">
        <f>IFERROR(__xludf.DUMMYFUNCTION("""COMPUTED_VALUE"""),"SIM")</f>
        <v>SIM</v>
      </c>
    </row>
    <row r="1410">
      <c r="A1410" s="5">
        <f>IFERROR(__xludf.DUMMYFUNCTION("""COMPUTED_VALUE"""),1.0)</f>
        <v>1</v>
      </c>
      <c r="B1410" s="5" t="str">
        <f>IFERROR(__xludf.DUMMYFUNCTION("""COMPUTED_VALUE"""),"JT032")</f>
        <v>JT032</v>
      </c>
      <c r="C1410" s="5" t="str">
        <f>IFERROR(__xludf.DUMMYFUNCTION("""COMPUTED_VALUE"""),"ABRIGO EUCALIPTO PEQUENO PORTE")</f>
        <v>ABRIGO EUCALIPTO PEQUENO PORTE</v>
      </c>
      <c r="D1410" s="5" t="str">
        <f>IFERROR(__xludf.DUMMYFUNCTION("""COMPUTED_VALUE"""),"SEM PLACA")</f>
        <v>SEM PLACA</v>
      </c>
      <c r="E1410" s="5" t="str">
        <f>IFERROR(__xludf.DUMMYFUNCTION("""COMPUTED_VALUE"""),"SEM BAIA")</f>
        <v>SEM BAIA</v>
      </c>
      <c r="F1410" s="5" t="str">
        <f>IFERROR(__xludf.DUMMYFUNCTION("""COMPUTED_VALUE"""),"NÃO")</f>
        <v>NÃO</v>
      </c>
      <c r="G1410" s="5" t="str">
        <f>IFERROR(__xludf.DUMMYFUNCTION("""COMPUTED_VALUE"""),"NÃO")</f>
        <v>NÃO</v>
      </c>
      <c r="H1410" s="5" t="str">
        <f>IFERROR(__xludf.DUMMYFUNCTION("""COMPUTED_VALUE"""),"PAVIMENTADA")</f>
        <v>PAVIMENTADA</v>
      </c>
      <c r="I1410" s="6" t="str">
        <f>IFERROR(__xludf.DUMMYFUNCTION("""COMPUTED_VALUE"""),"-9.650851")</f>
        <v>-9.650851</v>
      </c>
      <c r="J1410" s="6" t="str">
        <f>IFERROR(__xludf.DUMMYFUNCTION("""COMPUTED_VALUE""")," -35.699599")</f>
        <v> -35.699599</v>
      </c>
      <c r="K1410" s="5" t="str">
        <f>IFERROR(__xludf.DUMMYFUNCTION("""COMPUTED_VALUE"""),"AV. ÁLVARO OTACÍLIO")</f>
        <v>AV. ÁLVARO OTACÍLIO</v>
      </c>
      <c r="L1410" s="5" t="str">
        <f>IFERROR(__xludf.DUMMYFUNCTION("""COMPUTED_VALUE"""),"ARTERIAL ")</f>
        <v>ARTERIAL </v>
      </c>
      <c r="M1410" s="5" t="str">
        <f>IFERROR(__xludf.DUMMYFUNCTION("""COMPUTED_VALUE"""),"JATIÚCA")</f>
        <v>JATIÚCA</v>
      </c>
      <c r="N1410" s="5" t="str">
        <f>IFERROR(__xludf.DUMMYFUNCTION("""COMPUTED_VALUE"""),"BAIRRO - CENTRO")</f>
        <v>BAIRRO - CENTRO</v>
      </c>
      <c r="O1410" s="5" t="str">
        <f>IFERROR(__xludf.DUMMYFUNCTION("""COMPUTED_VALUE"""),"EM FRENTE A LOJA VB")</f>
        <v>EM FRENTE A LOJA VB</v>
      </c>
      <c r="P1410" s="5"/>
      <c r="Q1410" s="5"/>
      <c r="R1410" s="5"/>
      <c r="S1410" s="5"/>
      <c r="T1410" s="5"/>
      <c r="U1410" s="5"/>
      <c r="V1410" s="9" t="str">
        <f>IFERROR(__xludf.DUMMYFUNCTION("""COMPUTED_VALUE"""),"https://drive.google.com/uc?id=1cTdWcQgIPn5Q5P9L0R-I4OJ05xXGxBxR")</f>
        <v>https://drive.google.com/uc?id=1cTdWcQgIPn5Q5P9L0R-I4OJ05xXGxBxR</v>
      </c>
      <c r="W1410" s="5" t="str">
        <f>IFERROR(__xludf.DUMMYFUNCTION("""COMPUTED_VALUE"""),"NÃO")</f>
        <v>NÃO</v>
      </c>
      <c r="X1410" s="5" t="str">
        <f>IFERROR(__xludf.DUMMYFUNCTION("""COMPUTED_VALUE"""),"SIM")</f>
        <v>SIM</v>
      </c>
    </row>
    <row r="1411" hidden="1">
      <c r="A1411" s="13">
        <f>IFERROR(__xludf.DUMMYFUNCTION("IMPORTRANGE(""https://docs.google.com/spreadsheets/d/1UVIacvoteqWSc0BsiO5oc6hQTTDI_D6exkrFOSzaJVM/edit#gid=0"", ""MANGABEIRAS!A2:X9"")"),1.0)</f>
        <v>1</v>
      </c>
      <c r="B1411" s="5" t="str">
        <f>IFERROR(__xludf.DUMMYFUNCTION("""COMPUTED_VALUE"""),"MA001")</f>
        <v>MA001</v>
      </c>
      <c r="C1411" s="5" t="str">
        <f>IFERROR(__xludf.DUMMYFUNCTION("""COMPUTED_VALUE"""),"NÃO POSSUI")</f>
        <v>NÃO POSSUI</v>
      </c>
      <c r="D1411" s="5" t="str">
        <f>IFERROR(__xludf.DUMMYFUNCTION("""COMPUTED_VALUE"""),"COM SUPORTE")</f>
        <v>COM SUPORTE</v>
      </c>
      <c r="E1411" s="5" t="str">
        <f>IFERROR(__xludf.DUMMYFUNCTION("""COMPUTED_VALUE"""),"SEM BAIA")</f>
        <v>SEM BAIA</v>
      </c>
      <c r="F1411" s="5" t="str">
        <f>IFERROR(__xludf.DUMMYFUNCTION("""COMPUTED_VALUE"""),"NÃO")</f>
        <v>NÃO</v>
      </c>
      <c r="G1411" s="5" t="str">
        <f>IFERROR(__xludf.DUMMYFUNCTION("""COMPUTED_VALUE"""),"NÃO")</f>
        <v>NÃO</v>
      </c>
      <c r="H1411" s="5" t="str">
        <f>IFERROR(__xludf.DUMMYFUNCTION("""COMPUTED_VALUE"""),"PAVIMENTADA COM AVARIAS")</f>
        <v>PAVIMENTADA COM AVARIAS</v>
      </c>
      <c r="I1411" s="6" t="str">
        <f>IFERROR(__xludf.DUMMYFUNCTION("""COMPUTED_VALUE"""),"-9.654407")</f>
        <v>-9.654407</v>
      </c>
      <c r="J1411" s="6" t="str">
        <f>IFERROR(__xludf.DUMMYFUNCTION("""COMPUTED_VALUE"""),"-35.721376")</f>
        <v>-35.721376</v>
      </c>
      <c r="K1411" s="5" t="str">
        <f>IFERROR(__xludf.DUMMYFUNCTION("""COMPUTED_VALUE"""),"AV. COMENDADOR GUSTAVO PAIVA")</f>
        <v>AV. COMENDADOR GUSTAVO PAIVA</v>
      </c>
      <c r="L1411" s="5" t="str">
        <f>IFERROR(__xludf.DUMMYFUNCTION("""COMPUTED_VALUE"""),"ARTERIAL ")</f>
        <v>ARTERIAL </v>
      </c>
      <c r="M1411" s="5" t="str">
        <f>IFERROR(__xludf.DUMMYFUNCTION("""COMPUTED_VALUE"""),"MANGABEIRAS")</f>
        <v>MANGABEIRAS</v>
      </c>
      <c r="N1411" s="5" t="str">
        <f>IFERROR(__xludf.DUMMYFUNCTION("""COMPUTED_VALUE"""),"CENTRO - BAIRRO")</f>
        <v>CENTRO - BAIRRO</v>
      </c>
      <c r="O1411" s="5"/>
      <c r="P1411" s="5" t="str">
        <f>IFERROR(__xludf.DUMMYFUNCTION("""COMPUTED_VALUE"""),"PRIORIDADE BAIXA")</f>
        <v>PRIORIDADE BAIXA</v>
      </c>
      <c r="Q1411" s="5"/>
      <c r="R1411" s="5" t="str">
        <f>IFERROR(__xludf.DUMMYFUNCTION("""COMPUTED_VALUE"""),"NENHUMA DAS OPÇÕES")</f>
        <v>NENHUMA DAS OPÇÕES</v>
      </c>
      <c r="S1411" s="5"/>
      <c r="T1411" s="5"/>
      <c r="U1411" s="5"/>
      <c r="V1411" s="9" t="str">
        <f>IFERROR(__xludf.DUMMYFUNCTION("""COMPUTED_VALUE"""),"https://drive.google.com/uc?id=1UVu-yB5X-pWCgcPS2aHgXFCezf1r4b32")</f>
        <v>https://drive.google.com/uc?id=1UVu-yB5X-pWCgcPS2aHgXFCezf1r4b32</v>
      </c>
      <c r="W1411" s="5" t="str">
        <f>IFERROR(__xludf.DUMMYFUNCTION("""COMPUTED_VALUE"""),"NÃO")</f>
        <v>NÃO</v>
      </c>
      <c r="X1411" s="5" t="str">
        <f>IFERROR(__xludf.DUMMYFUNCTION("""COMPUTED_VALUE"""),"NÃO SE APLICA")</f>
        <v>NÃO SE APLICA</v>
      </c>
    </row>
    <row r="1412">
      <c r="A1412" s="5">
        <f>IFERROR(__xludf.DUMMYFUNCTION("""COMPUTED_VALUE"""),1.0)</f>
        <v>1</v>
      </c>
      <c r="B1412" s="5" t="str">
        <f>IFERROR(__xludf.DUMMYFUNCTION("""COMPUTED_VALUE"""),"MA002")</f>
        <v>MA002</v>
      </c>
      <c r="C1412" s="5" t="str">
        <f>IFERROR(__xludf.DUMMYFUNCTION("""COMPUTED_VALUE"""),"ABRIGO METÁLICO PEQUENO PORTE")</f>
        <v>ABRIGO METÁLICO PEQUENO PORTE</v>
      </c>
      <c r="D1412" s="5" t="str">
        <f>IFERROR(__xludf.DUMMYFUNCTION("""COMPUTED_VALUE"""),"SEM PLACA")</f>
        <v>SEM PLACA</v>
      </c>
      <c r="E1412" s="5" t="str">
        <f>IFERROR(__xludf.DUMMYFUNCTION("""COMPUTED_VALUE"""),"SEM BAIA")</f>
        <v>SEM BAIA</v>
      </c>
      <c r="F1412" s="5" t="str">
        <f>IFERROR(__xludf.DUMMYFUNCTION("""COMPUTED_VALUE"""),"SIM")</f>
        <v>SIM</v>
      </c>
      <c r="G1412" s="5" t="str">
        <f>IFERROR(__xludf.DUMMYFUNCTION("""COMPUTED_VALUE"""),"NÃO")</f>
        <v>NÃO</v>
      </c>
      <c r="H1412" s="5" t="str">
        <f>IFERROR(__xludf.DUMMYFUNCTION("""COMPUTED_VALUE"""),"PAVIMENTADA")</f>
        <v>PAVIMENTADA</v>
      </c>
      <c r="I1412" s="6" t="str">
        <f>IFERROR(__xludf.DUMMYFUNCTION("""COMPUTED_VALUE"""),"-9.652078")</f>
        <v>-9.652078</v>
      </c>
      <c r="J1412" s="6" t="str">
        <f>IFERROR(__xludf.DUMMYFUNCTION("""COMPUTED_VALUE"""),"-35.719913")</f>
        <v>-35.719913</v>
      </c>
      <c r="K1412" s="5" t="str">
        <f>IFERROR(__xludf.DUMMYFUNCTION("""COMPUTED_VALUE"""),"AV. COMENDADOR GUSTAVO PAIVA")</f>
        <v>AV. COMENDADOR GUSTAVO PAIVA</v>
      </c>
      <c r="L1412" s="5" t="str">
        <f>IFERROR(__xludf.DUMMYFUNCTION("""COMPUTED_VALUE"""),"ARTERIAL ")</f>
        <v>ARTERIAL </v>
      </c>
      <c r="M1412" s="5" t="str">
        <f>IFERROR(__xludf.DUMMYFUNCTION("""COMPUTED_VALUE"""),"MANGABEIRAS")</f>
        <v>MANGABEIRAS</v>
      </c>
      <c r="N1412" s="5" t="str">
        <f>IFERROR(__xludf.DUMMYFUNCTION("""COMPUTED_VALUE"""),"CENTRO - BAIRRO")</f>
        <v>CENTRO - BAIRRO</v>
      </c>
      <c r="O1412" s="5" t="str">
        <f>IFERROR(__xludf.DUMMYFUNCTION("""COMPUTED_VALUE"""),"PARQUE GROTA DAS FREIRAS")</f>
        <v>PARQUE GROTA DAS FREIRAS</v>
      </c>
      <c r="P1412" s="5" t="str">
        <f>IFERROR(__xludf.DUMMYFUNCTION("""COMPUTED_VALUE"""),"PRIORIDADE BAIXA")</f>
        <v>PRIORIDADE BAIXA</v>
      </c>
      <c r="Q1412" s="5"/>
      <c r="R1412" s="5" t="str">
        <f>IFERROR(__xludf.DUMMYFUNCTION("""COMPUTED_VALUE"""),"SUBSTITUIR ABRIGO")</f>
        <v>SUBSTITUIR ABRIGO</v>
      </c>
      <c r="S1412" s="5"/>
      <c r="T1412" s="5"/>
      <c r="U1412" s="5"/>
      <c r="V1412" s="9" t="str">
        <f>IFERROR(__xludf.DUMMYFUNCTION("""COMPUTED_VALUE"""),"https://drive.google.com/uc?id=1wllLMnQM51pLtuI0R9n2K1dvav3E38cs")</f>
        <v>https://drive.google.com/uc?id=1wllLMnQM51pLtuI0R9n2K1dvav3E38cs</v>
      </c>
      <c r="W1412" s="5" t="str">
        <f>IFERROR(__xludf.DUMMYFUNCTION("""COMPUTED_VALUE"""),"NÃO")</f>
        <v>NÃO</v>
      </c>
      <c r="X1412" s="5" t="str">
        <f>IFERROR(__xludf.DUMMYFUNCTION("""COMPUTED_VALUE"""),"NÃO SE APLICA")</f>
        <v>NÃO SE APLICA</v>
      </c>
    </row>
    <row r="1413">
      <c r="A1413" s="5">
        <f>IFERROR(__xludf.DUMMYFUNCTION("""COMPUTED_VALUE"""),1.0)</f>
        <v>1</v>
      </c>
      <c r="B1413" s="5" t="str">
        <f>IFERROR(__xludf.DUMMYFUNCTION("""COMPUTED_VALUE"""),"MA003")</f>
        <v>MA003</v>
      </c>
      <c r="C1413" s="5" t="str">
        <f>IFERROR(__xludf.DUMMYFUNCTION("""COMPUTED_VALUE"""),"ABRIGO METÁLICO GRANDE PORTE")</f>
        <v>ABRIGO METÁLICO GRANDE PORTE</v>
      </c>
      <c r="D1413" s="5" t="str">
        <f>IFERROR(__xludf.DUMMYFUNCTION("""COMPUTED_VALUE"""),"SEM PLACA")</f>
        <v>SEM PLACA</v>
      </c>
      <c r="E1413" s="5" t="str">
        <f>IFERROR(__xludf.DUMMYFUNCTION("""COMPUTED_VALUE"""),"SEM BAIA")</f>
        <v>SEM BAIA</v>
      </c>
      <c r="F1413" s="5" t="str">
        <f>IFERROR(__xludf.DUMMYFUNCTION("""COMPUTED_VALUE"""),"NÃO")</f>
        <v>NÃO</v>
      </c>
      <c r="G1413" s="5" t="str">
        <f>IFERROR(__xludf.DUMMYFUNCTION("""COMPUTED_VALUE"""),"NÃO")</f>
        <v>NÃO</v>
      </c>
      <c r="H1413" s="5" t="str">
        <f>IFERROR(__xludf.DUMMYFUNCTION("""COMPUTED_VALUE"""),"PAVIMENTADA COM AVARIAS")</f>
        <v>PAVIMENTADA COM AVARIAS</v>
      </c>
      <c r="I1413" s="6" t="str">
        <f>IFERROR(__xludf.DUMMYFUNCTION("""COMPUTED_VALUE"""),"-9.646877")</f>
        <v>-9.646877</v>
      </c>
      <c r="J1413" s="6" t="str">
        <f>IFERROR(__xludf.DUMMYFUNCTION("""COMPUTED_VALUE"""),"-35.715097")</f>
        <v>-35.715097</v>
      </c>
      <c r="K1413" s="5" t="str">
        <f>IFERROR(__xludf.DUMMYFUNCTION("""COMPUTED_VALUE"""),"AV. COMENDADOR GUSTAVO PAIVA")</f>
        <v>AV. COMENDADOR GUSTAVO PAIVA</v>
      </c>
      <c r="L1413" s="5" t="str">
        <f>IFERROR(__xludf.DUMMYFUNCTION("""COMPUTED_VALUE"""),"ARTERIAL ")</f>
        <v>ARTERIAL </v>
      </c>
      <c r="M1413" s="5" t="str">
        <f>IFERROR(__xludf.DUMMYFUNCTION("""COMPUTED_VALUE"""),"MANGABEIRAS")</f>
        <v>MANGABEIRAS</v>
      </c>
      <c r="N1413" s="5" t="str">
        <f>IFERROR(__xludf.DUMMYFUNCTION("""COMPUTED_VALUE"""),"CENTRO - BAIRRO")</f>
        <v>CENTRO - BAIRRO</v>
      </c>
      <c r="O1413" s="5" t="str">
        <f>IFERROR(__xludf.DUMMYFUNCTION("""COMPUTED_VALUE"""),"EM FRENTE A IGREJA UNIVERSAL")</f>
        <v>EM FRENTE A IGREJA UNIVERSAL</v>
      </c>
      <c r="P1413" s="5" t="str">
        <f>IFERROR(__xludf.DUMMYFUNCTION("""COMPUTED_VALUE"""),"PRIORIDADE BAIXA")</f>
        <v>PRIORIDADE BAIXA</v>
      </c>
      <c r="Q1413" s="5"/>
      <c r="R1413" s="5" t="str">
        <f>IFERROR(__xludf.DUMMYFUNCTION("""COMPUTED_VALUE"""),"SUBSTITUIR ABRIGO")</f>
        <v>SUBSTITUIR ABRIGO</v>
      </c>
      <c r="S1413" s="5"/>
      <c r="T1413" s="5"/>
      <c r="U1413" s="5"/>
      <c r="V1413" s="9" t="str">
        <f>IFERROR(__xludf.DUMMYFUNCTION("""COMPUTED_VALUE"""),"https://drive.google.com/uc?id=1t5FQBpwb4uYVlPZ-GZs0TjhAf1_QJEW3")</f>
        <v>https://drive.google.com/uc?id=1t5FQBpwb4uYVlPZ-GZs0TjhAf1_QJEW3</v>
      </c>
      <c r="W1413" s="5" t="str">
        <f>IFERROR(__xludf.DUMMYFUNCTION("""COMPUTED_VALUE"""),"NÃO")</f>
        <v>NÃO</v>
      </c>
      <c r="X1413" s="5" t="str">
        <f>IFERROR(__xludf.DUMMYFUNCTION("""COMPUTED_VALUE"""),"SIM")</f>
        <v>SIM</v>
      </c>
    </row>
    <row r="1414">
      <c r="A1414" s="5">
        <f>IFERROR(__xludf.DUMMYFUNCTION("""COMPUTED_VALUE"""),1.0)</f>
        <v>1</v>
      </c>
      <c r="B1414" s="5" t="str">
        <f>IFERROR(__xludf.DUMMYFUNCTION("""COMPUTED_VALUE"""),"MA004")</f>
        <v>MA004</v>
      </c>
      <c r="C1414" s="5" t="str">
        <f>IFERROR(__xludf.DUMMYFUNCTION("""COMPUTED_VALUE"""),"ABRIGO METÁLICO PEQUENO PORTE")</f>
        <v>ABRIGO METÁLICO PEQUENO PORTE</v>
      </c>
      <c r="D1414" s="5" t="str">
        <f>IFERROR(__xludf.DUMMYFUNCTION("""COMPUTED_VALUE"""),"SEM PLACA")</f>
        <v>SEM PLACA</v>
      </c>
      <c r="E1414" s="5" t="str">
        <f>IFERROR(__xludf.DUMMYFUNCTION("""COMPUTED_VALUE"""),"SEM BAIA")</f>
        <v>SEM BAIA</v>
      </c>
      <c r="F1414" s="5" t="str">
        <f>IFERROR(__xludf.DUMMYFUNCTION("""COMPUTED_VALUE"""),"NÃO")</f>
        <v>NÃO</v>
      </c>
      <c r="G1414" s="5" t="str">
        <f>IFERROR(__xludf.DUMMYFUNCTION("""COMPUTED_VALUE"""),"NÃO")</f>
        <v>NÃO</v>
      </c>
      <c r="H1414" s="5" t="str">
        <f>IFERROR(__xludf.DUMMYFUNCTION("""COMPUTED_VALUE"""),"PAVIMENTADA COM AVARIAS")</f>
        <v>PAVIMENTADA COM AVARIAS</v>
      </c>
      <c r="I1414" s="6" t="str">
        <f>IFERROR(__xludf.DUMMYFUNCTION("""COMPUTED_VALUE"""),"-9.643761")</f>
        <v>-9.643761</v>
      </c>
      <c r="J1414" s="6" t="str">
        <f>IFERROR(__xludf.DUMMYFUNCTION("""COMPUTED_VALUE"""),"-35.711457")</f>
        <v>-35.711457</v>
      </c>
      <c r="K1414" s="5" t="str">
        <f>IFERROR(__xludf.DUMMYFUNCTION("""COMPUTED_VALUE"""),"AV. COMENDADOR GUSTAVO PAIVA")</f>
        <v>AV. COMENDADOR GUSTAVO PAIVA</v>
      </c>
      <c r="L1414" s="5" t="str">
        <f>IFERROR(__xludf.DUMMYFUNCTION("""COMPUTED_VALUE"""),"ARTERIAL ")</f>
        <v>ARTERIAL </v>
      </c>
      <c r="M1414" s="5" t="str">
        <f>IFERROR(__xludf.DUMMYFUNCTION("""COMPUTED_VALUE"""),"MANGABEIRAS")</f>
        <v>MANGABEIRAS</v>
      </c>
      <c r="N1414" s="5" t="str">
        <f>IFERROR(__xludf.DUMMYFUNCTION("""COMPUTED_VALUE"""),"CENTRO - BAIRRO")</f>
        <v>CENTRO - BAIRRO</v>
      </c>
      <c r="O1414" s="5"/>
      <c r="P1414" s="5" t="str">
        <f>IFERROR(__xludf.DUMMYFUNCTION("""COMPUTED_VALUE"""),"PRIORIDADE BAIXA")</f>
        <v>PRIORIDADE BAIXA</v>
      </c>
      <c r="Q1414" s="5"/>
      <c r="R1414" s="5" t="str">
        <f>IFERROR(__xludf.DUMMYFUNCTION("""COMPUTED_VALUE"""),"SUBSTITUIR ABRIGO")</f>
        <v>SUBSTITUIR ABRIGO</v>
      </c>
      <c r="S1414" s="5"/>
      <c r="T1414" s="5"/>
      <c r="U1414" s="5"/>
      <c r="V1414" s="9" t="str">
        <f>IFERROR(__xludf.DUMMYFUNCTION("""COMPUTED_VALUE"""),"https://drive.google.com/uc?id=1Ae-P7YPjBuwzVWCls8g_6ZEzBM3gDztD")</f>
        <v>https://drive.google.com/uc?id=1Ae-P7YPjBuwzVWCls8g_6ZEzBM3gDztD</v>
      </c>
      <c r="W1414" s="5" t="str">
        <f>IFERROR(__xludf.DUMMYFUNCTION("""COMPUTED_VALUE"""),"NÃO")</f>
        <v>NÃO</v>
      </c>
      <c r="X1414" s="5" t="str">
        <f>IFERROR(__xludf.DUMMYFUNCTION("""COMPUTED_VALUE"""),"NÃO")</f>
        <v>NÃO</v>
      </c>
    </row>
    <row r="1415">
      <c r="A1415" s="5">
        <f>IFERROR(__xludf.DUMMYFUNCTION("""COMPUTED_VALUE"""),1.0)</f>
        <v>1</v>
      </c>
      <c r="B1415" s="5" t="str">
        <f>IFERROR(__xludf.DUMMYFUNCTION("""COMPUTED_VALUE"""),"MA005")</f>
        <v>MA005</v>
      </c>
      <c r="C1415" s="5" t="str">
        <f>IFERROR(__xludf.DUMMYFUNCTION("""COMPUTED_VALUE"""),"ABRIGO CONCRETO")</f>
        <v>ABRIGO CONCRETO</v>
      </c>
      <c r="D1415" s="5" t="str">
        <f>IFERROR(__xludf.DUMMYFUNCTION("""COMPUTED_VALUE"""),"SEM PLACA")</f>
        <v>SEM PLACA</v>
      </c>
      <c r="E1415" s="5" t="str">
        <f>IFERROR(__xludf.DUMMYFUNCTION("""COMPUTED_VALUE"""),"SEM BAIA")</f>
        <v>SEM BAIA</v>
      </c>
      <c r="F1415" s="5" t="str">
        <f>IFERROR(__xludf.DUMMYFUNCTION("""COMPUTED_VALUE"""),"SIM")</f>
        <v>SIM</v>
      </c>
      <c r="G1415" s="5" t="str">
        <f>IFERROR(__xludf.DUMMYFUNCTION("""COMPUTED_VALUE"""),"NÃO")</f>
        <v>NÃO</v>
      </c>
      <c r="H1415" s="5" t="str">
        <f>IFERROR(__xludf.DUMMYFUNCTION("""COMPUTED_VALUE"""),"PAVIMENTADA")</f>
        <v>PAVIMENTADA</v>
      </c>
      <c r="I1415" s="6" t="str">
        <f>IFERROR(__xludf.DUMMYFUNCTION("""COMPUTED_VALUE"""),"-9.642007")</f>
        <v>-9.642007</v>
      </c>
      <c r="J1415" s="6" t="str">
        <f>IFERROR(__xludf.DUMMYFUNCTION("""COMPUTED_VALUE"""),"-35.709544")</f>
        <v>-35.709544</v>
      </c>
      <c r="K1415" s="5" t="str">
        <f>IFERROR(__xludf.DUMMYFUNCTION("""COMPUTED_VALUE"""),"AV. COMENDADOR GUSTAVO PAIVA")</f>
        <v>AV. COMENDADOR GUSTAVO PAIVA</v>
      </c>
      <c r="L1415" s="5" t="str">
        <f>IFERROR(__xludf.DUMMYFUNCTION("""COMPUTED_VALUE"""),"ARTERIAL ")</f>
        <v>ARTERIAL </v>
      </c>
      <c r="M1415" s="5" t="str">
        <f>IFERROR(__xludf.DUMMYFUNCTION("""COMPUTED_VALUE"""),"MANGABEIRAS")</f>
        <v>MANGABEIRAS</v>
      </c>
      <c r="N1415" s="5" t="str">
        <f>IFERROR(__xludf.DUMMYFUNCTION("""COMPUTED_VALUE"""),"CENTRO - BAIRRO")</f>
        <v>CENTRO - BAIRRO</v>
      </c>
      <c r="O1415" s="5" t="str">
        <f>IFERROR(__xludf.DUMMYFUNCTION("""COMPUTED_VALUE"""),"EM FRENTE AO PARQUE DO CIGANO")</f>
        <v>EM FRENTE AO PARQUE DO CIGANO</v>
      </c>
      <c r="P1415" s="5" t="str">
        <f>IFERROR(__xludf.DUMMYFUNCTION("""COMPUTED_VALUE"""),"PRIORIDADE BAIXA")</f>
        <v>PRIORIDADE BAIXA</v>
      </c>
      <c r="Q1415" s="5"/>
      <c r="R1415" s="5" t="str">
        <f>IFERROR(__xludf.DUMMYFUNCTION("""COMPUTED_VALUE"""),"SUBSTITUIR ABRIGO")</f>
        <v>SUBSTITUIR ABRIGO</v>
      </c>
      <c r="S1415" s="5"/>
      <c r="T1415" s="5"/>
      <c r="U1415" s="5"/>
      <c r="V1415" s="9" t="str">
        <f>IFERROR(__xludf.DUMMYFUNCTION("""COMPUTED_VALUE"""),"https://drive.google.com/uc?id=1ZBbQ1u0RopYxx93tXQM37zn8cXAlXAWz")</f>
        <v>https://drive.google.com/uc?id=1ZBbQ1u0RopYxx93tXQM37zn8cXAlXAWz</v>
      </c>
      <c r="W1415" s="5" t="str">
        <f>IFERROR(__xludf.DUMMYFUNCTION("""COMPUTED_VALUE"""),"NÃO")</f>
        <v>NÃO</v>
      </c>
      <c r="X1415" s="5" t="str">
        <f>IFERROR(__xludf.DUMMYFUNCTION("""COMPUTED_VALUE"""),"NÃO SE APLICA")</f>
        <v>NÃO SE APLICA</v>
      </c>
    </row>
    <row r="1416">
      <c r="A1416" s="5">
        <f>IFERROR(__xludf.DUMMYFUNCTION("""COMPUTED_VALUE"""),1.0)</f>
        <v>1</v>
      </c>
      <c r="B1416" s="5" t="str">
        <f>IFERROR(__xludf.DUMMYFUNCTION("""COMPUTED_VALUE"""),"MA006")</f>
        <v>MA006</v>
      </c>
      <c r="C1416" s="5" t="str">
        <f>IFERROR(__xludf.DUMMYFUNCTION("""COMPUTED_VALUE"""),"ABRIGO METÁLICO PEQUENO PORTE")</f>
        <v>ABRIGO METÁLICO PEQUENO PORTE</v>
      </c>
      <c r="D1416" s="5" t="str">
        <f>IFERROR(__xludf.DUMMYFUNCTION("""COMPUTED_VALUE"""),"SEM PLACA")</f>
        <v>SEM PLACA</v>
      </c>
      <c r="E1416" s="5" t="str">
        <f>IFERROR(__xludf.DUMMYFUNCTION("""COMPUTED_VALUE"""),"SEM BAIA")</f>
        <v>SEM BAIA</v>
      </c>
      <c r="F1416" s="5" t="str">
        <f>IFERROR(__xludf.DUMMYFUNCTION("""COMPUTED_VALUE"""),"NÃO")</f>
        <v>NÃO</v>
      </c>
      <c r="G1416" s="5" t="str">
        <f>IFERROR(__xludf.DUMMYFUNCTION("""COMPUTED_VALUE"""),"NÃO")</f>
        <v>NÃO</v>
      </c>
      <c r="H1416" s="5" t="str">
        <f>IFERROR(__xludf.DUMMYFUNCTION("""COMPUTED_VALUE"""),"PAVIMENTADA COM AVARIAS")</f>
        <v>PAVIMENTADA COM AVARIAS</v>
      </c>
      <c r="I1416" s="6" t="str">
        <f>IFERROR(__xludf.DUMMYFUNCTION("""COMPUTED_VALUE"""),"-9.641480")</f>
        <v>-9.641480</v>
      </c>
      <c r="J1416" s="6" t="str">
        <f>IFERROR(__xludf.DUMMYFUNCTION("""COMPUTED_VALUE"""),"-35.708837")</f>
        <v>-35.708837</v>
      </c>
      <c r="K1416" s="5" t="str">
        <f>IFERROR(__xludf.DUMMYFUNCTION("""COMPUTED_VALUE"""),"AV. COMENDADOR GUSTAVO PAIVA")</f>
        <v>AV. COMENDADOR GUSTAVO PAIVA</v>
      </c>
      <c r="L1416" s="5" t="str">
        <f>IFERROR(__xludf.DUMMYFUNCTION("""COMPUTED_VALUE"""),"ARTERIAL ")</f>
        <v>ARTERIAL </v>
      </c>
      <c r="M1416" s="5" t="str">
        <f>IFERROR(__xludf.DUMMYFUNCTION("""COMPUTED_VALUE"""),"MANGABEIRAS")</f>
        <v>MANGABEIRAS</v>
      </c>
      <c r="N1416" s="5" t="str">
        <f>IFERROR(__xludf.DUMMYFUNCTION("""COMPUTED_VALUE"""),"BAIRRO - CENTRO")</f>
        <v>BAIRRO - CENTRO</v>
      </c>
      <c r="O1416" s="5"/>
      <c r="P1416" s="5" t="str">
        <f>IFERROR(__xludf.DUMMYFUNCTION("""COMPUTED_VALUE"""),"PRIORIDADE BAIXA")</f>
        <v>PRIORIDADE BAIXA</v>
      </c>
      <c r="Q1416" s="5"/>
      <c r="R1416" s="5" t="str">
        <f>IFERROR(__xludf.DUMMYFUNCTION("""COMPUTED_VALUE"""),"SUBSTITUIR ABRIGO")</f>
        <v>SUBSTITUIR ABRIGO</v>
      </c>
      <c r="S1416" s="5"/>
      <c r="T1416" s="5"/>
      <c r="U1416" s="5"/>
      <c r="V1416" s="9" t="str">
        <f>IFERROR(__xludf.DUMMYFUNCTION("""COMPUTED_VALUE"""),"https://drive.google.com/uc?id=1znudQZRMmg8anQe2HGBwljMUAxqBHVNF")</f>
        <v>https://drive.google.com/uc?id=1znudQZRMmg8anQe2HGBwljMUAxqBHVNF</v>
      </c>
      <c r="W1416" s="5" t="str">
        <f>IFERROR(__xludf.DUMMYFUNCTION("""COMPUTED_VALUE"""),"NÃO")</f>
        <v>NÃO</v>
      </c>
      <c r="X1416" s="5" t="str">
        <f>IFERROR(__xludf.DUMMYFUNCTION("""COMPUTED_VALUE"""),"NÃO")</f>
        <v>NÃO</v>
      </c>
    </row>
    <row r="1417">
      <c r="A1417" s="5">
        <f>IFERROR(__xludf.DUMMYFUNCTION("""COMPUTED_VALUE"""),1.0)</f>
        <v>1</v>
      </c>
      <c r="B1417" s="5" t="str">
        <f>IFERROR(__xludf.DUMMYFUNCTION("""COMPUTED_VALUE"""),"MA007")</f>
        <v>MA007</v>
      </c>
      <c r="C1417" s="5" t="str">
        <f>IFERROR(__xludf.DUMMYFUNCTION("""COMPUTED_VALUE"""),"ABRIGO METÁLICO PEQUENO PORTE")</f>
        <v>ABRIGO METÁLICO PEQUENO PORTE</v>
      </c>
      <c r="D1417" s="5" t="str">
        <f>IFERROR(__xludf.DUMMYFUNCTION("""COMPUTED_VALUE"""),"SEM PLACA")</f>
        <v>SEM PLACA</v>
      </c>
      <c r="E1417" s="5" t="str">
        <f>IFERROR(__xludf.DUMMYFUNCTION("""COMPUTED_VALUE"""),"SEM BAIA")</f>
        <v>SEM BAIA</v>
      </c>
      <c r="F1417" s="5" t="str">
        <f>IFERROR(__xludf.DUMMYFUNCTION("""COMPUTED_VALUE"""),"NÃO")</f>
        <v>NÃO</v>
      </c>
      <c r="G1417" s="5" t="str">
        <f>IFERROR(__xludf.DUMMYFUNCTION("""COMPUTED_VALUE"""),"NÃO")</f>
        <v>NÃO</v>
      </c>
      <c r="H1417" s="5" t="str">
        <f>IFERROR(__xludf.DUMMYFUNCTION("""COMPUTED_VALUE"""),"PAVIMENTADA COM AVARIAS")</f>
        <v>PAVIMENTADA COM AVARIAS</v>
      </c>
      <c r="I1417" s="6" t="str">
        <f>IFERROR(__xludf.DUMMYFUNCTION("""COMPUTED_VALUE"""),"-9.640102")</f>
        <v>-9.640102</v>
      </c>
      <c r="J1417" s="6" t="str">
        <f>IFERROR(__xludf.DUMMYFUNCTION("""COMPUTED_VALUE"""),"-35.706685")</f>
        <v>-35.706685</v>
      </c>
      <c r="K1417" s="5" t="str">
        <f>IFERROR(__xludf.DUMMYFUNCTION("""COMPUTED_VALUE"""),"AV. COMENDADOR GUSTAVO PAIVA")</f>
        <v>AV. COMENDADOR GUSTAVO PAIVA</v>
      </c>
      <c r="L1417" s="5" t="str">
        <f>IFERROR(__xludf.DUMMYFUNCTION("""COMPUTED_VALUE"""),"ARTERIAL ")</f>
        <v>ARTERIAL </v>
      </c>
      <c r="M1417" s="5" t="str">
        <f>IFERROR(__xludf.DUMMYFUNCTION("""COMPUTED_VALUE"""),"MANGABEIRAS")</f>
        <v>MANGABEIRAS</v>
      </c>
      <c r="N1417" s="5" t="str">
        <f>IFERROR(__xludf.DUMMYFUNCTION("""COMPUTED_VALUE"""),"BAIRRO - CENTRO")</f>
        <v>BAIRRO - CENTRO</v>
      </c>
      <c r="O1417" s="5" t="str">
        <f>IFERROR(__xludf.DUMMYFUNCTION("""COMPUTED_VALUE"""),"EM FRENTE AO LAR SÃO DOMINGOS")</f>
        <v>EM FRENTE AO LAR SÃO DOMINGOS</v>
      </c>
      <c r="P1417" s="5" t="str">
        <f>IFERROR(__xludf.DUMMYFUNCTION("""COMPUTED_VALUE"""),"PRIORIDADE BAIXA")</f>
        <v>PRIORIDADE BAIXA</v>
      </c>
      <c r="Q1417" s="5"/>
      <c r="R1417" s="5" t="str">
        <f>IFERROR(__xludf.DUMMYFUNCTION("""COMPUTED_VALUE"""),"SUBSTITUIR ABRIGO")</f>
        <v>SUBSTITUIR ABRIGO</v>
      </c>
      <c r="S1417" s="5"/>
      <c r="T1417" s="5"/>
      <c r="U1417" s="5"/>
      <c r="V1417" s="9" t="str">
        <f>IFERROR(__xludf.DUMMYFUNCTION("""COMPUTED_VALUE"""),"https://drive.google.com/uc?id=1YhAd3J84DgPHfaOmQUswAtxMZgh9vuex")</f>
        <v>https://drive.google.com/uc?id=1YhAd3J84DgPHfaOmQUswAtxMZgh9vuex</v>
      </c>
      <c r="W1417" s="5" t="str">
        <f>IFERROR(__xludf.DUMMYFUNCTION("""COMPUTED_VALUE"""),"NÃO")</f>
        <v>NÃO</v>
      </c>
      <c r="X1417" s="5" t="str">
        <f>IFERROR(__xludf.DUMMYFUNCTION("""COMPUTED_VALUE"""),"NÃO")</f>
        <v>NÃO</v>
      </c>
    </row>
    <row r="1418">
      <c r="A1418" s="5">
        <f>IFERROR(__xludf.DUMMYFUNCTION("""COMPUTED_VALUE"""),1.0)</f>
        <v>1</v>
      </c>
      <c r="B1418" s="5" t="str">
        <f>IFERROR(__xludf.DUMMYFUNCTION("""COMPUTED_VALUE"""),"MA008")</f>
        <v>MA008</v>
      </c>
      <c r="C1418" s="5" t="str">
        <f>IFERROR(__xludf.DUMMYFUNCTION("""COMPUTED_VALUE"""),"ABRIGO METÁLICO PEQUENO PORTE")</f>
        <v>ABRIGO METÁLICO PEQUENO PORTE</v>
      </c>
      <c r="D1418" s="5" t="str">
        <f>IFERROR(__xludf.DUMMYFUNCTION("""COMPUTED_VALUE"""),"SEM PLACA")</f>
        <v>SEM PLACA</v>
      </c>
      <c r="E1418" s="5" t="str">
        <f>IFERROR(__xludf.DUMMYFUNCTION("""COMPUTED_VALUE"""),"SEM BAIA")</f>
        <v>SEM BAIA</v>
      </c>
      <c r="F1418" s="5" t="str">
        <f>IFERROR(__xludf.DUMMYFUNCTION("""COMPUTED_VALUE"""),"SIM")</f>
        <v>SIM</v>
      </c>
      <c r="G1418" s="5" t="str">
        <f>IFERROR(__xludf.DUMMYFUNCTION("""COMPUTED_VALUE"""),"NÃO")</f>
        <v>NÃO</v>
      </c>
      <c r="H1418" s="5" t="str">
        <f>IFERROR(__xludf.DUMMYFUNCTION("""COMPUTED_VALUE"""),"PAVIMENTADA")</f>
        <v>PAVIMENTADA</v>
      </c>
      <c r="I1418" s="6" t="str">
        <f>IFERROR(__xludf.DUMMYFUNCTION("""COMPUTED_VALUE"""),"-9.639947")</f>
        <v>-9.639947</v>
      </c>
      <c r="J1418" s="6" t="str">
        <f>IFERROR(__xludf.DUMMYFUNCTION("""COMPUTED_VALUE"""),"-35.706492")</f>
        <v>-35.706492</v>
      </c>
      <c r="K1418" s="5" t="str">
        <f>IFERROR(__xludf.DUMMYFUNCTION("""COMPUTED_VALUE"""),"AV. COMENDADOR GUSTAVO PAIVA")</f>
        <v>AV. COMENDADOR GUSTAVO PAIVA</v>
      </c>
      <c r="L1418" s="5" t="str">
        <f>IFERROR(__xludf.DUMMYFUNCTION("""COMPUTED_VALUE"""),"ARTERIAL ")</f>
        <v>ARTERIAL </v>
      </c>
      <c r="M1418" s="5" t="str">
        <f>IFERROR(__xludf.DUMMYFUNCTION("""COMPUTED_VALUE"""),"MANGABEIRAS")</f>
        <v>MANGABEIRAS</v>
      </c>
      <c r="N1418" s="5" t="str">
        <f>IFERROR(__xludf.DUMMYFUNCTION("""COMPUTED_VALUE"""),"CENTRO - BAIRRO")</f>
        <v>CENTRO - BAIRRO</v>
      </c>
      <c r="O1418" s="5"/>
      <c r="P1418" s="5" t="str">
        <f>IFERROR(__xludf.DUMMYFUNCTION("""COMPUTED_VALUE"""),"PRIORIDADE BAIXA")</f>
        <v>PRIORIDADE BAIXA</v>
      </c>
      <c r="Q1418" s="5"/>
      <c r="R1418" s="5" t="str">
        <f>IFERROR(__xludf.DUMMYFUNCTION("""COMPUTED_VALUE"""),"SUBSTITUIR ABRIGO")</f>
        <v>SUBSTITUIR ABRIGO</v>
      </c>
      <c r="S1418" s="5"/>
      <c r="T1418" s="5"/>
      <c r="U1418" s="5"/>
      <c r="V1418" s="9" t="str">
        <f>IFERROR(__xludf.DUMMYFUNCTION("""COMPUTED_VALUE"""),"https://drive.google.com/uc?id=1sZP4QLki8yIGhvqmr6dCszjs9tqfFXzf")</f>
        <v>https://drive.google.com/uc?id=1sZP4QLki8yIGhvqmr6dCszjs9tqfFXzf</v>
      </c>
      <c r="W1418" s="5" t="str">
        <f>IFERROR(__xludf.DUMMYFUNCTION("""COMPUTED_VALUE"""),"NÃO")</f>
        <v>NÃO</v>
      </c>
      <c r="X1418" s="5" t="str">
        <f>IFERROR(__xludf.DUMMYFUNCTION("""COMPUTED_VALUE"""),"NÃO")</f>
        <v>NÃO</v>
      </c>
    </row>
    <row r="1419">
      <c r="A1419" s="13">
        <f>IFERROR(__xludf.DUMMYFUNCTION("IMPORTRANGE(""https://docs.google.com/spreadsheets/d/1UVIacvoteqWSc0BsiO5oc6hQTTDI_D6exkrFOSzaJVM/edit#gid=1185486678"", ""PAJUÇARA!A2:X12"")"),1.0)</f>
        <v>1</v>
      </c>
      <c r="B1419" s="5" t="str">
        <f>IFERROR(__xludf.DUMMYFUNCTION("""COMPUTED_VALUE"""),"PA001")</f>
        <v>PA001</v>
      </c>
      <c r="C1419" s="5" t="str">
        <f>IFERROR(__xludf.DUMMYFUNCTION("""COMPUTED_VALUE"""),"ABRIGO METÁLICO PEQUENO PORTE")</f>
        <v>ABRIGO METÁLICO PEQUENO PORTE</v>
      </c>
      <c r="D1419" s="5" t="str">
        <f>IFERROR(__xludf.DUMMYFUNCTION("""COMPUTED_VALUE"""),"SEM PLACA")</f>
        <v>SEM PLACA</v>
      </c>
      <c r="E1419" s="5" t="str">
        <f>IFERROR(__xludf.DUMMYFUNCTION("""COMPUTED_VALUE"""),"SEM BAIA")</f>
        <v>SEM BAIA</v>
      </c>
      <c r="F1419" s="5" t="str">
        <f>IFERROR(__xludf.DUMMYFUNCTION("""COMPUTED_VALUE"""),"NÃO")</f>
        <v>NÃO</v>
      </c>
      <c r="G1419" s="5" t="str">
        <f>IFERROR(__xludf.DUMMYFUNCTION("""COMPUTED_VALUE"""),"NÃO")</f>
        <v>NÃO</v>
      </c>
      <c r="H1419" s="5" t="str">
        <f>IFERROR(__xludf.DUMMYFUNCTION("""COMPUTED_VALUE"""),"PAVIMENTADA")</f>
        <v>PAVIMENTADA</v>
      </c>
      <c r="I1419" s="6" t="str">
        <f>IFERROR(__xludf.DUMMYFUNCTION("""COMPUTED_VALUE"""),"-9.663634")</f>
        <v>-9.663634</v>
      </c>
      <c r="J1419" s="6" t="str">
        <f>IFERROR(__xludf.DUMMYFUNCTION("""COMPUTED_VALUE"""),"-35.710103")</f>
        <v>-35.710103</v>
      </c>
      <c r="K1419" s="5" t="str">
        <f>IFERROR(__xludf.DUMMYFUNCTION("""COMPUTED_VALUE"""),"RUA JANGADEIROS ALAGOANOS")</f>
        <v>RUA JANGADEIROS ALAGOANOS</v>
      </c>
      <c r="L1419" s="5" t="str">
        <f>IFERROR(__xludf.DUMMYFUNCTION("""COMPUTED_VALUE"""),"COLETORA")</f>
        <v>COLETORA</v>
      </c>
      <c r="M1419" s="5" t="str">
        <f>IFERROR(__xludf.DUMMYFUNCTION("""COMPUTED_VALUE"""),"PAJURAÇA")</f>
        <v>PAJURAÇA</v>
      </c>
      <c r="N1419" s="5" t="str">
        <f>IFERROR(__xludf.DUMMYFUNCTION("""COMPUTED_VALUE"""),"CENTRO - BAIRRO")</f>
        <v>CENTRO - BAIRRO</v>
      </c>
      <c r="O1419" s="5" t="str">
        <f>IFERROR(__xludf.DUMMYFUNCTION("""COMPUTED_VALUE"""),"PRÓXIMO AO SUPERMERCADO BOMPREÇO")</f>
        <v>PRÓXIMO AO SUPERMERCADO BOMPREÇO</v>
      </c>
      <c r="P1419" s="5"/>
      <c r="Q1419" s="5"/>
      <c r="R1419" s="5" t="str">
        <f>IFERROR(__xludf.DUMMYFUNCTION("""COMPUTED_VALUE"""),"SUBSTITUIR ABRIGO")</f>
        <v>SUBSTITUIR ABRIGO</v>
      </c>
      <c r="S1419" s="5"/>
      <c r="T1419" s="5"/>
      <c r="U1419" s="5"/>
      <c r="V1419" s="9" t="str">
        <f>IFERROR(__xludf.DUMMYFUNCTION("""COMPUTED_VALUE"""),"https://drive.google.com/uc?id=1as75wBhDACdqZmOKE_TVR6OT9KanMslR")</f>
        <v>https://drive.google.com/uc?id=1as75wBhDACdqZmOKE_TVR6OT9KanMslR</v>
      </c>
      <c r="W1419" s="5" t="str">
        <f>IFERROR(__xludf.DUMMYFUNCTION("""COMPUTED_VALUE"""),"NÃO")</f>
        <v>NÃO</v>
      </c>
      <c r="X1419" s="5" t="str">
        <f>IFERROR(__xludf.DUMMYFUNCTION("""COMPUTED_VALUE"""),"SIM")</f>
        <v>SIM</v>
      </c>
    </row>
    <row r="1420">
      <c r="A1420" s="5">
        <f>IFERROR(__xludf.DUMMYFUNCTION("""COMPUTED_VALUE"""),1.0)</f>
        <v>1</v>
      </c>
      <c r="B1420" s="5" t="str">
        <f>IFERROR(__xludf.DUMMYFUNCTION("""COMPUTED_VALUE"""),"PA002")</f>
        <v>PA002</v>
      </c>
      <c r="C1420" s="5" t="str">
        <f>IFERROR(__xludf.DUMMYFUNCTION("""COMPUTED_VALUE"""),"ABRIGO METÁLICO PEQUENO PORTE")</f>
        <v>ABRIGO METÁLICO PEQUENO PORTE</v>
      </c>
      <c r="D1420" s="5" t="str">
        <f>IFERROR(__xludf.DUMMYFUNCTION("""COMPUTED_VALUE"""),"SEM PLACA")</f>
        <v>SEM PLACA</v>
      </c>
      <c r="E1420" s="5" t="str">
        <f>IFERROR(__xludf.DUMMYFUNCTION("""COMPUTED_VALUE"""),"BAIA PINTADA")</f>
        <v>BAIA PINTADA</v>
      </c>
      <c r="F1420" s="5" t="str">
        <f>IFERROR(__xludf.DUMMYFUNCTION("""COMPUTED_VALUE"""),"NÃO")</f>
        <v>NÃO</v>
      </c>
      <c r="G1420" s="5" t="str">
        <f>IFERROR(__xludf.DUMMYFUNCTION("""COMPUTED_VALUE"""),"NÃO")</f>
        <v>NÃO</v>
      </c>
      <c r="H1420" s="5" t="str">
        <f>IFERROR(__xludf.DUMMYFUNCTION("""COMPUTED_VALUE"""),"PAVIMENTADA")</f>
        <v>PAVIMENTADA</v>
      </c>
      <c r="I1420" s="6" t="str">
        <f>IFERROR(__xludf.DUMMYFUNCTION("""COMPUTED_VALUE"""),"-9.663376")</f>
        <v>-9.663376</v>
      </c>
      <c r="J1420" s="6" t="str">
        <f>IFERROR(__xludf.DUMMYFUNCTION("""COMPUTED_VALUE"""),"-35.711057")</f>
        <v>-35.711057</v>
      </c>
      <c r="K1420" s="5" t="str">
        <f>IFERROR(__xludf.DUMMYFUNCTION("""COMPUTED_VALUE"""),"RUA QUINTINO BOCAIÚVA")</f>
        <v>RUA QUINTINO BOCAIÚVA</v>
      </c>
      <c r="L1420" s="5" t="str">
        <f>IFERROR(__xludf.DUMMYFUNCTION("""COMPUTED_VALUE"""),"COLETORA")</f>
        <v>COLETORA</v>
      </c>
      <c r="M1420" s="5" t="str">
        <f>IFERROR(__xludf.DUMMYFUNCTION("""COMPUTED_VALUE"""),"PAJURAÇA")</f>
        <v>PAJURAÇA</v>
      </c>
      <c r="N1420" s="5" t="str">
        <f>IFERROR(__xludf.DUMMYFUNCTION("""COMPUTED_VALUE"""),"BAIRRO - CENTRO")</f>
        <v>BAIRRO - CENTRO</v>
      </c>
      <c r="O1420" s="5" t="str">
        <f>IFERROR(__xludf.DUMMYFUNCTION("""COMPUTED_VALUE"""),"PRÓXIMO AO SUPERMERCADO BOMPREÇO")</f>
        <v>PRÓXIMO AO SUPERMERCADO BOMPREÇO</v>
      </c>
      <c r="P1420" s="5"/>
      <c r="Q1420" s="5"/>
      <c r="R1420" s="5" t="str">
        <f>IFERROR(__xludf.DUMMYFUNCTION("""COMPUTED_VALUE"""),"SUBSTITUIR ABRIGO")</f>
        <v>SUBSTITUIR ABRIGO</v>
      </c>
      <c r="S1420" s="5"/>
      <c r="T1420" s="5"/>
      <c r="U1420" s="5"/>
      <c r="V1420" s="9" t="str">
        <f>IFERROR(__xludf.DUMMYFUNCTION("""COMPUTED_VALUE"""),"https://drive.google.com/uc?id=1wLSoK3sOeJe_ox5PW4cDwNCJqxUjRG5s")</f>
        <v>https://drive.google.com/uc?id=1wLSoK3sOeJe_ox5PW4cDwNCJqxUjRG5s</v>
      </c>
      <c r="W1420" s="5" t="str">
        <f>IFERROR(__xludf.DUMMYFUNCTION("""COMPUTED_VALUE"""),"NÃO")</f>
        <v>NÃO</v>
      </c>
      <c r="X1420" s="5" t="str">
        <f>IFERROR(__xludf.DUMMYFUNCTION("""COMPUTED_VALUE"""),"SIM")</f>
        <v>SIM</v>
      </c>
    </row>
    <row r="1421">
      <c r="A1421" s="5">
        <f>IFERROR(__xludf.DUMMYFUNCTION("""COMPUTED_VALUE"""),1.0)</f>
        <v>1</v>
      </c>
      <c r="B1421" s="5" t="str">
        <f>IFERROR(__xludf.DUMMYFUNCTION("""COMPUTED_VALUE"""),"PA003")</f>
        <v>PA003</v>
      </c>
      <c r="C1421" s="5" t="str">
        <f>IFERROR(__xludf.DUMMYFUNCTION("""COMPUTED_VALUE"""),"ABRIGO METÁLICO PEQUENO PORTE")</f>
        <v>ABRIGO METÁLICO PEQUENO PORTE</v>
      </c>
      <c r="D1421" s="5" t="str">
        <f>IFERROR(__xludf.DUMMYFUNCTION("""COMPUTED_VALUE"""),"SEM PLACA")</f>
        <v>SEM PLACA</v>
      </c>
      <c r="E1421" s="5" t="str">
        <f>IFERROR(__xludf.DUMMYFUNCTION("""COMPUTED_VALUE"""),"SEM BAIA")</f>
        <v>SEM BAIA</v>
      </c>
      <c r="F1421" s="5" t="str">
        <f>IFERROR(__xludf.DUMMYFUNCTION("""COMPUTED_VALUE"""),"NÃO")</f>
        <v>NÃO</v>
      </c>
      <c r="G1421" s="5" t="str">
        <f>IFERROR(__xludf.DUMMYFUNCTION("""COMPUTED_VALUE"""),"NÃO")</f>
        <v>NÃO</v>
      </c>
      <c r="H1421" s="5" t="str">
        <f>IFERROR(__xludf.DUMMYFUNCTION("""COMPUTED_VALUE"""),"PAVIMENTADA")</f>
        <v>PAVIMENTADA</v>
      </c>
      <c r="I1421" s="6" t="str">
        <f>IFERROR(__xludf.DUMMYFUNCTION("""COMPUTED_VALUE"""),"-9.665754")</f>
        <v>-9.665754</v>
      </c>
      <c r="J1421" s="6" t="str">
        <f>IFERROR(__xludf.DUMMYFUNCTION("""COMPUTED_VALUE"""),"-35.712638")</f>
        <v>-35.712638</v>
      </c>
      <c r="K1421" s="5" t="str">
        <f>IFERROR(__xludf.DUMMYFUNCTION("""COMPUTED_VALUE"""),"RUA JANGADEIROS ALAGOANOS")</f>
        <v>RUA JANGADEIROS ALAGOANOS</v>
      </c>
      <c r="L1421" s="5" t="str">
        <f>IFERROR(__xludf.DUMMYFUNCTION("""COMPUTED_VALUE"""),"COLETORA")</f>
        <v>COLETORA</v>
      </c>
      <c r="M1421" s="5" t="str">
        <f>IFERROR(__xludf.DUMMYFUNCTION("""COMPUTED_VALUE"""),"PAJURAÇA")</f>
        <v>PAJURAÇA</v>
      </c>
      <c r="N1421" s="5" t="str">
        <f>IFERROR(__xludf.DUMMYFUNCTION("""COMPUTED_VALUE"""),"CENTRO - BAIRRO")</f>
        <v>CENTRO - BAIRRO</v>
      </c>
      <c r="O1421" s="5" t="str">
        <f>IFERROR(__xludf.DUMMYFUNCTION("""COMPUTED_VALUE"""),"EM FRENTE AO TROPICALIS HOTEL")</f>
        <v>EM FRENTE AO TROPICALIS HOTEL</v>
      </c>
      <c r="P1421" s="5"/>
      <c r="Q1421" s="5"/>
      <c r="R1421" s="5" t="str">
        <f>IFERROR(__xludf.DUMMYFUNCTION("""COMPUTED_VALUE"""),"SUBSTITUIR ABRIGO")</f>
        <v>SUBSTITUIR ABRIGO</v>
      </c>
      <c r="S1421" s="5"/>
      <c r="T1421" s="5"/>
      <c r="U1421" s="5"/>
      <c r="V1421" s="9" t="str">
        <f>IFERROR(__xludf.DUMMYFUNCTION("""COMPUTED_VALUE"""),"https://drive.google.com/uc?id=15wXJu330uIuB0eYmMAIx0DOr65AkWKG5")</f>
        <v>https://drive.google.com/uc?id=15wXJu330uIuB0eYmMAIx0DOr65AkWKG5</v>
      </c>
      <c r="W1421" s="5" t="str">
        <f>IFERROR(__xludf.DUMMYFUNCTION("""COMPUTED_VALUE"""),"NÃO")</f>
        <v>NÃO</v>
      </c>
      <c r="X1421" s="5" t="str">
        <f>IFERROR(__xludf.DUMMYFUNCTION("""COMPUTED_VALUE"""),"SIM")</f>
        <v>SIM</v>
      </c>
    </row>
    <row r="1422" hidden="1">
      <c r="A1422" s="5">
        <f>IFERROR(__xludf.DUMMYFUNCTION("""COMPUTED_VALUE"""),1.0)</f>
        <v>1</v>
      </c>
      <c r="B1422" s="5" t="str">
        <f>IFERROR(__xludf.DUMMYFUNCTION("""COMPUTED_VALUE"""),"PA004")</f>
        <v>PA004</v>
      </c>
      <c r="C1422" s="5" t="str">
        <f>IFERROR(__xludf.DUMMYFUNCTION("""COMPUTED_VALUE"""),"NÃO POSSUI")</f>
        <v>NÃO POSSUI</v>
      </c>
      <c r="D1422" s="5" t="str">
        <f>IFERROR(__xludf.DUMMYFUNCTION("""COMPUTED_VALUE"""),"COM SUPORTE")</f>
        <v>COM SUPORTE</v>
      </c>
      <c r="E1422" s="5" t="str">
        <f>IFERROR(__xludf.DUMMYFUNCTION("""COMPUTED_VALUE"""),"BAIA PINTADA")</f>
        <v>BAIA PINTADA</v>
      </c>
      <c r="F1422" s="5" t="str">
        <f>IFERROR(__xludf.DUMMYFUNCTION("""COMPUTED_VALUE"""),"NÃO")</f>
        <v>NÃO</v>
      </c>
      <c r="G1422" s="5" t="str">
        <f>IFERROR(__xludf.DUMMYFUNCTION("""COMPUTED_VALUE"""),"NÃO")</f>
        <v>NÃO</v>
      </c>
      <c r="H1422" s="5" t="str">
        <f>IFERROR(__xludf.DUMMYFUNCTION("""COMPUTED_VALUE"""),"PAVIMENTADA")</f>
        <v>PAVIMENTADA</v>
      </c>
      <c r="I1422" s="6" t="str">
        <f>IFERROR(__xludf.DUMMYFUNCTION("""COMPUTED_VALUE"""),"-9.665724")</f>
        <v>-9.665724</v>
      </c>
      <c r="J1422" s="6" t="str">
        <f>IFERROR(__xludf.DUMMYFUNCTION("""COMPUTED_VALUE"""),"-35.713515")</f>
        <v>-35.713515</v>
      </c>
      <c r="K1422" s="5" t="str">
        <f>IFERROR(__xludf.DUMMYFUNCTION("""COMPUTED_VALUE"""),"RUA QUINTINO BOCAIÚVA")</f>
        <v>RUA QUINTINO BOCAIÚVA</v>
      </c>
      <c r="L1422" s="5" t="str">
        <f>IFERROR(__xludf.DUMMYFUNCTION("""COMPUTED_VALUE"""),"COLETORA")</f>
        <v>COLETORA</v>
      </c>
      <c r="M1422" s="5" t="str">
        <f>IFERROR(__xludf.DUMMYFUNCTION("""COMPUTED_VALUE"""),"PAJURAÇA")</f>
        <v>PAJURAÇA</v>
      </c>
      <c r="N1422" s="5" t="str">
        <f>IFERROR(__xludf.DUMMYFUNCTION("""COMPUTED_VALUE"""),"BAIRRO - CENTRO")</f>
        <v>BAIRRO - CENTRO</v>
      </c>
      <c r="O1422" s="5" t="str">
        <f>IFERROR(__xludf.DUMMYFUNCTION("""COMPUTED_VALUE"""),"EM FRENTE A POUSADA QUARACÁ")</f>
        <v>EM FRENTE A POUSADA QUARACÁ</v>
      </c>
      <c r="P1422" s="5"/>
      <c r="Q1422" s="5"/>
      <c r="R1422" s="5" t="str">
        <f>IFERROR(__xludf.DUMMYFUNCTION("""COMPUTED_VALUE"""),"NENHUMA DAS OPÇÕES")</f>
        <v>NENHUMA DAS OPÇÕES</v>
      </c>
      <c r="S1422" s="5"/>
      <c r="T1422" s="5"/>
      <c r="U1422" s="5"/>
      <c r="V1422" s="9" t="str">
        <f>IFERROR(__xludf.DUMMYFUNCTION("""COMPUTED_VALUE"""),"https://drive.google.com/uc?id=12bQs3m9utm-nrOghyki2hQ48V_M_Ql9B")</f>
        <v>https://drive.google.com/uc?id=12bQs3m9utm-nrOghyki2hQ48V_M_Ql9B</v>
      </c>
      <c r="W1422" s="5" t="str">
        <f>IFERROR(__xludf.DUMMYFUNCTION("""COMPUTED_VALUE"""),"NÃO")</f>
        <v>NÃO</v>
      </c>
      <c r="X1422" s="5" t="str">
        <f>IFERROR(__xludf.DUMMYFUNCTION("""COMPUTED_VALUE"""),"NÃO SE APLICA")</f>
        <v>NÃO SE APLICA</v>
      </c>
    </row>
    <row r="1423" hidden="1">
      <c r="A1423" s="5">
        <f>IFERROR(__xludf.DUMMYFUNCTION("""COMPUTED_VALUE"""),1.0)</f>
        <v>1</v>
      </c>
      <c r="B1423" s="5" t="str">
        <f>IFERROR(__xludf.DUMMYFUNCTION("""COMPUTED_VALUE"""),"PA005")</f>
        <v>PA005</v>
      </c>
      <c r="C1423" s="5" t="str">
        <f>IFERROR(__xludf.DUMMYFUNCTION("""COMPUTED_VALUE"""),"NÃO POSSUI")</f>
        <v>NÃO POSSUI</v>
      </c>
      <c r="D1423" s="5" t="str">
        <f>IFERROR(__xludf.DUMMYFUNCTION("""COMPUTED_VALUE"""),"COM SUPORTE")</f>
        <v>COM SUPORTE</v>
      </c>
      <c r="E1423" s="5" t="str">
        <f>IFERROR(__xludf.DUMMYFUNCTION("""COMPUTED_VALUE"""),"BAIA PINTADA")</f>
        <v>BAIA PINTADA</v>
      </c>
      <c r="F1423" s="5" t="str">
        <f>IFERROR(__xludf.DUMMYFUNCTION("""COMPUTED_VALUE"""),"NÃO")</f>
        <v>NÃO</v>
      </c>
      <c r="G1423" s="5" t="str">
        <f>IFERROR(__xludf.DUMMYFUNCTION("""COMPUTED_VALUE"""),"NÃO")</f>
        <v>NÃO</v>
      </c>
      <c r="H1423" s="5" t="str">
        <f>IFERROR(__xludf.DUMMYFUNCTION("""COMPUTED_VALUE"""),"PAVIMENTADA")</f>
        <v>PAVIMENTADA</v>
      </c>
      <c r="I1423" s="6" t="str">
        <f>IFERROR(__xludf.DUMMYFUNCTION("""COMPUTED_VALUE"""),"-9.667471")</f>
        <v>-9.667471</v>
      </c>
      <c r="J1423" s="6" t="str">
        <f>IFERROR(__xludf.DUMMYFUNCTION("""COMPUTED_VALUE"""),"-35.714289")</f>
        <v>-35.714289</v>
      </c>
      <c r="K1423" s="5" t="str">
        <f>IFERROR(__xludf.DUMMYFUNCTION("""COMPUTED_VALUE"""),"RUA JANGADEIROS ALAGOANOS")</f>
        <v>RUA JANGADEIROS ALAGOANOS</v>
      </c>
      <c r="L1423" s="5" t="str">
        <f>IFERROR(__xludf.DUMMYFUNCTION("""COMPUTED_VALUE"""),"COLETORA")</f>
        <v>COLETORA</v>
      </c>
      <c r="M1423" s="5" t="str">
        <f>IFERROR(__xludf.DUMMYFUNCTION("""COMPUTED_VALUE"""),"PAJURAÇA")</f>
        <v>PAJURAÇA</v>
      </c>
      <c r="N1423" s="5" t="str">
        <f>IFERROR(__xludf.DUMMYFUNCTION("""COMPUTED_VALUE"""),"CENTRO - BAIRRO")</f>
        <v>CENTRO - BAIRRO</v>
      </c>
      <c r="O1423" s="5" t="str">
        <f>IFERROR(__xludf.DUMMYFUNCTION("""COMPUTED_VALUE"""),"EM FRENTE A FARMÁCIA ANA PAULA")</f>
        <v>EM FRENTE A FARMÁCIA ANA PAULA</v>
      </c>
      <c r="P1423" s="5"/>
      <c r="Q1423" s="5"/>
      <c r="R1423" s="5" t="str">
        <f>IFERROR(__xludf.DUMMYFUNCTION("""COMPUTED_VALUE"""),"NENHUMA DAS OPÇÕES")</f>
        <v>NENHUMA DAS OPÇÕES</v>
      </c>
      <c r="S1423" s="5"/>
      <c r="T1423" s="5"/>
      <c r="U1423" s="5"/>
      <c r="V1423" s="9" t="str">
        <f>IFERROR(__xludf.DUMMYFUNCTION("""COMPUTED_VALUE"""),"https://drive.google.com/uc?id=1JwUWx-VqmyXynq2GpfoYpdvAY0DW-jIc")</f>
        <v>https://drive.google.com/uc?id=1JwUWx-VqmyXynq2GpfoYpdvAY0DW-jIc</v>
      </c>
      <c r="W1423" s="5" t="str">
        <f>IFERROR(__xludf.DUMMYFUNCTION("""COMPUTED_VALUE"""),"NÃO")</f>
        <v>NÃO</v>
      </c>
      <c r="X1423" s="5" t="str">
        <f>IFERROR(__xludf.DUMMYFUNCTION("""COMPUTED_VALUE"""),"NÃO SE APLICA")</f>
        <v>NÃO SE APLICA</v>
      </c>
    </row>
    <row r="1424" hidden="1">
      <c r="A1424" s="5">
        <f>IFERROR(__xludf.DUMMYFUNCTION("""COMPUTED_VALUE"""),1.0)</f>
        <v>1</v>
      </c>
      <c r="B1424" s="5" t="str">
        <f>IFERROR(__xludf.DUMMYFUNCTION("""COMPUTED_VALUE"""),"PA006")</f>
        <v>PA006</v>
      </c>
      <c r="C1424" s="5" t="str">
        <f>IFERROR(__xludf.DUMMYFUNCTION("""COMPUTED_VALUE"""),"NÃO POSSUI")</f>
        <v>NÃO POSSUI</v>
      </c>
      <c r="D1424" s="5" t="str">
        <f>IFERROR(__xludf.DUMMYFUNCTION("""COMPUTED_VALUE"""),"COM SUPORTE")</f>
        <v>COM SUPORTE</v>
      </c>
      <c r="E1424" s="5" t="str">
        <f>IFERROR(__xludf.DUMMYFUNCTION("""COMPUTED_VALUE"""),"SEM BAIA")</f>
        <v>SEM BAIA</v>
      </c>
      <c r="F1424" s="5" t="str">
        <f>IFERROR(__xludf.DUMMYFUNCTION("""COMPUTED_VALUE"""),"NÃO")</f>
        <v>NÃO</v>
      </c>
      <c r="G1424" s="5" t="str">
        <f>IFERROR(__xludf.DUMMYFUNCTION("""COMPUTED_VALUE"""),"NÃO")</f>
        <v>NÃO</v>
      </c>
      <c r="H1424" s="5" t="str">
        <f>IFERROR(__xludf.DUMMYFUNCTION("""COMPUTED_VALUE"""),"PAVIMENTADA")</f>
        <v>PAVIMENTADA</v>
      </c>
      <c r="I1424" s="6" t="str">
        <f>IFERROR(__xludf.DUMMYFUNCTION("""COMPUTED_VALUE"""),"-9.668849")</f>
        <v>-9.668849</v>
      </c>
      <c r="J1424" s="6" t="str">
        <f>IFERROR(__xludf.DUMMYFUNCTION("""COMPUTED_VALUE"""),"-35.716121")</f>
        <v>-35.716121</v>
      </c>
      <c r="K1424" s="5" t="str">
        <f>IFERROR(__xludf.DUMMYFUNCTION("""COMPUTED_VALUE"""),"R. DR. LESSA DE AZEVEDO")</f>
        <v>R. DR. LESSA DE AZEVEDO</v>
      </c>
      <c r="L1424" s="5" t="str">
        <f>IFERROR(__xludf.DUMMYFUNCTION("""COMPUTED_VALUE"""),"LOCAL")</f>
        <v>LOCAL</v>
      </c>
      <c r="M1424" s="5" t="str">
        <f>IFERROR(__xludf.DUMMYFUNCTION("""COMPUTED_VALUE"""),"PAJURAÇA")</f>
        <v>PAJURAÇA</v>
      </c>
      <c r="N1424" s="5" t="str">
        <f>IFERROR(__xludf.DUMMYFUNCTION("""COMPUTED_VALUE"""),"BAIRRO - CENTRO")</f>
        <v>BAIRRO - CENTRO</v>
      </c>
      <c r="O1424" s="5" t="str">
        <f>IFERROR(__xludf.DUMMYFUNCTION("""COMPUTED_VALUE"""),"PRÓXIMO A VISION ÓTICA")</f>
        <v>PRÓXIMO A VISION ÓTICA</v>
      </c>
      <c r="P1424" s="5"/>
      <c r="Q1424" s="5"/>
      <c r="R1424" s="5" t="str">
        <f>IFERROR(__xludf.DUMMYFUNCTION("""COMPUTED_VALUE"""),"NENHUMA DAS OPÇÕES")</f>
        <v>NENHUMA DAS OPÇÕES</v>
      </c>
      <c r="S1424" s="5"/>
      <c r="T1424" s="5"/>
      <c r="U1424" s="5"/>
      <c r="V1424" s="9" t="str">
        <f>IFERROR(__xludf.DUMMYFUNCTION("""COMPUTED_VALUE"""),"https://drive.google.com/uc?id=14o2wBZtgmwbdZIwtgyBypCNG2FbumZmT")</f>
        <v>https://drive.google.com/uc?id=14o2wBZtgmwbdZIwtgyBypCNG2FbumZmT</v>
      </c>
      <c r="W1424" s="5" t="str">
        <f>IFERROR(__xludf.DUMMYFUNCTION("""COMPUTED_VALUE"""),"NÃO")</f>
        <v>NÃO</v>
      </c>
      <c r="X1424" s="5" t="str">
        <f>IFERROR(__xludf.DUMMYFUNCTION("""COMPUTED_VALUE"""),"NÃO SE APLICA")</f>
        <v>NÃO SE APLICA</v>
      </c>
    </row>
    <row r="1425" hidden="1">
      <c r="A1425" s="5">
        <f>IFERROR(__xludf.DUMMYFUNCTION("""COMPUTED_VALUE"""),1.0)</f>
        <v>1</v>
      </c>
      <c r="B1425" s="5" t="str">
        <f>IFERROR(__xludf.DUMMYFUNCTION("""COMPUTED_VALUE"""),"PA007")</f>
        <v>PA007</v>
      </c>
      <c r="C1425" s="5" t="str">
        <f>IFERROR(__xludf.DUMMYFUNCTION("""COMPUTED_VALUE"""),"NÃO POSSUI")</f>
        <v>NÃO POSSUI</v>
      </c>
      <c r="D1425" s="5" t="str">
        <f>IFERROR(__xludf.DUMMYFUNCTION("""COMPUTED_VALUE"""),"COM SUPORTE")</f>
        <v>COM SUPORTE</v>
      </c>
      <c r="E1425" s="5" t="str">
        <f>IFERROR(__xludf.DUMMYFUNCTION("""COMPUTED_VALUE"""),"BAIA PINTADA")</f>
        <v>BAIA PINTADA</v>
      </c>
      <c r="F1425" s="5" t="str">
        <f>IFERROR(__xludf.DUMMYFUNCTION("""COMPUTED_VALUE"""),"NÃO")</f>
        <v>NÃO</v>
      </c>
      <c r="G1425" s="5" t="str">
        <f>IFERROR(__xludf.DUMMYFUNCTION("""COMPUTED_VALUE"""),"NÃO")</f>
        <v>NÃO</v>
      </c>
      <c r="H1425" s="5" t="str">
        <f>IFERROR(__xludf.DUMMYFUNCTION("""COMPUTED_VALUE"""),"PAVIMENTADA")</f>
        <v>PAVIMENTADA</v>
      </c>
      <c r="I1425" s="6" t="str">
        <f>IFERROR(__xludf.DUMMYFUNCTION("""COMPUTED_VALUE"""),"-9.668984")</f>
        <v>-9.668984</v>
      </c>
      <c r="J1425" s="6" t="str">
        <f>IFERROR(__xludf.DUMMYFUNCTION("""COMPUTED_VALUE"""),"-35.716663")</f>
        <v>-35.716663</v>
      </c>
      <c r="K1425" s="5" t="str">
        <f>IFERROR(__xludf.DUMMYFUNCTION("""COMPUTED_VALUE"""),"R. ALM MASCARENHAS")</f>
        <v>R. ALM MASCARENHAS</v>
      </c>
      <c r="L1425" s="5" t="str">
        <f>IFERROR(__xludf.DUMMYFUNCTION("""COMPUTED_VALUE"""),"COLETORA")</f>
        <v>COLETORA</v>
      </c>
      <c r="M1425" s="5" t="str">
        <f>IFERROR(__xludf.DUMMYFUNCTION("""COMPUTED_VALUE"""),"PAJURAÇA")</f>
        <v>PAJURAÇA</v>
      </c>
      <c r="N1425" s="5" t="str">
        <f>IFERROR(__xludf.DUMMYFUNCTION("""COMPUTED_VALUE"""),"BAIRRO - CENTRO")</f>
        <v>BAIRRO - CENTRO</v>
      </c>
      <c r="O1425" s="5" t="str">
        <f>IFERROR(__xludf.DUMMYFUNCTION("""COMPUTED_VALUE"""),"PRÓXIMO A POUSADA MACEIÓ PRAIAS")</f>
        <v>PRÓXIMO A POUSADA MACEIÓ PRAIAS</v>
      </c>
      <c r="P1425" s="5"/>
      <c r="Q1425" s="5"/>
      <c r="R1425" s="5" t="str">
        <f>IFERROR(__xludf.DUMMYFUNCTION("""COMPUTED_VALUE"""),"NENHUMA DAS OPÇÕES")</f>
        <v>NENHUMA DAS OPÇÕES</v>
      </c>
      <c r="S1425" s="5"/>
      <c r="T1425" s="5"/>
      <c r="U1425" s="5"/>
      <c r="V1425" s="9" t="str">
        <f>IFERROR(__xludf.DUMMYFUNCTION("""COMPUTED_VALUE"""),"https://drive.google.com/uc?id=1Qvf7sloWxJeAhqZGH0a2Y7gKeR30CVkV")</f>
        <v>https://drive.google.com/uc?id=1Qvf7sloWxJeAhqZGH0a2Y7gKeR30CVkV</v>
      </c>
      <c r="W1425" s="5" t="str">
        <f>IFERROR(__xludf.DUMMYFUNCTION("""COMPUTED_VALUE"""),"NÃO")</f>
        <v>NÃO</v>
      </c>
      <c r="X1425" s="5" t="str">
        <f>IFERROR(__xludf.DUMMYFUNCTION("""COMPUTED_VALUE"""),"NÃO SE APLICA")</f>
        <v>NÃO SE APLICA</v>
      </c>
    </row>
    <row r="1426">
      <c r="A1426" s="5">
        <f>IFERROR(__xludf.DUMMYFUNCTION("""COMPUTED_VALUE"""),1.0)</f>
        <v>1</v>
      </c>
      <c r="B1426" s="5" t="str">
        <f>IFERROR(__xludf.DUMMYFUNCTION("""COMPUTED_VALUE"""),"PA008")</f>
        <v>PA008</v>
      </c>
      <c r="C1426" s="5" t="str">
        <f>IFERROR(__xludf.DUMMYFUNCTION("""COMPUTED_VALUE"""),"ABRIGO METÁLICO PEQUENO PORTE")</f>
        <v>ABRIGO METÁLICO PEQUENO PORTE</v>
      </c>
      <c r="D1426" s="5" t="str">
        <f>IFERROR(__xludf.DUMMYFUNCTION("""COMPUTED_VALUE"""),"SEM PLACA")</f>
        <v>SEM PLACA</v>
      </c>
      <c r="E1426" s="5" t="str">
        <f>IFERROR(__xludf.DUMMYFUNCTION("""COMPUTED_VALUE"""),"SEM BAIA")</f>
        <v>SEM BAIA</v>
      </c>
      <c r="F1426" s="5" t="str">
        <f>IFERROR(__xludf.DUMMYFUNCTION("""COMPUTED_VALUE"""),"SIM")</f>
        <v>SIM</v>
      </c>
      <c r="G1426" s="5" t="str">
        <f>IFERROR(__xludf.DUMMYFUNCTION("""COMPUTED_VALUE"""),"NÃO")</f>
        <v>NÃO</v>
      </c>
      <c r="H1426" s="5" t="str">
        <f>IFERROR(__xludf.DUMMYFUNCTION("""COMPUTED_VALUE"""),"PAVIMENTADA")</f>
        <v>PAVIMENTADA</v>
      </c>
      <c r="I1426" s="6" t="str">
        <f>IFERROR(__xludf.DUMMYFUNCTION("""COMPUTED_VALUE"""),"-9.669720")</f>
        <v>-9.669720</v>
      </c>
      <c r="J1426" s="6" t="str">
        <f>IFERROR(__xludf.DUMMYFUNCTION("""COMPUTED_VALUE"""),"-35.716085")</f>
        <v>-35.716085</v>
      </c>
      <c r="K1426" s="5" t="str">
        <f>IFERROR(__xludf.DUMMYFUNCTION("""COMPUTED_VALUE"""),"R. EPAMINONDAS GRACINDO")</f>
        <v>R. EPAMINONDAS GRACINDO</v>
      </c>
      <c r="L1426" s="5" t="str">
        <f>IFERROR(__xludf.DUMMYFUNCTION("""COMPUTED_VALUE"""),"COLETORA")</f>
        <v>COLETORA</v>
      </c>
      <c r="M1426" s="5" t="str">
        <f>IFERROR(__xludf.DUMMYFUNCTION("""COMPUTED_VALUE"""),"PAJURAÇA")</f>
        <v>PAJURAÇA</v>
      </c>
      <c r="N1426" s="5" t="str">
        <f>IFERROR(__xludf.DUMMYFUNCTION("""COMPUTED_VALUE"""),"CENTRO - BAIRRO")</f>
        <v>CENTRO - BAIRRO</v>
      </c>
      <c r="O1426" s="5" t="str">
        <f>IFERROR(__xludf.DUMMYFUNCTION("""COMPUTED_VALUE"""),"PRÓXIMO AO RESTAURANTE VERO")</f>
        <v>PRÓXIMO AO RESTAURANTE VERO</v>
      </c>
      <c r="P1426" s="5"/>
      <c r="Q1426" s="5"/>
      <c r="R1426" s="5" t="str">
        <f>IFERROR(__xludf.DUMMYFUNCTION("""COMPUTED_VALUE"""),"SUBSTITUIR ABRIGO")</f>
        <v>SUBSTITUIR ABRIGO</v>
      </c>
      <c r="S1426" s="5"/>
      <c r="T1426" s="5"/>
      <c r="U1426" s="5"/>
      <c r="V1426" s="9" t="str">
        <f>IFERROR(__xludf.DUMMYFUNCTION("""COMPUTED_VALUE"""),"https://drive.google.com/uc?id=1YnBJlCYxyVR7A1vkjT4CPrX1glQHxHlo")</f>
        <v>https://drive.google.com/uc?id=1YnBJlCYxyVR7A1vkjT4CPrX1glQHxHlo</v>
      </c>
      <c r="W1426" s="5" t="str">
        <f>IFERROR(__xludf.DUMMYFUNCTION("""COMPUTED_VALUE"""),"NÃO")</f>
        <v>NÃO</v>
      </c>
      <c r="X1426" s="5" t="str">
        <f>IFERROR(__xludf.DUMMYFUNCTION("""COMPUTED_VALUE"""),"SIM")</f>
        <v>SIM</v>
      </c>
    </row>
    <row r="1427">
      <c r="A1427" s="5">
        <f>IFERROR(__xludf.DUMMYFUNCTION("""COMPUTED_VALUE"""),1.0)</f>
        <v>1</v>
      </c>
      <c r="B1427" s="5" t="str">
        <f>IFERROR(__xludf.DUMMYFUNCTION("""COMPUTED_VALUE"""),"PA009")</f>
        <v>PA009</v>
      </c>
      <c r="C1427" s="5" t="str">
        <f>IFERROR(__xludf.DUMMYFUNCTION("""COMPUTED_VALUE"""),"ABRIGO CONCRETO")</f>
        <v>ABRIGO CONCRETO</v>
      </c>
      <c r="D1427" s="5" t="str">
        <f>IFERROR(__xludf.DUMMYFUNCTION("""COMPUTED_VALUE"""),"SEM PLACA")</f>
        <v>SEM PLACA</v>
      </c>
      <c r="E1427" s="5" t="str">
        <f>IFERROR(__xludf.DUMMYFUNCTION("""COMPUTED_VALUE"""),"BAIA PINTADA")</f>
        <v>BAIA PINTADA</v>
      </c>
      <c r="F1427" s="5" t="str">
        <f>IFERROR(__xludf.DUMMYFUNCTION("""COMPUTED_VALUE"""),"SIM")</f>
        <v>SIM</v>
      </c>
      <c r="G1427" s="5" t="str">
        <f>IFERROR(__xludf.DUMMYFUNCTION("""COMPUTED_VALUE"""),"SIM")</f>
        <v>SIM</v>
      </c>
      <c r="H1427" s="5" t="str">
        <f>IFERROR(__xludf.DUMMYFUNCTION("""COMPUTED_VALUE"""),"PAVIMENTADA")</f>
        <v>PAVIMENTADA</v>
      </c>
      <c r="I1427" s="6" t="str">
        <f>IFERROR(__xludf.DUMMYFUNCTION("""COMPUTED_VALUE"""),"-9.670749")</f>
        <v>-9.670749</v>
      </c>
      <c r="J1427" s="6" t="str">
        <f>IFERROR(__xludf.DUMMYFUNCTION("""COMPUTED_VALUE"""),"-35.717052")</f>
        <v>-35.717052</v>
      </c>
      <c r="K1427" s="5" t="str">
        <f>IFERROR(__xludf.DUMMYFUNCTION("""COMPUTED_VALUE"""),"R. EPAMINONDAS GRACINDO")</f>
        <v>R. EPAMINONDAS GRACINDO</v>
      </c>
      <c r="L1427" s="5" t="str">
        <f>IFERROR(__xludf.DUMMYFUNCTION("""COMPUTED_VALUE"""),"COLETORA")</f>
        <v>COLETORA</v>
      </c>
      <c r="M1427" s="5" t="str">
        <f>IFERROR(__xludf.DUMMYFUNCTION("""COMPUTED_VALUE"""),"PAJURAÇA")</f>
        <v>PAJURAÇA</v>
      </c>
      <c r="N1427" s="5" t="str">
        <f>IFERROR(__xludf.DUMMYFUNCTION("""COMPUTED_VALUE"""),"BAIRRO - CENTRO")</f>
        <v>BAIRRO - CENTRO</v>
      </c>
      <c r="O1427" s="5" t="str">
        <f>IFERROR(__xludf.DUMMYFUNCTION("""COMPUTED_VALUE"""),"EM FRENTE A CLINICOR")</f>
        <v>EM FRENTE A CLINICOR</v>
      </c>
      <c r="P1427" s="5"/>
      <c r="Q1427" s="5"/>
      <c r="R1427" s="5" t="str">
        <f>IFERROR(__xludf.DUMMYFUNCTION("""COMPUTED_VALUE"""),"SUBSTITUIR ABRIGO")</f>
        <v>SUBSTITUIR ABRIGO</v>
      </c>
      <c r="S1427" s="5"/>
      <c r="T1427" s="5"/>
      <c r="U1427" s="5"/>
      <c r="V1427" s="9" t="str">
        <f>IFERROR(__xludf.DUMMYFUNCTION("""COMPUTED_VALUE"""),"https://drive.google.com/uc?id=10A8Dn2tKq_AB5u-4ISo8mW1Ytbn7bJi4")</f>
        <v>https://drive.google.com/uc?id=10A8Dn2tKq_AB5u-4ISo8mW1Ytbn7bJi4</v>
      </c>
      <c r="W1427" s="5" t="str">
        <f>IFERROR(__xludf.DUMMYFUNCTION("""COMPUTED_VALUE"""),"NÃO")</f>
        <v>NÃO</v>
      </c>
      <c r="X1427" s="5" t="str">
        <f>IFERROR(__xludf.DUMMYFUNCTION("""COMPUTED_VALUE"""),"NÃO SE APLICA")</f>
        <v>NÃO SE APLICA</v>
      </c>
    </row>
    <row r="1428" hidden="1">
      <c r="A1428" s="5">
        <f>IFERROR(__xludf.DUMMYFUNCTION("""COMPUTED_VALUE"""),1.0)</f>
        <v>1</v>
      </c>
      <c r="B1428" s="5" t="str">
        <f>IFERROR(__xludf.DUMMYFUNCTION("""COMPUTED_VALUE"""),"PA010")</f>
        <v>PA010</v>
      </c>
      <c r="C1428" s="5" t="str">
        <f>IFERROR(__xludf.DUMMYFUNCTION("""COMPUTED_VALUE"""),"NÃO POSSUI")</f>
        <v>NÃO POSSUI</v>
      </c>
      <c r="D1428" s="5" t="str">
        <f>IFERROR(__xludf.DUMMYFUNCTION("""COMPUTED_VALUE"""),"FIXADA EM POSTE")</f>
        <v>FIXADA EM POSTE</v>
      </c>
      <c r="E1428" s="5" t="str">
        <f>IFERROR(__xludf.DUMMYFUNCTION("""COMPUTED_VALUE"""),"BAIA PINTADA")</f>
        <v>BAIA PINTADA</v>
      </c>
      <c r="F1428" s="5" t="str">
        <f>IFERROR(__xludf.DUMMYFUNCTION("""COMPUTED_VALUE"""),"NÃO")</f>
        <v>NÃO</v>
      </c>
      <c r="G1428" s="5" t="str">
        <f>IFERROR(__xludf.DUMMYFUNCTION("""COMPUTED_VALUE"""),"NÃO")</f>
        <v>NÃO</v>
      </c>
      <c r="H1428" s="5" t="str">
        <f>IFERROR(__xludf.DUMMYFUNCTION("""COMPUTED_VALUE"""),"PAVIMENTADA")</f>
        <v>PAVIMENTADA</v>
      </c>
      <c r="I1428" s="6" t="str">
        <f>IFERROR(__xludf.DUMMYFUNCTION("""COMPUTED_VALUE"""),"-9.670060")</f>
        <v>-9.670060</v>
      </c>
      <c r="J1428" s="6" t="str">
        <f>IFERROR(__xludf.DUMMYFUNCTION("""COMPUTED_VALUE"""),"-35.718592")</f>
        <v>-35.718592</v>
      </c>
      <c r="K1428" s="5" t="str">
        <f>IFERROR(__xludf.DUMMYFUNCTION("""COMPUTED_VALUE"""),"RUA OUVIDOR BATALHA")</f>
        <v>RUA OUVIDOR BATALHA</v>
      </c>
      <c r="L1428" s="5" t="str">
        <f>IFERROR(__xludf.DUMMYFUNCTION("""COMPUTED_VALUE"""),"COLETORA")</f>
        <v>COLETORA</v>
      </c>
      <c r="M1428" s="5" t="str">
        <f>IFERROR(__xludf.DUMMYFUNCTION("""COMPUTED_VALUE"""),"PAJURAÇA")</f>
        <v>PAJURAÇA</v>
      </c>
      <c r="N1428" s="5" t="str">
        <f>IFERROR(__xludf.DUMMYFUNCTION("""COMPUTED_VALUE"""),"BAIRRO - CENTRO")</f>
        <v>BAIRRO - CENTRO</v>
      </c>
      <c r="O1428" s="5" t="str">
        <f>IFERROR(__xludf.DUMMYFUNCTION("""COMPUTED_VALUE"""),"EM FRENTE A POUSADA PAJUÇARA BEACH")</f>
        <v>EM FRENTE A POUSADA PAJUÇARA BEACH</v>
      </c>
      <c r="P1428" s="5"/>
      <c r="Q1428" s="5"/>
      <c r="R1428" s="5" t="str">
        <f>IFERROR(__xludf.DUMMYFUNCTION("""COMPUTED_VALUE"""),"NENHUMA DAS OPÇÕES")</f>
        <v>NENHUMA DAS OPÇÕES</v>
      </c>
      <c r="S1428" s="5"/>
      <c r="T1428" s="5"/>
      <c r="U1428" s="5"/>
      <c r="V1428" s="9" t="str">
        <f>IFERROR(__xludf.DUMMYFUNCTION("""COMPUTED_VALUE"""),"https://drive.google.com/uc?id=1JNpf1nI5toBNZ47DS8sbIXHRXQh0mr9u")</f>
        <v>https://drive.google.com/uc?id=1JNpf1nI5toBNZ47DS8sbIXHRXQh0mr9u</v>
      </c>
      <c r="W1428" s="5" t="str">
        <f>IFERROR(__xludf.DUMMYFUNCTION("""COMPUTED_VALUE"""),"NÃO")</f>
        <v>NÃO</v>
      </c>
      <c r="X1428" s="5" t="str">
        <f>IFERROR(__xludf.DUMMYFUNCTION("""COMPUTED_VALUE"""),"NÃO SE APLICA")</f>
        <v>NÃO SE APLICA</v>
      </c>
    </row>
    <row r="1429" hidden="1">
      <c r="A1429" s="5">
        <f>IFERROR(__xludf.DUMMYFUNCTION("""COMPUTED_VALUE"""),1.0)</f>
        <v>1</v>
      </c>
      <c r="B1429" s="5" t="str">
        <f>IFERROR(__xludf.DUMMYFUNCTION("""COMPUTED_VALUE"""),"PA011")</f>
        <v>PA011</v>
      </c>
      <c r="C1429" s="5" t="str">
        <f>IFERROR(__xludf.DUMMYFUNCTION("""COMPUTED_VALUE"""),"NÃO POSSUI")</f>
        <v>NÃO POSSUI</v>
      </c>
      <c r="D1429" s="5" t="str">
        <f>IFERROR(__xludf.DUMMYFUNCTION("""COMPUTED_VALUE"""),"FIXADA EM POSTE")</f>
        <v>FIXADA EM POSTE</v>
      </c>
      <c r="E1429" s="5" t="str">
        <f>IFERROR(__xludf.DUMMYFUNCTION("""COMPUTED_VALUE"""),"BAIA PINTADA")</f>
        <v>BAIA PINTADA</v>
      </c>
      <c r="F1429" s="5" t="str">
        <f>IFERROR(__xludf.DUMMYFUNCTION("""COMPUTED_VALUE"""),"NÃO")</f>
        <v>NÃO</v>
      </c>
      <c r="G1429" s="5" t="str">
        <f>IFERROR(__xludf.DUMMYFUNCTION("""COMPUTED_VALUE"""),"NÃO")</f>
        <v>NÃO</v>
      </c>
      <c r="H1429" s="5" t="str">
        <f>IFERROR(__xludf.DUMMYFUNCTION("""COMPUTED_VALUE"""),"PAVIMENTADA")</f>
        <v>PAVIMENTADA</v>
      </c>
      <c r="I1429" s="6" t="str">
        <f>IFERROR(__xludf.DUMMYFUNCTION("""COMPUTED_VALUE"""),"-9.673465")</f>
        <v>-9.673465</v>
      </c>
      <c r="J1429" s="6" t="str">
        <f>IFERROR(__xludf.DUMMYFUNCTION("""COMPUTED_VALUE"""),"-35.718799")</f>
        <v>-35.718799</v>
      </c>
      <c r="K1429" s="5" t="str">
        <f>IFERROR(__xludf.DUMMYFUNCTION("""COMPUTED_VALUE"""),"R. EPAMINONDAS GRACINDO")</f>
        <v>R. EPAMINONDAS GRACINDO</v>
      </c>
      <c r="L1429" s="5" t="str">
        <f>IFERROR(__xludf.DUMMYFUNCTION("""COMPUTED_VALUE"""),"COLETORA")</f>
        <v>COLETORA</v>
      </c>
      <c r="M1429" s="5" t="str">
        <f>IFERROR(__xludf.DUMMYFUNCTION("""COMPUTED_VALUE"""),"PAJURAÇA")</f>
        <v>PAJURAÇA</v>
      </c>
      <c r="N1429" s="5" t="str">
        <f>IFERROR(__xludf.DUMMYFUNCTION("""COMPUTED_VALUE"""),"CENTRO - BAIRRO")</f>
        <v>CENTRO - BAIRRO</v>
      </c>
      <c r="O1429" s="5" t="str">
        <f>IFERROR(__xludf.DUMMYFUNCTION("""COMPUTED_VALUE"""),"EM FRENTE AO FOCUS OFFICE")</f>
        <v>EM FRENTE AO FOCUS OFFICE</v>
      </c>
      <c r="P1429" s="5"/>
      <c r="Q1429" s="5"/>
      <c r="R1429" s="5" t="str">
        <f>IFERROR(__xludf.DUMMYFUNCTION("""COMPUTED_VALUE"""),"NENHUMA DAS OPÇÕES")</f>
        <v>NENHUMA DAS OPÇÕES</v>
      </c>
      <c r="S1429" s="5"/>
      <c r="T1429" s="5"/>
      <c r="U1429" s="5"/>
      <c r="V1429" s="9" t="str">
        <f>IFERROR(__xludf.DUMMYFUNCTION("""COMPUTED_VALUE"""),"https://drive.google.com/uc?id=1L48RFyv9b84lg_kRts0AuvoNY1Rrwln4")</f>
        <v>https://drive.google.com/uc?id=1L48RFyv9b84lg_kRts0AuvoNY1Rrwln4</v>
      </c>
      <c r="W1429" s="5" t="str">
        <f>IFERROR(__xludf.DUMMYFUNCTION("""COMPUTED_VALUE"""),"NÃO")</f>
        <v>NÃO</v>
      </c>
      <c r="X1429" s="5" t="str">
        <f>IFERROR(__xludf.DUMMYFUNCTION("""COMPUTED_VALUE"""),"NÃO SE APLICA")</f>
        <v>NÃO SE APLICA</v>
      </c>
    </row>
    <row r="1430">
      <c r="A1430" s="13">
        <f>IFERROR(__xludf.DUMMYFUNCTION("IMPORTRANGE(""https://docs.google.com/spreadsheets/d/1UVIacvoteqWSc0BsiO5oc6hQTTDI_D6exkrFOSzaJVM/edit#gid=868157492"", ""POÇO!A2:X18"")"),1.0)</f>
        <v>1</v>
      </c>
      <c r="B1430" s="5" t="str">
        <f>IFERROR(__xludf.DUMMYFUNCTION("""COMPUTED_VALUE"""),"PÇ001")</f>
        <v>PÇ001</v>
      </c>
      <c r="C1430" s="5" t="str">
        <f>IFERROR(__xludf.DUMMYFUNCTION("""COMPUTED_VALUE"""),"ABRIGO METÁLICO PEQUENO PORTE")</f>
        <v>ABRIGO METÁLICO PEQUENO PORTE</v>
      </c>
      <c r="D1430" s="5" t="str">
        <f>IFERROR(__xludf.DUMMYFUNCTION("""COMPUTED_VALUE"""),"SEM PLACA")</f>
        <v>SEM PLACA</v>
      </c>
      <c r="E1430" s="5" t="str">
        <f>IFERROR(__xludf.DUMMYFUNCTION("""COMPUTED_VALUE"""),"SEM BAIA")</f>
        <v>SEM BAIA</v>
      </c>
      <c r="F1430" s="5" t="str">
        <f>IFERROR(__xludf.DUMMYFUNCTION("""COMPUTED_VALUE"""),"NÃO")</f>
        <v>NÃO</v>
      </c>
      <c r="G1430" s="5" t="str">
        <f>IFERROR(__xludf.DUMMYFUNCTION("""COMPUTED_VALUE"""),"NÃO")</f>
        <v>NÃO</v>
      </c>
      <c r="H1430" s="5" t="str">
        <f>IFERROR(__xludf.DUMMYFUNCTION("""COMPUTED_VALUE"""),"PAVIMENTADA COM AVARIAS")</f>
        <v>PAVIMENTADA COM AVARIAS</v>
      </c>
      <c r="I1430" s="6" t="str">
        <f>IFERROR(__xludf.DUMMYFUNCTION("""COMPUTED_VALUE"""),"-9.661278")</f>
        <v>-9.661278</v>
      </c>
      <c r="J1430" s="6" t="str">
        <f>IFERROR(__xludf.DUMMYFUNCTION("""COMPUTED_VALUE"""),"-35.728571")</f>
        <v>-35.728571</v>
      </c>
      <c r="K1430" s="5" t="str">
        <f>IFERROR(__xludf.DUMMYFUNCTION("""COMPUTED_VALUE"""),"LADEIRA DR. GERALDO MELO DOS SANTOS")</f>
        <v>LADEIRA DR. GERALDO MELO DOS SANTOS</v>
      </c>
      <c r="L1430" s="5" t="str">
        <f>IFERROR(__xludf.DUMMYFUNCTION("""COMPUTED_VALUE"""),"ARTERIAL ")</f>
        <v>ARTERIAL </v>
      </c>
      <c r="M1430" s="5" t="str">
        <f>IFERROR(__xludf.DUMMYFUNCTION("""COMPUTED_VALUE"""),"POÇO ")</f>
        <v>POÇO </v>
      </c>
      <c r="N1430" s="5" t="str">
        <f>IFERROR(__xludf.DUMMYFUNCTION("""COMPUTED_VALUE"""),"CENTRO - BAIRRO")</f>
        <v>CENTRO - BAIRRO</v>
      </c>
      <c r="O1430" s="5"/>
      <c r="P1430" s="5" t="str">
        <f>IFERROR(__xludf.DUMMYFUNCTION("""COMPUTED_VALUE"""),"PRIORIDADE BAIXA")</f>
        <v>PRIORIDADE BAIXA</v>
      </c>
      <c r="Q1430" s="5"/>
      <c r="R1430" s="5" t="str">
        <f>IFERROR(__xludf.DUMMYFUNCTION("""COMPUTED_VALUE"""),"SUBSTITUIR ABRIGO")</f>
        <v>SUBSTITUIR ABRIGO</v>
      </c>
      <c r="S1430" s="5"/>
      <c r="T1430" s="5"/>
      <c r="U1430" s="5"/>
      <c r="V1430" s="9" t="str">
        <f>IFERROR(__xludf.DUMMYFUNCTION("""COMPUTED_VALUE"""),"https://drive.google.com/uc?id=1qsuyEMgBMNgJYcE8KShs-GhHmIFxL4X-")</f>
        <v>https://drive.google.com/uc?id=1qsuyEMgBMNgJYcE8KShs-GhHmIFxL4X-</v>
      </c>
      <c r="W1430" s="5" t="str">
        <f>IFERROR(__xludf.DUMMYFUNCTION("""COMPUTED_VALUE"""),"NÃO")</f>
        <v>NÃO</v>
      </c>
      <c r="X1430" s="5" t="str">
        <f>IFERROR(__xludf.DUMMYFUNCTION("""COMPUTED_VALUE"""),"SIM")</f>
        <v>SIM</v>
      </c>
    </row>
    <row r="1431">
      <c r="A1431" s="5">
        <f>IFERROR(__xludf.DUMMYFUNCTION("""COMPUTED_VALUE"""),1.0)</f>
        <v>1</v>
      </c>
      <c r="B1431" s="5" t="str">
        <f>IFERROR(__xludf.DUMMYFUNCTION("""COMPUTED_VALUE"""),"PÇ002")</f>
        <v>PÇ002</v>
      </c>
      <c r="C1431" s="5" t="str">
        <f>IFERROR(__xludf.DUMMYFUNCTION("""COMPUTED_VALUE"""),"ABRIGO METÁLICO PEQUENO PORTE")</f>
        <v>ABRIGO METÁLICO PEQUENO PORTE</v>
      </c>
      <c r="D1431" s="5" t="str">
        <f>IFERROR(__xludf.DUMMYFUNCTION("""COMPUTED_VALUE"""),"SEM PLACA")</f>
        <v>SEM PLACA</v>
      </c>
      <c r="E1431" s="5" t="str">
        <f>IFERROR(__xludf.DUMMYFUNCTION("""COMPUTED_VALUE"""),"SEM BAIA")</f>
        <v>SEM BAIA</v>
      </c>
      <c r="F1431" s="5" t="str">
        <f>IFERROR(__xludf.DUMMYFUNCTION("""COMPUTED_VALUE"""),"NÃO")</f>
        <v>NÃO</v>
      </c>
      <c r="G1431" s="5" t="str">
        <f>IFERROR(__xludf.DUMMYFUNCTION("""COMPUTED_VALUE"""),"NÃO")</f>
        <v>NÃO</v>
      </c>
      <c r="H1431" s="5" t="str">
        <f>IFERROR(__xludf.DUMMYFUNCTION("""COMPUTED_VALUE"""),"PAVIMENTADA COM AVARIAS")</f>
        <v>PAVIMENTADA COM AVARIAS</v>
      </c>
      <c r="I1431" s="6" t="str">
        <f>IFERROR(__xludf.DUMMYFUNCTION("""COMPUTED_VALUE"""),"-9.660084")</f>
        <v>-9.660084</v>
      </c>
      <c r="J1431" s="6" t="str">
        <f>IFERROR(__xludf.DUMMYFUNCTION("""COMPUTED_VALUE""")," -35.726630")</f>
        <v> -35.726630</v>
      </c>
      <c r="K1431" s="5" t="str">
        <f>IFERROR(__xludf.DUMMYFUNCTION("""COMPUTED_VALUE"""),"R. COMENDADOR CALAÇA")</f>
        <v>R. COMENDADOR CALAÇA</v>
      </c>
      <c r="L1431" s="5" t="str">
        <f>IFERROR(__xludf.DUMMYFUNCTION("""COMPUTED_VALUE"""),"ARTERIAL ")</f>
        <v>ARTERIAL </v>
      </c>
      <c r="M1431" s="5" t="str">
        <f>IFERROR(__xludf.DUMMYFUNCTION("""COMPUTED_VALUE"""),"POÇO ")</f>
        <v>POÇO </v>
      </c>
      <c r="N1431" s="5" t="str">
        <f>IFERROR(__xludf.DUMMYFUNCTION("""COMPUTED_VALUE"""),"BAIRRO - CENTRO")</f>
        <v>BAIRRO - CENTRO</v>
      </c>
      <c r="O1431" s="5"/>
      <c r="P1431" s="5" t="str">
        <f>IFERROR(__xludf.DUMMYFUNCTION("""COMPUTED_VALUE"""),"PRIORIDADE BAIXA")</f>
        <v>PRIORIDADE BAIXA</v>
      </c>
      <c r="Q1431" s="5"/>
      <c r="R1431" s="5" t="str">
        <f>IFERROR(__xludf.DUMMYFUNCTION("""COMPUTED_VALUE"""),"SUBSTITUIR ABRIGO")</f>
        <v>SUBSTITUIR ABRIGO</v>
      </c>
      <c r="S1431" s="5"/>
      <c r="T1431" s="5"/>
      <c r="U1431" s="5"/>
      <c r="V1431" s="9" t="str">
        <f>IFERROR(__xludf.DUMMYFUNCTION("""COMPUTED_VALUE"""),"https://drive.google.com/uc?id=1bpw6WUo6jQfbLnixA0RQ2e8DX_UgL8Gd")</f>
        <v>https://drive.google.com/uc?id=1bpw6WUo6jQfbLnixA0RQ2e8DX_UgL8Gd</v>
      </c>
      <c r="W1431" s="5" t="str">
        <f>IFERROR(__xludf.DUMMYFUNCTION("""COMPUTED_VALUE"""),"NÃO")</f>
        <v>NÃO</v>
      </c>
      <c r="X1431" s="5" t="str">
        <f>IFERROR(__xludf.DUMMYFUNCTION("""COMPUTED_VALUE"""),"SIM")</f>
        <v>SIM</v>
      </c>
    </row>
    <row r="1432">
      <c r="A1432" s="5">
        <f>IFERROR(__xludf.DUMMYFUNCTION("""COMPUTED_VALUE"""),1.0)</f>
        <v>1</v>
      </c>
      <c r="B1432" s="5" t="str">
        <f>IFERROR(__xludf.DUMMYFUNCTION("""COMPUTED_VALUE"""),"PÇ003")</f>
        <v>PÇ003</v>
      </c>
      <c r="C1432" s="5" t="str">
        <f>IFERROR(__xludf.DUMMYFUNCTION("""COMPUTED_VALUE"""),"ABRIGO METÁLICO PEQUENO PORTE")</f>
        <v>ABRIGO METÁLICO PEQUENO PORTE</v>
      </c>
      <c r="D1432" s="5" t="str">
        <f>IFERROR(__xludf.DUMMYFUNCTION("""COMPUTED_VALUE"""),"SEM PLACA")</f>
        <v>SEM PLACA</v>
      </c>
      <c r="E1432" s="5" t="str">
        <f>IFERROR(__xludf.DUMMYFUNCTION("""COMPUTED_VALUE"""),"SEM BAIA")</f>
        <v>SEM BAIA</v>
      </c>
      <c r="F1432" s="5" t="str">
        <f>IFERROR(__xludf.DUMMYFUNCTION("""COMPUTED_VALUE"""),"NÃO")</f>
        <v>NÃO</v>
      </c>
      <c r="G1432" s="5" t="str">
        <f>IFERROR(__xludf.DUMMYFUNCTION("""COMPUTED_VALUE"""),"NÃO")</f>
        <v>NÃO</v>
      </c>
      <c r="H1432" s="5" t="str">
        <f>IFERROR(__xludf.DUMMYFUNCTION("""COMPUTED_VALUE"""),"PAVIMENTADA COM AVARIAS")</f>
        <v>PAVIMENTADA COM AVARIAS</v>
      </c>
      <c r="I1432" s="6" t="str">
        <f>IFERROR(__xludf.DUMMYFUNCTION("""COMPUTED_VALUE"""),"-9.658059")</f>
        <v>-9.658059</v>
      </c>
      <c r="J1432" s="6" t="str">
        <f>IFERROR(__xludf.DUMMYFUNCTION("""COMPUTED_VALUE"""),"-35.724642")</f>
        <v>-35.724642</v>
      </c>
      <c r="K1432" s="5" t="str">
        <f>IFERROR(__xludf.DUMMYFUNCTION("""COMPUTED_VALUE"""),"R. COMENDADOR CALAÇA")</f>
        <v>R. COMENDADOR CALAÇA</v>
      </c>
      <c r="L1432" s="5" t="str">
        <f>IFERROR(__xludf.DUMMYFUNCTION("""COMPUTED_VALUE"""),"ARTERIAL ")</f>
        <v>ARTERIAL </v>
      </c>
      <c r="M1432" s="5" t="str">
        <f>IFERROR(__xludf.DUMMYFUNCTION("""COMPUTED_VALUE"""),"POÇO ")</f>
        <v>POÇO </v>
      </c>
      <c r="N1432" s="5" t="str">
        <f>IFERROR(__xludf.DUMMYFUNCTION("""COMPUTED_VALUE"""),"BAIRRO - CENTRO")</f>
        <v>BAIRRO - CENTRO</v>
      </c>
      <c r="O1432" s="5"/>
      <c r="P1432" s="5" t="str">
        <f>IFERROR(__xludf.DUMMYFUNCTION("""COMPUTED_VALUE"""),"PRIORIDADE BAIXA")</f>
        <v>PRIORIDADE BAIXA</v>
      </c>
      <c r="Q1432" s="5"/>
      <c r="R1432" s="5" t="str">
        <f>IFERROR(__xludf.DUMMYFUNCTION("""COMPUTED_VALUE"""),"SUBSTITUIR ABRIGO")</f>
        <v>SUBSTITUIR ABRIGO</v>
      </c>
      <c r="S1432" s="5"/>
      <c r="T1432" s="5"/>
      <c r="U1432" s="5"/>
      <c r="V1432" s="9" t="str">
        <f>IFERROR(__xludf.DUMMYFUNCTION("""COMPUTED_VALUE"""),"https://drive.google.com/uc?id=1mmbS8DI36lpNQY-U1tDEE0uPCM1vVhUq")</f>
        <v>https://drive.google.com/uc?id=1mmbS8DI36lpNQY-U1tDEE0uPCM1vVhUq</v>
      </c>
      <c r="W1432" s="5" t="str">
        <f>IFERROR(__xludf.DUMMYFUNCTION("""COMPUTED_VALUE"""),"NÃO")</f>
        <v>NÃO</v>
      </c>
      <c r="X1432" s="5" t="str">
        <f>IFERROR(__xludf.DUMMYFUNCTION("""COMPUTED_VALUE"""),"SIM")</f>
        <v>SIM</v>
      </c>
    </row>
    <row r="1433" hidden="1">
      <c r="A1433" s="5">
        <f>IFERROR(__xludf.DUMMYFUNCTION("""COMPUTED_VALUE"""),1.0)</f>
        <v>1</v>
      </c>
      <c r="B1433" s="5" t="str">
        <f>IFERROR(__xludf.DUMMYFUNCTION("""COMPUTED_VALUE"""),"PÇ004")</f>
        <v>PÇ004</v>
      </c>
      <c r="C1433" s="5" t="str">
        <f>IFERROR(__xludf.DUMMYFUNCTION("""COMPUTED_VALUE"""),"NÃO POSSUI")</f>
        <v>NÃO POSSUI</v>
      </c>
      <c r="D1433" s="5" t="str">
        <f>IFERROR(__xludf.DUMMYFUNCTION("""COMPUTED_VALUE"""),"COM SUPORTE")</f>
        <v>COM SUPORTE</v>
      </c>
      <c r="E1433" s="5" t="str">
        <f>IFERROR(__xludf.DUMMYFUNCTION("""COMPUTED_VALUE"""),"SEM BAIA")</f>
        <v>SEM BAIA</v>
      </c>
      <c r="F1433" s="5" t="str">
        <f>IFERROR(__xludf.DUMMYFUNCTION("""COMPUTED_VALUE"""),"SIM")</f>
        <v>SIM</v>
      </c>
      <c r="G1433" s="5" t="str">
        <f>IFERROR(__xludf.DUMMYFUNCTION("""COMPUTED_VALUE"""),"SIM")</f>
        <v>SIM</v>
      </c>
      <c r="H1433" s="5" t="str">
        <f>IFERROR(__xludf.DUMMYFUNCTION("""COMPUTED_VALUE"""),"PAVIMENTADA")</f>
        <v>PAVIMENTADA</v>
      </c>
      <c r="I1433" s="6" t="str">
        <f>IFERROR(__xludf.DUMMYFUNCTION("""COMPUTED_VALUE"""),"-9.656959")</f>
        <v>-9.656959</v>
      </c>
      <c r="J1433" s="6" t="str">
        <f>IFERROR(__xludf.DUMMYFUNCTION("""COMPUTED_VALUE"""),"-35.723302")</f>
        <v>-35.723302</v>
      </c>
      <c r="K1433" s="5" t="str">
        <f>IFERROR(__xludf.DUMMYFUNCTION("""COMPUTED_VALUE"""),"R. COMENDADOR CALAÇA")</f>
        <v>R. COMENDADOR CALAÇA</v>
      </c>
      <c r="L1433" s="5" t="str">
        <f>IFERROR(__xludf.DUMMYFUNCTION("""COMPUTED_VALUE"""),"ARTERIAL ")</f>
        <v>ARTERIAL </v>
      </c>
      <c r="M1433" s="5" t="str">
        <f>IFERROR(__xludf.DUMMYFUNCTION("""COMPUTED_VALUE"""),"POÇO ")</f>
        <v>POÇO </v>
      </c>
      <c r="N1433" s="5" t="str">
        <f>IFERROR(__xludf.DUMMYFUNCTION("""COMPUTED_VALUE"""),"CENTRO - BAIRRO")</f>
        <v>CENTRO - BAIRRO</v>
      </c>
      <c r="O1433" s="5" t="str">
        <f>IFERROR(__xludf.DUMMYFUNCTION("""COMPUTED_VALUE"""),"PRAÇA ALOÍSIO BRANCO")</f>
        <v>PRAÇA ALOÍSIO BRANCO</v>
      </c>
      <c r="P1433" s="5" t="str">
        <f>IFERROR(__xludf.DUMMYFUNCTION("""COMPUTED_VALUE"""),"PRIORIDADE BAIXA")</f>
        <v>PRIORIDADE BAIXA</v>
      </c>
      <c r="Q1433" s="5"/>
      <c r="R1433" s="5" t="str">
        <f>IFERROR(__xludf.DUMMYFUNCTION("""COMPUTED_VALUE"""),"NENHUMA DAS OPÇÕES")</f>
        <v>NENHUMA DAS OPÇÕES</v>
      </c>
      <c r="S1433" s="5"/>
      <c r="T1433" s="5"/>
      <c r="U1433" s="5"/>
      <c r="V1433" s="9" t="str">
        <f>IFERROR(__xludf.DUMMYFUNCTION("""COMPUTED_VALUE"""),"https://drive.google.com/uc?id=1QVXQRZLKzDm5OyMZvlU_cnddaCBfx1kY")</f>
        <v>https://drive.google.com/uc?id=1QVXQRZLKzDm5OyMZvlU_cnddaCBfx1kY</v>
      </c>
      <c r="W1433" s="5" t="str">
        <f>IFERROR(__xludf.DUMMYFUNCTION("""COMPUTED_VALUE"""),"NÃO")</f>
        <v>NÃO</v>
      </c>
      <c r="X1433" s="5" t="str">
        <f>IFERROR(__xludf.DUMMYFUNCTION("""COMPUTED_VALUE"""),"NÃO SE APLICA")</f>
        <v>NÃO SE APLICA</v>
      </c>
    </row>
    <row r="1434">
      <c r="A1434" s="5">
        <f>IFERROR(__xludf.DUMMYFUNCTION("""COMPUTED_VALUE"""),1.0)</f>
        <v>1</v>
      </c>
      <c r="B1434" s="5" t="str">
        <f>IFERROR(__xludf.DUMMYFUNCTION("""COMPUTED_VALUE"""),"PÇ005")</f>
        <v>PÇ005</v>
      </c>
      <c r="C1434" s="5" t="str">
        <f>IFERROR(__xludf.DUMMYFUNCTION("""COMPUTED_VALUE"""),"ABRIGO CONCRETO")</f>
        <v>ABRIGO CONCRETO</v>
      </c>
      <c r="D1434" s="5" t="str">
        <f>IFERROR(__xludf.DUMMYFUNCTION("""COMPUTED_VALUE"""),"SEM PLACA")</f>
        <v>SEM PLACA</v>
      </c>
      <c r="E1434" s="5" t="str">
        <f>IFERROR(__xludf.DUMMYFUNCTION("""COMPUTED_VALUE"""),"SEM BAIA")</f>
        <v>SEM BAIA</v>
      </c>
      <c r="F1434" s="5" t="str">
        <f>IFERROR(__xludf.DUMMYFUNCTION("""COMPUTED_VALUE"""),"NÃO")</f>
        <v>NÃO</v>
      </c>
      <c r="G1434" s="5" t="str">
        <f>IFERROR(__xludf.DUMMYFUNCTION("""COMPUTED_VALUE"""),"NÃO")</f>
        <v>NÃO</v>
      </c>
      <c r="H1434" s="5" t="str">
        <f>IFERROR(__xludf.DUMMYFUNCTION("""COMPUTED_VALUE"""),"PAVIMENTADA COM AVARIAS")</f>
        <v>PAVIMENTADA COM AVARIAS</v>
      </c>
      <c r="I1434" s="6" t="str">
        <f>IFERROR(__xludf.DUMMYFUNCTION("""COMPUTED_VALUE"""),"-9.659556")</f>
        <v>-9.659556</v>
      </c>
      <c r="J1434" s="6" t="str">
        <f>IFERROR(__xludf.DUMMYFUNCTION("""COMPUTED_VALUE"""),"-35.724662")</f>
        <v>-35.724662</v>
      </c>
      <c r="K1434" s="5" t="str">
        <f>IFERROR(__xludf.DUMMYFUNCTION("""COMPUTED_VALUE"""),"AV. CID SCALA")</f>
        <v>AV. CID SCALA</v>
      </c>
      <c r="L1434" s="5" t="str">
        <f>IFERROR(__xludf.DUMMYFUNCTION("""COMPUTED_VALUE"""),"COLETORA")</f>
        <v>COLETORA</v>
      </c>
      <c r="M1434" s="5" t="str">
        <f>IFERROR(__xludf.DUMMYFUNCTION("""COMPUTED_VALUE"""),"POÇO ")</f>
        <v>POÇO </v>
      </c>
      <c r="N1434" s="5" t="str">
        <f>IFERROR(__xludf.DUMMYFUNCTION("""COMPUTED_VALUE"""),"CENTRO - BAIRRO")</f>
        <v>CENTRO - BAIRRO</v>
      </c>
      <c r="O1434" s="5"/>
      <c r="P1434" s="5" t="str">
        <f>IFERROR(__xludf.DUMMYFUNCTION("""COMPUTED_VALUE"""),"PRIORIDADE BAIXA")</f>
        <v>PRIORIDADE BAIXA</v>
      </c>
      <c r="Q1434" s="5"/>
      <c r="R1434" s="5" t="str">
        <f>IFERROR(__xludf.DUMMYFUNCTION("""COMPUTED_VALUE"""),"SUBSTITUIR ABRIGO")</f>
        <v>SUBSTITUIR ABRIGO</v>
      </c>
      <c r="S1434" s="5"/>
      <c r="T1434" s="5"/>
      <c r="U1434" s="5"/>
      <c r="V1434" s="9" t="str">
        <f>IFERROR(__xludf.DUMMYFUNCTION("""COMPUTED_VALUE"""),"https://drive.google.com/uc?id=1hSHaI6UdN90YPmeUKtLw0C9EjnR2M4_k")</f>
        <v>https://drive.google.com/uc?id=1hSHaI6UdN90YPmeUKtLw0C9EjnR2M4_k</v>
      </c>
      <c r="W1434" s="5" t="str">
        <f>IFERROR(__xludf.DUMMYFUNCTION("""COMPUTED_VALUE"""),"NÃO")</f>
        <v>NÃO</v>
      </c>
      <c r="X1434" s="5" t="str">
        <f>IFERROR(__xludf.DUMMYFUNCTION("""COMPUTED_VALUE"""),"NÃO SE APLICA")</f>
        <v>NÃO SE APLICA</v>
      </c>
    </row>
    <row r="1435">
      <c r="A1435" s="5">
        <f>IFERROR(__xludf.DUMMYFUNCTION("""COMPUTED_VALUE"""),1.0)</f>
        <v>1</v>
      </c>
      <c r="B1435" s="5" t="str">
        <f>IFERROR(__xludf.DUMMYFUNCTION("""COMPUTED_VALUE"""),"PÇ006")</f>
        <v>PÇ006</v>
      </c>
      <c r="C1435" s="5" t="str">
        <f>IFERROR(__xludf.DUMMYFUNCTION("""COMPUTED_VALUE"""),"ABRIGO METÁLICO PEQUENO PORTE")</f>
        <v>ABRIGO METÁLICO PEQUENO PORTE</v>
      </c>
      <c r="D1435" s="5" t="str">
        <f>IFERROR(__xludf.DUMMYFUNCTION("""COMPUTED_VALUE"""),"SEM PLACA")</f>
        <v>SEM PLACA</v>
      </c>
      <c r="E1435" s="5" t="str">
        <f>IFERROR(__xludf.DUMMYFUNCTION("""COMPUTED_VALUE"""),"SEM BAIA")</f>
        <v>SEM BAIA</v>
      </c>
      <c r="F1435" s="5" t="str">
        <f>IFERROR(__xludf.DUMMYFUNCTION("""COMPUTED_VALUE"""),"SIM")</f>
        <v>SIM</v>
      </c>
      <c r="G1435" s="5" t="str">
        <f>IFERROR(__xludf.DUMMYFUNCTION("""COMPUTED_VALUE"""),"SIM")</f>
        <v>SIM</v>
      </c>
      <c r="H1435" s="5" t="str">
        <f>IFERROR(__xludf.DUMMYFUNCTION("""COMPUTED_VALUE"""),"PAVIMENTADA COM AVARIAS")</f>
        <v>PAVIMENTADA COM AVARIAS</v>
      </c>
      <c r="I1435" s="6" t="str">
        <f>IFERROR(__xludf.DUMMYFUNCTION("""COMPUTED_VALUE"""),"-9.667053")</f>
        <v>-9.667053</v>
      </c>
      <c r="J1435" s="6" t="str">
        <f>IFERROR(__xludf.DUMMYFUNCTION("""COMPUTED_VALUE"""),"-35.727085")</f>
        <v>-35.727085</v>
      </c>
      <c r="K1435" s="5" t="str">
        <f>IFERROR(__xludf.DUMMYFUNCTION("""COMPUTED_VALUE"""),"AV. WALTER ANANIAS")</f>
        <v>AV. WALTER ANANIAS</v>
      </c>
      <c r="L1435" s="5" t="str">
        <f>IFERROR(__xludf.DUMMYFUNCTION("""COMPUTED_VALUE"""),"COLETORA")</f>
        <v>COLETORA</v>
      </c>
      <c r="M1435" s="5" t="str">
        <f>IFERROR(__xludf.DUMMYFUNCTION("""COMPUTED_VALUE"""),"POÇO ")</f>
        <v>POÇO </v>
      </c>
      <c r="N1435" s="5" t="str">
        <f>IFERROR(__xludf.DUMMYFUNCTION("""COMPUTED_VALUE"""),"BAIRRO - CENTRO")</f>
        <v>BAIRRO - CENTRO</v>
      </c>
      <c r="O1435" s="5"/>
      <c r="P1435" s="5" t="str">
        <f>IFERROR(__xludf.DUMMYFUNCTION("""COMPUTED_VALUE"""),"PRIORIDADE BAIXA")</f>
        <v>PRIORIDADE BAIXA</v>
      </c>
      <c r="Q1435" s="5"/>
      <c r="R1435" s="5" t="str">
        <f>IFERROR(__xludf.DUMMYFUNCTION("""COMPUTED_VALUE"""),"SUBSTITUIR ABRIGO")</f>
        <v>SUBSTITUIR ABRIGO</v>
      </c>
      <c r="S1435" s="5"/>
      <c r="T1435" s="5"/>
      <c r="U1435" s="5"/>
      <c r="V1435" s="9" t="str">
        <f>IFERROR(__xludf.DUMMYFUNCTION("""COMPUTED_VALUE"""),"https://drive.google.com/uc?id=1mY5VsaXN7qo3xfXEXSo2vn3YgU8AWd7z")</f>
        <v>https://drive.google.com/uc?id=1mY5VsaXN7qo3xfXEXSo2vn3YgU8AWd7z</v>
      </c>
      <c r="W1435" s="5" t="str">
        <f>IFERROR(__xludf.DUMMYFUNCTION("""COMPUTED_VALUE"""),"NÃO")</f>
        <v>NÃO</v>
      </c>
      <c r="X1435" s="5" t="str">
        <f>IFERROR(__xludf.DUMMYFUNCTION("""COMPUTED_VALUE"""),"SIM")</f>
        <v>SIM</v>
      </c>
    </row>
    <row r="1436">
      <c r="A1436" s="5">
        <f>IFERROR(__xludf.DUMMYFUNCTION("""COMPUTED_VALUE"""),1.0)</f>
        <v>1</v>
      </c>
      <c r="B1436" s="5" t="str">
        <f>IFERROR(__xludf.DUMMYFUNCTION("""COMPUTED_VALUE"""),"PÇ007")</f>
        <v>PÇ007</v>
      </c>
      <c r="C1436" s="5" t="str">
        <f>IFERROR(__xludf.DUMMYFUNCTION("""COMPUTED_VALUE"""),"ABRIGO METÁLICO PEQUENO PORTE")</f>
        <v>ABRIGO METÁLICO PEQUENO PORTE</v>
      </c>
      <c r="D1436" s="5" t="str">
        <f>IFERROR(__xludf.DUMMYFUNCTION("""COMPUTED_VALUE"""),"SEM PLACA")</f>
        <v>SEM PLACA</v>
      </c>
      <c r="E1436" s="5" t="str">
        <f>IFERROR(__xludf.DUMMYFUNCTION("""COMPUTED_VALUE"""),"SEM BAIA")</f>
        <v>SEM BAIA</v>
      </c>
      <c r="F1436" s="5" t="str">
        <f>IFERROR(__xludf.DUMMYFUNCTION("""COMPUTED_VALUE"""),"NÃO")</f>
        <v>NÃO</v>
      </c>
      <c r="G1436" s="5" t="str">
        <f>IFERROR(__xludf.DUMMYFUNCTION("""COMPUTED_VALUE"""),"NÃO")</f>
        <v>NÃO</v>
      </c>
      <c r="H1436" s="5" t="str">
        <f>IFERROR(__xludf.DUMMYFUNCTION("""COMPUTED_VALUE"""),"PAVIMENTADA")</f>
        <v>PAVIMENTADA</v>
      </c>
      <c r="I1436" s="6" t="str">
        <f>IFERROR(__xludf.DUMMYFUNCTION("""COMPUTED_VALUE"""),"-9.662144")</f>
        <v>-9.662144</v>
      </c>
      <c r="J1436" s="6" t="str">
        <f>IFERROR(__xludf.DUMMYFUNCTION("""COMPUTED_VALUE"""),"-35.726220")</f>
        <v>-35.726220</v>
      </c>
      <c r="K1436" s="5" t="str">
        <f>IFERROR(__xludf.DUMMYFUNCTION("""COMPUTED_VALUE"""),"R. SALVADOR CALMON")</f>
        <v>R. SALVADOR CALMON</v>
      </c>
      <c r="L1436" s="5" t="str">
        <f>IFERROR(__xludf.DUMMYFUNCTION("""COMPUTED_VALUE"""),"COLETORA")</f>
        <v>COLETORA</v>
      </c>
      <c r="M1436" s="5" t="str">
        <f>IFERROR(__xludf.DUMMYFUNCTION("""COMPUTED_VALUE"""),"POÇO ")</f>
        <v>POÇO </v>
      </c>
      <c r="N1436" s="5" t="str">
        <f>IFERROR(__xludf.DUMMYFUNCTION("""COMPUTED_VALUE"""),"BAIRRO - CENTRO")</f>
        <v>BAIRRO - CENTRO</v>
      </c>
      <c r="O1436" s="5" t="str">
        <f>IFERROR(__xludf.DUMMYFUNCTION("""COMPUTED_VALUE"""),"PRAÇA GUIMARÃES PASSOS")</f>
        <v>PRAÇA GUIMARÃES PASSOS</v>
      </c>
      <c r="P1436" s="5" t="str">
        <f>IFERROR(__xludf.DUMMYFUNCTION("""COMPUTED_VALUE"""),"PRIORIDADE BAIXA")</f>
        <v>PRIORIDADE BAIXA</v>
      </c>
      <c r="Q1436" s="5"/>
      <c r="R1436" s="5" t="str">
        <f>IFERROR(__xludf.DUMMYFUNCTION("""COMPUTED_VALUE"""),"SUBSTITUIR ABRIGO")</f>
        <v>SUBSTITUIR ABRIGO</v>
      </c>
      <c r="S1436" s="5"/>
      <c r="T1436" s="5"/>
      <c r="U1436" s="5"/>
      <c r="V1436" s="9" t="str">
        <f>IFERROR(__xludf.DUMMYFUNCTION("""COMPUTED_VALUE"""),"https://drive.google.com/uc?id=1643TyhMVW5pHUKtylFmMT2KLBGXuaNXp")</f>
        <v>https://drive.google.com/uc?id=1643TyhMVW5pHUKtylFmMT2KLBGXuaNXp</v>
      </c>
      <c r="W1436" s="5" t="str">
        <f>IFERROR(__xludf.DUMMYFUNCTION("""COMPUTED_VALUE"""),"NÃO")</f>
        <v>NÃO</v>
      </c>
      <c r="X1436" s="5" t="str">
        <f>IFERROR(__xludf.DUMMYFUNCTION("""COMPUTED_VALUE"""),"SIM")</f>
        <v>SIM</v>
      </c>
    </row>
    <row r="1437" hidden="1">
      <c r="A1437" s="5">
        <f>IFERROR(__xludf.DUMMYFUNCTION("""COMPUTED_VALUE"""),1.0)</f>
        <v>1</v>
      </c>
      <c r="B1437" s="5" t="str">
        <f>IFERROR(__xludf.DUMMYFUNCTION("""COMPUTED_VALUE"""),"PÇ008")</f>
        <v>PÇ008</v>
      </c>
      <c r="C1437" s="5" t="str">
        <f>IFERROR(__xludf.DUMMYFUNCTION("""COMPUTED_VALUE"""),"NÃO POSSUI")</f>
        <v>NÃO POSSUI</v>
      </c>
      <c r="D1437" s="5" t="str">
        <f>IFERROR(__xludf.DUMMYFUNCTION("""COMPUTED_VALUE"""),"COM SUPORTE")</f>
        <v>COM SUPORTE</v>
      </c>
      <c r="E1437" s="5" t="str">
        <f>IFERROR(__xludf.DUMMYFUNCTION("""COMPUTED_VALUE"""),"SEM BAIA")</f>
        <v>SEM BAIA</v>
      </c>
      <c r="F1437" s="5" t="str">
        <f>IFERROR(__xludf.DUMMYFUNCTION("""COMPUTED_VALUE"""),"NÃO")</f>
        <v>NÃO</v>
      </c>
      <c r="G1437" s="5" t="str">
        <f>IFERROR(__xludf.DUMMYFUNCTION("""COMPUTED_VALUE"""),"NÃO")</f>
        <v>NÃO</v>
      </c>
      <c r="H1437" s="5" t="str">
        <f>IFERROR(__xludf.DUMMYFUNCTION("""COMPUTED_VALUE"""),"PAVIMENTADA")</f>
        <v>PAVIMENTADA</v>
      </c>
      <c r="I1437" s="6" t="str">
        <f>IFERROR(__xludf.DUMMYFUNCTION("""COMPUTED_VALUE"""),"-9.656966")</f>
        <v>-9.656966</v>
      </c>
      <c r="J1437" s="6" t="str">
        <f>IFERROR(__xludf.DUMMYFUNCTION("""COMPUTED_VALUE"""),"-35.720182")</f>
        <v>-35.720182</v>
      </c>
      <c r="K1437" s="5" t="str">
        <f>IFERROR(__xludf.DUMMYFUNCTION("""COMPUTED_VALUE"""),"R. CAP MARINHO FALCÃO")</f>
        <v>R. CAP MARINHO FALCÃO</v>
      </c>
      <c r="L1437" s="5" t="str">
        <f>IFERROR(__xludf.DUMMYFUNCTION("""COMPUTED_VALUE"""),"COLETORA")</f>
        <v>COLETORA</v>
      </c>
      <c r="M1437" s="5" t="str">
        <f>IFERROR(__xludf.DUMMYFUNCTION("""COMPUTED_VALUE"""),"POÇO ")</f>
        <v>POÇO </v>
      </c>
      <c r="N1437" s="5" t="str">
        <f>IFERROR(__xludf.DUMMYFUNCTION("""COMPUTED_VALUE"""),"CENTRO - BAIRRO")</f>
        <v>CENTRO - BAIRRO</v>
      </c>
      <c r="O1437" s="5"/>
      <c r="P1437" s="5" t="str">
        <f>IFERROR(__xludf.DUMMYFUNCTION("""COMPUTED_VALUE"""),"PRIORIDADE BAIXA")</f>
        <v>PRIORIDADE BAIXA</v>
      </c>
      <c r="Q1437" s="5"/>
      <c r="R1437" s="5" t="str">
        <f>IFERROR(__xludf.DUMMYFUNCTION("""COMPUTED_VALUE"""),"NENHUMA DAS OPÇÕES")</f>
        <v>NENHUMA DAS OPÇÕES</v>
      </c>
      <c r="S1437" s="5"/>
      <c r="T1437" s="5"/>
      <c r="U1437" s="5"/>
      <c r="V1437" s="9" t="str">
        <f>IFERROR(__xludf.DUMMYFUNCTION("""COMPUTED_VALUE"""),"https://drive.google.com/uc?id=10WWZrcMan8Vt4XxE58kymfbl_P9KRBc4")</f>
        <v>https://drive.google.com/uc?id=10WWZrcMan8Vt4XxE58kymfbl_P9KRBc4</v>
      </c>
      <c r="W1437" s="5" t="str">
        <f>IFERROR(__xludf.DUMMYFUNCTION("""COMPUTED_VALUE"""),"NÃO")</f>
        <v>NÃO</v>
      </c>
      <c r="X1437" s="5" t="str">
        <f>IFERROR(__xludf.DUMMYFUNCTION("""COMPUTED_VALUE"""),"NÃO SE APLICA")</f>
        <v>NÃO SE APLICA</v>
      </c>
    </row>
    <row r="1438">
      <c r="A1438" s="5">
        <f>IFERROR(__xludf.DUMMYFUNCTION("""COMPUTED_VALUE"""),1.0)</f>
        <v>1</v>
      </c>
      <c r="B1438" s="5" t="str">
        <f>IFERROR(__xludf.DUMMYFUNCTION("""COMPUTED_VALUE"""),"PÇ009")</f>
        <v>PÇ009</v>
      </c>
      <c r="C1438" s="5" t="str">
        <f>IFERROR(__xludf.DUMMYFUNCTION("""COMPUTED_VALUE"""),"ABRIGO CONCRETO")</f>
        <v>ABRIGO CONCRETO</v>
      </c>
      <c r="D1438" s="5" t="str">
        <f>IFERROR(__xludf.DUMMYFUNCTION("""COMPUTED_VALUE"""),"SEM PLACA")</f>
        <v>SEM PLACA</v>
      </c>
      <c r="E1438" s="5" t="str">
        <f>IFERROR(__xludf.DUMMYFUNCTION("""COMPUTED_VALUE"""),"SEM BAIA")</f>
        <v>SEM BAIA</v>
      </c>
      <c r="F1438" s="5" t="str">
        <f>IFERROR(__xludf.DUMMYFUNCTION("""COMPUTED_VALUE"""),"NÃO")</f>
        <v>NÃO</v>
      </c>
      <c r="G1438" s="5" t="str">
        <f>IFERROR(__xludf.DUMMYFUNCTION("""COMPUTED_VALUE"""),"NÃO")</f>
        <v>NÃO</v>
      </c>
      <c r="H1438" s="5" t="str">
        <f>IFERROR(__xludf.DUMMYFUNCTION("""COMPUTED_VALUE"""),"PAVIMENTADA")</f>
        <v>PAVIMENTADA</v>
      </c>
      <c r="I1438" s="6" t="str">
        <f>IFERROR(__xludf.DUMMYFUNCTION("""COMPUTED_VALUE"""),"-9.656969")</f>
        <v>-9.656969</v>
      </c>
      <c r="J1438" s="6" t="str">
        <f>IFERROR(__xludf.DUMMYFUNCTION("""COMPUTED_VALUE"""),"-35.719861")</f>
        <v>-35.719861</v>
      </c>
      <c r="K1438" s="5" t="str">
        <f>IFERROR(__xludf.DUMMYFUNCTION("""COMPUTED_VALUE"""),"R. CAP MARINHO FALCÃO")</f>
        <v>R. CAP MARINHO FALCÃO</v>
      </c>
      <c r="L1438" s="5" t="str">
        <f>IFERROR(__xludf.DUMMYFUNCTION("""COMPUTED_VALUE"""),"COLETORA")</f>
        <v>COLETORA</v>
      </c>
      <c r="M1438" s="5" t="str">
        <f>IFERROR(__xludf.DUMMYFUNCTION("""COMPUTED_VALUE"""),"POÇO ")</f>
        <v>POÇO </v>
      </c>
      <c r="N1438" s="5" t="str">
        <f>IFERROR(__xludf.DUMMYFUNCTION("""COMPUTED_VALUE"""),"BAIRRO - CENTRO")</f>
        <v>BAIRRO - CENTRO</v>
      </c>
      <c r="O1438" s="5"/>
      <c r="P1438" s="5" t="str">
        <f>IFERROR(__xludf.DUMMYFUNCTION("""COMPUTED_VALUE"""),"PRIORIDADE BAIXA")</f>
        <v>PRIORIDADE BAIXA</v>
      </c>
      <c r="Q1438" s="5"/>
      <c r="R1438" s="5" t="str">
        <f>IFERROR(__xludf.DUMMYFUNCTION("""COMPUTED_VALUE"""),"SUBSTITUIR ABRIGO")</f>
        <v>SUBSTITUIR ABRIGO</v>
      </c>
      <c r="S1438" s="5"/>
      <c r="T1438" s="5"/>
      <c r="U1438" s="5"/>
      <c r="V1438" s="9" t="str">
        <f>IFERROR(__xludf.DUMMYFUNCTION("""COMPUTED_VALUE"""),"https://drive.google.com/uc?id=1xh8yqPN1SxBvRKPL4KDX_DN3PWX0RR1P")</f>
        <v>https://drive.google.com/uc?id=1xh8yqPN1SxBvRKPL4KDX_DN3PWX0RR1P</v>
      </c>
      <c r="W1438" s="5" t="str">
        <f>IFERROR(__xludf.DUMMYFUNCTION("""COMPUTED_VALUE"""),"NÃO")</f>
        <v>NÃO</v>
      </c>
      <c r="X1438" s="5" t="str">
        <f>IFERROR(__xludf.DUMMYFUNCTION("""COMPUTED_VALUE"""),"NÃO SE APLICA")</f>
        <v>NÃO SE APLICA</v>
      </c>
    </row>
    <row r="1439">
      <c r="A1439" s="5">
        <f>IFERROR(__xludf.DUMMYFUNCTION("""COMPUTED_VALUE"""),1.0)</f>
        <v>1</v>
      </c>
      <c r="B1439" s="5" t="str">
        <f>IFERROR(__xludf.DUMMYFUNCTION("""COMPUTED_VALUE"""),"PÇ010")</f>
        <v>PÇ010</v>
      </c>
      <c r="C1439" s="5" t="str">
        <f>IFERROR(__xludf.DUMMYFUNCTION("""COMPUTED_VALUE"""),"ABRIGO CONCRETO")</f>
        <v>ABRIGO CONCRETO</v>
      </c>
      <c r="D1439" s="5" t="str">
        <f>IFERROR(__xludf.DUMMYFUNCTION("""COMPUTED_VALUE"""),"SEM PLACA")</f>
        <v>SEM PLACA</v>
      </c>
      <c r="E1439" s="5" t="str">
        <f>IFERROR(__xludf.DUMMYFUNCTION("""COMPUTED_VALUE"""),"SEM BAIA")</f>
        <v>SEM BAIA</v>
      </c>
      <c r="F1439" s="5" t="str">
        <f>IFERROR(__xludf.DUMMYFUNCTION("""COMPUTED_VALUE"""),"NÃO")</f>
        <v>NÃO</v>
      </c>
      <c r="G1439" s="5" t="str">
        <f>IFERROR(__xludf.DUMMYFUNCTION("""COMPUTED_VALUE"""),"NÃO")</f>
        <v>NÃO</v>
      </c>
      <c r="H1439" s="5" t="str">
        <f>IFERROR(__xludf.DUMMYFUNCTION("""COMPUTED_VALUE"""),"PAVIMENTADA")</f>
        <v>PAVIMENTADA</v>
      </c>
      <c r="I1439" s="6" t="str">
        <f>IFERROR(__xludf.DUMMYFUNCTION("""COMPUTED_VALUE"""),"-9.656978")</f>
        <v>-9.656978</v>
      </c>
      <c r="J1439" s="6" t="str">
        <f>IFERROR(__xludf.DUMMYFUNCTION("""COMPUTED_VALUE""")," -35.717118")</f>
        <v> -35.717118</v>
      </c>
      <c r="K1439" s="5" t="str">
        <f>IFERROR(__xludf.DUMMYFUNCTION("""COMPUTED_VALUE"""),"R. CAP MARINHO FALCÃO")</f>
        <v>R. CAP MARINHO FALCÃO</v>
      </c>
      <c r="L1439" s="5" t="str">
        <f>IFERROR(__xludf.DUMMYFUNCTION("""COMPUTED_VALUE"""),"COLETORA")</f>
        <v>COLETORA</v>
      </c>
      <c r="M1439" s="5" t="str">
        <f>IFERROR(__xludf.DUMMYFUNCTION("""COMPUTED_VALUE"""),"POÇO ")</f>
        <v>POÇO </v>
      </c>
      <c r="N1439" s="5" t="str">
        <f>IFERROR(__xludf.DUMMYFUNCTION("""COMPUTED_VALUE"""),"CENTRO - BAIRRO")</f>
        <v>CENTRO - BAIRRO</v>
      </c>
      <c r="O1439" s="5"/>
      <c r="P1439" s="5" t="str">
        <f>IFERROR(__xludf.DUMMYFUNCTION("""COMPUTED_VALUE"""),"PRIORIDADE BAIXA")</f>
        <v>PRIORIDADE BAIXA</v>
      </c>
      <c r="Q1439" s="5"/>
      <c r="R1439" s="5" t="str">
        <f>IFERROR(__xludf.DUMMYFUNCTION("""COMPUTED_VALUE"""),"SUBSTITUIR ABRIGO")</f>
        <v>SUBSTITUIR ABRIGO</v>
      </c>
      <c r="S1439" s="5"/>
      <c r="T1439" s="5"/>
      <c r="U1439" s="5"/>
      <c r="V1439" s="9" t="str">
        <f>IFERROR(__xludf.DUMMYFUNCTION("""COMPUTED_VALUE"""),"https://drive.google.com/uc?id=1QWtP3o1jj_x-tBwNTuv2q1zdxGAv-PzL")</f>
        <v>https://drive.google.com/uc?id=1QWtP3o1jj_x-tBwNTuv2q1zdxGAv-PzL</v>
      </c>
      <c r="W1439" s="5" t="str">
        <f>IFERROR(__xludf.DUMMYFUNCTION("""COMPUTED_VALUE"""),"NÃO")</f>
        <v>NÃO</v>
      </c>
      <c r="X1439" s="5" t="str">
        <f>IFERROR(__xludf.DUMMYFUNCTION("""COMPUTED_VALUE"""),"NÃO SE APLICA")</f>
        <v>NÃO SE APLICA</v>
      </c>
    </row>
    <row r="1440">
      <c r="A1440" s="5">
        <f>IFERROR(__xludf.DUMMYFUNCTION("""COMPUTED_VALUE"""),1.0)</f>
        <v>1</v>
      </c>
      <c r="B1440" s="5" t="str">
        <f>IFERROR(__xludf.DUMMYFUNCTION("""COMPUTED_VALUE"""),"PÇ011")</f>
        <v>PÇ011</v>
      </c>
      <c r="C1440" s="5" t="str">
        <f>IFERROR(__xludf.DUMMYFUNCTION("""COMPUTED_VALUE"""),"ABRIGO CONCRETO")</f>
        <v>ABRIGO CONCRETO</v>
      </c>
      <c r="D1440" s="5" t="str">
        <f>IFERROR(__xludf.DUMMYFUNCTION("""COMPUTED_VALUE"""),"SEM PLACA")</f>
        <v>SEM PLACA</v>
      </c>
      <c r="E1440" s="5" t="str">
        <f>IFERROR(__xludf.DUMMYFUNCTION("""COMPUTED_VALUE"""),"SEM BAIA")</f>
        <v>SEM BAIA</v>
      </c>
      <c r="F1440" s="5" t="str">
        <f>IFERROR(__xludf.DUMMYFUNCTION("""COMPUTED_VALUE"""),"NÃO")</f>
        <v>NÃO</v>
      </c>
      <c r="G1440" s="5" t="str">
        <f>IFERROR(__xludf.DUMMYFUNCTION("""COMPUTED_VALUE"""),"NÃO")</f>
        <v>NÃO</v>
      </c>
      <c r="H1440" s="5" t="str">
        <f>IFERROR(__xludf.DUMMYFUNCTION("""COMPUTED_VALUE"""),"PAVIMENTADA")</f>
        <v>PAVIMENTADA</v>
      </c>
      <c r="I1440" s="6" t="str">
        <f>IFERROR(__xludf.DUMMYFUNCTION("""COMPUTED_VALUE"""),"-9.656955")</f>
        <v>-9.656955</v>
      </c>
      <c r="J1440" s="6" t="str">
        <f>IFERROR(__xludf.DUMMYFUNCTION("""COMPUTED_VALUE"""),"-35.713762")</f>
        <v>-35.713762</v>
      </c>
      <c r="K1440" s="5" t="str">
        <f>IFERROR(__xludf.DUMMYFUNCTION("""COMPUTED_VALUE"""),"R. CAP MARINHO FALCÃO")</f>
        <v>R. CAP MARINHO FALCÃO</v>
      </c>
      <c r="L1440" s="5" t="str">
        <f>IFERROR(__xludf.DUMMYFUNCTION("""COMPUTED_VALUE"""),"COLETORA")</f>
        <v>COLETORA</v>
      </c>
      <c r="M1440" s="5" t="str">
        <f>IFERROR(__xludf.DUMMYFUNCTION("""COMPUTED_VALUE"""),"POÇO ")</f>
        <v>POÇO </v>
      </c>
      <c r="N1440" s="5" t="str">
        <f>IFERROR(__xludf.DUMMYFUNCTION("""COMPUTED_VALUE"""),"CENTRO - BAIRRO")</f>
        <v>CENTRO - BAIRRO</v>
      </c>
      <c r="O1440" s="5"/>
      <c r="P1440" s="5" t="str">
        <f>IFERROR(__xludf.DUMMYFUNCTION("""COMPUTED_VALUE"""),"PRIORIDADE BAIXA")</f>
        <v>PRIORIDADE BAIXA</v>
      </c>
      <c r="Q1440" s="5"/>
      <c r="R1440" s="5" t="str">
        <f>IFERROR(__xludf.DUMMYFUNCTION("""COMPUTED_VALUE"""),"SUBSTITUIR ABRIGO")</f>
        <v>SUBSTITUIR ABRIGO</v>
      </c>
      <c r="S1440" s="5"/>
      <c r="T1440" s="5"/>
      <c r="U1440" s="5"/>
      <c r="V1440" s="9" t="str">
        <f>IFERROR(__xludf.DUMMYFUNCTION("""COMPUTED_VALUE"""),"https://drive.google.com/uc?id=1hviblKu1AognpcEIdvjCmGkdjusFcU5W")</f>
        <v>https://drive.google.com/uc?id=1hviblKu1AognpcEIdvjCmGkdjusFcU5W</v>
      </c>
      <c r="W1440" s="5" t="str">
        <f>IFERROR(__xludf.DUMMYFUNCTION("""COMPUTED_VALUE"""),"NÃO")</f>
        <v>NÃO</v>
      </c>
      <c r="X1440" s="5" t="str">
        <f>IFERROR(__xludf.DUMMYFUNCTION("""COMPUTED_VALUE"""),"NÃO SE APLICA")</f>
        <v>NÃO SE APLICA</v>
      </c>
    </row>
    <row r="1441" hidden="1">
      <c r="A1441" s="5">
        <f>IFERROR(__xludf.DUMMYFUNCTION("""COMPUTED_VALUE"""),1.0)</f>
        <v>1</v>
      </c>
      <c r="B1441" s="5" t="str">
        <f>IFERROR(__xludf.DUMMYFUNCTION("""COMPUTED_VALUE"""),"PÇ012")</f>
        <v>PÇ012</v>
      </c>
      <c r="C1441" s="5" t="str">
        <f>IFERROR(__xludf.DUMMYFUNCTION("""COMPUTED_VALUE"""),"NÃO POSSUI")</f>
        <v>NÃO POSSUI</v>
      </c>
      <c r="D1441" s="5" t="str">
        <f>IFERROR(__xludf.DUMMYFUNCTION("""COMPUTED_VALUE"""),"FIXADA EM POSTE")</f>
        <v>FIXADA EM POSTE</v>
      </c>
      <c r="E1441" s="5" t="str">
        <f>IFERROR(__xludf.DUMMYFUNCTION("""COMPUTED_VALUE"""),"SEM BAIA")</f>
        <v>SEM BAIA</v>
      </c>
      <c r="F1441" s="5" t="str">
        <f>IFERROR(__xludf.DUMMYFUNCTION("""COMPUTED_VALUE"""),"NÃO")</f>
        <v>NÃO</v>
      </c>
      <c r="G1441" s="5" t="str">
        <f>IFERROR(__xludf.DUMMYFUNCTION("""COMPUTED_VALUE"""),"NÃO")</f>
        <v>NÃO</v>
      </c>
      <c r="H1441" s="5" t="str">
        <f>IFERROR(__xludf.DUMMYFUNCTION("""COMPUTED_VALUE"""),"PAVIMENTADA")</f>
        <v>PAVIMENTADA</v>
      </c>
      <c r="I1441" s="6" t="str">
        <f>IFERROR(__xludf.DUMMYFUNCTION("""COMPUTED_VALUE"""),"-9.657029")</f>
        <v>-9.657029</v>
      </c>
      <c r="J1441" s="6" t="str">
        <f>IFERROR(__xludf.DUMMYFUNCTION("""COMPUTED_VALUE"""),"-35.713558")</f>
        <v>-35.713558</v>
      </c>
      <c r="K1441" s="5" t="str">
        <f>IFERROR(__xludf.DUMMYFUNCTION("""COMPUTED_VALUE"""),"R. CAP MARINHO FALCÃO")</f>
        <v>R. CAP MARINHO FALCÃO</v>
      </c>
      <c r="L1441" s="5" t="str">
        <f>IFERROR(__xludf.DUMMYFUNCTION("""COMPUTED_VALUE"""),"COLETORA")</f>
        <v>COLETORA</v>
      </c>
      <c r="M1441" s="5" t="str">
        <f>IFERROR(__xludf.DUMMYFUNCTION("""COMPUTED_VALUE"""),"POÇO ")</f>
        <v>POÇO </v>
      </c>
      <c r="N1441" s="5" t="str">
        <f>IFERROR(__xludf.DUMMYFUNCTION("""COMPUTED_VALUE"""),"BAIRRO - CENTRO")</f>
        <v>BAIRRO - CENTRO</v>
      </c>
      <c r="O1441" s="5"/>
      <c r="P1441" s="5" t="str">
        <f>IFERROR(__xludf.DUMMYFUNCTION("""COMPUTED_VALUE"""),"PRIORIDADE BAIXA")</f>
        <v>PRIORIDADE BAIXA</v>
      </c>
      <c r="Q1441" s="5"/>
      <c r="R1441" s="5" t="str">
        <f>IFERROR(__xludf.DUMMYFUNCTION("""COMPUTED_VALUE"""),"NENHUMA DAS OPÇÕES")</f>
        <v>NENHUMA DAS OPÇÕES</v>
      </c>
      <c r="S1441" s="5"/>
      <c r="T1441" s="5"/>
      <c r="U1441" s="5"/>
      <c r="V1441" s="9" t="str">
        <f>IFERROR(__xludf.DUMMYFUNCTION("""COMPUTED_VALUE"""),"https://drive.google.com/uc?id=1YeDjI0Sr1RFiTGuAUi9timmCLz-F0PhW")</f>
        <v>https://drive.google.com/uc?id=1YeDjI0Sr1RFiTGuAUi9timmCLz-F0PhW</v>
      </c>
      <c r="W1441" s="5" t="str">
        <f>IFERROR(__xludf.DUMMYFUNCTION("""COMPUTED_VALUE"""),"NÃO")</f>
        <v>NÃO</v>
      </c>
      <c r="X1441" s="5" t="str">
        <f>IFERROR(__xludf.DUMMYFUNCTION("""COMPUTED_VALUE"""),"NÃO SE APLICA")</f>
        <v>NÃO SE APLICA</v>
      </c>
    </row>
    <row r="1442">
      <c r="A1442" s="5">
        <f>IFERROR(__xludf.DUMMYFUNCTION("""COMPUTED_VALUE"""),1.0)</f>
        <v>1</v>
      </c>
      <c r="B1442" s="5" t="str">
        <f>IFERROR(__xludf.DUMMYFUNCTION("""COMPUTED_VALUE"""),"PÇ013")</f>
        <v>PÇ013</v>
      </c>
      <c r="C1442" s="5" t="str">
        <f>IFERROR(__xludf.DUMMYFUNCTION("""COMPUTED_VALUE"""),"ABRIGO CONCRETO")</f>
        <v>ABRIGO CONCRETO</v>
      </c>
      <c r="D1442" s="5" t="str">
        <f>IFERROR(__xludf.DUMMYFUNCTION("""COMPUTED_VALUE"""),"SEM PLACA")</f>
        <v>SEM PLACA</v>
      </c>
      <c r="E1442" s="5" t="str">
        <f>IFERROR(__xludf.DUMMYFUNCTION("""COMPUTED_VALUE"""),"SEM BAIA")</f>
        <v>SEM BAIA</v>
      </c>
      <c r="F1442" s="5" t="str">
        <f>IFERROR(__xludf.DUMMYFUNCTION("""COMPUTED_VALUE"""),"NÃO")</f>
        <v>NÃO</v>
      </c>
      <c r="G1442" s="5" t="str">
        <f>IFERROR(__xludf.DUMMYFUNCTION("""COMPUTED_VALUE"""),"NÃO")</f>
        <v>NÃO</v>
      </c>
      <c r="H1442" s="5" t="str">
        <f>IFERROR(__xludf.DUMMYFUNCTION("""COMPUTED_VALUE"""),"PAVIMENTADA")</f>
        <v>PAVIMENTADA</v>
      </c>
      <c r="I1442" s="6" t="str">
        <f>IFERROR(__xludf.DUMMYFUNCTION("""COMPUTED_VALUE"""),"-9.657019")</f>
        <v>-9.657019</v>
      </c>
      <c r="J1442" s="6" t="str">
        <f>IFERROR(__xludf.DUMMYFUNCTION("""COMPUTED_VALUE"""),"-35.711795")</f>
        <v>-35.711795</v>
      </c>
      <c r="K1442" s="5" t="str">
        <f>IFERROR(__xludf.DUMMYFUNCTION("""COMPUTED_VALUE"""),"R. CAP MARINHO FALCÃO")</f>
        <v>R. CAP MARINHO FALCÃO</v>
      </c>
      <c r="L1442" s="5" t="str">
        <f>IFERROR(__xludf.DUMMYFUNCTION("""COMPUTED_VALUE"""),"COLETORA")</f>
        <v>COLETORA</v>
      </c>
      <c r="M1442" s="5" t="str">
        <f>IFERROR(__xludf.DUMMYFUNCTION("""COMPUTED_VALUE"""),"POÇO ")</f>
        <v>POÇO </v>
      </c>
      <c r="N1442" s="5" t="str">
        <f>IFERROR(__xludf.DUMMYFUNCTION("""COMPUTED_VALUE"""),"BAIRRO - CENTRO")</f>
        <v>BAIRRO - CENTRO</v>
      </c>
      <c r="O1442" s="5"/>
      <c r="P1442" s="5" t="str">
        <f>IFERROR(__xludf.DUMMYFUNCTION("""COMPUTED_VALUE"""),"PRIORIDADE BAIXA")</f>
        <v>PRIORIDADE BAIXA</v>
      </c>
      <c r="Q1442" s="5"/>
      <c r="R1442" s="5" t="str">
        <f>IFERROR(__xludf.DUMMYFUNCTION("""COMPUTED_VALUE"""),"SUBSTITUIR ABRIGO")</f>
        <v>SUBSTITUIR ABRIGO</v>
      </c>
      <c r="S1442" s="5"/>
      <c r="T1442" s="5"/>
      <c r="U1442" s="5"/>
      <c r="V1442" s="9" t="str">
        <f>IFERROR(__xludf.DUMMYFUNCTION("""COMPUTED_VALUE"""),"https://drive.google.com/uc?id=1nOE0XcgkOd791BRvk-9Q9adfghW4cC3h")</f>
        <v>https://drive.google.com/uc?id=1nOE0XcgkOd791BRvk-9Q9adfghW4cC3h</v>
      </c>
      <c r="W1442" s="5" t="str">
        <f>IFERROR(__xludf.DUMMYFUNCTION("""COMPUTED_VALUE"""),"NÃO")</f>
        <v>NÃO</v>
      </c>
      <c r="X1442" s="5" t="str">
        <f>IFERROR(__xludf.DUMMYFUNCTION("""COMPUTED_VALUE"""),"NÃO SE APLICA")</f>
        <v>NÃO SE APLICA</v>
      </c>
    </row>
    <row r="1443">
      <c r="A1443" s="5">
        <f>IFERROR(__xludf.DUMMYFUNCTION("""COMPUTED_VALUE"""),1.0)</f>
        <v>1</v>
      </c>
      <c r="B1443" s="5" t="str">
        <f>IFERROR(__xludf.DUMMYFUNCTION("""COMPUTED_VALUE"""),"PÇ014")</f>
        <v>PÇ014</v>
      </c>
      <c r="C1443" s="5" t="str">
        <f>IFERROR(__xludf.DUMMYFUNCTION("""COMPUTED_VALUE"""),"ABRIGO CONCRETO")</f>
        <v>ABRIGO CONCRETO</v>
      </c>
      <c r="D1443" s="5" t="str">
        <f>IFERROR(__xludf.DUMMYFUNCTION("""COMPUTED_VALUE"""),"SEM PLACA")</f>
        <v>SEM PLACA</v>
      </c>
      <c r="E1443" s="5" t="str">
        <f>IFERROR(__xludf.DUMMYFUNCTION("""COMPUTED_VALUE"""),"BAIA PINTADA")</f>
        <v>BAIA PINTADA</v>
      </c>
      <c r="F1443" s="5" t="str">
        <f>IFERROR(__xludf.DUMMYFUNCTION("""COMPUTED_VALUE"""),"NÃO")</f>
        <v>NÃO</v>
      </c>
      <c r="G1443" s="5" t="str">
        <f>IFERROR(__xludf.DUMMYFUNCTION("""COMPUTED_VALUE"""),"NÃO")</f>
        <v>NÃO</v>
      </c>
      <c r="H1443" s="5" t="str">
        <f>IFERROR(__xludf.DUMMYFUNCTION("""COMPUTED_VALUE"""),"PAVIMENTADA")</f>
        <v>PAVIMENTADA</v>
      </c>
      <c r="I1443" s="6" t="str">
        <f>IFERROR(__xludf.DUMMYFUNCTION("""COMPUTED_VALUE"""),"-9.657058")</f>
        <v>-9.657058</v>
      </c>
      <c r="J1443" s="6" t="str">
        <f>IFERROR(__xludf.DUMMYFUNCTION("""COMPUTED_VALUE"""),"-35.711251")</f>
        <v>-35.711251</v>
      </c>
      <c r="K1443" s="5" t="str">
        <f>IFERROR(__xludf.DUMMYFUNCTION("""COMPUTED_VALUE"""),"R. CAP MARINHO FALCÃO")</f>
        <v>R. CAP MARINHO FALCÃO</v>
      </c>
      <c r="L1443" s="5" t="str">
        <f>IFERROR(__xludf.DUMMYFUNCTION("""COMPUTED_VALUE"""),"COLETORA")</f>
        <v>COLETORA</v>
      </c>
      <c r="M1443" s="5" t="str">
        <f>IFERROR(__xludf.DUMMYFUNCTION("""COMPUTED_VALUE"""),"POÇO ")</f>
        <v>POÇO </v>
      </c>
      <c r="N1443" s="5" t="str">
        <f>IFERROR(__xludf.DUMMYFUNCTION("""COMPUTED_VALUE"""),"CENTRO - BAIRRO")</f>
        <v>CENTRO - BAIRRO</v>
      </c>
      <c r="O1443" s="5"/>
      <c r="P1443" s="5" t="str">
        <f>IFERROR(__xludf.DUMMYFUNCTION("""COMPUTED_VALUE"""),"PRIORIDADE BAIXA")</f>
        <v>PRIORIDADE BAIXA</v>
      </c>
      <c r="Q1443" s="5"/>
      <c r="R1443" s="5" t="str">
        <f>IFERROR(__xludf.DUMMYFUNCTION("""COMPUTED_VALUE"""),"SUBSTITUIR ABRIGO")</f>
        <v>SUBSTITUIR ABRIGO</v>
      </c>
      <c r="S1443" s="5"/>
      <c r="T1443" s="5"/>
      <c r="U1443" s="5"/>
      <c r="V1443" s="9" t="str">
        <f>IFERROR(__xludf.DUMMYFUNCTION("""COMPUTED_VALUE"""),"https://drive.google.com/uc?id=1trlAOgdj4nwO6tBfigIooVZoy1QCAZeG")</f>
        <v>https://drive.google.com/uc?id=1trlAOgdj4nwO6tBfigIooVZoy1QCAZeG</v>
      </c>
      <c r="W1443" s="5" t="str">
        <f>IFERROR(__xludf.DUMMYFUNCTION("""COMPUTED_VALUE"""),"NÃO")</f>
        <v>NÃO</v>
      </c>
      <c r="X1443" s="5" t="str">
        <f>IFERROR(__xludf.DUMMYFUNCTION("""COMPUTED_VALUE"""),"NÃO SE APLICA")</f>
        <v>NÃO SE APLICA</v>
      </c>
    </row>
    <row r="1444">
      <c r="A1444" s="5">
        <f>IFERROR(__xludf.DUMMYFUNCTION("""COMPUTED_VALUE"""),1.0)</f>
        <v>1</v>
      </c>
      <c r="B1444" s="5" t="str">
        <f>IFERROR(__xludf.DUMMYFUNCTION("""COMPUTED_VALUE"""),"PÇ015")</f>
        <v>PÇ015</v>
      </c>
      <c r="C1444" s="5" t="str">
        <f>IFERROR(__xludf.DUMMYFUNCTION("""COMPUTED_VALUE"""),"ABRIGO METÁLICO PEQUENO PORTE")</f>
        <v>ABRIGO METÁLICO PEQUENO PORTE</v>
      </c>
      <c r="D1444" s="5" t="str">
        <f>IFERROR(__xludf.DUMMYFUNCTION("""COMPUTED_VALUE"""),"SEM PLACA")</f>
        <v>SEM PLACA</v>
      </c>
      <c r="E1444" s="5" t="str">
        <f>IFERROR(__xludf.DUMMYFUNCTION("""COMPUTED_VALUE"""),"SEM BAIA")</f>
        <v>SEM BAIA</v>
      </c>
      <c r="F1444" s="5" t="str">
        <f>IFERROR(__xludf.DUMMYFUNCTION("""COMPUTED_VALUE"""),"SIM")</f>
        <v>SIM</v>
      </c>
      <c r="G1444" s="5" t="str">
        <f>IFERROR(__xludf.DUMMYFUNCTION("""COMPUTED_VALUE"""),"NÃO")</f>
        <v>NÃO</v>
      </c>
      <c r="H1444" s="5" t="str">
        <f>IFERROR(__xludf.DUMMYFUNCTION("""COMPUTED_VALUE"""),"PAVIMENTADA COM AVARIAS")</f>
        <v>PAVIMENTADA COM AVARIAS</v>
      </c>
      <c r="I1444" s="6" t="str">
        <f>IFERROR(__xludf.DUMMYFUNCTION("""COMPUTED_VALUE"""),"-9.660200")</f>
        <v>-9.660200</v>
      </c>
      <c r="J1444" s="6" t="str">
        <f>IFERROR(__xludf.DUMMYFUNCTION("""COMPUTED_VALUE"""),"-35.724102")</f>
        <v>-35.724102</v>
      </c>
      <c r="K1444" s="5" t="str">
        <f>IFERROR(__xludf.DUMMYFUNCTION("""COMPUTED_VALUE"""),"VILA BANCÁRIA")</f>
        <v>VILA BANCÁRIA</v>
      </c>
      <c r="L1444" s="5" t="str">
        <f>IFERROR(__xludf.DUMMYFUNCTION("""COMPUTED_VALUE"""),"LOCAL")</f>
        <v>LOCAL</v>
      </c>
      <c r="M1444" s="5" t="str">
        <f>IFERROR(__xludf.DUMMYFUNCTION("""COMPUTED_VALUE"""),"POÇO ")</f>
        <v>POÇO </v>
      </c>
      <c r="N1444" s="5" t="str">
        <f>IFERROR(__xludf.DUMMYFUNCTION("""COMPUTED_VALUE"""),"CENTRO - BAIRRO")</f>
        <v>CENTRO - BAIRRO</v>
      </c>
      <c r="O1444" s="5"/>
      <c r="P1444" s="5" t="str">
        <f>IFERROR(__xludf.DUMMYFUNCTION("""COMPUTED_VALUE"""),"PRIORIDADE BAIXA")</f>
        <v>PRIORIDADE BAIXA</v>
      </c>
      <c r="Q1444" s="5"/>
      <c r="R1444" s="5" t="str">
        <f>IFERROR(__xludf.DUMMYFUNCTION("""COMPUTED_VALUE"""),"SUBSTITUIR ABRIGO")</f>
        <v>SUBSTITUIR ABRIGO</v>
      </c>
      <c r="S1444" s="5"/>
      <c r="T1444" s="5"/>
      <c r="U1444" s="5"/>
      <c r="V1444" s="9" t="str">
        <f>IFERROR(__xludf.DUMMYFUNCTION("""COMPUTED_VALUE"""),"https://drive.google.com/uc?id=1finFTPbARcyHQeEheg6owPy734nA3bhu")</f>
        <v>https://drive.google.com/uc?id=1finFTPbARcyHQeEheg6owPy734nA3bhu</v>
      </c>
      <c r="W1444" s="5" t="str">
        <f>IFERROR(__xludf.DUMMYFUNCTION("""COMPUTED_VALUE"""),"NÃO")</f>
        <v>NÃO</v>
      </c>
      <c r="X1444" s="5" t="str">
        <f>IFERROR(__xludf.DUMMYFUNCTION("""COMPUTED_VALUE"""),"SIM")</f>
        <v>SIM</v>
      </c>
    </row>
    <row r="1445" hidden="1">
      <c r="A1445" s="5">
        <f>IFERROR(__xludf.DUMMYFUNCTION("""COMPUTED_VALUE"""),1.0)</f>
        <v>1</v>
      </c>
      <c r="B1445" s="5" t="str">
        <f>IFERROR(__xludf.DUMMYFUNCTION("""COMPUTED_VALUE"""),"PÇ016")</f>
        <v>PÇ016</v>
      </c>
      <c r="C1445" s="5" t="str">
        <f>IFERROR(__xludf.DUMMYFUNCTION("""COMPUTED_VALUE"""),"NÃO POSSUI")</f>
        <v>NÃO POSSUI</v>
      </c>
      <c r="D1445" s="5" t="str">
        <f>IFERROR(__xludf.DUMMYFUNCTION("""COMPUTED_VALUE"""),"COM SUPORTE")</f>
        <v>COM SUPORTE</v>
      </c>
      <c r="E1445" s="5" t="str">
        <f>IFERROR(__xludf.DUMMYFUNCTION("""COMPUTED_VALUE"""),"SEM BAIA")</f>
        <v>SEM BAIA</v>
      </c>
      <c r="F1445" s="5" t="str">
        <f>IFERROR(__xludf.DUMMYFUNCTION("""COMPUTED_VALUE"""),"NÃO")</f>
        <v>NÃO</v>
      </c>
      <c r="G1445" s="5" t="str">
        <f>IFERROR(__xludf.DUMMYFUNCTION("""COMPUTED_VALUE"""),"NÃO")</f>
        <v>NÃO</v>
      </c>
      <c r="H1445" s="5" t="str">
        <f>IFERROR(__xludf.DUMMYFUNCTION("""COMPUTED_VALUE"""),"PAVIMENTADA COM AVARIAS")</f>
        <v>PAVIMENTADA COM AVARIAS</v>
      </c>
      <c r="I1445" s="6" t="str">
        <f>IFERROR(__xludf.DUMMYFUNCTION("""COMPUTED_VALUE"""),"-9.665587")</f>
        <v>-9.665587</v>
      </c>
      <c r="J1445" s="6" t="str">
        <f>IFERROR(__xludf.DUMMYFUNCTION("""COMPUTED_VALUE"""),"-35.729330")</f>
        <v>-35.729330</v>
      </c>
      <c r="K1445" s="5" t="str">
        <f>IFERROR(__xludf.DUMMYFUNCTION("""COMPUTED_VALUE"""),"AV. DEP. HUMBERTO MENDES")</f>
        <v>AV. DEP. HUMBERTO MENDES</v>
      </c>
      <c r="L1445" s="5" t="str">
        <f>IFERROR(__xludf.DUMMYFUNCTION("""COMPUTED_VALUE"""),"ARTERIAL ")</f>
        <v>ARTERIAL </v>
      </c>
      <c r="M1445" s="5" t="str">
        <f>IFERROR(__xludf.DUMMYFUNCTION("""COMPUTED_VALUE"""),"POÇO ")</f>
        <v>POÇO </v>
      </c>
      <c r="N1445" s="5" t="str">
        <f>IFERROR(__xludf.DUMMYFUNCTION("""COMPUTED_VALUE"""),"BAIRRO - CENTRO")</f>
        <v>BAIRRO - CENTRO</v>
      </c>
      <c r="O1445" s="5"/>
      <c r="P1445" s="5" t="str">
        <f>IFERROR(__xludf.DUMMYFUNCTION("""COMPUTED_VALUE"""),"PRIORIDADE BAIXA")</f>
        <v>PRIORIDADE BAIXA</v>
      </c>
      <c r="Q1445" s="5"/>
      <c r="R1445" s="5" t="str">
        <f>IFERROR(__xludf.DUMMYFUNCTION("""COMPUTED_VALUE"""),"NENHUMA DAS OPÇÕES")</f>
        <v>NENHUMA DAS OPÇÕES</v>
      </c>
      <c r="S1445" s="5"/>
      <c r="T1445" s="5"/>
      <c r="U1445" s="5"/>
      <c r="V1445" s="9" t="str">
        <f>IFERROR(__xludf.DUMMYFUNCTION("""COMPUTED_VALUE"""),"https://drive.google.com/uc?id=1d0GO660mccvQVh5IoLvxLUOcKrA5SyEB")</f>
        <v>https://drive.google.com/uc?id=1d0GO660mccvQVh5IoLvxLUOcKrA5SyEB</v>
      </c>
      <c r="W1445" s="5" t="str">
        <f>IFERROR(__xludf.DUMMYFUNCTION("""COMPUTED_VALUE"""),"NÃO")</f>
        <v>NÃO</v>
      </c>
      <c r="X1445" s="5" t="str">
        <f>IFERROR(__xludf.DUMMYFUNCTION("""COMPUTED_VALUE"""),"NÃO SE APLICA")</f>
        <v>NÃO SE APLICA</v>
      </c>
    </row>
    <row r="1446" hidden="1">
      <c r="A1446" s="5">
        <f>IFERROR(__xludf.DUMMYFUNCTION("""COMPUTED_VALUE"""),1.0)</f>
        <v>1</v>
      </c>
      <c r="B1446" s="5" t="str">
        <f>IFERROR(__xludf.DUMMYFUNCTION("""COMPUTED_VALUE"""),"PÇ017")</f>
        <v>PÇ017</v>
      </c>
      <c r="C1446" s="5" t="str">
        <f>IFERROR(__xludf.DUMMYFUNCTION("""COMPUTED_VALUE"""),"SEM SINALIZAÇÃO")</f>
        <v>SEM SINALIZAÇÃO</v>
      </c>
      <c r="D1446" s="5" t="str">
        <f>IFERROR(__xludf.DUMMYFUNCTION("""COMPUTED_VALUE"""),"SEM PLACA")</f>
        <v>SEM PLACA</v>
      </c>
      <c r="E1446" s="5" t="str">
        <f>IFERROR(__xludf.DUMMYFUNCTION("""COMPUTED_VALUE"""),"SEM BAIA")</f>
        <v>SEM BAIA</v>
      </c>
      <c r="F1446" s="5" t="str">
        <f>IFERROR(__xludf.DUMMYFUNCTION("""COMPUTED_VALUE"""),"NÃO")</f>
        <v>NÃO</v>
      </c>
      <c r="G1446" s="5" t="str">
        <f>IFERROR(__xludf.DUMMYFUNCTION("""COMPUTED_VALUE"""),"NÃO")</f>
        <v>NÃO</v>
      </c>
      <c r="H1446" s="5" t="str">
        <f>IFERROR(__xludf.DUMMYFUNCTION("""COMPUTED_VALUE"""),"PAVIMENTADA")</f>
        <v>PAVIMENTADA</v>
      </c>
      <c r="I1446" s="6" t="str">
        <f>IFERROR(__xludf.DUMMYFUNCTION("""COMPUTED_VALUE"""),"-9.664283")</f>
        <v>-9.664283</v>
      </c>
      <c r="J1446" s="6" t="str">
        <f>IFERROR(__xludf.DUMMYFUNCTION("""COMPUTED_VALUE"""),"-35.727864")</f>
        <v>-35.727864</v>
      </c>
      <c r="K1446" s="5" t="str">
        <f>IFERROR(__xludf.DUMMYFUNCTION("""COMPUTED_VALUE"""),"RUA PEDRO PAULINO")</f>
        <v>RUA PEDRO PAULINO</v>
      </c>
      <c r="L1446" s="5" t="str">
        <f>IFERROR(__xludf.DUMMYFUNCTION("""COMPUTED_VALUE"""),"COLETORA")</f>
        <v>COLETORA</v>
      </c>
      <c r="M1446" s="5" t="str">
        <f>IFERROR(__xludf.DUMMYFUNCTION("""COMPUTED_VALUE"""),"POÇO ")</f>
        <v>POÇO </v>
      </c>
      <c r="N1446" s="5" t="str">
        <f>IFERROR(__xludf.DUMMYFUNCTION("""COMPUTED_VALUE"""),"BAIRRO - CENTRO")</f>
        <v>BAIRRO - CENTRO</v>
      </c>
      <c r="O1446" s="5" t="str">
        <f>IFERROR(__xludf.DUMMYFUNCTION("""COMPUTED_VALUE"""),"PROXIMO AO SENAC")</f>
        <v>PROXIMO AO SENAC</v>
      </c>
      <c r="P1446" s="5" t="str">
        <f>IFERROR(__xludf.DUMMYFUNCTION("""COMPUTED_VALUE"""),"PRIORIDADE BAIXA")</f>
        <v>PRIORIDADE BAIXA</v>
      </c>
      <c r="Q1446" s="5"/>
      <c r="R1446" s="5" t="str">
        <f>IFERROR(__xludf.DUMMYFUNCTION("""COMPUTED_VALUE"""),"IMPLANTAR PLACA COM SUPORTE")</f>
        <v>IMPLANTAR PLACA COM SUPORTE</v>
      </c>
      <c r="S1446" s="5"/>
      <c r="T1446" s="5"/>
      <c r="U1446" s="5"/>
      <c r="V1446" s="9" t="str">
        <f>IFERROR(__xludf.DUMMYFUNCTION("""COMPUTED_VALUE"""),"https://drive.google.com/uc?id=1lRZfvCB_5Va8CfYJKC0F_DYr34ym--n0")</f>
        <v>https://drive.google.com/uc?id=1lRZfvCB_5Va8CfYJKC0F_DYr34ym--n0</v>
      </c>
      <c r="W1446" s="5"/>
      <c r="X1446" s="5"/>
    </row>
    <row r="1447" hidden="1">
      <c r="A1447" s="13">
        <f>IFERROR(__xludf.DUMMYFUNCTION("IMPORTRANGE(""https://docs.google.com/spreadsheets/d/1UVIacvoteqWSc0BsiO5oc6hQTTDI_D6exkrFOSzaJVM/edit#gid=1148596702"", ""PONTA DA TERRA!A2:X4"")"),1.0)</f>
        <v>1</v>
      </c>
      <c r="B1447" s="5" t="str">
        <f>IFERROR(__xludf.DUMMYFUNCTION("""COMPUTED_VALUE"""),"PT001")</f>
        <v>PT001</v>
      </c>
      <c r="C1447" s="5" t="str">
        <f>IFERROR(__xludf.DUMMYFUNCTION("""COMPUTED_VALUE"""),"NÃO POSSUI")</f>
        <v>NÃO POSSUI</v>
      </c>
      <c r="D1447" s="5" t="str">
        <f>IFERROR(__xludf.DUMMYFUNCTION("""COMPUTED_VALUE"""),"FIXADA EM POSTE")</f>
        <v>FIXADA EM POSTE</v>
      </c>
      <c r="E1447" s="5" t="str">
        <f>IFERROR(__xludf.DUMMYFUNCTION("""COMPUTED_VALUE"""),"SEM BAIA")</f>
        <v>SEM BAIA</v>
      </c>
      <c r="F1447" s="5" t="str">
        <f>IFERROR(__xludf.DUMMYFUNCTION("""COMPUTED_VALUE"""),"NÃO")</f>
        <v>NÃO</v>
      </c>
      <c r="G1447" s="5" t="str">
        <f>IFERROR(__xludf.DUMMYFUNCTION("""COMPUTED_VALUE"""),"NÃO")</f>
        <v>NÃO</v>
      </c>
      <c r="H1447" s="5" t="str">
        <f>IFERROR(__xludf.DUMMYFUNCTION("""COMPUTED_VALUE"""),"PAVIMENTADA")</f>
        <v>PAVIMENTADA</v>
      </c>
      <c r="I1447" s="6" t="str">
        <f>IFERROR(__xludf.DUMMYFUNCTION("""COMPUTED_VALUE"""),"-9.663056")</f>
        <v>-9.663056</v>
      </c>
      <c r="J1447" s="6" t="str">
        <f>IFERROR(__xludf.DUMMYFUNCTION("""COMPUTED_VALUE"""),"-35.719135")</f>
        <v>-35.719135</v>
      </c>
      <c r="K1447" s="5" t="str">
        <f>IFERROR(__xludf.DUMMYFUNCTION("""COMPUTED_VALUE"""),"RUA PROF. SANTOS FERRAZ")</f>
        <v>RUA PROF. SANTOS FERRAZ</v>
      </c>
      <c r="L1447" s="5" t="str">
        <f>IFERROR(__xludf.DUMMYFUNCTION("""COMPUTED_VALUE"""),"COLETORA")</f>
        <v>COLETORA</v>
      </c>
      <c r="M1447" s="5" t="str">
        <f>IFERROR(__xludf.DUMMYFUNCTION("""COMPUTED_VALUE"""),"PONTA DA TERRA")</f>
        <v>PONTA DA TERRA</v>
      </c>
      <c r="N1447" s="5" t="str">
        <f>IFERROR(__xludf.DUMMYFUNCTION("""COMPUTED_VALUE"""),"BAIRRO - CENTRO")</f>
        <v>BAIRRO - CENTRO</v>
      </c>
      <c r="O1447" s="5"/>
      <c r="P1447" s="5" t="str">
        <f>IFERROR(__xludf.DUMMYFUNCTION("""COMPUTED_VALUE"""),"PRIORIDADE BAIXA")</f>
        <v>PRIORIDADE BAIXA</v>
      </c>
      <c r="Q1447" s="5"/>
      <c r="R1447" s="5" t="str">
        <f>IFERROR(__xludf.DUMMYFUNCTION("""COMPUTED_VALUE"""),"NENHUMA DAS OPÇÕES")</f>
        <v>NENHUMA DAS OPÇÕES</v>
      </c>
      <c r="S1447" s="5"/>
      <c r="T1447" s="5"/>
      <c r="U1447" s="5"/>
      <c r="V1447" s="9" t="str">
        <f>IFERROR(__xludf.DUMMYFUNCTION("""COMPUTED_VALUE"""),"https://drive.google.com/uc?id=1-bjOcMmxgHFPrhiV05OG7SZr0o9lYbTE")</f>
        <v>https://drive.google.com/uc?id=1-bjOcMmxgHFPrhiV05OG7SZr0o9lYbTE</v>
      </c>
      <c r="W1447" s="5" t="str">
        <f>IFERROR(__xludf.DUMMYFUNCTION("""COMPUTED_VALUE"""),"NÃO")</f>
        <v>NÃO</v>
      </c>
      <c r="X1447" s="5" t="str">
        <f>IFERROR(__xludf.DUMMYFUNCTION("""COMPUTED_VALUE"""),"NÃO SE APLICA")</f>
        <v>NÃO SE APLICA</v>
      </c>
    </row>
    <row r="1448" hidden="1">
      <c r="A1448" s="5">
        <f>IFERROR(__xludf.DUMMYFUNCTION("""COMPUTED_VALUE"""),1.0)</f>
        <v>1</v>
      </c>
      <c r="B1448" s="5" t="str">
        <f>IFERROR(__xludf.DUMMYFUNCTION("""COMPUTED_VALUE"""),"PT002")</f>
        <v>PT002</v>
      </c>
      <c r="C1448" s="5" t="str">
        <f>IFERROR(__xludf.DUMMYFUNCTION("""COMPUTED_VALUE"""),"NÃO POSSUI")</f>
        <v>NÃO POSSUI</v>
      </c>
      <c r="D1448" s="5" t="str">
        <f>IFERROR(__xludf.DUMMYFUNCTION("""COMPUTED_VALUE"""),"COM SUPORTE")</f>
        <v>COM SUPORTE</v>
      </c>
      <c r="E1448" s="5" t="str">
        <f>IFERROR(__xludf.DUMMYFUNCTION("""COMPUTED_VALUE"""),"SEM BAIA")</f>
        <v>SEM BAIA</v>
      </c>
      <c r="F1448" s="5" t="str">
        <f>IFERROR(__xludf.DUMMYFUNCTION("""COMPUTED_VALUE"""),"NÃO")</f>
        <v>NÃO</v>
      </c>
      <c r="G1448" s="5" t="str">
        <f>IFERROR(__xludf.DUMMYFUNCTION("""COMPUTED_VALUE"""),"NÃO")</f>
        <v>NÃO</v>
      </c>
      <c r="H1448" s="5" t="str">
        <f>IFERROR(__xludf.DUMMYFUNCTION("""COMPUTED_VALUE"""),"PAVIMENTADA")</f>
        <v>PAVIMENTADA</v>
      </c>
      <c r="I1448" s="6" t="str">
        <f>IFERROR(__xludf.DUMMYFUNCTION("""COMPUTED_VALUE"""),"-9.664090")</f>
        <v>-9.664090</v>
      </c>
      <c r="J1448" s="6" t="str">
        <f>IFERROR(__xludf.DUMMYFUNCTION("""COMPUTED_VALUE""")," -35.717455")</f>
        <v> -35.717455</v>
      </c>
      <c r="K1448" s="5" t="str">
        <f>IFERROR(__xludf.DUMMYFUNCTION("""COMPUTED_VALUE"""),"RUA DOMINGOS LORDSLEEN")</f>
        <v>RUA DOMINGOS LORDSLEEN</v>
      </c>
      <c r="L1448" s="5" t="str">
        <f>IFERROR(__xludf.DUMMYFUNCTION("""COMPUTED_VALUE"""),"COLETORA")</f>
        <v>COLETORA</v>
      </c>
      <c r="M1448" s="5" t="str">
        <f>IFERROR(__xludf.DUMMYFUNCTION("""COMPUTED_VALUE"""),"PONTA DA TERRA")</f>
        <v>PONTA DA TERRA</v>
      </c>
      <c r="N1448" s="5" t="str">
        <f>IFERROR(__xludf.DUMMYFUNCTION("""COMPUTED_VALUE"""),"CENTRO - BAIRRO")</f>
        <v>CENTRO - BAIRRO</v>
      </c>
      <c r="O1448" s="5"/>
      <c r="P1448" s="5" t="str">
        <f>IFERROR(__xludf.DUMMYFUNCTION("""COMPUTED_VALUE"""),"PRIORIDADE BAIXA")</f>
        <v>PRIORIDADE BAIXA</v>
      </c>
      <c r="Q1448" s="5"/>
      <c r="R1448" s="5" t="str">
        <f>IFERROR(__xludf.DUMMYFUNCTION("""COMPUTED_VALUE"""),"NENHUMA DAS OPÇÕES")</f>
        <v>NENHUMA DAS OPÇÕES</v>
      </c>
      <c r="S1448" s="5"/>
      <c r="T1448" s="5"/>
      <c r="U1448" s="5"/>
      <c r="V1448" s="9" t="str">
        <f>IFERROR(__xludf.DUMMYFUNCTION("""COMPUTED_VALUE"""),"https://drive.google.com/uc?id=1eOwrJ7K6oyWfe261oaMQTaFaG3L2qOWo")</f>
        <v>https://drive.google.com/uc?id=1eOwrJ7K6oyWfe261oaMQTaFaG3L2qOWo</v>
      </c>
      <c r="W1448" s="5" t="str">
        <f>IFERROR(__xludf.DUMMYFUNCTION("""COMPUTED_VALUE"""),"NÃO")</f>
        <v>NÃO</v>
      </c>
      <c r="X1448" s="5" t="str">
        <f>IFERROR(__xludf.DUMMYFUNCTION("""COMPUTED_VALUE"""),"NÃO SE APLICA")</f>
        <v>NÃO SE APLICA</v>
      </c>
    </row>
    <row r="1449">
      <c r="A1449" s="5">
        <f>IFERROR(__xludf.DUMMYFUNCTION("""COMPUTED_VALUE"""),1.0)</f>
        <v>1</v>
      </c>
      <c r="B1449" s="5" t="str">
        <f>IFERROR(__xludf.DUMMYFUNCTION("""COMPUTED_VALUE"""),"PT003")</f>
        <v>PT003</v>
      </c>
      <c r="C1449" s="5" t="str">
        <f>IFERROR(__xludf.DUMMYFUNCTION("""COMPUTED_VALUE"""),"ABRIGO METÁLICO PEQUENO PORTE")</f>
        <v>ABRIGO METÁLICO PEQUENO PORTE</v>
      </c>
      <c r="D1449" s="5" t="str">
        <f>IFERROR(__xludf.DUMMYFUNCTION("""COMPUTED_VALUE"""),"SEM PLACA")</f>
        <v>SEM PLACA</v>
      </c>
      <c r="E1449" s="5" t="str">
        <f>IFERROR(__xludf.DUMMYFUNCTION("""COMPUTED_VALUE"""),"BAIA PINTADA")</f>
        <v>BAIA PINTADA</v>
      </c>
      <c r="F1449" s="5" t="str">
        <f>IFERROR(__xludf.DUMMYFUNCTION("""COMPUTED_VALUE"""),"NÃO")</f>
        <v>NÃO</v>
      </c>
      <c r="G1449" s="5" t="str">
        <f>IFERROR(__xludf.DUMMYFUNCTION("""COMPUTED_VALUE"""),"NÃO")</f>
        <v>NÃO</v>
      </c>
      <c r="H1449" s="5" t="str">
        <f>IFERROR(__xludf.DUMMYFUNCTION("""COMPUTED_VALUE"""),"PAVIMENTADA")</f>
        <v>PAVIMENTADA</v>
      </c>
      <c r="I1449" s="6" t="str">
        <f>IFERROR(__xludf.DUMMYFUNCTION("""COMPUTED_VALUE"""),"-9.666755")</f>
        <v>-9.666755</v>
      </c>
      <c r="J1449" s="6" t="str">
        <f>IFERROR(__xludf.DUMMYFUNCTION("""COMPUTED_VALUE"""),"-35.714701")</f>
        <v>-35.714701</v>
      </c>
      <c r="K1449" s="5" t="str">
        <f>IFERROR(__xludf.DUMMYFUNCTION("""COMPUTED_VALUE"""),"RUA QUINTINO BOCAIÚVA")</f>
        <v>RUA QUINTINO BOCAIÚVA</v>
      </c>
      <c r="L1449" s="5" t="str">
        <f>IFERROR(__xludf.DUMMYFUNCTION("""COMPUTED_VALUE"""),"COLETORA")</f>
        <v>COLETORA</v>
      </c>
      <c r="M1449" s="5" t="str">
        <f>IFERROR(__xludf.DUMMYFUNCTION("""COMPUTED_VALUE"""),"PONTA DA TERRA")</f>
        <v>PONTA DA TERRA</v>
      </c>
      <c r="N1449" s="5" t="str">
        <f>IFERROR(__xludf.DUMMYFUNCTION("""COMPUTED_VALUE"""),"BAIRRO - CENTRO")</f>
        <v>BAIRRO - CENTRO</v>
      </c>
      <c r="O1449" s="5"/>
      <c r="P1449" s="5" t="str">
        <f>IFERROR(__xludf.DUMMYFUNCTION("""COMPUTED_VALUE"""),"PRIORIDADE BAIXA")</f>
        <v>PRIORIDADE BAIXA</v>
      </c>
      <c r="Q1449" s="5"/>
      <c r="R1449" s="5" t="str">
        <f>IFERROR(__xludf.DUMMYFUNCTION("""COMPUTED_VALUE"""),"SUBSTITUIR ABRIGO")</f>
        <v>SUBSTITUIR ABRIGO</v>
      </c>
      <c r="S1449" s="5"/>
      <c r="T1449" s="5"/>
      <c r="U1449" s="5"/>
      <c r="V1449" s="9" t="str">
        <f>IFERROR(__xludf.DUMMYFUNCTION("""COMPUTED_VALUE"""),"https://drive.google.com/uc?id=1hxpo_PLBviJo0x0wR1aWfN-aLh-yj4KL")</f>
        <v>https://drive.google.com/uc?id=1hxpo_PLBviJo0x0wR1aWfN-aLh-yj4KL</v>
      </c>
      <c r="W1449" s="5" t="str">
        <f>IFERROR(__xludf.DUMMYFUNCTION("""COMPUTED_VALUE"""),"NÃO")</f>
        <v>NÃO</v>
      </c>
      <c r="X1449" s="5" t="str">
        <f>IFERROR(__xludf.DUMMYFUNCTION("""COMPUTED_VALUE"""),"NÃO")</f>
        <v>NÃO</v>
      </c>
    </row>
    <row r="1450">
      <c r="A1450" s="13">
        <f>IFERROR(__xludf.DUMMYFUNCTION("IMPORTRANGE(""https://docs.google.com/spreadsheets/d/1UVIacvoteqWSc0BsiO5oc6hQTTDI_D6exkrFOSzaJVM/edit#gid=777912038"", ""PONTA VERDE!A2:X26"")"),1.0)</f>
        <v>1</v>
      </c>
      <c r="B1450" s="5" t="str">
        <f>IFERROR(__xludf.DUMMYFUNCTION("""COMPUTED_VALUE"""),"PV001")</f>
        <v>PV001</v>
      </c>
      <c r="C1450" s="5" t="str">
        <f>IFERROR(__xludf.DUMMYFUNCTION("""COMPUTED_VALUE"""),"ABRIGO METÁLICO PEQUENO PORTE")</f>
        <v>ABRIGO METÁLICO PEQUENO PORTE</v>
      </c>
      <c r="D1450" s="5" t="str">
        <f>IFERROR(__xludf.DUMMYFUNCTION("""COMPUTED_VALUE"""),"SEM PLACA")</f>
        <v>SEM PLACA</v>
      </c>
      <c r="E1450" s="5" t="str">
        <f>IFERROR(__xludf.DUMMYFUNCTION("""COMPUTED_VALUE"""),"SEM BAIA")</f>
        <v>SEM BAIA</v>
      </c>
      <c r="F1450" s="5" t="str">
        <f>IFERROR(__xludf.DUMMYFUNCTION("""COMPUTED_VALUE"""),"SIM")</f>
        <v>SIM</v>
      </c>
      <c r="G1450" s="5" t="str">
        <f>IFERROR(__xludf.DUMMYFUNCTION("""COMPUTED_VALUE"""),"NÃO")</f>
        <v>NÃO</v>
      </c>
      <c r="H1450" s="5" t="str">
        <f>IFERROR(__xludf.DUMMYFUNCTION("""COMPUTED_VALUE"""),"PAVIMENTADA")</f>
        <v>PAVIMENTADA</v>
      </c>
      <c r="I1450" s="6" t="str">
        <f>IFERROR(__xludf.DUMMYFUNCTION("""COMPUTED_VALUE"""),"-9.656725")</f>
        <v>-9.656725</v>
      </c>
      <c r="J1450" s="6" t="str">
        <f>IFERROR(__xludf.DUMMYFUNCTION("""COMPUTED_VALUE"""),"-35.709158")</f>
        <v>-35.709158</v>
      </c>
      <c r="K1450" s="5" t="str">
        <f>IFERROR(__xludf.DUMMYFUNCTION("""COMPUTED_VALUE"""),"R. DEP. JOSÉ LAGES")</f>
        <v>R. DEP. JOSÉ LAGES</v>
      </c>
      <c r="L1450" s="5" t="str">
        <f>IFERROR(__xludf.DUMMYFUNCTION("""COMPUTED_VALUE"""),"COLETORA")</f>
        <v>COLETORA</v>
      </c>
      <c r="M1450" s="5" t="str">
        <f>IFERROR(__xludf.DUMMYFUNCTION("""COMPUTED_VALUE"""),"PONTA VERDE")</f>
        <v>PONTA VERDE</v>
      </c>
      <c r="N1450" s="5" t="str">
        <f>IFERROR(__xludf.DUMMYFUNCTION("""COMPUTED_VALUE"""),"BAIRRO - CENTRO")</f>
        <v>BAIRRO - CENTRO</v>
      </c>
      <c r="O1450" s="5" t="str">
        <f>IFERROR(__xludf.DUMMYFUNCTION("""COMPUTED_VALUE"""),"EM FRENTE AO ED. ANTONIO OLIVEIRA JUNIOR")</f>
        <v>EM FRENTE AO ED. ANTONIO OLIVEIRA JUNIOR</v>
      </c>
      <c r="P1450" s="5" t="str">
        <f>IFERROR(__xludf.DUMMYFUNCTION("""COMPUTED_VALUE"""),"PRIORIDADE BAIXA")</f>
        <v>PRIORIDADE BAIXA</v>
      </c>
      <c r="Q1450" s="5"/>
      <c r="R1450" s="5" t="str">
        <f>IFERROR(__xludf.DUMMYFUNCTION("""COMPUTED_VALUE"""),"SUBSTITUIR ABRIGO")</f>
        <v>SUBSTITUIR ABRIGO</v>
      </c>
      <c r="S1450" s="5"/>
      <c r="T1450" s="5"/>
      <c r="U1450" s="5"/>
      <c r="V1450" s="9" t="str">
        <f>IFERROR(__xludf.DUMMYFUNCTION("""COMPUTED_VALUE"""),"https://drive.google.com/uc?id=1ZdPZks1HheYGc2kB31cCcBV8w0aov1h1")</f>
        <v>https://drive.google.com/uc?id=1ZdPZks1HheYGc2kB31cCcBV8w0aov1h1</v>
      </c>
      <c r="W1450" s="5" t="str">
        <f>IFERROR(__xludf.DUMMYFUNCTION("""COMPUTED_VALUE"""),"NÃO")</f>
        <v>NÃO</v>
      </c>
      <c r="X1450" s="5" t="str">
        <f>IFERROR(__xludf.DUMMYFUNCTION("""COMPUTED_VALUE"""),"SIM")</f>
        <v>SIM</v>
      </c>
    </row>
    <row r="1451">
      <c r="A1451" s="5">
        <f>IFERROR(__xludf.DUMMYFUNCTION("""COMPUTED_VALUE"""),1.0)</f>
        <v>1</v>
      </c>
      <c r="B1451" s="5" t="str">
        <f>IFERROR(__xludf.DUMMYFUNCTION("""COMPUTED_VALUE"""),"PV002")</f>
        <v>PV002</v>
      </c>
      <c r="C1451" s="5" t="str">
        <f>IFERROR(__xludf.DUMMYFUNCTION("""COMPUTED_VALUE"""),"ABRIGO METÁLICO PEQUENO PORTE")</f>
        <v>ABRIGO METÁLICO PEQUENO PORTE</v>
      </c>
      <c r="D1451" s="5" t="str">
        <f>IFERROR(__xludf.DUMMYFUNCTION("""COMPUTED_VALUE"""),"SEM PLACA")</f>
        <v>SEM PLACA</v>
      </c>
      <c r="E1451" s="5" t="str">
        <f>IFERROR(__xludf.DUMMYFUNCTION("""COMPUTED_VALUE"""),"BAIA PINTADA")</f>
        <v>BAIA PINTADA</v>
      </c>
      <c r="F1451" s="5" t="str">
        <f>IFERROR(__xludf.DUMMYFUNCTION("""COMPUTED_VALUE"""),"NÃO")</f>
        <v>NÃO</v>
      </c>
      <c r="G1451" s="5" t="str">
        <f>IFERROR(__xludf.DUMMYFUNCTION("""COMPUTED_VALUE"""),"NÃO")</f>
        <v>NÃO</v>
      </c>
      <c r="H1451" s="5" t="str">
        <f>IFERROR(__xludf.DUMMYFUNCTION("""COMPUTED_VALUE"""),"PAVIMENTADA COM AVARIAS")</f>
        <v>PAVIMENTADA COM AVARIAS</v>
      </c>
      <c r="I1451" s="6" t="str">
        <f>IFERROR(__xludf.DUMMYFUNCTION("""COMPUTED_VALUE"""),"-9.656650")</f>
        <v>-9.656650</v>
      </c>
      <c r="J1451" s="6" t="str">
        <f>IFERROR(__xludf.DUMMYFUNCTION("""COMPUTED_VALUE""")," -35.706722")</f>
        <v> -35.706722</v>
      </c>
      <c r="K1451" s="5" t="str">
        <f>IFERROR(__xludf.DUMMYFUNCTION("""COMPUTED_VALUE"""),"R. DEP. JOSÉ LAGES")</f>
        <v>R. DEP. JOSÉ LAGES</v>
      </c>
      <c r="L1451" s="5" t="str">
        <f>IFERROR(__xludf.DUMMYFUNCTION("""COMPUTED_VALUE"""),"COLETORA")</f>
        <v>COLETORA</v>
      </c>
      <c r="M1451" s="5" t="str">
        <f>IFERROR(__xludf.DUMMYFUNCTION("""COMPUTED_VALUE"""),"PONTA VERDE")</f>
        <v>PONTA VERDE</v>
      </c>
      <c r="N1451" s="5" t="str">
        <f>IFERROR(__xludf.DUMMYFUNCTION("""COMPUTED_VALUE"""),"CENTRO - BAIRRO")</f>
        <v>CENTRO - BAIRRO</v>
      </c>
      <c r="O1451" s="5" t="str">
        <f>IFERROR(__xludf.DUMMYFUNCTION("""COMPUTED_VALUE"""),"EM FRENTE A GALERIA CRISTAL")</f>
        <v>EM FRENTE A GALERIA CRISTAL</v>
      </c>
      <c r="P1451" s="5" t="str">
        <f>IFERROR(__xludf.DUMMYFUNCTION("""COMPUTED_VALUE"""),"PRIORIDADE BAIXA")</f>
        <v>PRIORIDADE BAIXA</v>
      </c>
      <c r="Q1451" s="5"/>
      <c r="R1451" s="5" t="str">
        <f>IFERROR(__xludf.DUMMYFUNCTION("""COMPUTED_VALUE"""),"SUBSTITUIR ABRIGO")</f>
        <v>SUBSTITUIR ABRIGO</v>
      </c>
      <c r="S1451" s="5"/>
      <c r="T1451" s="5"/>
      <c r="U1451" s="5"/>
      <c r="V1451" s="9" t="str">
        <f>IFERROR(__xludf.DUMMYFUNCTION("""COMPUTED_VALUE"""),"https://drive.google.com/uc?id=1FkhmBLyprKyzG6iz-7kS6h-UGfOE_G0n")</f>
        <v>https://drive.google.com/uc?id=1FkhmBLyprKyzG6iz-7kS6h-UGfOE_G0n</v>
      </c>
      <c r="W1451" s="5" t="str">
        <f>IFERROR(__xludf.DUMMYFUNCTION("""COMPUTED_VALUE"""),"NÃO")</f>
        <v>NÃO</v>
      </c>
      <c r="X1451" s="5" t="str">
        <f>IFERROR(__xludf.DUMMYFUNCTION("""COMPUTED_VALUE"""),"SIM")</f>
        <v>SIM</v>
      </c>
    </row>
    <row r="1452" hidden="1">
      <c r="A1452" s="5">
        <f>IFERROR(__xludf.DUMMYFUNCTION("""COMPUTED_VALUE"""),1.0)</f>
        <v>1</v>
      </c>
      <c r="B1452" s="5" t="str">
        <f>IFERROR(__xludf.DUMMYFUNCTION("""COMPUTED_VALUE"""),"PV003")</f>
        <v>PV003</v>
      </c>
      <c r="C1452" s="5" t="str">
        <f>IFERROR(__xludf.DUMMYFUNCTION("""COMPUTED_VALUE"""),"NÃO POSSUI")</f>
        <v>NÃO POSSUI</v>
      </c>
      <c r="D1452" s="5" t="str">
        <f>IFERROR(__xludf.DUMMYFUNCTION("""COMPUTED_VALUE"""),"COM SUPORTE")</f>
        <v>COM SUPORTE</v>
      </c>
      <c r="E1452" s="5" t="str">
        <f>IFERROR(__xludf.DUMMYFUNCTION("""COMPUTED_VALUE"""),"SEM BAIA")</f>
        <v>SEM BAIA</v>
      </c>
      <c r="F1452" s="5" t="str">
        <f>IFERROR(__xludf.DUMMYFUNCTION("""COMPUTED_VALUE"""),"SIM")</f>
        <v>SIM</v>
      </c>
      <c r="G1452" s="5" t="str">
        <f>IFERROR(__xludf.DUMMYFUNCTION("""COMPUTED_VALUE"""),"NÃO")</f>
        <v>NÃO</v>
      </c>
      <c r="H1452" s="5" t="str">
        <f>IFERROR(__xludf.DUMMYFUNCTION("""COMPUTED_VALUE"""),"PAVIMENTADA")</f>
        <v>PAVIMENTADA</v>
      </c>
      <c r="I1452" s="6" t="str">
        <f>IFERROR(__xludf.DUMMYFUNCTION("""COMPUTED_VALUE"""),"-9.656732")</f>
        <v>-9.656732</v>
      </c>
      <c r="J1452" s="6" t="str">
        <f>IFERROR(__xludf.DUMMYFUNCTION("""COMPUTED_VALUE"""),"-35.707006")</f>
        <v>-35.707006</v>
      </c>
      <c r="K1452" s="5" t="str">
        <f>IFERROR(__xludf.DUMMYFUNCTION("""COMPUTED_VALUE"""),"R. DEP. JOSÉ LAGES")</f>
        <v>R. DEP. JOSÉ LAGES</v>
      </c>
      <c r="L1452" s="5" t="str">
        <f>IFERROR(__xludf.DUMMYFUNCTION("""COMPUTED_VALUE"""),"COLETORA")</f>
        <v>COLETORA</v>
      </c>
      <c r="M1452" s="5" t="str">
        <f>IFERROR(__xludf.DUMMYFUNCTION("""COMPUTED_VALUE"""),"PONTA VERDE")</f>
        <v>PONTA VERDE</v>
      </c>
      <c r="N1452" s="5" t="str">
        <f>IFERROR(__xludf.DUMMYFUNCTION("""COMPUTED_VALUE"""),"BAIRRO - CENTRO")</f>
        <v>BAIRRO - CENTRO</v>
      </c>
      <c r="O1452" s="5" t="str">
        <f>IFERROR(__xludf.DUMMYFUNCTION("""COMPUTED_VALUE"""),"EM FRENTE AO ED. FIT RESIDENCE")</f>
        <v>EM FRENTE AO ED. FIT RESIDENCE</v>
      </c>
      <c r="P1452" s="5" t="str">
        <f>IFERROR(__xludf.DUMMYFUNCTION("""COMPUTED_VALUE"""),"PRIORIDADE BAIXA")</f>
        <v>PRIORIDADE BAIXA</v>
      </c>
      <c r="Q1452" s="5"/>
      <c r="R1452" s="5" t="str">
        <f>IFERROR(__xludf.DUMMYFUNCTION("""COMPUTED_VALUE"""),"NENHUMA DAS OPÇÕES")</f>
        <v>NENHUMA DAS OPÇÕES</v>
      </c>
      <c r="S1452" s="5"/>
      <c r="T1452" s="5"/>
      <c r="U1452" s="5"/>
      <c r="V1452" s="9" t="str">
        <f>IFERROR(__xludf.DUMMYFUNCTION("""COMPUTED_VALUE"""),"https://drive.google.com/uc?id=1CAD0zdZXd-KVLTLFyTklLjTC5D6ysjqF")</f>
        <v>https://drive.google.com/uc?id=1CAD0zdZXd-KVLTLFyTklLjTC5D6ysjqF</v>
      </c>
      <c r="W1452" s="5" t="str">
        <f>IFERROR(__xludf.DUMMYFUNCTION("""COMPUTED_VALUE"""),"NÃO")</f>
        <v>NÃO</v>
      </c>
      <c r="X1452" s="5" t="str">
        <f>IFERROR(__xludf.DUMMYFUNCTION("""COMPUTED_VALUE"""),"NÃO SE APLICA")</f>
        <v>NÃO SE APLICA</v>
      </c>
    </row>
    <row r="1453">
      <c r="A1453" s="5">
        <f>IFERROR(__xludf.DUMMYFUNCTION("""COMPUTED_VALUE"""),1.0)</f>
        <v>1</v>
      </c>
      <c r="B1453" s="5" t="str">
        <f>IFERROR(__xludf.DUMMYFUNCTION("""COMPUTED_VALUE"""),"PV004")</f>
        <v>PV004</v>
      </c>
      <c r="C1453" s="5" t="str">
        <f>IFERROR(__xludf.DUMMYFUNCTION("""COMPUTED_VALUE"""),"ABRIGO METÁLICO PEQUENO PORTE")</f>
        <v>ABRIGO METÁLICO PEQUENO PORTE</v>
      </c>
      <c r="D1453" s="5" t="str">
        <f>IFERROR(__xludf.DUMMYFUNCTION("""COMPUTED_VALUE"""),"SEM PLACA")</f>
        <v>SEM PLACA</v>
      </c>
      <c r="E1453" s="5" t="str">
        <f>IFERROR(__xludf.DUMMYFUNCTION("""COMPUTED_VALUE"""),"BAIA PINTADA")</f>
        <v>BAIA PINTADA</v>
      </c>
      <c r="F1453" s="5" t="str">
        <f>IFERROR(__xludf.DUMMYFUNCTION("""COMPUTED_VALUE"""),"NÃO")</f>
        <v>NÃO</v>
      </c>
      <c r="G1453" s="5" t="str">
        <f>IFERROR(__xludf.DUMMYFUNCTION("""COMPUTED_VALUE"""),"NÃO")</f>
        <v>NÃO</v>
      </c>
      <c r="H1453" s="5" t="str">
        <f>IFERROR(__xludf.DUMMYFUNCTION("""COMPUTED_VALUE"""),"PAVIMENTADA")</f>
        <v>PAVIMENTADA</v>
      </c>
      <c r="I1453" s="6" t="str">
        <f>IFERROR(__xludf.DUMMYFUNCTION("""COMPUTED_VALUE"""),"-9.656673")</f>
        <v>-9.656673</v>
      </c>
      <c r="J1453" s="6" t="str">
        <f>IFERROR(__xludf.DUMMYFUNCTION("""COMPUTED_VALUE"""),"-35.704867")</f>
        <v>-35.704867</v>
      </c>
      <c r="K1453" s="5" t="str">
        <f>IFERROR(__xludf.DUMMYFUNCTION("""COMPUTED_VALUE"""),"R. DEP. JOSÉ LAGES")</f>
        <v>R. DEP. JOSÉ LAGES</v>
      </c>
      <c r="L1453" s="5" t="str">
        <f>IFERROR(__xludf.DUMMYFUNCTION("""COMPUTED_VALUE"""),"COLETORA")</f>
        <v>COLETORA</v>
      </c>
      <c r="M1453" s="5" t="str">
        <f>IFERROR(__xludf.DUMMYFUNCTION("""COMPUTED_VALUE"""),"PONTA VERDE")</f>
        <v>PONTA VERDE</v>
      </c>
      <c r="N1453" s="5" t="str">
        <f>IFERROR(__xludf.DUMMYFUNCTION("""COMPUTED_VALUE"""),"BAIRRO - CENTRO")</f>
        <v>BAIRRO - CENTRO</v>
      </c>
      <c r="O1453" s="5" t="str">
        <f>IFERROR(__xludf.DUMMYFUNCTION("""COMPUTED_VALUE"""),"EM FRENTE AO LUGANO")</f>
        <v>EM FRENTE AO LUGANO</v>
      </c>
      <c r="P1453" s="5" t="str">
        <f>IFERROR(__xludf.DUMMYFUNCTION("""COMPUTED_VALUE"""),"PRIORIDADE BAIXA")</f>
        <v>PRIORIDADE BAIXA</v>
      </c>
      <c r="Q1453" s="5"/>
      <c r="R1453" s="5" t="str">
        <f>IFERROR(__xludf.DUMMYFUNCTION("""COMPUTED_VALUE"""),"SUBSTITUIR ABRIGO")</f>
        <v>SUBSTITUIR ABRIGO</v>
      </c>
      <c r="S1453" s="5"/>
      <c r="T1453" s="5"/>
      <c r="U1453" s="5"/>
      <c r="V1453" s="9" t="str">
        <f>IFERROR(__xludf.DUMMYFUNCTION("""COMPUTED_VALUE"""),"https://drive.google.com/uc?id=13Jd84HryY5gBqa9ozrtvukwha_EosBLe")</f>
        <v>https://drive.google.com/uc?id=13Jd84HryY5gBqa9ozrtvukwha_EosBLe</v>
      </c>
      <c r="W1453" s="5" t="str">
        <f>IFERROR(__xludf.DUMMYFUNCTION("""COMPUTED_VALUE"""),"NÃO")</f>
        <v>NÃO</v>
      </c>
      <c r="X1453" s="5" t="str">
        <f>IFERROR(__xludf.DUMMYFUNCTION("""COMPUTED_VALUE"""),"SIM")</f>
        <v>SIM</v>
      </c>
    </row>
    <row r="1454" hidden="1">
      <c r="A1454" s="5">
        <f>IFERROR(__xludf.DUMMYFUNCTION("""COMPUTED_VALUE"""),1.0)</f>
        <v>1</v>
      </c>
      <c r="B1454" s="5" t="str">
        <f>IFERROR(__xludf.DUMMYFUNCTION("""COMPUTED_VALUE"""),"PV005")</f>
        <v>PV005</v>
      </c>
      <c r="C1454" s="5" t="str">
        <f>IFERROR(__xludf.DUMMYFUNCTION("""COMPUTED_VALUE"""),"NÃO POSSUI")</f>
        <v>NÃO POSSUI</v>
      </c>
      <c r="D1454" s="5" t="str">
        <f>IFERROR(__xludf.DUMMYFUNCTION("""COMPUTED_VALUE"""),"COM SUPORTE")</f>
        <v>COM SUPORTE</v>
      </c>
      <c r="E1454" s="5" t="str">
        <f>IFERROR(__xludf.DUMMYFUNCTION("""COMPUTED_VALUE"""),"SEM BAIA")</f>
        <v>SEM BAIA</v>
      </c>
      <c r="F1454" s="5" t="str">
        <f>IFERROR(__xludf.DUMMYFUNCTION("""COMPUTED_VALUE"""),"SIM")</f>
        <v>SIM</v>
      </c>
      <c r="G1454" s="5" t="str">
        <f>IFERROR(__xludf.DUMMYFUNCTION("""COMPUTED_VALUE"""),"NÃO")</f>
        <v>NÃO</v>
      </c>
      <c r="H1454" s="5" t="str">
        <f>IFERROR(__xludf.DUMMYFUNCTION("""COMPUTED_VALUE"""),"PAVIMENTADA")</f>
        <v>PAVIMENTADA</v>
      </c>
      <c r="I1454" s="6" t="str">
        <f>IFERROR(__xludf.DUMMYFUNCTION("""COMPUTED_VALUE"""),"-9.656716")</f>
        <v>-9.656716</v>
      </c>
      <c r="J1454" s="6" t="str">
        <f>IFERROR(__xludf.DUMMYFUNCTION("""COMPUTED_VALUE"""),"-35.704141")</f>
        <v>-35.704141</v>
      </c>
      <c r="K1454" s="5" t="str">
        <f>IFERROR(__xludf.DUMMYFUNCTION("""COMPUTED_VALUE"""),"R. DEP. JOSÉ LAGES")</f>
        <v>R. DEP. JOSÉ LAGES</v>
      </c>
      <c r="L1454" s="5" t="str">
        <f>IFERROR(__xludf.DUMMYFUNCTION("""COMPUTED_VALUE"""),"COLETORA")</f>
        <v>COLETORA</v>
      </c>
      <c r="M1454" s="5" t="str">
        <f>IFERROR(__xludf.DUMMYFUNCTION("""COMPUTED_VALUE"""),"PONTA VERDE")</f>
        <v>PONTA VERDE</v>
      </c>
      <c r="N1454" s="5" t="str">
        <f>IFERROR(__xludf.DUMMYFUNCTION("""COMPUTED_VALUE"""),"CENTRO - BAIRRO")</f>
        <v>CENTRO - BAIRRO</v>
      </c>
      <c r="O1454" s="5" t="str">
        <f>IFERROR(__xludf.DUMMYFUNCTION("""COMPUTED_VALUE"""),"EM FRENTE AO EMPRESARIAL JOSÉ LAGES")</f>
        <v>EM FRENTE AO EMPRESARIAL JOSÉ LAGES</v>
      </c>
      <c r="P1454" s="5" t="str">
        <f>IFERROR(__xludf.DUMMYFUNCTION("""COMPUTED_VALUE"""),"PRIORIDADE BAIXA")</f>
        <v>PRIORIDADE BAIXA</v>
      </c>
      <c r="Q1454" s="5"/>
      <c r="R1454" s="5" t="str">
        <f>IFERROR(__xludf.DUMMYFUNCTION("""COMPUTED_VALUE"""),"NENHUMA DAS OPÇÕES")</f>
        <v>NENHUMA DAS OPÇÕES</v>
      </c>
      <c r="S1454" s="5"/>
      <c r="T1454" s="5"/>
      <c r="U1454" s="5"/>
      <c r="V1454" s="9" t="str">
        <f>IFERROR(__xludf.DUMMYFUNCTION("""COMPUTED_VALUE"""),"https://drive.google.com/uc?id=1eco0ZrNUv6D1HoTNFSsCB8BWajYjzBW0")</f>
        <v>https://drive.google.com/uc?id=1eco0ZrNUv6D1HoTNFSsCB8BWajYjzBW0</v>
      </c>
      <c r="W1454" s="5" t="str">
        <f>IFERROR(__xludf.DUMMYFUNCTION("""COMPUTED_VALUE"""),"NÃO")</f>
        <v>NÃO</v>
      </c>
      <c r="X1454" s="5" t="str">
        <f>IFERROR(__xludf.DUMMYFUNCTION("""COMPUTED_VALUE"""),"NÃO SE APLICA")</f>
        <v>NÃO SE APLICA</v>
      </c>
    </row>
    <row r="1455" hidden="1">
      <c r="A1455" s="5">
        <f>IFERROR(__xludf.DUMMYFUNCTION("""COMPUTED_VALUE"""),1.0)</f>
        <v>1</v>
      </c>
      <c r="B1455" s="5" t="str">
        <f>IFERROR(__xludf.DUMMYFUNCTION("""COMPUTED_VALUE"""),"PV006")</f>
        <v>PV006</v>
      </c>
      <c r="C1455" s="5" t="str">
        <f>IFERROR(__xludf.DUMMYFUNCTION("""COMPUTED_VALUE"""),"NÃO POSSUI")</f>
        <v>NÃO POSSUI</v>
      </c>
      <c r="D1455" s="5" t="str">
        <f>IFERROR(__xludf.DUMMYFUNCTION("""COMPUTED_VALUE"""),"COM SUPORTE")</f>
        <v>COM SUPORTE</v>
      </c>
      <c r="E1455" s="5" t="str">
        <f>IFERROR(__xludf.DUMMYFUNCTION("""COMPUTED_VALUE"""),"SEM BAIA")</f>
        <v>SEM BAIA</v>
      </c>
      <c r="F1455" s="5" t="str">
        <f>IFERROR(__xludf.DUMMYFUNCTION("""COMPUTED_VALUE"""),"SIM")</f>
        <v>SIM</v>
      </c>
      <c r="G1455" s="5" t="str">
        <f>IFERROR(__xludf.DUMMYFUNCTION("""COMPUTED_VALUE"""),"NÃO")</f>
        <v>NÃO</v>
      </c>
      <c r="H1455" s="5" t="str">
        <f>IFERROR(__xludf.DUMMYFUNCTION("""COMPUTED_VALUE"""),"PAVIMENTADA")</f>
        <v>PAVIMENTADA</v>
      </c>
      <c r="I1455" s="6" t="str">
        <f>IFERROR(__xludf.DUMMYFUNCTION("""COMPUTED_VALUE"""),"-9.656706")</f>
        <v>-9.656706</v>
      </c>
      <c r="J1455" s="6" t="str">
        <f>IFERROR(__xludf.DUMMYFUNCTION("""COMPUTED_VALUE"""),"-35.701778")</f>
        <v>-35.701778</v>
      </c>
      <c r="K1455" s="5" t="str">
        <f>IFERROR(__xludf.DUMMYFUNCTION("""COMPUTED_VALUE"""),"R. DEP. JOSÉ LAGES")</f>
        <v>R. DEP. JOSÉ LAGES</v>
      </c>
      <c r="L1455" s="5" t="str">
        <f>IFERROR(__xludf.DUMMYFUNCTION("""COMPUTED_VALUE"""),"COLETORA")</f>
        <v>COLETORA</v>
      </c>
      <c r="M1455" s="5" t="str">
        <f>IFERROR(__xludf.DUMMYFUNCTION("""COMPUTED_VALUE"""),"PONTA VERDE")</f>
        <v>PONTA VERDE</v>
      </c>
      <c r="N1455" s="5" t="str">
        <f>IFERROR(__xludf.DUMMYFUNCTION("""COMPUTED_VALUE"""),"CENTRO - BAIRRO")</f>
        <v>CENTRO - BAIRRO</v>
      </c>
      <c r="O1455" s="5" t="str">
        <f>IFERROR(__xludf.DUMMYFUNCTION("""COMPUTED_VALUE"""),"EM FRENTE AO EDIFICIO CLASSIC")</f>
        <v>EM FRENTE AO EDIFICIO CLASSIC</v>
      </c>
      <c r="P1455" s="5" t="str">
        <f>IFERROR(__xludf.DUMMYFUNCTION("""COMPUTED_VALUE"""),"PRIORIDADE BAIXA")</f>
        <v>PRIORIDADE BAIXA</v>
      </c>
      <c r="Q1455" s="5"/>
      <c r="R1455" s="5" t="str">
        <f>IFERROR(__xludf.DUMMYFUNCTION("""COMPUTED_VALUE"""),"NENHUMA DAS OPÇÕES")</f>
        <v>NENHUMA DAS OPÇÕES</v>
      </c>
      <c r="S1455" s="5"/>
      <c r="T1455" s="5"/>
      <c r="U1455" s="5"/>
      <c r="V1455" s="9" t="str">
        <f>IFERROR(__xludf.DUMMYFUNCTION("""COMPUTED_VALUE"""),"https://drive.google.com/uc?id=10WN4mGoL2PL55Z5sJfFkQWOHwdW3m3YQ")</f>
        <v>https://drive.google.com/uc?id=10WN4mGoL2PL55Z5sJfFkQWOHwdW3m3YQ</v>
      </c>
      <c r="W1455" s="5" t="str">
        <f>IFERROR(__xludf.DUMMYFUNCTION("""COMPUTED_VALUE"""),"NÃO")</f>
        <v>NÃO</v>
      </c>
      <c r="X1455" s="5" t="str">
        <f>IFERROR(__xludf.DUMMYFUNCTION("""COMPUTED_VALUE"""),"NÃO SE APLICA")</f>
        <v>NÃO SE APLICA</v>
      </c>
    </row>
    <row r="1456">
      <c r="A1456" s="5">
        <f>IFERROR(__xludf.DUMMYFUNCTION("""COMPUTED_VALUE"""),1.0)</f>
        <v>1</v>
      </c>
      <c r="B1456" s="5" t="str">
        <f>IFERROR(__xludf.DUMMYFUNCTION("""COMPUTED_VALUE"""),"PV007")</f>
        <v>PV007</v>
      </c>
      <c r="C1456" s="5" t="str">
        <f>IFERROR(__xludf.DUMMYFUNCTION("""COMPUTED_VALUE"""),"ABRIGO METÁLICO PEQUENO PORTE")</f>
        <v>ABRIGO METÁLICO PEQUENO PORTE</v>
      </c>
      <c r="D1456" s="5" t="str">
        <f>IFERROR(__xludf.DUMMYFUNCTION("""COMPUTED_VALUE"""),"SEM PLACA")</f>
        <v>SEM PLACA</v>
      </c>
      <c r="E1456" s="5" t="str">
        <f>IFERROR(__xludf.DUMMYFUNCTION("""COMPUTED_VALUE"""),"BAIA PINTADA")</f>
        <v>BAIA PINTADA</v>
      </c>
      <c r="F1456" s="5" t="str">
        <f>IFERROR(__xludf.DUMMYFUNCTION("""COMPUTED_VALUE"""),"NÃO")</f>
        <v>NÃO</v>
      </c>
      <c r="G1456" s="5" t="str">
        <f>IFERROR(__xludf.DUMMYFUNCTION("""COMPUTED_VALUE"""),"NÃO")</f>
        <v>NÃO</v>
      </c>
      <c r="H1456" s="5" t="str">
        <f>IFERROR(__xludf.DUMMYFUNCTION("""COMPUTED_VALUE"""),"PAVIMENTADA")</f>
        <v>PAVIMENTADA</v>
      </c>
      <c r="I1456" s="6" t="str">
        <f>IFERROR(__xludf.DUMMYFUNCTION("""COMPUTED_VALUE"""),"-9.656715")</f>
        <v>-9.656715</v>
      </c>
      <c r="J1456" s="6" t="str">
        <f>IFERROR(__xludf.DUMMYFUNCTION("""COMPUTED_VALUE"""),"-35.699096")</f>
        <v>-35.699096</v>
      </c>
      <c r="K1456" s="5" t="str">
        <f>IFERROR(__xludf.DUMMYFUNCTION("""COMPUTED_VALUE"""),"R. DEP. JOSÉ LAGES")</f>
        <v>R. DEP. JOSÉ LAGES</v>
      </c>
      <c r="L1456" s="5" t="str">
        <f>IFERROR(__xludf.DUMMYFUNCTION("""COMPUTED_VALUE"""),"COLETORA")</f>
        <v>COLETORA</v>
      </c>
      <c r="M1456" s="5" t="str">
        <f>IFERROR(__xludf.DUMMYFUNCTION("""COMPUTED_VALUE"""),"PONTA VERDE")</f>
        <v>PONTA VERDE</v>
      </c>
      <c r="N1456" s="5" t="str">
        <f>IFERROR(__xludf.DUMMYFUNCTION("""COMPUTED_VALUE"""),"BAIRRO - CENTRO")</f>
        <v>BAIRRO - CENTRO</v>
      </c>
      <c r="O1456" s="5" t="str">
        <f>IFERROR(__xludf.DUMMYFUNCTION("""COMPUTED_VALUE"""),"ATRÁS DA SELFIT")</f>
        <v>ATRÁS DA SELFIT</v>
      </c>
      <c r="P1456" s="5" t="str">
        <f>IFERROR(__xludf.DUMMYFUNCTION("""COMPUTED_VALUE"""),"PRIORIDADE BAIXA")</f>
        <v>PRIORIDADE BAIXA</v>
      </c>
      <c r="Q1456" s="5"/>
      <c r="R1456" s="5" t="str">
        <f>IFERROR(__xludf.DUMMYFUNCTION("""COMPUTED_VALUE"""),"SUBSTITUIR ABRIGO")</f>
        <v>SUBSTITUIR ABRIGO</v>
      </c>
      <c r="S1456" s="5"/>
      <c r="T1456" s="5"/>
      <c r="U1456" s="5"/>
      <c r="V1456" s="9" t="str">
        <f>IFERROR(__xludf.DUMMYFUNCTION("""COMPUTED_VALUE"""),"https://drive.google.com/uc?id=1zt5vr8PpMDtViN3M3dgOiSvvY85GxuAi")</f>
        <v>https://drive.google.com/uc?id=1zt5vr8PpMDtViN3M3dgOiSvvY85GxuAi</v>
      </c>
      <c r="W1456" s="5" t="str">
        <f>IFERROR(__xludf.DUMMYFUNCTION("""COMPUTED_VALUE"""),"NÃO")</f>
        <v>NÃO</v>
      </c>
      <c r="X1456" s="5" t="str">
        <f>IFERROR(__xludf.DUMMYFUNCTION("""COMPUTED_VALUE"""),"NÃO")</f>
        <v>NÃO</v>
      </c>
    </row>
    <row r="1457">
      <c r="A1457" s="5">
        <f>IFERROR(__xludf.DUMMYFUNCTION("""COMPUTED_VALUE"""),1.0)</f>
        <v>1</v>
      </c>
      <c r="B1457" s="5" t="str">
        <f>IFERROR(__xludf.DUMMYFUNCTION("""COMPUTED_VALUE"""),"PV008")</f>
        <v>PV008</v>
      </c>
      <c r="C1457" s="5" t="str">
        <f>IFERROR(__xludf.DUMMYFUNCTION("""COMPUTED_VALUE"""),"ABRIGO EUCALIPTO MÉDIO PORTE")</f>
        <v>ABRIGO EUCALIPTO MÉDIO PORTE</v>
      </c>
      <c r="D1457" s="5" t="str">
        <f>IFERROR(__xludf.DUMMYFUNCTION("""COMPUTED_VALUE"""),"SEM PLACA")</f>
        <v>SEM PLACA</v>
      </c>
      <c r="E1457" s="5" t="str">
        <f>IFERROR(__xludf.DUMMYFUNCTION("""COMPUTED_VALUE"""),"SEM BAIA")</f>
        <v>SEM BAIA</v>
      </c>
      <c r="F1457" s="5" t="str">
        <f>IFERROR(__xludf.DUMMYFUNCTION("""COMPUTED_VALUE"""),"SIM")</f>
        <v>SIM</v>
      </c>
      <c r="G1457" s="5" t="str">
        <f>IFERROR(__xludf.DUMMYFUNCTION("""COMPUTED_VALUE"""),"NÃO")</f>
        <v>NÃO</v>
      </c>
      <c r="H1457" s="5" t="str">
        <f>IFERROR(__xludf.DUMMYFUNCTION("""COMPUTED_VALUE"""),"PAVIMENTADA")</f>
        <v>PAVIMENTADA</v>
      </c>
      <c r="I1457" s="6" t="str">
        <f>IFERROR(__xludf.DUMMYFUNCTION("""COMPUTED_VALUE"""),"-9.656105")</f>
        <v>-9.656105</v>
      </c>
      <c r="J1457" s="6" t="str">
        <f>IFERROR(__xludf.DUMMYFUNCTION("""COMPUTED_VALUE"""),"-35.698576")</f>
        <v>-35.698576</v>
      </c>
      <c r="K1457" s="5" t="str">
        <f>IFERROR(__xludf.DUMMYFUNCTION("""COMPUTED_VALUE"""),"AV. ÁLVARO OTACÍLIO")</f>
        <v>AV. ÁLVARO OTACÍLIO</v>
      </c>
      <c r="L1457" s="5" t="str">
        <f>IFERROR(__xludf.DUMMYFUNCTION("""COMPUTED_VALUE"""),"ARTERIAL ")</f>
        <v>ARTERIAL </v>
      </c>
      <c r="M1457" s="5" t="str">
        <f>IFERROR(__xludf.DUMMYFUNCTION("""COMPUTED_VALUE"""),"PONTA VERDE")</f>
        <v>PONTA VERDE</v>
      </c>
      <c r="N1457" s="5" t="str">
        <f>IFERROR(__xludf.DUMMYFUNCTION("""COMPUTED_VALUE"""),"CENTRO - BAIRRO")</f>
        <v>CENTRO - BAIRRO</v>
      </c>
      <c r="O1457" s="5" t="str">
        <f>IFERROR(__xludf.DUMMYFUNCTION("""COMPUTED_VALUE"""),"EM FRENTE AO ESPAÇO 20")</f>
        <v>EM FRENTE AO ESPAÇO 20</v>
      </c>
      <c r="P1457" s="5" t="str">
        <f>IFERROR(__xludf.DUMMYFUNCTION("""COMPUTED_VALUE"""),"PRIORIDADE BAIXA")</f>
        <v>PRIORIDADE BAIXA</v>
      </c>
      <c r="Q1457" s="5"/>
      <c r="R1457" s="5" t="str">
        <f>IFERROR(__xludf.DUMMYFUNCTION("""COMPUTED_VALUE"""),"SUBSTITUIR ABRIGO")</f>
        <v>SUBSTITUIR ABRIGO</v>
      </c>
      <c r="S1457" s="5"/>
      <c r="T1457" s="5"/>
      <c r="U1457" s="5"/>
      <c r="V1457" s="9" t="str">
        <f>IFERROR(__xludf.DUMMYFUNCTION("""COMPUTED_VALUE"""),"https://drive.google.com/uc?id=1BTiWHqW5yBIDLrvKCRUYAh7H6ZINaqA2")</f>
        <v>https://drive.google.com/uc?id=1BTiWHqW5yBIDLrvKCRUYAh7H6ZINaqA2</v>
      </c>
      <c r="W1457" s="5" t="str">
        <f>IFERROR(__xludf.DUMMYFUNCTION("""COMPUTED_VALUE"""),"NÃO")</f>
        <v>NÃO</v>
      </c>
      <c r="X1457" s="5" t="str">
        <f>IFERROR(__xludf.DUMMYFUNCTION("""COMPUTED_VALUE"""),"SIM")</f>
        <v>SIM</v>
      </c>
    </row>
    <row r="1458">
      <c r="A1458" s="5">
        <f>IFERROR(__xludf.DUMMYFUNCTION("""COMPUTED_VALUE"""),1.0)</f>
        <v>1</v>
      </c>
      <c r="B1458" s="5" t="str">
        <f>IFERROR(__xludf.DUMMYFUNCTION("""COMPUTED_VALUE"""),"PV009")</f>
        <v>PV009</v>
      </c>
      <c r="C1458" s="5" t="str">
        <f>IFERROR(__xludf.DUMMYFUNCTION("""COMPUTED_VALUE"""),"ABRIGO EUCALIPTO PEQUENO PORTE")</f>
        <v>ABRIGO EUCALIPTO PEQUENO PORTE</v>
      </c>
      <c r="D1458" s="5" t="str">
        <f>IFERROR(__xludf.DUMMYFUNCTION("""COMPUTED_VALUE"""),"SEM PLACA")</f>
        <v>SEM PLACA</v>
      </c>
      <c r="E1458" s="5" t="str">
        <f>IFERROR(__xludf.DUMMYFUNCTION("""COMPUTED_VALUE"""),"SEM BAIA")</f>
        <v>SEM BAIA</v>
      </c>
      <c r="F1458" s="5" t="str">
        <f>IFERROR(__xludf.DUMMYFUNCTION("""COMPUTED_VALUE"""),"SIM")</f>
        <v>SIM</v>
      </c>
      <c r="G1458" s="5" t="str">
        <f>IFERROR(__xludf.DUMMYFUNCTION("""COMPUTED_VALUE"""),"NÃO")</f>
        <v>NÃO</v>
      </c>
      <c r="H1458" s="5" t="str">
        <f>IFERROR(__xludf.DUMMYFUNCTION("""COMPUTED_VALUE"""),"PAVIMENTADA")</f>
        <v>PAVIMENTADA</v>
      </c>
      <c r="I1458" s="6" t="str">
        <f>IFERROR(__xludf.DUMMYFUNCTION("""COMPUTED_VALUE"""),"-9.660879")</f>
        <v>-9.660879</v>
      </c>
      <c r="J1458" s="6" t="str">
        <f>IFERROR(__xludf.DUMMYFUNCTION("""COMPUTED_VALUE"""),"-35.697089")</f>
        <v>-35.697089</v>
      </c>
      <c r="K1458" s="5" t="str">
        <f>IFERROR(__xludf.DUMMYFUNCTION("""COMPUTED_VALUE"""),"AV. ÁLVARO OTACÍLIO")</f>
        <v>AV. ÁLVARO OTACÍLIO</v>
      </c>
      <c r="L1458" s="5" t="str">
        <f>IFERROR(__xludf.DUMMYFUNCTION("""COMPUTED_VALUE"""),"ARTERIAL ")</f>
        <v>ARTERIAL </v>
      </c>
      <c r="M1458" s="5" t="str">
        <f>IFERROR(__xludf.DUMMYFUNCTION("""COMPUTED_VALUE"""),"PONTA VERDE")</f>
        <v>PONTA VERDE</v>
      </c>
      <c r="N1458" s="5" t="str">
        <f>IFERROR(__xludf.DUMMYFUNCTION("""COMPUTED_VALUE"""),"CENTRO - BAIRRO")</f>
        <v>CENTRO - BAIRRO</v>
      </c>
      <c r="O1458" s="5" t="str">
        <f>IFERROR(__xludf.DUMMYFUNCTION("""COMPUTED_VALUE"""),"EM FRENTE AO MACEIÓ MAR HOTEL")</f>
        <v>EM FRENTE AO MACEIÓ MAR HOTEL</v>
      </c>
      <c r="P1458" s="5" t="str">
        <f>IFERROR(__xludf.DUMMYFUNCTION("""COMPUTED_VALUE"""),"PRIORIDADE BAIXA")</f>
        <v>PRIORIDADE BAIXA</v>
      </c>
      <c r="Q1458" s="5"/>
      <c r="R1458" s="5" t="str">
        <f>IFERROR(__xludf.DUMMYFUNCTION("""COMPUTED_VALUE"""),"SUBSTITUIR ABRIGO")</f>
        <v>SUBSTITUIR ABRIGO</v>
      </c>
      <c r="S1458" s="5"/>
      <c r="T1458" s="5"/>
      <c r="U1458" s="5"/>
      <c r="V1458" s="9" t="str">
        <f>IFERROR(__xludf.DUMMYFUNCTION("""COMPUTED_VALUE"""),"https://drive.google.com/uc?id=1hj-kie3z7oQa1vZAnSDcFqbI0NCYdhYz")</f>
        <v>https://drive.google.com/uc?id=1hj-kie3z7oQa1vZAnSDcFqbI0NCYdhYz</v>
      </c>
      <c r="W1458" s="5" t="str">
        <f>IFERROR(__xludf.DUMMYFUNCTION("""COMPUTED_VALUE"""),"NÃO")</f>
        <v>NÃO</v>
      </c>
      <c r="X1458" s="5" t="str">
        <f>IFERROR(__xludf.DUMMYFUNCTION("""COMPUTED_VALUE"""),"SIM")</f>
        <v>SIM</v>
      </c>
    </row>
    <row r="1459">
      <c r="A1459" s="5">
        <f>IFERROR(__xludf.DUMMYFUNCTION("""COMPUTED_VALUE"""),1.0)</f>
        <v>1</v>
      </c>
      <c r="B1459" s="5" t="str">
        <f>IFERROR(__xludf.DUMMYFUNCTION("""COMPUTED_VALUE"""),"PV010")</f>
        <v>PV010</v>
      </c>
      <c r="C1459" s="5" t="str">
        <f>IFERROR(__xludf.DUMMYFUNCTION("""COMPUTED_VALUE"""),"ABRIGO EUCALIPTO MÉDIO PORTE")</f>
        <v>ABRIGO EUCALIPTO MÉDIO PORTE</v>
      </c>
      <c r="D1459" s="5" t="str">
        <f>IFERROR(__xludf.DUMMYFUNCTION("""COMPUTED_VALUE"""),"SEM PLACA")</f>
        <v>SEM PLACA</v>
      </c>
      <c r="E1459" s="5" t="str">
        <f>IFERROR(__xludf.DUMMYFUNCTION("""COMPUTED_VALUE"""),"SEM BAIA")</f>
        <v>SEM BAIA</v>
      </c>
      <c r="F1459" s="5" t="str">
        <f>IFERROR(__xludf.DUMMYFUNCTION("""COMPUTED_VALUE"""),"SIM")</f>
        <v>SIM</v>
      </c>
      <c r="G1459" s="5" t="str">
        <f>IFERROR(__xludf.DUMMYFUNCTION("""COMPUTED_VALUE"""),"NÃO")</f>
        <v>NÃO</v>
      </c>
      <c r="H1459" s="5" t="str">
        <f>IFERROR(__xludf.DUMMYFUNCTION("""COMPUTED_VALUE"""),"PAVIMENTADA")</f>
        <v>PAVIMENTADA</v>
      </c>
      <c r="I1459" s="6" t="str">
        <f>IFERROR(__xludf.DUMMYFUNCTION("""COMPUTED_VALUE"""),"-9.660625")</f>
        <v>-9.660625</v>
      </c>
      <c r="J1459" s="6" t="str">
        <f>IFERROR(__xludf.DUMMYFUNCTION("""COMPUTED_VALUE"""),"-35.697351")</f>
        <v>-35.697351</v>
      </c>
      <c r="K1459" s="5" t="str">
        <f>IFERROR(__xludf.DUMMYFUNCTION("""COMPUTED_VALUE"""),"AV. ÁLVARO OTACÍLIO")</f>
        <v>AV. ÁLVARO OTACÍLIO</v>
      </c>
      <c r="L1459" s="5" t="str">
        <f>IFERROR(__xludf.DUMMYFUNCTION("""COMPUTED_VALUE"""),"ARTERIAL ")</f>
        <v>ARTERIAL </v>
      </c>
      <c r="M1459" s="5" t="str">
        <f>IFERROR(__xludf.DUMMYFUNCTION("""COMPUTED_VALUE"""),"PONTA VERDE")</f>
        <v>PONTA VERDE</v>
      </c>
      <c r="N1459" s="5" t="str">
        <f>IFERROR(__xludf.DUMMYFUNCTION("""COMPUTED_VALUE"""),"CENTRO - BAIRRO")</f>
        <v>CENTRO - BAIRRO</v>
      </c>
      <c r="O1459" s="5" t="str">
        <f>IFERROR(__xludf.DUMMYFUNCTION("""COMPUTED_VALUE"""),"PRÓXIMO DO ITAU")</f>
        <v>PRÓXIMO DO ITAU</v>
      </c>
      <c r="P1459" s="5" t="str">
        <f>IFERROR(__xludf.DUMMYFUNCTION("""COMPUTED_VALUE"""),"PRIORIDADE BAIXA")</f>
        <v>PRIORIDADE BAIXA</v>
      </c>
      <c r="Q1459" s="5"/>
      <c r="R1459" s="5" t="str">
        <f>IFERROR(__xludf.DUMMYFUNCTION("""COMPUTED_VALUE"""),"SUBSTITUIR ABRIGO")</f>
        <v>SUBSTITUIR ABRIGO</v>
      </c>
      <c r="S1459" s="5"/>
      <c r="T1459" s="5"/>
      <c r="U1459" s="5"/>
      <c r="V1459" s="9" t="str">
        <f>IFERROR(__xludf.DUMMYFUNCTION("""COMPUTED_VALUE"""),"https://drive.google.com/uc?id=1Sb5nAGhy6Tcws8nIYNXn47uC6aUBPsa7")</f>
        <v>https://drive.google.com/uc?id=1Sb5nAGhy6Tcws8nIYNXn47uC6aUBPsa7</v>
      </c>
      <c r="W1459" s="5" t="str">
        <f>IFERROR(__xludf.DUMMYFUNCTION("""COMPUTED_VALUE"""),"NÃO")</f>
        <v>NÃO</v>
      </c>
      <c r="X1459" s="5" t="str">
        <f>IFERROR(__xludf.DUMMYFUNCTION("""COMPUTED_VALUE"""),"SIM")</f>
        <v>SIM</v>
      </c>
    </row>
    <row r="1460" hidden="1">
      <c r="A1460" s="5">
        <f>IFERROR(__xludf.DUMMYFUNCTION("""COMPUTED_VALUE"""),1.0)</f>
        <v>1</v>
      </c>
      <c r="B1460" s="5" t="str">
        <f>IFERROR(__xludf.DUMMYFUNCTION("""COMPUTED_VALUE"""),"PV011")</f>
        <v>PV011</v>
      </c>
      <c r="C1460" s="5" t="str">
        <f>IFERROR(__xludf.DUMMYFUNCTION("""COMPUTED_VALUE"""),"NÃO POSSUI")</f>
        <v>NÃO POSSUI</v>
      </c>
      <c r="D1460" s="5" t="str">
        <f>IFERROR(__xludf.DUMMYFUNCTION("""COMPUTED_VALUE"""),"COM SUPORTE")</f>
        <v>COM SUPORTE</v>
      </c>
      <c r="E1460" s="5" t="str">
        <f>IFERROR(__xludf.DUMMYFUNCTION("""COMPUTED_VALUE"""),"SEM BAIA")</f>
        <v>SEM BAIA</v>
      </c>
      <c r="F1460" s="5" t="str">
        <f>IFERROR(__xludf.DUMMYFUNCTION("""COMPUTED_VALUE"""),"NÃO")</f>
        <v>NÃO</v>
      </c>
      <c r="G1460" s="5" t="str">
        <f>IFERROR(__xludf.DUMMYFUNCTION("""COMPUTED_VALUE"""),"NÃO")</f>
        <v>NÃO</v>
      </c>
      <c r="H1460" s="5" t="str">
        <f>IFERROR(__xludf.DUMMYFUNCTION("""COMPUTED_VALUE"""),"PAVIMENTADA")</f>
        <v>PAVIMENTADA</v>
      </c>
      <c r="I1460" s="6" t="str">
        <f>IFERROR(__xludf.DUMMYFUNCTION("""COMPUTED_VALUE"""),"-9.658923")</f>
        <v>-9.658923</v>
      </c>
      <c r="J1460" s="6" t="str">
        <f>IFERROR(__xludf.DUMMYFUNCTION("""COMPUTED_VALUE"""),"-35.704963")</f>
        <v>-35.704963</v>
      </c>
      <c r="K1460" s="5" t="str">
        <f>IFERROR(__xludf.DUMMYFUNCTION("""COMPUTED_VALUE"""),"R. PROF. SANDOVAL ARROXELAS")</f>
        <v>R. PROF. SANDOVAL ARROXELAS</v>
      </c>
      <c r="L1460" s="5" t="str">
        <f>IFERROR(__xludf.DUMMYFUNCTION("""COMPUTED_VALUE"""),"COLETORA")</f>
        <v>COLETORA</v>
      </c>
      <c r="M1460" s="5" t="str">
        <f>IFERROR(__xludf.DUMMYFUNCTION("""COMPUTED_VALUE"""),"PONTA VERDE")</f>
        <v>PONTA VERDE</v>
      </c>
      <c r="N1460" s="5" t="str">
        <f>IFERROR(__xludf.DUMMYFUNCTION("""COMPUTED_VALUE"""),"CENTRO - BAIRRO")</f>
        <v>CENTRO - BAIRRO</v>
      </c>
      <c r="O1460" s="5"/>
      <c r="P1460" s="5" t="str">
        <f>IFERROR(__xludf.DUMMYFUNCTION("""COMPUTED_VALUE"""),"PRIORIDADE BAIXA")</f>
        <v>PRIORIDADE BAIXA</v>
      </c>
      <c r="Q1460" s="5"/>
      <c r="R1460" s="5" t="str">
        <f>IFERROR(__xludf.DUMMYFUNCTION("""COMPUTED_VALUE"""),"NENHUMA DAS OPÇÕES")</f>
        <v>NENHUMA DAS OPÇÕES</v>
      </c>
      <c r="S1460" s="5"/>
      <c r="T1460" s="5"/>
      <c r="U1460" s="5"/>
      <c r="V1460" s="9" t="str">
        <f>IFERROR(__xludf.DUMMYFUNCTION("""COMPUTED_VALUE"""),"https://drive.google.com/uc?id=19S_4h8aLqAoV_5TdJp9D-bc-ZsmlCgdj")</f>
        <v>https://drive.google.com/uc?id=19S_4h8aLqAoV_5TdJp9D-bc-ZsmlCgdj</v>
      </c>
      <c r="W1460" s="5" t="str">
        <f>IFERROR(__xludf.DUMMYFUNCTION("""COMPUTED_VALUE"""),"NÃO")</f>
        <v>NÃO</v>
      </c>
      <c r="X1460" s="5" t="str">
        <f>IFERROR(__xludf.DUMMYFUNCTION("""COMPUTED_VALUE"""),"NÃO SE APLICA")</f>
        <v>NÃO SE APLICA</v>
      </c>
    </row>
    <row r="1461" hidden="1">
      <c r="A1461" s="5">
        <f>IFERROR(__xludf.DUMMYFUNCTION("""COMPUTED_VALUE"""),1.0)</f>
        <v>1</v>
      </c>
      <c r="B1461" s="5" t="str">
        <f>IFERROR(__xludf.DUMMYFUNCTION("""COMPUTED_VALUE"""),"PV012")</f>
        <v>PV012</v>
      </c>
      <c r="C1461" s="5" t="str">
        <f>IFERROR(__xludf.DUMMYFUNCTION("""COMPUTED_VALUE"""),"NÃO POSSUI")</f>
        <v>NÃO POSSUI</v>
      </c>
      <c r="D1461" s="5" t="str">
        <f>IFERROR(__xludf.DUMMYFUNCTION("""COMPUTED_VALUE"""),"COM SUPORTE")</f>
        <v>COM SUPORTE</v>
      </c>
      <c r="E1461" s="5" t="str">
        <f>IFERROR(__xludf.DUMMYFUNCTION("""COMPUTED_VALUE"""),"SEM BAIA")</f>
        <v>SEM BAIA</v>
      </c>
      <c r="F1461" s="5" t="str">
        <f>IFERROR(__xludf.DUMMYFUNCTION("""COMPUTED_VALUE"""),"SIM")</f>
        <v>SIM</v>
      </c>
      <c r="G1461" s="5" t="str">
        <f>IFERROR(__xludf.DUMMYFUNCTION("""COMPUTED_VALUE"""),"SIM")</f>
        <v>SIM</v>
      </c>
      <c r="H1461" s="5" t="str">
        <f>IFERROR(__xludf.DUMMYFUNCTION("""COMPUTED_VALUE"""),"PAVIMENTADA")</f>
        <v>PAVIMENTADA</v>
      </c>
      <c r="I1461" s="6" t="str">
        <f>IFERROR(__xludf.DUMMYFUNCTION("""COMPUTED_VALUE"""),"-9.658852")</f>
        <v>-9.658852</v>
      </c>
      <c r="J1461" s="6" t="str">
        <f>IFERROR(__xludf.DUMMYFUNCTION("""COMPUTED_VALUE"""),"-35.702864")</f>
        <v>-35.702864</v>
      </c>
      <c r="K1461" s="5" t="str">
        <f>IFERROR(__xludf.DUMMYFUNCTION("""COMPUTED_VALUE"""),"R. PROF. SANDOVAL ARROXELAS")</f>
        <v>R. PROF. SANDOVAL ARROXELAS</v>
      </c>
      <c r="L1461" s="5" t="str">
        <f>IFERROR(__xludf.DUMMYFUNCTION("""COMPUTED_VALUE"""),"COLETORA")</f>
        <v>COLETORA</v>
      </c>
      <c r="M1461" s="5" t="str">
        <f>IFERROR(__xludf.DUMMYFUNCTION("""COMPUTED_VALUE"""),"PONTA VERDE")</f>
        <v>PONTA VERDE</v>
      </c>
      <c r="N1461" s="5" t="str">
        <f>IFERROR(__xludf.DUMMYFUNCTION("""COMPUTED_VALUE"""),"BAIRRO - CENTRO")</f>
        <v>BAIRRO - CENTRO</v>
      </c>
      <c r="O1461" s="5"/>
      <c r="P1461" s="5" t="str">
        <f>IFERROR(__xludf.DUMMYFUNCTION("""COMPUTED_VALUE"""),"PRIORIDADE BAIXA")</f>
        <v>PRIORIDADE BAIXA</v>
      </c>
      <c r="Q1461" s="5"/>
      <c r="R1461" s="5" t="str">
        <f>IFERROR(__xludf.DUMMYFUNCTION("""COMPUTED_VALUE"""),"NENHUMA DAS OPÇÕES")</f>
        <v>NENHUMA DAS OPÇÕES</v>
      </c>
      <c r="S1461" s="5"/>
      <c r="T1461" s="5"/>
      <c r="U1461" s="5"/>
      <c r="V1461" s="9" t="str">
        <f>IFERROR(__xludf.DUMMYFUNCTION("""COMPUTED_VALUE"""),"https://drive.google.com/uc?id=1rwXeIzQaPs6VCrHTYZ9915m6LyEg-Jwf")</f>
        <v>https://drive.google.com/uc?id=1rwXeIzQaPs6VCrHTYZ9915m6LyEg-Jwf</v>
      </c>
      <c r="W1461" s="5" t="str">
        <f>IFERROR(__xludf.DUMMYFUNCTION("""COMPUTED_VALUE"""),"NÃO")</f>
        <v>NÃO</v>
      </c>
      <c r="X1461" s="5" t="str">
        <f>IFERROR(__xludf.DUMMYFUNCTION("""COMPUTED_VALUE"""),"NÃO SE APLICA")</f>
        <v>NÃO SE APLICA</v>
      </c>
    </row>
    <row r="1462">
      <c r="A1462" s="5">
        <f>IFERROR(__xludf.DUMMYFUNCTION("""COMPUTED_VALUE"""),1.0)</f>
        <v>1</v>
      </c>
      <c r="B1462" s="5" t="str">
        <f>IFERROR(__xludf.DUMMYFUNCTION("""COMPUTED_VALUE"""),"PV013")</f>
        <v>PV013</v>
      </c>
      <c r="C1462" s="5" t="str">
        <f>IFERROR(__xludf.DUMMYFUNCTION("""COMPUTED_VALUE"""),"ABRIGO METÁLICO PEQUENO PORTE")</f>
        <v>ABRIGO METÁLICO PEQUENO PORTE</v>
      </c>
      <c r="D1462" s="5" t="str">
        <f>IFERROR(__xludf.DUMMYFUNCTION("""COMPUTED_VALUE"""),"SEM PLACA")</f>
        <v>SEM PLACA</v>
      </c>
      <c r="E1462" s="5" t="str">
        <f>IFERROR(__xludf.DUMMYFUNCTION("""COMPUTED_VALUE"""),"SEM BAIA")</f>
        <v>SEM BAIA</v>
      </c>
      <c r="F1462" s="5" t="str">
        <f>IFERROR(__xludf.DUMMYFUNCTION("""COMPUTED_VALUE"""),"SIM")</f>
        <v>SIM</v>
      </c>
      <c r="G1462" s="5" t="str">
        <f>IFERROR(__xludf.DUMMYFUNCTION("""COMPUTED_VALUE"""),"SIM")</f>
        <v>SIM</v>
      </c>
      <c r="H1462" s="5" t="str">
        <f>IFERROR(__xludf.DUMMYFUNCTION("""COMPUTED_VALUE"""),"PAVIMENTADA")</f>
        <v>PAVIMENTADA</v>
      </c>
      <c r="I1462" s="6" t="str">
        <f>IFERROR(__xludf.DUMMYFUNCTION("""COMPUTED_VALUE"""),"-9.658948")</f>
        <v>-9.658948</v>
      </c>
      <c r="J1462" s="6" t="str">
        <f>IFERROR(__xludf.DUMMYFUNCTION("""COMPUTED_VALUE""")," -35.701988")</f>
        <v> -35.701988</v>
      </c>
      <c r="K1462" s="5" t="str">
        <f>IFERROR(__xludf.DUMMYFUNCTION("""COMPUTED_VALUE"""),"R. PROF. SANDOVAL ARROXELAS")</f>
        <v>R. PROF. SANDOVAL ARROXELAS</v>
      </c>
      <c r="L1462" s="5" t="str">
        <f>IFERROR(__xludf.DUMMYFUNCTION("""COMPUTED_VALUE"""),"COLETORA")</f>
        <v>COLETORA</v>
      </c>
      <c r="M1462" s="5" t="str">
        <f>IFERROR(__xludf.DUMMYFUNCTION("""COMPUTED_VALUE"""),"PONTA VERDE")</f>
        <v>PONTA VERDE</v>
      </c>
      <c r="N1462" s="5" t="str">
        <f>IFERROR(__xludf.DUMMYFUNCTION("""COMPUTED_VALUE"""),"CENTRO - BAIRRO")</f>
        <v>CENTRO - BAIRRO</v>
      </c>
      <c r="O1462" s="5"/>
      <c r="P1462" s="5" t="str">
        <f>IFERROR(__xludf.DUMMYFUNCTION("""COMPUTED_VALUE"""),"PRIORIDADE BAIXA")</f>
        <v>PRIORIDADE BAIXA</v>
      </c>
      <c r="Q1462" s="5"/>
      <c r="R1462" s="5" t="str">
        <f>IFERROR(__xludf.DUMMYFUNCTION("""COMPUTED_VALUE"""),"SUBSTITUIR ABRIGO")</f>
        <v>SUBSTITUIR ABRIGO</v>
      </c>
      <c r="S1462" s="5"/>
      <c r="T1462" s="5"/>
      <c r="U1462" s="5"/>
      <c r="V1462" s="9" t="str">
        <f>IFERROR(__xludf.DUMMYFUNCTION("""COMPUTED_VALUE"""),"https://drive.google.com/uc?id=1nbvsmvEZ6id3tK9HV38__NeLf9kPXZAG")</f>
        <v>https://drive.google.com/uc?id=1nbvsmvEZ6id3tK9HV38__NeLf9kPXZAG</v>
      </c>
      <c r="W1462" s="5" t="str">
        <f>IFERROR(__xludf.DUMMYFUNCTION("""COMPUTED_VALUE"""),"NÃO")</f>
        <v>NÃO</v>
      </c>
      <c r="X1462" s="5" t="str">
        <f>IFERROR(__xludf.DUMMYFUNCTION("""COMPUTED_VALUE"""),"SIM")</f>
        <v>SIM</v>
      </c>
    </row>
    <row r="1463" hidden="1">
      <c r="A1463" s="5">
        <f>IFERROR(__xludf.DUMMYFUNCTION("""COMPUTED_VALUE"""),1.0)</f>
        <v>1</v>
      </c>
      <c r="B1463" s="5" t="str">
        <f>IFERROR(__xludf.DUMMYFUNCTION("""COMPUTED_VALUE"""),"PV014")</f>
        <v>PV014</v>
      </c>
      <c r="C1463" s="5" t="str">
        <f>IFERROR(__xludf.DUMMYFUNCTION("""COMPUTED_VALUE"""),"NÃO POSSUI")</f>
        <v>NÃO POSSUI</v>
      </c>
      <c r="D1463" s="5" t="str">
        <f>IFERROR(__xludf.DUMMYFUNCTION("""COMPUTED_VALUE"""),"COM SUPORTE")</f>
        <v>COM SUPORTE</v>
      </c>
      <c r="E1463" s="5" t="str">
        <f>IFERROR(__xludf.DUMMYFUNCTION("""COMPUTED_VALUE"""),"SEM BAIA")</f>
        <v>SEM BAIA</v>
      </c>
      <c r="F1463" s="5" t="str">
        <f>IFERROR(__xludf.DUMMYFUNCTION("""COMPUTED_VALUE"""),"NÃO")</f>
        <v>NÃO</v>
      </c>
      <c r="G1463" s="5" t="str">
        <f>IFERROR(__xludf.DUMMYFUNCTION("""COMPUTED_VALUE"""),"NÃO")</f>
        <v>NÃO</v>
      </c>
      <c r="H1463" s="5" t="str">
        <f>IFERROR(__xludf.DUMMYFUNCTION("""COMPUTED_VALUE"""),"PAVIMENTADA")</f>
        <v>PAVIMENTADA</v>
      </c>
      <c r="I1463" s="6" t="str">
        <f>IFERROR(__xludf.DUMMYFUNCTION("""COMPUTED_VALUE"""),"-9.658783")</f>
        <v>-9.658783</v>
      </c>
      <c r="J1463" s="6" t="str">
        <f>IFERROR(__xludf.DUMMYFUNCTION("""COMPUTED_VALUE""")," -35.700854")</f>
        <v> -35.700854</v>
      </c>
      <c r="K1463" s="5" t="str">
        <f>IFERROR(__xludf.DUMMYFUNCTION("""COMPUTED_VALUE"""),"R. PROF. SANDOVAL ARROXELAS")</f>
        <v>R. PROF. SANDOVAL ARROXELAS</v>
      </c>
      <c r="L1463" s="5" t="str">
        <f>IFERROR(__xludf.DUMMYFUNCTION("""COMPUTED_VALUE"""),"COLETORA")</f>
        <v>COLETORA</v>
      </c>
      <c r="M1463" s="5" t="str">
        <f>IFERROR(__xludf.DUMMYFUNCTION("""COMPUTED_VALUE"""),"PONTA VERDE")</f>
        <v>PONTA VERDE</v>
      </c>
      <c r="N1463" s="5" t="str">
        <f>IFERROR(__xludf.DUMMYFUNCTION("""COMPUTED_VALUE"""),"BAIRRO - CENTRO")</f>
        <v>BAIRRO - CENTRO</v>
      </c>
      <c r="O1463" s="5"/>
      <c r="P1463" s="5" t="str">
        <f>IFERROR(__xludf.DUMMYFUNCTION("""COMPUTED_VALUE"""),"PRIORIDADE BAIXA")</f>
        <v>PRIORIDADE BAIXA</v>
      </c>
      <c r="Q1463" s="5"/>
      <c r="R1463" s="5" t="str">
        <f>IFERROR(__xludf.DUMMYFUNCTION("""COMPUTED_VALUE"""),"NENHUMA DAS OPÇÕES")</f>
        <v>NENHUMA DAS OPÇÕES</v>
      </c>
      <c r="S1463" s="5"/>
      <c r="T1463" s="5"/>
      <c r="U1463" s="5"/>
      <c r="V1463" s="9" t="str">
        <f>IFERROR(__xludf.DUMMYFUNCTION("""COMPUTED_VALUE"""),"https://drive.google.com/uc?id=1pIIX2HgGU0eFcsNDeGBjCybIge5TzB-8")</f>
        <v>https://drive.google.com/uc?id=1pIIX2HgGU0eFcsNDeGBjCybIge5TzB-8</v>
      </c>
      <c r="W1463" s="5" t="str">
        <f>IFERROR(__xludf.DUMMYFUNCTION("""COMPUTED_VALUE"""),"NÃO")</f>
        <v>NÃO</v>
      </c>
      <c r="X1463" s="5" t="str">
        <f>IFERROR(__xludf.DUMMYFUNCTION("""COMPUTED_VALUE"""),"NÃO SE APLICA")</f>
        <v>NÃO SE APLICA</v>
      </c>
    </row>
    <row r="1464">
      <c r="A1464" s="5">
        <f>IFERROR(__xludf.DUMMYFUNCTION("""COMPUTED_VALUE"""),1.0)</f>
        <v>1</v>
      </c>
      <c r="B1464" s="5" t="str">
        <f>IFERROR(__xludf.DUMMYFUNCTION("""COMPUTED_VALUE"""),"PV015")</f>
        <v>PV015</v>
      </c>
      <c r="C1464" s="5" t="str">
        <f>IFERROR(__xludf.DUMMYFUNCTION("""COMPUTED_VALUE"""),"ABRIGO METÁLICO PEQUENO PORTE")</f>
        <v>ABRIGO METÁLICO PEQUENO PORTE</v>
      </c>
      <c r="D1464" s="5" t="str">
        <f>IFERROR(__xludf.DUMMYFUNCTION("""COMPUTED_VALUE"""),"SEM PLACA")</f>
        <v>SEM PLACA</v>
      </c>
      <c r="E1464" s="5" t="str">
        <f>IFERROR(__xludf.DUMMYFUNCTION("""COMPUTED_VALUE"""),"SEM BAIA")</f>
        <v>SEM BAIA</v>
      </c>
      <c r="F1464" s="5" t="str">
        <f>IFERROR(__xludf.DUMMYFUNCTION("""COMPUTED_VALUE"""),"SIM")</f>
        <v>SIM</v>
      </c>
      <c r="G1464" s="5" t="str">
        <f>IFERROR(__xludf.DUMMYFUNCTION("""COMPUTED_VALUE"""),"NÃO")</f>
        <v>NÃO</v>
      </c>
      <c r="H1464" s="5" t="str">
        <f>IFERROR(__xludf.DUMMYFUNCTION("""COMPUTED_VALUE"""),"PAVIMENTADA")</f>
        <v>PAVIMENTADA</v>
      </c>
      <c r="I1464" s="6" t="str">
        <f>IFERROR(__xludf.DUMMYFUNCTION("""COMPUTED_VALUE"""),"-9.662213")</f>
        <v>-9.662213</v>
      </c>
      <c r="J1464" s="6" t="str">
        <f>IFERROR(__xludf.DUMMYFUNCTION("""COMPUTED_VALUE"""),"-35.708650")</f>
        <v>-35.708650</v>
      </c>
      <c r="K1464" s="5" t="str">
        <f>IFERROR(__xludf.DUMMYFUNCTION("""COMPUTED_VALUE"""),"R. DURVAL GUIMARÃES")</f>
        <v>R. DURVAL GUIMARÃES</v>
      </c>
      <c r="L1464" s="5" t="str">
        <f>IFERROR(__xludf.DUMMYFUNCTION("""COMPUTED_VALUE"""),"COLETORA")</f>
        <v>COLETORA</v>
      </c>
      <c r="M1464" s="5" t="str">
        <f>IFERROR(__xludf.DUMMYFUNCTION("""COMPUTED_VALUE"""),"PONTA VERDE")</f>
        <v>PONTA VERDE</v>
      </c>
      <c r="N1464" s="5" t="str">
        <f>IFERROR(__xludf.DUMMYFUNCTION("""COMPUTED_VALUE"""),"BAIRRO - CENTRO")</f>
        <v>BAIRRO - CENTRO</v>
      </c>
      <c r="O1464" s="5"/>
      <c r="P1464" s="5" t="str">
        <f>IFERROR(__xludf.DUMMYFUNCTION("""COMPUTED_VALUE"""),"PRIORIDADE BAIXA")</f>
        <v>PRIORIDADE BAIXA</v>
      </c>
      <c r="Q1464" s="5"/>
      <c r="R1464" s="5" t="str">
        <f>IFERROR(__xludf.DUMMYFUNCTION("""COMPUTED_VALUE"""),"SUBSTITUIR ABRIGO")</f>
        <v>SUBSTITUIR ABRIGO</v>
      </c>
      <c r="S1464" s="5"/>
      <c r="T1464" s="5"/>
      <c r="U1464" s="5"/>
      <c r="V1464" s="9" t="str">
        <f>IFERROR(__xludf.DUMMYFUNCTION("""COMPUTED_VALUE"""),"https://drive.google.com/uc?id=11XeiL0kWPv2ZvwOFHxPmIWARugUyY6YH")</f>
        <v>https://drive.google.com/uc?id=11XeiL0kWPv2ZvwOFHxPmIWARugUyY6YH</v>
      </c>
      <c r="W1464" s="5" t="str">
        <f>IFERROR(__xludf.DUMMYFUNCTION("""COMPUTED_VALUE"""),"NÃO")</f>
        <v>NÃO</v>
      </c>
      <c r="X1464" s="5" t="str">
        <f>IFERROR(__xludf.DUMMYFUNCTION("""COMPUTED_VALUE"""),"NÃO")</f>
        <v>NÃO</v>
      </c>
    </row>
    <row r="1465">
      <c r="A1465" s="5">
        <f>IFERROR(__xludf.DUMMYFUNCTION("""COMPUTED_VALUE"""),1.0)</f>
        <v>1</v>
      </c>
      <c r="B1465" s="5" t="str">
        <f>IFERROR(__xludf.DUMMYFUNCTION("""COMPUTED_VALUE"""),"PV016")</f>
        <v>PV016</v>
      </c>
      <c r="C1465" s="5" t="str">
        <f>IFERROR(__xludf.DUMMYFUNCTION("""COMPUTED_VALUE"""),"ABRIGO METÁLICO GRANDE PORTE")</f>
        <v>ABRIGO METÁLICO GRANDE PORTE</v>
      </c>
      <c r="D1465" s="5" t="str">
        <f>IFERROR(__xludf.DUMMYFUNCTION("""COMPUTED_VALUE"""),"SEM PLACA")</f>
        <v>SEM PLACA</v>
      </c>
      <c r="E1465" s="5" t="str">
        <f>IFERROR(__xludf.DUMMYFUNCTION("""COMPUTED_VALUE"""),"SEM BAIA")</f>
        <v>SEM BAIA</v>
      </c>
      <c r="F1465" s="5" t="str">
        <f>IFERROR(__xludf.DUMMYFUNCTION("""COMPUTED_VALUE"""),"SIM")</f>
        <v>SIM</v>
      </c>
      <c r="G1465" s="5" t="str">
        <f>IFERROR(__xludf.DUMMYFUNCTION("""COMPUTED_VALUE"""),"NÃO")</f>
        <v>NÃO</v>
      </c>
      <c r="H1465" s="5" t="str">
        <f>IFERROR(__xludf.DUMMYFUNCTION("""COMPUTED_VALUE"""),"PAVIMENTADA")</f>
        <v>PAVIMENTADA</v>
      </c>
      <c r="I1465" s="6" t="str">
        <f>IFERROR(__xludf.DUMMYFUNCTION("""COMPUTED_VALUE"""),"-9.661344")</f>
        <v>-9.661344</v>
      </c>
      <c r="J1465" s="6" t="str">
        <f>IFERROR(__xludf.DUMMYFUNCTION("""COMPUTED_VALUE"""),"-35.705497")</f>
        <v>-35.705497</v>
      </c>
      <c r="K1465" s="5" t="str">
        <f>IFERROR(__xludf.DUMMYFUNCTION("""COMPUTED_VALUE"""),"R. DURVAL GUIMARÃES")</f>
        <v>R. DURVAL GUIMARÃES</v>
      </c>
      <c r="L1465" s="5" t="str">
        <f>IFERROR(__xludf.DUMMYFUNCTION("""COMPUTED_VALUE"""),"COLETORA")</f>
        <v>COLETORA</v>
      </c>
      <c r="M1465" s="5" t="str">
        <f>IFERROR(__xludf.DUMMYFUNCTION("""COMPUTED_VALUE"""),"PONTA VERDE")</f>
        <v>PONTA VERDE</v>
      </c>
      <c r="N1465" s="5" t="str">
        <f>IFERROR(__xludf.DUMMYFUNCTION("""COMPUTED_VALUE"""),"BAIRRO - CENTRO")</f>
        <v>BAIRRO - CENTRO</v>
      </c>
      <c r="O1465" s="5"/>
      <c r="P1465" s="5" t="str">
        <f>IFERROR(__xludf.DUMMYFUNCTION("""COMPUTED_VALUE"""),"PRIORIDADE BAIXA")</f>
        <v>PRIORIDADE BAIXA</v>
      </c>
      <c r="Q1465" s="5"/>
      <c r="R1465" s="5" t="str">
        <f>IFERROR(__xludf.DUMMYFUNCTION("""COMPUTED_VALUE"""),"SUBSTITUIR ABRIGO")</f>
        <v>SUBSTITUIR ABRIGO</v>
      </c>
      <c r="S1465" s="5"/>
      <c r="T1465" s="5"/>
      <c r="U1465" s="5"/>
      <c r="V1465" s="9" t="str">
        <f>IFERROR(__xludf.DUMMYFUNCTION("""COMPUTED_VALUE"""),"https://drive.google.com/uc?id=1izffUBe3eFMaGwooZznawirPFR609T7F")</f>
        <v>https://drive.google.com/uc?id=1izffUBe3eFMaGwooZznawirPFR609T7F</v>
      </c>
      <c r="W1465" s="5" t="str">
        <f>IFERROR(__xludf.DUMMYFUNCTION("""COMPUTED_VALUE"""),"NÃO")</f>
        <v>NÃO</v>
      </c>
      <c r="X1465" s="5" t="str">
        <f>IFERROR(__xludf.DUMMYFUNCTION("""COMPUTED_VALUE"""),"NÃO")</f>
        <v>NÃO</v>
      </c>
    </row>
    <row r="1466">
      <c r="A1466" s="5">
        <f>IFERROR(__xludf.DUMMYFUNCTION("""COMPUTED_VALUE"""),1.0)</f>
        <v>1</v>
      </c>
      <c r="B1466" s="5" t="str">
        <f>IFERROR(__xludf.DUMMYFUNCTION("""COMPUTED_VALUE"""),"PV017")</f>
        <v>PV017</v>
      </c>
      <c r="C1466" s="5" t="str">
        <f>IFERROR(__xludf.DUMMYFUNCTION("""COMPUTED_VALUE"""),"ABRIGO EUCALIPTO MÉDIO PORTE")</f>
        <v>ABRIGO EUCALIPTO MÉDIO PORTE</v>
      </c>
      <c r="D1466" s="5" t="str">
        <f>IFERROR(__xludf.DUMMYFUNCTION("""COMPUTED_VALUE"""),"SEM PLACA")</f>
        <v>SEM PLACA</v>
      </c>
      <c r="E1466" s="5" t="str">
        <f>IFERROR(__xludf.DUMMYFUNCTION("""COMPUTED_VALUE"""),"SEM BAIA")</f>
        <v>SEM BAIA</v>
      </c>
      <c r="F1466" s="5" t="str">
        <f>IFERROR(__xludf.DUMMYFUNCTION("""COMPUTED_VALUE"""),"SIM")</f>
        <v>SIM</v>
      </c>
      <c r="G1466" s="5" t="str">
        <f>IFERROR(__xludf.DUMMYFUNCTION("""COMPUTED_VALUE"""),"SIM")</f>
        <v>SIM</v>
      </c>
      <c r="H1466" s="5" t="str">
        <f>IFERROR(__xludf.DUMMYFUNCTION("""COMPUTED_VALUE"""),"PAVIMENTADA")</f>
        <v>PAVIMENTADA</v>
      </c>
      <c r="I1466" s="6" t="str">
        <f>IFERROR(__xludf.DUMMYFUNCTION("""COMPUTED_VALUE"""),"-9.661672")</f>
        <v>-9.661672</v>
      </c>
      <c r="J1466" s="6" t="str">
        <f>IFERROR(__xludf.DUMMYFUNCTION("""COMPUTED_VALUE"""),"-35.701083")</f>
        <v>-35.701083</v>
      </c>
      <c r="K1466" s="5" t="str">
        <f>IFERROR(__xludf.DUMMYFUNCTION("""COMPUTED_VALUE"""),"R. DURVAL GUIMARÃES")</f>
        <v>R. DURVAL GUIMARÃES</v>
      </c>
      <c r="L1466" s="5" t="str">
        <f>IFERROR(__xludf.DUMMYFUNCTION("""COMPUTED_VALUE"""),"COLETORA")</f>
        <v>COLETORA</v>
      </c>
      <c r="M1466" s="5" t="str">
        <f>IFERROR(__xludf.DUMMYFUNCTION("""COMPUTED_VALUE"""),"PONTA VERDE")</f>
        <v>PONTA VERDE</v>
      </c>
      <c r="N1466" s="5" t="str">
        <f>IFERROR(__xludf.DUMMYFUNCTION("""COMPUTED_VALUE"""),"BAIRRO - CENTRO")</f>
        <v>BAIRRO - CENTRO</v>
      </c>
      <c r="O1466" s="5"/>
      <c r="P1466" s="5" t="str">
        <f>IFERROR(__xludf.DUMMYFUNCTION("""COMPUTED_VALUE"""),"PRIORIDADE BAIXA")</f>
        <v>PRIORIDADE BAIXA</v>
      </c>
      <c r="Q1466" s="5"/>
      <c r="R1466" s="5" t="str">
        <f>IFERROR(__xludf.DUMMYFUNCTION("""COMPUTED_VALUE"""),"SUBSTITUIR ABRIGO")</f>
        <v>SUBSTITUIR ABRIGO</v>
      </c>
      <c r="S1466" s="5"/>
      <c r="T1466" s="5"/>
      <c r="U1466" s="5"/>
      <c r="V1466" s="9" t="str">
        <f>IFERROR(__xludf.DUMMYFUNCTION("""COMPUTED_VALUE"""),"https://drive.google.com/uc?id=1iBWlrNMUWAshuor-qn2kqVSsAndzs")</f>
        <v>https://drive.google.com/uc?id=1iBWlrNMUWAshuor-qn2kqVSsAndzs</v>
      </c>
      <c r="W1466" s="5" t="str">
        <f>IFERROR(__xludf.DUMMYFUNCTION("""COMPUTED_VALUE"""),"NÃO")</f>
        <v>NÃO</v>
      </c>
      <c r="X1466" s="5" t="str">
        <f>IFERROR(__xludf.DUMMYFUNCTION("""COMPUTED_VALUE"""),"SIM")</f>
        <v>SIM</v>
      </c>
    </row>
    <row r="1467">
      <c r="A1467" s="5">
        <f>IFERROR(__xludf.DUMMYFUNCTION("""COMPUTED_VALUE"""),1.0)</f>
        <v>1</v>
      </c>
      <c r="B1467" s="5" t="str">
        <f>IFERROR(__xludf.DUMMYFUNCTION("""COMPUTED_VALUE"""),"PV018")</f>
        <v>PV018</v>
      </c>
      <c r="C1467" s="5" t="str">
        <f>IFERROR(__xludf.DUMMYFUNCTION("""COMPUTED_VALUE"""),"ABRIGO METÁLICO PEQUENO PORTE")</f>
        <v>ABRIGO METÁLICO PEQUENO PORTE</v>
      </c>
      <c r="D1467" s="5" t="str">
        <f>IFERROR(__xludf.DUMMYFUNCTION("""COMPUTED_VALUE"""),"SEM PLACA")</f>
        <v>SEM PLACA</v>
      </c>
      <c r="E1467" s="5" t="str">
        <f>IFERROR(__xludf.DUMMYFUNCTION("""COMPUTED_VALUE"""),"SEM BAIA")</f>
        <v>SEM BAIA</v>
      </c>
      <c r="F1467" s="5" t="str">
        <f>IFERROR(__xludf.DUMMYFUNCTION("""COMPUTED_VALUE"""),"NÃO")</f>
        <v>NÃO</v>
      </c>
      <c r="G1467" s="5" t="str">
        <f>IFERROR(__xludf.DUMMYFUNCTION("""COMPUTED_VALUE"""),"NÃO")</f>
        <v>NÃO</v>
      </c>
      <c r="H1467" s="5" t="str">
        <f>IFERROR(__xludf.DUMMYFUNCTION("""COMPUTED_VALUE"""),"PAVIMENTADA")</f>
        <v>PAVIMENTADA</v>
      </c>
      <c r="I1467" s="6" t="str">
        <f>IFERROR(__xludf.DUMMYFUNCTION("""COMPUTED_VALUE"""),"-9.662295")</f>
        <v>-9.662295</v>
      </c>
      <c r="J1467" s="6" t="str">
        <f>IFERROR(__xludf.DUMMYFUNCTION("""COMPUTED_VALUE"""),"-35.698179")</f>
        <v>-35.698179</v>
      </c>
      <c r="K1467" s="5" t="str">
        <f>IFERROR(__xludf.DUMMYFUNCTION("""COMPUTED_VALUE"""),"R. DURVAL GUIMARÃES")</f>
        <v>R. DURVAL GUIMARÃES</v>
      </c>
      <c r="L1467" s="5" t="str">
        <f>IFERROR(__xludf.DUMMYFUNCTION("""COMPUTED_VALUE"""),"COLETORA")</f>
        <v>COLETORA</v>
      </c>
      <c r="M1467" s="5" t="str">
        <f>IFERROR(__xludf.DUMMYFUNCTION("""COMPUTED_VALUE"""),"PONTA VERDE")</f>
        <v>PONTA VERDE</v>
      </c>
      <c r="N1467" s="5" t="str">
        <f>IFERROR(__xludf.DUMMYFUNCTION("""COMPUTED_VALUE"""),"BAIRRO - CENTRO")</f>
        <v>BAIRRO - CENTRO</v>
      </c>
      <c r="O1467" s="5"/>
      <c r="P1467" s="5" t="str">
        <f>IFERROR(__xludf.DUMMYFUNCTION("""COMPUTED_VALUE"""),"PRIORIDADE BAIXA")</f>
        <v>PRIORIDADE BAIXA</v>
      </c>
      <c r="Q1467" s="5"/>
      <c r="R1467" s="5" t="str">
        <f>IFERROR(__xludf.DUMMYFUNCTION("""COMPUTED_VALUE"""),"SUBSTITUIR ABRIGO")</f>
        <v>SUBSTITUIR ABRIGO</v>
      </c>
      <c r="S1467" s="5"/>
      <c r="T1467" s="5"/>
      <c r="U1467" s="5"/>
      <c r="V1467" s="9" t="str">
        <f>IFERROR(__xludf.DUMMYFUNCTION("""COMPUTED_VALUE"""),"https://drive.google.com/uc?id=10OWbK2uOZMSANp4Cymf2_9wvYfFxI7IR")</f>
        <v>https://drive.google.com/uc?id=10OWbK2uOZMSANp4Cymf2_9wvYfFxI7IR</v>
      </c>
      <c r="W1467" s="5" t="str">
        <f>IFERROR(__xludf.DUMMYFUNCTION("""COMPUTED_VALUE"""),"NÃO")</f>
        <v>NÃO</v>
      </c>
      <c r="X1467" s="5" t="str">
        <f>IFERROR(__xludf.DUMMYFUNCTION("""COMPUTED_VALUE"""),"SIM")</f>
        <v>SIM</v>
      </c>
    </row>
    <row r="1468">
      <c r="A1468" s="5">
        <f>IFERROR(__xludf.DUMMYFUNCTION("""COMPUTED_VALUE"""),1.0)</f>
        <v>1</v>
      </c>
      <c r="B1468" s="5" t="str">
        <f>IFERROR(__xludf.DUMMYFUNCTION("""COMPUTED_VALUE"""),"PV019")</f>
        <v>PV019</v>
      </c>
      <c r="C1468" s="5" t="str">
        <f>IFERROR(__xludf.DUMMYFUNCTION("""COMPUTED_VALUE"""),"ABRIGO METÁLICO PEQUENO PORTE")</f>
        <v>ABRIGO METÁLICO PEQUENO PORTE</v>
      </c>
      <c r="D1468" s="5" t="str">
        <f>IFERROR(__xludf.DUMMYFUNCTION("""COMPUTED_VALUE"""),"SEM PLACA")</f>
        <v>SEM PLACA</v>
      </c>
      <c r="E1468" s="5" t="str">
        <f>IFERROR(__xludf.DUMMYFUNCTION("""COMPUTED_VALUE"""),"SEM BAIA")</f>
        <v>SEM BAIA</v>
      </c>
      <c r="F1468" s="5" t="str">
        <f>IFERROR(__xludf.DUMMYFUNCTION("""COMPUTED_VALUE"""),"NÃO")</f>
        <v>NÃO</v>
      </c>
      <c r="G1468" s="5" t="str">
        <f>IFERROR(__xludf.DUMMYFUNCTION("""COMPUTED_VALUE"""),"NÃO")</f>
        <v>NÃO</v>
      </c>
      <c r="H1468" s="5" t="str">
        <f>IFERROR(__xludf.DUMMYFUNCTION("""COMPUTED_VALUE"""),"PAVIMENTADA")</f>
        <v>PAVIMENTADA</v>
      </c>
      <c r="I1468" s="6" t="str">
        <f>IFERROR(__xludf.DUMMYFUNCTION("""COMPUTED_VALUE"""),"-9.662044")</f>
        <v>-9.662044</v>
      </c>
      <c r="J1468" s="6" t="str">
        <f>IFERROR(__xludf.DUMMYFUNCTION("""COMPUTED_VALUE"""),"-35.703536")</f>
        <v>-35.703536</v>
      </c>
      <c r="K1468" s="5" t="str">
        <f>IFERROR(__xludf.DUMMYFUNCTION("""COMPUTED_VALUE"""),"R. ENG. MARIO DE GUSMÃO")</f>
        <v>R. ENG. MARIO DE GUSMÃO</v>
      </c>
      <c r="L1468" s="5" t="str">
        <f>IFERROR(__xludf.DUMMYFUNCTION("""COMPUTED_VALUE"""),"COLETORA")</f>
        <v>COLETORA</v>
      </c>
      <c r="M1468" s="5" t="str">
        <f>IFERROR(__xludf.DUMMYFUNCTION("""COMPUTED_VALUE"""),"PONTA VERDE")</f>
        <v>PONTA VERDE</v>
      </c>
      <c r="N1468" s="5" t="str">
        <f>IFERROR(__xludf.DUMMYFUNCTION("""COMPUTED_VALUE"""),"CENTRO - BAIRRO")</f>
        <v>CENTRO - BAIRRO</v>
      </c>
      <c r="O1468" s="5"/>
      <c r="P1468" s="5" t="str">
        <f>IFERROR(__xludf.DUMMYFUNCTION("""COMPUTED_VALUE"""),"PRIORIDADE BAIXA")</f>
        <v>PRIORIDADE BAIXA</v>
      </c>
      <c r="Q1468" s="5"/>
      <c r="R1468" s="5" t="str">
        <f>IFERROR(__xludf.DUMMYFUNCTION("""COMPUTED_VALUE"""),"SUBSTITUIR ABRIGO")</f>
        <v>SUBSTITUIR ABRIGO</v>
      </c>
      <c r="S1468" s="5"/>
      <c r="T1468" s="5"/>
      <c r="U1468" s="5"/>
      <c r="V1468" s="9" t="str">
        <f>IFERROR(__xludf.DUMMYFUNCTION("""COMPUTED_VALUE"""),"https://drive.google.com/uc?id=1wX4XPyYEqi6zwI0TOWZ51qZXrwcFsJbn")</f>
        <v>https://drive.google.com/uc?id=1wX4XPyYEqi6zwI0TOWZ51qZXrwcFsJbn</v>
      </c>
      <c r="W1468" s="5" t="str">
        <f>IFERROR(__xludf.DUMMYFUNCTION("""COMPUTED_VALUE"""),"NÃO")</f>
        <v>NÃO</v>
      </c>
      <c r="X1468" s="5" t="str">
        <f>IFERROR(__xludf.DUMMYFUNCTION("""COMPUTED_VALUE"""),"NÃO")</f>
        <v>NÃO</v>
      </c>
    </row>
    <row r="1469">
      <c r="A1469" s="5">
        <f>IFERROR(__xludf.DUMMYFUNCTION("""COMPUTED_VALUE"""),1.0)</f>
        <v>1</v>
      </c>
      <c r="B1469" s="5" t="str">
        <f>IFERROR(__xludf.DUMMYFUNCTION("""COMPUTED_VALUE"""),"PV020")</f>
        <v>PV020</v>
      </c>
      <c r="C1469" s="5" t="str">
        <f>IFERROR(__xludf.DUMMYFUNCTION("""COMPUTED_VALUE"""),"ABRIGO METÁLICO PEQUENO PORTE")</f>
        <v>ABRIGO METÁLICO PEQUENO PORTE</v>
      </c>
      <c r="D1469" s="5" t="str">
        <f>IFERROR(__xludf.DUMMYFUNCTION("""COMPUTED_VALUE"""),"SEM PLACA")</f>
        <v>SEM PLACA</v>
      </c>
      <c r="E1469" s="5" t="str">
        <f>IFERROR(__xludf.DUMMYFUNCTION("""COMPUTED_VALUE"""),"SEM BAIA")</f>
        <v>SEM BAIA</v>
      </c>
      <c r="F1469" s="5" t="str">
        <f>IFERROR(__xludf.DUMMYFUNCTION("""COMPUTED_VALUE"""),"NÃO")</f>
        <v>NÃO</v>
      </c>
      <c r="G1469" s="5" t="str">
        <f>IFERROR(__xludf.DUMMYFUNCTION("""COMPUTED_VALUE"""),"NÃO")</f>
        <v>NÃO</v>
      </c>
      <c r="H1469" s="5" t="str">
        <f>IFERROR(__xludf.DUMMYFUNCTION("""COMPUTED_VALUE"""),"PAVIMENTADA")</f>
        <v>PAVIMENTADA</v>
      </c>
      <c r="I1469" s="6" t="str">
        <f>IFERROR(__xludf.DUMMYFUNCTION("""COMPUTED_VALUE"""),"-9.662843")</f>
        <v>-9.662843</v>
      </c>
      <c r="J1469" s="6" t="str">
        <f>IFERROR(__xludf.DUMMYFUNCTION("""COMPUTED_VALUE"""),"-35.708345")</f>
        <v>-35.708345</v>
      </c>
      <c r="K1469" s="5" t="str">
        <f>IFERROR(__xludf.DUMMYFUNCTION("""COMPUTED_VALUE"""),"R. ENG. MARIO DE GUSMÃO")</f>
        <v>R. ENG. MARIO DE GUSMÃO</v>
      </c>
      <c r="L1469" s="5" t="str">
        <f>IFERROR(__xludf.DUMMYFUNCTION("""COMPUTED_VALUE"""),"COLETORA")</f>
        <v>COLETORA</v>
      </c>
      <c r="M1469" s="5" t="str">
        <f>IFERROR(__xludf.DUMMYFUNCTION("""COMPUTED_VALUE"""),"PONTA VERDE")</f>
        <v>PONTA VERDE</v>
      </c>
      <c r="N1469" s="5" t="str">
        <f>IFERROR(__xludf.DUMMYFUNCTION("""COMPUTED_VALUE"""),"CENTRO - BAIRRO")</f>
        <v>CENTRO - BAIRRO</v>
      </c>
      <c r="O1469" s="5"/>
      <c r="P1469" s="5" t="str">
        <f>IFERROR(__xludf.DUMMYFUNCTION("""COMPUTED_VALUE"""),"PRIORIDADE BAIXA")</f>
        <v>PRIORIDADE BAIXA</v>
      </c>
      <c r="Q1469" s="5"/>
      <c r="R1469" s="5" t="str">
        <f>IFERROR(__xludf.DUMMYFUNCTION("""COMPUTED_VALUE"""),"SUBSTITUIR ABRIGO")</f>
        <v>SUBSTITUIR ABRIGO</v>
      </c>
      <c r="S1469" s="5"/>
      <c r="T1469" s="5"/>
      <c r="U1469" s="5"/>
      <c r="V1469" s="9" t="str">
        <f>IFERROR(__xludf.DUMMYFUNCTION("""COMPUTED_VALUE"""),"https://drive.google.com/uc?id=1B5Ag8z8TIpZu3fk9VwN1pvb7MRaUoLj7")</f>
        <v>https://drive.google.com/uc?id=1B5Ag8z8TIpZu3fk9VwN1pvb7MRaUoLj7</v>
      </c>
      <c r="W1469" s="5" t="str">
        <f>IFERROR(__xludf.DUMMYFUNCTION("""COMPUTED_VALUE"""),"NÃO")</f>
        <v>NÃO</v>
      </c>
      <c r="X1469" s="5" t="str">
        <f>IFERROR(__xludf.DUMMYFUNCTION("""COMPUTED_VALUE"""),"NÃO")</f>
        <v>NÃO</v>
      </c>
    </row>
    <row r="1470">
      <c r="A1470" s="5">
        <f>IFERROR(__xludf.DUMMYFUNCTION("""COMPUTED_VALUE"""),1.0)</f>
        <v>1</v>
      </c>
      <c r="B1470" s="5" t="str">
        <f>IFERROR(__xludf.DUMMYFUNCTION("""COMPUTED_VALUE"""),"PV021")</f>
        <v>PV021</v>
      </c>
      <c r="C1470" s="5" t="str">
        <f>IFERROR(__xludf.DUMMYFUNCTION("""COMPUTED_VALUE"""),"ABRIGO METÁLICO PEQUENO PORTE")</f>
        <v>ABRIGO METÁLICO PEQUENO PORTE</v>
      </c>
      <c r="D1470" s="5" t="str">
        <f>IFERROR(__xludf.DUMMYFUNCTION("""COMPUTED_VALUE"""),"SEM PLACA")</f>
        <v>SEM PLACA</v>
      </c>
      <c r="E1470" s="5" t="str">
        <f>IFERROR(__xludf.DUMMYFUNCTION("""COMPUTED_VALUE"""),"BAIA PINTADA")</f>
        <v>BAIA PINTADA</v>
      </c>
      <c r="F1470" s="5" t="str">
        <f>IFERROR(__xludf.DUMMYFUNCTION("""COMPUTED_VALUE"""),"SIM")</f>
        <v>SIM</v>
      </c>
      <c r="G1470" s="5" t="str">
        <f>IFERROR(__xludf.DUMMYFUNCTION("""COMPUTED_VALUE"""),"NÃO")</f>
        <v>NÃO</v>
      </c>
      <c r="H1470" s="5" t="str">
        <f>IFERROR(__xludf.DUMMYFUNCTION("""COMPUTED_VALUE"""),"PAVIMENTADA")</f>
        <v>PAVIMENTADA</v>
      </c>
      <c r="I1470" s="6" t="str">
        <f>IFERROR(__xludf.DUMMYFUNCTION("""COMPUTED_VALUE"""),"-9.656612")</f>
        <v>-9.656612</v>
      </c>
      <c r="J1470" s="6" t="str">
        <f>IFERROR(__xludf.DUMMYFUNCTION("""COMPUTED_VALUE"""),"-35.709643")</f>
        <v>-35.709643</v>
      </c>
      <c r="K1470" s="5" t="str">
        <f>IFERROR(__xludf.DUMMYFUNCTION("""COMPUTED_VALUE"""),"R. DEP. JOSÉ LAGES")</f>
        <v>R. DEP. JOSÉ LAGES</v>
      </c>
      <c r="L1470" s="5" t="str">
        <f>IFERROR(__xludf.DUMMYFUNCTION("""COMPUTED_VALUE"""),"COLETORA")</f>
        <v>COLETORA</v>
      </c>
      <c r="M1470" s="5" t="str">
        <f>IFERROR(__xludf.DUMMYFUNCTION("""COMPUTED_VALUE"""),"PONTA VERDE")</f>
        <v>PONTA VERDE</v>
      </c>
      <c r="N1470" s="5" t="str">
        <f>IFERROR(__xludf.DUMMYFUNCTION("""COMPUTED_VALUE"""),"BAIRRO - CENTRO")</f>
        <v>BAIRRO - CENTRO</v>
      </c>
      <c r="O1470" s="5" t="str">
        <f>IFERROR(__xludf.DUMMYFUNCTION("""COMPUTED_VALUE"""),"EM FRENTE A LOJAS GUIDO")</f>
        <v>EM FRENTE A LOJAS GUIDO</v>
      </c>
      <c r="P1470" s="5"/>
      <c r="Q1470" s="5"/>
      <c r="R1470" s="5" t="str">
        <f>IFERROR(__xludf.DUMMYFUNCTION("""COMPUTED_VALUE"""),"SUBSTITUIR ABRIGO")</f>
        <v>SUBSTITUIR ABRIGO</v>
      </c>
      <c r="S1470" s="5"/>
      <c r="T1470" s="5"/>
      <c r="U1470" s="5"/>
      <c r="V1470" s="9" t="str">
        <f>IFERROR(__xludf.DUMMYFUNCTION("""COMPUTED_VALUE"""),"https://drive.google.com/uc?id=1UzAR3ePftNg_lMAnlm73vEkkjRXGai8V")</f>
        <v>https://drive.google.com/uc?id=1UzAR3ePftNg_lMAnlm73vEkkjRXGai8V</v>
      </c>
      <c r="W1470" s="5" t="str">
        <f>IFERROR(__xludf.DUMMYFUNCTION("""COMPUTED_VALUE"""),"NÃO")</f>
        <v>NÃO</v>
      </c>
      <c r="X1470" s="5" t="str">
        <f>IFERROR(__xludf.DUMMYFUNCTION("""COMPUTED_VALUE"""),"SIM")</f>
        <v>SIM</v>
      </c>
    </row>
    <row r="1471" hidden="1">
      <c r="A1471" s="5">
        <f>IFERROR(__xludf.DUMMYFUNCTION("""COMPUTED_VALUE"""),1.0)</f>
        <v>1</v>
      </c>
      <c r="B1471" s="5" t="str">
        <f>IFERROR(__xludf.DUMMYFUNCTION("""COMPUTED_VALUE"""),"PV022")</f>
        <v>PV022</v>
      </c>
      <c r="C1471" s="5" t="str">
        <f>IFERROR(__xludf.DUMMYFUNCTION("""COMPUTED_VALUE"""),"NÃO POSSUI")</f>
        <v>NÃO POSSUI</v>
      </c>
      <c r="D1471" s="5" t="str">
        <f>IFERROR(__xludf.DUMMYFUNCTION("""COMPUTED_VALUE"""),"SEM PLACA")</f>
        <v>SEM PLACA</v>
      </c>
      <c r="E1471" s="5" t="str">
        <f>IFERROR(__xludf.DUMMYFUNCTION("""COMPUTED_VALUE"""),"SEM BAIA")</f>
        <v>SEM BAIA</v>
      </c>
      <c r="F1471" s="5" t="str">
        <f>IFERROR(__xludf.DUMMYFUNCTION("""COMPUTED_VALUE"""),"SIM")</f>
        <v>SIM</v>
      </c>
      <c r="G1471" s="5" t="str">
        <f>IFERROR(__xludf.DUMMYFUNCTION("""COMPUTED_VALUE"""),"NÃO")</f>
        <v>NÃO</v>
      </c>
      <c r="H1471" s="5" t="str">
        <f>IFERROR(__xludf.DUMMYFUNCTION("""COMPUTED_VALUE"""),"PAVIMENTADA")</f>
        <v>PAVIMENTADA</v>
      </c>
      <c r="I1471" s="6" t="str">
        <f>IFERROR(__xludf.DUMMYFUNCTION("""COMPUTED_VALUE"""),"-9.656602")</f>
        <v>-9.656602</v>
      </c>
      <c r="J1471" s="6" t="str">
        <f>IFERROR(__xludf.DUMMYFUNCTION("""COMPUTED_VALUE"""),"-35.702287")</f>
        <v>-35.702287</v>
      </c>
      <c r="K1471" s="5" t="str">
        <f>IFERROR(__xludf.DUMMYFUNCTION("""COMPUTED_VALUE"""),"R. DEP. JOSÉ LAGES")</f>
        <v>R. DEP. JOSÉ LAGES</v>
      </c>
      <c r="L1471" s="5" t="str">
        <f>IFERROR(__xludf.DUMMYFUNCTION("""COMPUTED_VALUE"""),"COLETORA")</f>
        <v>COLETORA</v>
      </c>
      <c r="M1471" s="5" t="str">
        <f>IFERROR(__xludf.DUMMYFUNCTION("""COMPUTED_VALUE"""),"PONTA VERDE")</f>
        <v>PONTA VERDE</v>
      </c>
      <c r="N1471" s="5" t="str">
        <f>IFERROR(__xludf.DUMMYFUNCTION("""COMPUTED_VALUE"""),"BAIRRO - CENTRO")</f>
        <v>BAIRRO - CENTRO</v>
      </c>
      <c r="O1471" s="5" t="str">
        <f>IFERROR(__xludf.DUMMYFUNCTION("""COMPUTED_VALUE"""),"EM FRENTE A LOJA ANANDA")</f>
        <v>EM FRENTE A LOJA ANANDA</v>
      </c>
      <c r="P1471" s="5"/>
      <c r="Q1471" s="5"/>
      <c r="R1471" s="5" t="str">
        <f>IFERROR(__xludf.DUMMYFUNCTION("""COMPUTED_VALUE"""),"NENHUMA DAS OPÇÕES")</f>
        <v>NENHUMA DAS OPÇÕES</v>
      </c>
      <c r="S1471" s="5"/>
      <c r="T1471" s="5"/>
      <c r="U1471" s="5"/>
      <c r="V1471" s="9" t="str">
        <f>IFERROR(__xludf.DUMMYFUNCTION("""COMPUTED_VALUE"""),"https://drive.google.com/uc?id=1xwRQJljwZ6Fc4orkbtsKxlb5gSJ5uK14")</f>
        <v>https://drive.google.com/uc?id=1xwRQJljwZ6Fc4orkbtsKxlb5gSJ5uK14</v>
      </c>
      <c r="W1471" s="5" t="str">
        <f>IFERROR(__xludf.DUMMYFUNCTION("""COMPUTED_VALUE"""),"NÃO")</f>
        <v>NÃO</v>
      </c>
      <c r="X1471" s="5" t="str">
        <f>IFERROR(__xludf.DUMMYFUNCTION("""COMPUTED_VALUE"""),"NÃO SE APLICA")</f>
        <v>NÃO SE APLICA</v>
      </c>
    </row>
    <row r="1472" hidden="1">
      <c r="A1472" s="5">
        <f>IFERROR(__xludf.DUMMYFUNCTION("""COMPUTED_VALUE"""),1.0)</f>
        <v>1</v>
      </c>
      <c r="B1472" s="5" t="str">
        <f>IFERROR(__xludf.DUMMYFUNCTION("""COMPUTED_VALUE"""),"PV023")</f>
        <v>PV023</v>
      </c>
      <c r="C1472" s="5" t="str">
        <f>IFERROR(__xludf.DUMMYFUNCTION("""COMPUTED_VALUE"""),"NÃO POSSUI")</f>
        <v>NÃO POSSUI</v>
      </c>
      <c r="D1472" s="5" t="str">
        <f>IFERROR(__xludf.DUMMYFUNCTION("""COMPUTED_VALUE"""),"SEM PLACA")</f>
        <v>SEM PLACA</v>
      </c>
      <c r="E1472" s="5" t="str">
        <f>IFERROR(__xludf.DUMMYFUNCTION("""COMPUTED_VALUE"""),"SEM BAIA")</f>
        <v>SEM BAIA</v>
      </c>
      <c r="F1472" s="5" t="str">
        <f>IFERROR(__xludf.DUMMYFUNCTION("""COMPUTED_VALUE"""),"SIM")</f>
        <v>SIM</v>
      </c>
      <c r="G1472" s="5" t="str">
        <f>IFERROR(__xludf.DUMMYFUNCTION("""COMPUTED_VALUE"""),"NÃO")</f>
        <v>NÃO</v>
      </c>
      <c r="H1472" s="5" t="str">
        <f>IFERROR(__xludf.DUMMYFUNCTION("""COMPUTED_VALUE"""),"PAVIMENTADA")</f>
        <v>PAVIMENTADA</v>
      </c>
      <c r="I1472" s="6" t="str">
        <f>IFERROR(__xludf.DUMMYFUNCTION("""COMPUTED_VALUE"""),"-9.656783")</f>
        <v>-9.656783</v>
      </c>
      <c r="J1472" s="6" t="str">
        <f>IFERROR(__xludf.DUMMYFUNCTION("""COMPUTED_VALUE"""),"-35.699455")</f>
        <v>-35.699455</v>
      </c>
      <c r="K1472" s="5" t="str">
        <f>IFERROR(__xludf.DUMMYFUNCTION("""COMPUTED_VALUE"""),"R. DEP. JOSÉ LAGES")</f>
        <v>R. DEP. JOSÉ LAGES</v>
      </c>
      <c r="L1472" s="5" t="str">
        <f>IFERROR(__xludf.DUMMYFUNCTION("""COMPUTED_VALUE"""),"COLETORA")</f>
        <v>COLETORA</v>
      </c>
      <c r="M1472" s="5" t="str">
        <f>IFERROR(__xludf.DUMMYFUNCTION("""COMPUTED_VALUE"""),"PONTA VERDE")</f>
        <v>PONTA VERDE</v>
      </c>
      <c r="N1472" s="5" t="str">
        <f>IFERROR(__xludf.DUMMYFUNCTION("""COMPUTED_VALUE"""),"CENTRO - BAIRRO")</f>
        <v>CENTRO - BAIRRO</v>
      </c>
      <c r="O1472" s="5" t="str">
        <f>IFERROR(__xludf.DUMMYFUNCTION("""COMPUTED_VALUE"""),"PRÓXIMO A LOJA  FESTANÇA")</f>
        <v>PRÓXIMO A LOJA  FESTANÇA</v>
      </c>
      <c r="P1472" s="5"/>
      <c r="Q1472" s="5"/>
      <c r="R1472" s="5" t="str">
        <f>IFERROR(__xludf.DUMMYFUNCTION("""COMPUTED_VALUE"""),"NENHUMA DAS OPÇÕES")</f>
        <v>NENHUMA DAS OPÇÕES</v>
      </c>
      <c r="S1472" s="5"/>
      <c r="T1472" s="5"/>
      <c r="U1472" s="5"/>
      <c r="V1472" s="9" t="str">
        <f>IFERROR(__xludf.DUMMYFUNCTION("""COMPUTED_VALUE"""),"https://drive.google.com/uc?id=1BSgSMUwhLpkT2xd4XafA0jHH9L2U1z7A")</f>
        <v>https://drive.google.com/uc?id=1BSgSMUwhLpkT2xd4XafA0jHH9L2U1z7A</v>
      </c>
      <c r="W1472" s="5" t="str">
        <f>IFERROR(__xludf.DUMMYFUNCTION("""COMPUTED_VALUE"""),"NÃO")</f>
        <v>NÃO</v>
      </c>
      <c r="X1472" s="5" t="str">
        <f>IFERROR(__xludf.DUMMYFUNCTION("""COMPUTED_VALUE"""),"NÃO SE APLICA")</f>
        <v>NÃO SE APLICA</v>
      </c>
    </row>
    <row r="1473">
      <c r="A1473" s="5">
        <f>IFERROR(__xludf.DUMMYFUNCTION("""COMPUTED_VALUE"""),1.0)</f>
        <v>1</v>
      </c>
      <c r="B1473" s="5" t="str">
        <f>IFERROR(__xludf.DUMMYFUNCTION("""COMPUTED_VALUE"""),"PV024")</f>
        <v>PV024</v>
      </c>
      <c r="C1473" s="5" t="str">
        <f>IFERROR(__xludf.DUMMYFUNCTION("""COMPUTED_VALUE"""),"ABRIGO METÁLICO PEQUENO PORTE")</f>
        <v>ABRIGO METÁLICO PEQUENO PORTE</v>
      </c>
      <c r="D1473" s="5" t="str">
        <f>IFERROR(__xludf.DUMMYFUNCTION("""COMPUTED_VALUE"""),"SEM PLACA")</f>
        <v>SEM PLACA</v>
      </c>
      <c r="E1473" s="5" t="str">
        <f>IFERROR(__xludf.DUMMYFUNCTION("""COMPUTED_VALUE"""),"SEM BAIA")</f>
        <v>SEM BAIA</v>
      </c>
      <c r="F1473" s="5" t="str">
        <f>IFERROR(__xludf.DUMMYFUNCTION("""COMPUTED_VALUE"""),"SIM")</f>
        <v>SIM</v>
      </c>
      <c r="G1473" s="5" t="str">
        <f>IFERROR(__xludf.DUMMYFUNCTION("""COMPUTED_VALUE"""),"NÃO")</f>
        <v>NÃO</v>
      </c>
      <c r="H1473" s="5" t="str">
        <f>IFERROR(__xludf.DUMMYFUNCTION("""COMPUTED_VALUE"""),"PAVIMENTADA")</f>
        <v>PAVIMENTADA</v>
      </c>
      <c r="I1473" s="6" t="str">
        <f>IFERROR(__xludf.DUMMYFUNCTION("""COMPUTED_VALUE"""),"-9.662770")</f>
        <v>-9.662770</v>
      </c>
      <c r="J1473" s="6" t="str">
        <f>IFERROR(__xludf.DUMMYFUNCTION("""COMPUTED_VALUE"""),"-35.699079")</f>
        <v>-35.699079</v>
      </c>
      <c r="K1473" s="5" t="str">
        <f>IFERROR(__xludf.DUMMYFUNCTION("""COMPUTED_VALUE"""),"R. ENG. MARIO DE GUSMÃO")</f>
        <v>R. ENG. MARIO DE GUSMÃO</v>
      </c>
      <c r="L1473" s="5" t="str">
        <f>IFERROR(__xludf.DUMMYFUNCTION("""COMPUTED_VALUE"""),"COLETORA")</f>
        <v>COLETORA</v>
      </c>
      <c r="M1473" s="5" t="str">
        <f>IFERROR(__xludf.DUMMYFUNCTION("""COMPUTED_VALUE"""),"PONTA VERDE")</f>
        <v>PONTA VERDE</v>
      </c>
      <c r="N1473" s="5" t="str">
        <f>IFERROR(__xludf.DUMMYFUNCTION("""COMPUTED_VALUE"""),"CENTRO - BAIRRO")</f>
        <v>CENTRO - BAIRRO</v>
      </c>
      <c r="O1473" s="5" t="str">
        <f>IFERROR(__xludf.DUMMYFUNCTION("""COMPUTED_VALUE"""),"AO LADO DA CLÍNICA SINUS")</f>
        <v>AO LADO DA CLÍNICA SINUS</v>
      </c>
      <c r="P1473" s="5"/>
      <c r="Q1473" s="5"/>
      <c r="R1473" s="5" t="str">
        <f>IFERROR(__xludf.DUMMYFUNCTION("""COMPUTED_VALUE"""),"NENHUMA DAS OPÇÕES")</f>
        <v>NENHUMA DAS OPÇÕES</v>
      </c>
      <c r="S1473" s="5"/>
      <c r="T1473" s="5"/>
      <c r="U1473" s="5"/>
      <c r="V1473" s="9" t="str">
        <f>IFERROR(__xludf.DUMMYFUNCTION("""COMPUTED_VALUE"""),"https://drive.google.com/uc?id=1GVPhKJS5TxAc3FWSNyFtppBWcKcdbx6P")</f>
        <v>https://drive.google.com/uc?id=1GVPhKJS5TxAc3FWSNyFtppBWcKcdbx6P</v>
      </c>
      <c r="W1473" s="5" t="str">
        <f>IFERROR(__xludf.DUMMYFUNCTION("""COMPUTED_VALUE"""),"NÃO")</f>
        <v>NÃO</v>
      </c>
      <c r="X1473" s="5" t="str">
        <f>IFERROR(__xludf.DUMMYFUNCTION("""COMPUTED_VALUE"""),"SIM")</f>
        <v>SIM</v>
      </c>
    </row>
    <row r="1474" hidden="1">
      <c r="A1474" s="5">
        <f>IFERROR(__xludf.DUMMYFUNCTION("""COMPUTED_VALUE"""),1.0)</f>
        <v>1</v>
      </c>
      <c r="B1474" s="5" t="str">
        <f>IFERROR(__xludf.DUMMYFUNCTION("""COMPUTED_VALUE"""),"PV025")</f>
        <v>PV025</v>
      </c>
      <c r="C1474" s="5" t="str">
        <f>IFERROR(__xludf.DUMMYFUNCTION("""COMPUTED_VALUE"""),"NÃO POSSUI")</f>
        <v>NÃO POSSUI</v>
      </c>
      <c r="D1474" s="5" t="str">
        <f>IFERROR(__xludf.DUMMYFUNCTION("""COMPUTED_VALUE"""),"COM SUPORTE")</f>
        <v>COM SUPORTE</v>
      </c>
      <c r="E1474" s="5" t="str">
        <f>IFERROR(__xludf.DUMMYFUNCTION("""COMPUTED_VALUE"""),"BAIA PINTADA")</f>
        <v>BAIA PINTADA</v>
      </c>
      <c r="F1474" s="5" t="str">
        <f>IFERROR(__xludf.DUMMYFUNCTION("""COMPUTED_VALUE"""),"SIM")</f>
        <v>SIM</v>
      </c>
      <c r="G1474" s="5" t="str">
        <f>IFERROR(__xludf.DUMMYFUNCTION("""COMPUTED_VALUE"""),"NÃO")</f>
        <v>NÃO</v>
      </c>
      <c r="H1474" s="5" t="str">
        <f>IFERROR(__xludf.DUMMYFUNCTION("""COMPUTED_VALUE"""),"PAVIMENTADA")</f>
        <v>PAVIMENTADA</v>
      </c>
      <c r="I1474" s="6" t="str">
        <f>IFERROR(__xludf.DUMMYFUNCTION("""COMPUTED_VALUE"""),"-9.663515")</f>
        <v>-9.663515</v>
      </c>
      <c r="J1474" s="6" t="str">
        <f>IFERROR(__xludf.DUMMYFUNCTION("""COMPUTED_VALUE"""),"-35.696390")</f>
        <v>-35.696390</v>
      </c>
      <c r="K1474" s="5" t="str">
        <f>IFERROR(__xludf.DUMMYFUNCTION("""COMPUTED_VALUE"""),"R. ENG. MARIO DE GUSMÃO")</f>
        <v>R. ENG. MARIO DE GUSMÃO</v>
      </c>
      <c r="L1474" s="5" t="str">
        <f>IFERROR(__xludf.DUMMYFUNCTION("""COMPUTED_VALUE"""),"COLETORA")</f>
        <v>COLETORA</v>
      </c>
      <c r="M1474" s="5" t="str">
        <f>IFERROR(__xludf.DUMMYFUNCTION("""COMPUTED_VALUE"""),"PONTA VERDE")</f>
        <v>PONTA VERDE</v>
      </c>
      <c r="N1474" s="5" t="str">
        <f>IFERROR(__xludf.DUMMYFUNCTION("""COMPUTED_VALUE"""),"CENTRO - BAIRRO")</f>
        <v>CENTRO - BAIRRO</v>
      </c>
      <c r="O1474" s="5" t="str">
        <f>IFERROR(__xludf.DUMMYFUNCTION("""COMPUTED_VALUE"""),"EM FRENTE AO ED. MONFORTE")</f>
        <v>EM FRENTE AO ED. MONFORTE</v>
      </c>
      <c r="P1474" s="5"/>
      <c r="Q1474" s="5"/>
      <c r="R1474" s="5" t="str">
        <f>IFERROR(__xludf.DUMMYFUNCTION("""COMPUTED_VALUE"""),"NENHUMA DAS OPÇÕES")</f>
        <v>NENHUMA DAS OPÇÕES</v>
      </c>
      <c r="S1474" s="5"/>
      <c r="T1474" s="5"/>
      <c r="U1474" s="5"/>
      <c r="V1474" s="9" t="str">
        <f>IFERROR(__xludf.DUMMYFUNCTION("""COMPUTED_VALUE"""),"https://drive.google.com/uc?id=1vDp9LV70q47M-p-ZQVsENGs7Vq3xH6Q4")</f>
        <v>https://drive.google.com/uc?id=1vDp9LV70q47M-p-ZQVsENGs7Vq3xH6Q4</v>
      </c>
      <c r="W1474" s="5" t="str">
        <f>IFERROR(__xludf.DUMMYFUNCTION("""COMPUTED_VALUE"""),"NÃO")</f>
        <v>NÃO</v>
      </c>
      <c r="X1474" s="5" t="str">
        <f>IFERROR(__xludf.DUMMYFUNCTION("""COMPUTED_VALUE"""),"NÃO SE APLICA")</f>
        <v>NÃO SE APLICA</v>
      </c>
    </row>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sheetData>
  <autoFilter ref="$C$1:$C$3096">
    <filterColumn colId="0">
      <filters>
        <filter val="ABRIGO EUCALIPTO MÉDIO PORTE"/>
        <filter val="ABRIGO EUCALIPTO GRANDE PORTE"/>
        <filter val="DESATIVADO - ABRIGO"/>
        <filter val="ABRIGO METÁLICO GRANDE PORTE"/>
        <filter val="ABRIGO METÁLICO MÉDIO PORTE"/>
        <filter val="ABRIGO METÁLICO NOVO PEQUENO PORTE"/>
        <filter val="ABRIGO MADEIRA PERSONALIZADO"/>
        <filter val="ABRIGO CONCRETO"/>
        <filter val="ABRIGO EUCALIPTO PEQUENO PORTE"/>
        <filter val="ABRIGO METÁLICO PEQUENO PORTE"/>
        <filter val="ABRIGO PERSONALIZADO"/>
      </filters>
    </filterColumn>
  </autoFilter>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 r:id="rId13" ref="V14"/>
    <hyperlink r:id="rId14" ref="V15"/>
    <hyperlink r:id="rId15" ref="V16"/>
    <hyperlink r:id="rId16" ref="V17"/>
    <hyperlink r:id="rId17" ref="V18"/>
    <hyperlink r:id="rId18" ref="V19"/>
    <hyperlink r:id="rId19" ref="V20"/>
    <hyperlink r:id="rId20" ref="V21"/>
    <hyperlink r:id="rId21" ref="V22"/>
    <hyperlink r:id="rId22" ref="V23"/>
    <hyperlink r:id="rId23" ref="V24"/>
    <hyperlink r:id="rId24" ref="V25"/>
    <hyperlink r:id="rId25" ref="V29"/>
    <hyperlink r:id="rId26" ref="V30"/>
    <hyperlink r:id="rId27" ref="V31"/>
    <hyperlink r:id="rId28" ref="V32"/>
    <hyperlink r:id="rId29" ref="V33"/>
    <hyperlink r:id="rId30" ref="V34"/>
    <hyperlink r:id="rId31" ref="V35"/>
    <hyperlink r:id="rId32" ref="V36"/>
    <hyperlink r:id="rId33" ref="V37"/>
    <hyperlink r:id="rId34" ref="V39"/>
    <hyperlink r:id="rId35" ref="V40"/>
    <hyperlink r:id="rId36" ref="V41"/>
    <hyperlink r:id="rId37" ref="V42"/>
    <hyperlink r:id="rId38" ref="V43"/>
    <hyperlink r:id="rId39" ref="V44"/>
    <hyperlink r:id="rId40" ref="V45"/>
    <hyperlink r:id="rId41" ref="V46"/>
    <hyperlink r:id="rId42" ref="V47"/>
    <hyperlink r:id="rId43" ref="V48"/>
    <hyperlink r:id="rId44" ref="V49"/>
    <hyperlink r:id="rId45" ref="V50"/>
    <hyperlink r:id="rId46" ref="V51"/>
    <hyperlink r:id="rId47" ref="V52"/>
    <hyperlink r:id="rId48" ref="V53"/>
    <hyperlink r:id="rId49" ref="V54"/>
    <hyperlink r:id="rId50" ref="V55"/>
    <hyperlink r:id="rId51" ref="V56"/>
    <hyperlink r:id="rId52" ref="V72"/>
    <hyperlink r:id="rId53" ref="V73"/>
    <hyperlink r:id="rId54" ref="V74"/>
    <hyperlink r:id="rId55" ref="V75"/>
    <hyperlink r:id="rId56" ref="V77"/>
    <hyperlink r:id="rId57" ref="V78"/>
    <hyperlink r:id="rId58" ref="V79"/>
    <hyperlink r:id="rId59" ref="V80"/>
    <hyperlink r:id="rId60" ref="V81"/>
    <hyperlink r:id="rId61" ref="V83"/>
    <hyperlink r:id="rId62" ref="V84"/>
    <hyperlink r:id="rId63" ref="V85"/>
    <hyperlink r:id="rId64" ref="V86"/>
    <hyperlink r:id="rId65" ref="V87"/>
    <hyperlink r:id="rId66" ref="V88"/>
    <hyperlink r:id="rId67" ref="V89"/>
    <hyperlink r:id="rId68" ref="V90"/>
    <hyperlink r:id="rId69" ref="V91"/>
    <hyperlink r:id="rId70" ref="V92"/>
    <hyperlink r:id="rId71" ref="V93"/>
    <hyperlink r:id="rId72" ref="V94"/>
    <hyperlink r:id="rId73" ref="V95"/>
    <hyperlink r:id="rId74" ref="V96"/>
    <hyperlink r:id="rId75" ref="V97"/>
    <hyperlink r:id="rId76" ref="V99"/>
    <hyperlink r:id="rId77" ref="V100"/>
    <hyperlink r:id="rId78" ref="V101"/>
    <hyperlink r:id="rId79" ref="V102"/>
    <hyperlink r:id="rId80" ref="V103"/>
    <hyperlink r:id="rId81" ref="V104"/>
    <hyperlink r:id="rId82" ref="V105"/>
    <hyperlink r:id="rId83" ref="V106"/>
    <hyperlink r:id="rId84" ref="V107"/>
    <hyperlink r:id="rId85" ref="V108"/>
    <hyperlink r:id="rId86" ref="V109"/>
    <hyperlink r:id="rId87" ref="V110"/>
    <hyperlink r:id="rId88" ref="V111"/>
    <hyperlink r:id="rId89" ref="V112"/>
    <hyperlink r:id="rId90" ref="V113"/>
    <hyperlink r:id="rId91" ref="V115"/>
    <hyperlink r:id="rId92" ref="V116"/>
    <hyperlink r:id="rId93" ref="V117"/>
    <hyperlink r:id="rId94" ref="V118"/>
    <hyperlink r:id="rId95" ref="V119"/>
    <hyperlink r:id="rId96" ref="V120"/>
    <hyperlink r:id="rId97" ref="V121"/>
    <hyperlink r:id="rId98" ref="V122"/>
    <hyperlink r:id="rId99" ref="V123"/>
    <hyperlink r:id="rId100" ref="V124"/>
    <hyperlink r:id="rId101" ref="V125"/>
    <hyperlink r:id="rId102" ref="V126"/>
    <hyperlink r:id="rId103" ref="V127"/>
    <hyperlink r:id="rId104" ref="V129"/>
    <hyperlink r:id="rId105" ref="V130"/>
    <hyperlink r:id="rId106" ref="V131"/>
    <hyperlink r:id="rId107" ref="V132"/>
    <hyperlink r:id="rId108" ref="V133"/>
    <hyperlink r:id="rId109" ref="V134"/>
    <hyperlink r:id="rId110" ref="V136"/>
    <hyperlink r:id="rId111" ref="V137"/>
    <hyperlink r:id="rId112" ref="V138"/>
    <hyperlink r:id="rId113" ref="V139"/>
    <hyperlink r:id="rId114" ref="V140"/>
    <hyperlink r:id="rId115" ref="V141"/>
    <hyperlink r:id="rId116" ref="V142"/>
    <hyperlink r:id="rId117" ref="V143"/>
    <hyperlink r:id="rId118" ref="V144"/>
    <hyperlink r:id="rId119" ref="V145"/>
    <hyperlink r:id="rId120" ref="V146"/>
    <hyperlink r:id="rId121" ref="V147"/>
    <hyperlink r:id="rId122" ref="V148"/>
    <hyperlink r:id="rId123" ref="V149"/>
    <hyperlink r:id="rId124" ref="V150"/>
    <hyperlink r:id="rId125" ref="V151"/>
    <hyperlink r:id="rId126" ref="V152"/>
    <hyperlink r:id="rId127" ref="V153"/>
    <hyperlink r:id="rId128" ref="V154"/>
    <hyperlink r:id="rId129" ref="V155"/>
    <hyperlink r:id="rId130" ref="V156"/>
    <hyperlink r:id="rId131" ref="V157"/>
    <hyperlink r:id="rId132" ref="V158"/>
    <hyperlink r:id="rId133" ref="V159"/>
    <hyperlink r:id="rId134" ref="V160"/>
    <hyperlink r:id="rId135" ref="V161"/>
    <hyperlink r:id="rId136" ref="V162"/>
    <hyperlink r:id="rId137" ref="V163"/>
    <hyperlink r:id="rId138" ref="V164"/>
    <hyperlink r:id="rId139" ref="V165"/>
    <hyperlink r:id="rId140" ref="V166"/>
    <hyperlink r:id="rId141" ref="V167"/>
    <hyperlink r:id="rId142" ref="V169"/>
    <hyperlink r:id="rId143" ref="V170"/>
    <hyperlink r:id="rId144" ref="V171"/>
    <hyperlink r:id="rId145" ref="V172"/>
    <hyperlink r:id="rId146" ref="V173"/>
    <hyperlink r:id="rId147" ref="V174"/>
    <hyperlink r:id="rId148" ref="V175"/>
    <hyperlink r:id="rId149" ref="V176"/>
    <hyperlink r:id="rId150" ref="V177"/>
    <hyperlink r:id="rId151" ref="V178"/>
    <hyperlink r:id="rId152" ref="V179"/>
    <hyperlink r:id="rId153" ref="V180"/>
    <hyperlink r:id="rId154" ref="V181"/>
    <hyperlink r:id="rId155" ref="V182"/>
    <hyperlink r:id="rId156" ref="V183"/>
    <hyperlink r:id="rId157" ref="V184"/>
    <hyperlink r:id="rId158" ref="V185"/>
    <hyperlink r:id="rId159" ref="V186"/>
    <hyperlink r:id="rId160" ref="V187"/>
    <hyperlink r:id="rId161" ref="V188"/>
    <hyperlink r:id="rId162" ref="V189"/>
    <hyperlink r:id="rId163" ref="V190"/>
    <hyperlink r:id="rId164" ref="V191"/>
    <hyperlink r:id="rId165" ref="V192"/>
    <hyperlink r:id="rId166" ref="V193"/>
    <hyperlink r:id="rId167" ref="V194"/>
    <hyperlink r:id="rId168" ref="V195"/>
    <hyperlink r:id="rId169" ref="V196"/>
    <hyperlink r:id="rId170" ref="V197"/>
    <hyperlink r:id="rId171" ref="V198"/>
    <hyperlink r:id="rId172" ref="V199"/>
    <hyperlink r:id="rId173" ref="V200"/>
    <hyperlink r:id="rId174" ref="V201"/>
    <hyperlink r:id="rId175" ref="V202"/>
    <hyperlink r:id="rId176" ref="V203"/>
    <hyperlink r:id="rId177" ref="V204"/>
    <hyperlink r:id="rId178" ref="V205"/>
    <hyperlink r:id="rId179" ref="V206"/>
    <hyperlink r:id="rId180" ref="V207"/>
    <hyperlink r:id="rId181" ref="V208"/>
    <hyperlink r:id="rId182" ref="V209"/>
    <hyperlink r:id="rId183" ref="V210"/>
    <hyperlink r:id="rId184" ref="V211"/>
    <hyperlink r:id="rId185" ref="V212"/>
    <hyperlink r:id="rId186" ref="V213"/>
    <hyperlink r:id="rId187" ref="V214"/>
    <hyperlink r:id="rId188" ref="V215"/>
    <hyperlink r:id="rId189" ref="V216"/>
    <hyperlink r:id="rId190" ref="V217"/>
    <hyperlink r:id="rId191" ref="V218"/>
    <hyperlink r:id="rId192" ref="V219"/>
    <hyperlink r:id="rId193" ref="V220"/>
    <hyperlink r:id="rId194" ref="V221"/>
    <hyperlink r:id="rId195" ref="V222"/>
    <hyperlink r:id="rId196" ref="V223"/>
    <hyperlink r:id="rId197" ref="V224"/>
    <hyperlink r:id="rId198" ref="V225"/>
    <hyperlink r:id="rId199" ref="V226"/>
    <hyperlink r:id="rId200" ref="V227"/>
    <hyperlink r:id="rId201" ref="V228"/>
    <hyperlink r:id="rId202" ref="V229"/>
    <hyperlink r:id="rId203" ref="V230"/>
    <hyperlink r:id="rId204" ref="V231"/>
    <hyperlink r:id="rId205" ref="V232"/>
    <hyperlink r:id="rId206" ref="V233"/>
    <hyperlink r:id="rId207" ref="V234"/>
    <hyperlink r:id="rId208" ref="V235"/>
    <hyperlink r:id="rId209" ref="V236"/>
    <hyperlink r:id="rId210" ref="V237"/>
    <hyperlink r:id="rId211" ref="V238"/>
    <hyperlink r:id="rId212" ref="V239"/>
    <hyperlink r:id="rId213" ref="V240"/>
    <hyperlink r:id="rId214" ref="V241"/>
    <hyperlink r:id="rId215" ref="V242"/>
    <hyperlink r:id="rId216" ref="V243"/>
    <hyperlink r:id="rId217" ref="V244"/>
    <hyperlink r:id="rId218" ref="V245"/>
    <hyperlink r:id="rId219" ref="V246"/>
    <hyperlink r:id="rId220" ref="V247"/>
    <hyperlink r:id="rId221" ref="V248"/>
    <hyperlink r:id="rId222" ref="V249"/>
    <hyperlink r:id="rId223" ref="V250"/>
    <hyperlink r:id="rId224" ref="V251"/>
    <hyperlink r:id="rId225" ref="V252"/>
    <hyperlink r:id="rId226" ref="V253"/>
    <hyperlink r:id="rId227" ref="V254"/>
    <hyperlink r:id="rId228" ref="V255"/>
    <hyperlink r:id="rId229" ref="V256"/>
    <hyperlink r:id="rId230" ref="V257"/>
    <hyperlink r:id="rId231" ref="V258"/>
    <hyperlink r:id="rId232" ref="V259"/>
    <hyperlink r:id="rId233" ref="V260"/>
    <hyperlink r:id="rId234" ref="V261"/>
    <hyperlink r:id="rId235" ref="V262"/>
    <hyperlink r:id="rId236" ref="V263"/>
    <hyperlink r:id="rId237" ref="V264"/>
    <hyperlink r:id="rId238" ref="V265"/>
    <hyperlink r:id="rId239" ref="V266"/>
    <hyperlink r:id="rId240" ref="V267"/>
    <hyperlink r:id="rId241" ref="V268"/>
    <hyperlink r:id="rId242" ref="V269"/>
    <hyperlink r:id="rId243" ref="V270"/>
    <hyperlink r:id="rId244" ref="V271"/>
    <hyperlink r:id="rId245" ref="V272"/>
    <hyperlink r:id="rId246" ref="V273"/>
    <hyperlink r:id="rId247" ref="V274"/>
    <hyperlink r:id="rId248" ref="V275"/>
    <hyperlink r:id="rId249" ref="V276"/>
    <hyperlink r:id="rId250" ref="V277"/>
    <hyperlink r:id="rId251" ref="V278"/>
    <hyperlink r:id="rId252" ref="V279"/>
    <hyperlink r:id="rId253" ref="V280"/>
    <hyperlink r:id="rId254" ref="V281"/>
    <hyperlink r:id="rId255" ref="V282"/>
    <hyperlink r:id="rId256" ref="V283"/>
    <hyperlink r:id="rId257" ref="V284"/>
    <hyperlink r:id="rId258" ref="V285"/>
    <hyperlink r:id="rId259" ref="V286"/>
    <hyperlink r:id="rId260" ref="V287"/>
    <hyperlink r:id="rId261" ref="V288"/>
    <hyperlink r:id="rId262" ref="V289"/>
    <hyperlink r:id="rId263" ref="V290"/>
    <hyperlink r:id="rId264" ref="V291"/>
    <hyperlink r:id="rId265" ref="V292"/>
    <hyperlink r:id="rId266" ref="V293"/>
    <hyperlink r:id="rId267" ref="V294"/>
    <hyperlink r:id="rId268" ref="V295"/>
    <hyperlink r:id="rId269" ref="V296"/>
    <hyperlink r:id="rId270" ref="V297"/>
    <hyperlink r:id="rId271" ref="V298"/>
    <hyperlink r:id="rId272" ref="V299"/>
    <hyperlink r:id="rId273" ref="V300"/>
    <hyperlink r:id="rId274" ref="V301"/>
    <hyperlink r:id="rId275" ref="V302"/>
    <hyperlink r:id="rId276" ref="V303"/>
    <hyperlink r:id="rId277" ref="V304"/>
    <hyperlink r:id="rId278" ref="V305"/>
    <hyperlink r:id="rId279" ref="V306"/>
    <hyperlink r:id="rId280" ref="V307"/>
    <hyperlink r:id="rId281" ref="V308"/>
    <hyperlink r:id="rId282" ref="V309"/>
    <hyperlink r:id="rId283" ref="V310"/>
    <hyperlink r:id="rId284" ref="V311"/>
    <hyperlink r:id="rId285" ref="V312"/>
    <hyperlink r:id="rId286" ref="V313"/>
    <hyperlink r:id="rId287" ref="V314"/>
    <hyperlink r:id="rId288" ref="V315"/>
    <hyperlink r:id="rId289" ref="V316"/>
    <hyperlink r:id="rId290" ref="V317"/>
    <hyperlink r:id="rId291" ref="V318"/>
    <hyperlink r:id="rId292" ref="V319"/>
    <hyperlink r:id="rId293" ref="V320"/>
    <hyperlink r:id="rId294" ref="V321"/>
    <hyperlink r:id="rId295" ref="V322"/>
    <hyperlink r:id="rId296" ref="V323"/>
    <hyperlink r:id="rId297" ref="V324"/>
    <hyperlink r:id="rId298" ref="V325"/>
    <hyperlink r:id="rId299" ref="V326"/>
    <hyperlink r:id="rId300" ref="V327"/>
    <hyperlink r:id="rId301" ref="V328"/>
    <hyperlink r:id="rId302" ref="V329"/>
    <hyperlink r:id="rId303" ref="V330"/>
    <hyperlink r:id="rId304" ref="V331"/>
    <hyperlink r:id="rId305" ref="V332"/>
    <hyperlink r:id="rId306" ref="V333"/>
    <hyperlink r:id="rId307" ref="V334"/>
    <hyperlink r:id="rId308" ref="V335"/>
    <hyperlink r:id="rId309" ref="V336"/>
    <hyperlink r:id="rId310" ref="V337"/>
    <hyperlink r:id="rId311" ref="V338"/>
    <hyperlink r:id="rId312" ref="V339"/>
    <hyperlink r:id="rId313" ref="V340"/>
    <hyperlink r:id="rId314" ref="V341"/>
    <hyperlink r:id="rId315" ref="V342"/>
    <hyperlink r:id="rId316" ref="V343"/>
    <hyperlink r:id="rId317" ref="V344"/>
    <hyperlink r:id="rId318" ref="V345"/>
    <hyperlink r:id="rId319" ref="V346"/>
    <hyperlink r:id="rId320" ref="V348"/>
    <hyperlink r:id="rId321" ref="V350"/>
    <hyperlink r:id="rId322" ref="V351"/>
    <hyperlink r:id="rId323" ref="V352"/>
    <hyperlink r:id="rId324" ref="V354"/>
    <hyperlink r:id="rId325" ref="V358"/>
    <hyperlink r:id="rId326" ref="V360"/>
    <hyperlink r:id="rId327" ref="V366"/>
    <hyperlink r:id="rId328" ref="V370"/>
    <hyperlink r:id="rId329" ref="V371"/>
    <hyperlink r:id="rId330" ref="V372"/>
    <hyperlink r:id="rId331" ref="V373"/>
    <hyperlink r:id="rId332" ref="V374"/>
    <hyperlink r:id="rId333" ref="V375"/>
    <hyperlink r:id="rId334" ref="V376"/>
    <hyperlink r:id="rId335" ref="V377"/>
    <hyperlink r:id="rId336" ref="V378"/>
    <hyperlink r:id="rId337" ref="V379"/>
    <hyperlink r:id="rId338" ref="V380"/>
    <hyperlink r:id="rId339" ref="V381"/>
    <hyperlink r:id="rId340" ref="V382"/>
    <hyperlink r:id="rId341" ref="V383"/>
    <hyperlink r:id="rId342" ref="V384"/>
    <hyperlink r:id="rId343" ref="V385"/>
    <hyperlink r:id="rId344" ref="V386"/>
    <hyperlink r:id="rId345" ref="V387"/>
    <hyperlink r:id="rId346" ref="V388"/>
    <hyperlink r:id="rId347" ref="V389"/>
    <hyperlink r:id="rId348" ref="V390"/>
    <hyperlink r:id="rId349" ref="V391"/>
    <hyperlink r:id="rId350" ref="V392"/>
    <hyperlink r:id="rId351" ref="V393"/>
    <hyperlink r:id="rId352" ref="V394"/>
    <hyperlink r:id="rId353" ref="V395"/>
    <hyperlink r:id="rId354" ref="V399"/>
    <hyperlink r:id="rId355" ref="V400"/>
    <hyperlink r:id="rId356" ref="V401"/>
    <hyperlink r:id="rId357" ref="V402"/>
    <hyperlink r:id="rId358" ref="V403"/>
    <hyperlink r:id="rId359" ref="V404"/>
    <hyperlink r:id="rId360" ref="V405"/>
    <hyperlink r:id="rId361" ref="V406"/>
    <hyperlink r:id="rId362" ref="V407"/>
    <hyperlink r:id="rId363" ref="V408"/>
    <hyperlink r:id="rId364" ref="V409"/>
    <hyperlink r:id="rId365" ref="V410"/>
    <hyperlink r:id="rId366" ref="V411"/>
    <hyperlink r:id="rId367" ref="V412"/>
    <hyperlink r:id="rId368" ref="V413"/>
    <hyperlink r:id="rId369" ref="V414"/>
    <hyperlink r:id="rId370" ref="V415"/>
    <hyperlink r:id="rId371" ref="V416"/>
    <hyperlink r:id="rId372" ref="V417"/>
    <hyperlink r:id="rId373" ref="V418"/>
    <hyperlink r:id="rId374" ref="V419"/>
    <hyperlink r:id="rId375" ref="V420"/>
    <hyperlink r:id="rId376" ref="V421"/>
    <hyperlink r:id="rId377" ref="V422"/>
    <hyperlink r:id="rId378" ref="V423"/>
    <hyperlink r:id="rId379" ref="V424"/>
    <hyperlink r:id="rId380" ref="V425"/>
    <hyperlink r:id="rId381" ref="V426"/>
    <hyperlink r:id="rId382" ref="V427"/>
    <hyperlink r:id="rId383" ref="V428"/>
    <hyperlink r:id="rId384" ref="V429"/>
    <hyperlink r:id="rId385" ref="V430"/>
    <hyperlink r:id="rId386" ref="V431"/>
    <hyperlink r:id="rId387" ref="V432"/>
    <hyperlink r:id="rId388" ref="V433"/>
    <hyperlink r:id="rId389" ref="V434"/>
    <hyperlink r:id="rId390" ref="V435"/>
    <hyperlink r:id="rId391" ref="V436"/>
    <hyperlink r:id="rId392" ref="V437"/>
    <hyperlink r:id="rId393" ref="V438"/>
    <hyperlink r:id="rId394" ref="V439"/>
    <hyperlink r:id="rId395" ref="V440"/>
    <hyperlink r:id="rId396" ref="V441"/>
    <hyperlink r:id="rId397" ref="V442"/>
    <hyperlink r:id="rId398" ref="V443"/>
    <hyperlink r:id="rId399" ref="V444"/>
    <hyperlink r:id="rId400" ref="V445"/>
    <hyperlink r:id="rId401" ref="V446"/>
    <hyperlink r:id="rId402" ref="V447"/>
    <hyperlink r:id="rId403" ref="V448"/>
    <hyperlink r:id="rId404" ref="V449"/>
    <hyperlink r:id="rId405" ref="V450"/>
    <hyperlink r:id="rId406" ref="V451"/>
    <hyperlink r:id="rId407" ref="V452"/>
    <hyperlink r:id="rId408" ref="V453"/>
    <hyperlink r:id="rId409" ref="V454"/>
    <hyperlink r:id="rId410" ref="V455"/>
    <hyperlink r:id="rId411" ref="V456"/>
    <hyperlink r:id="rId412" ref="V457"/>
    <hyperlink r:id="rId413" ref="V458"/>
    <hyperlink r:id="rId414" ref="V459"/>
    <hyperlink r:id="rId415" ref="V460"/>
    <hyperlink r:id="rId416" ref="V461"/>
    <hyperlink r:id="rId417" ref="V462"/>
    <hyperlink r:id="rId418" ref="V463"/>
    <hyperlink r:id="rId419" ref="V464"/>
    <hyperlink r:id="rId420" ref="V465"/>
    <hyperlink r:id="rId421" ref="V466"/>
    <hyperlink r:id="rId422" ref="V467"/>
    <hyperlink r:id="rId423" ref="V468"/>
    <hyperlink r:id="rId424" ref="V469"/>
    <hyperlink r:id="rId425" ref="V470"/>
    <hyperlink r:id="rId426" ref="V471"/>
    <hyperlink r:id="rId427" ref="V472"/>
    <hyperlink r:id="rId428" ref="V473"/>
    <hyperlink r:id="rId429" ref="V474"/>
    <hyperlink r:id="rId430" ref="V475"/>
    <hyperlink r:id="rId431" ref="V476"/>
    <hyperlink r:id="rId432" ref="V477"/>
    <hyperlink r:id="rId433" ref="V478"/>
    <hyperlink r:id="rId434" ref="V479"/>
    <hyperlink r:id="rId435" ref="V480"/>
    <hyperlink r:id="rId436" ref="V481"/>
    <hyperlink r:id="rId437" ref="V482"/>
    <hyperlink r:id="rId438" ref="V483"/>
    <hyperlink r:id="rId439" ref="V484"/>
    <hyperlink r:id="rId440" ref="V485"/>
    <hyperlink r:id="rId441" ref="V486"/>
    <hyperlink r:id="rId442" ref="V487"/>
    <hyperlink r:id="rId443" ref="V488"/>
    <hyperlink r:id="rId444" ref="V489"/>
    <hyperlink r:id="rId445" ref="V490"/>
    <hyperlink r:id="rId446" ref="V491"/>
    <hyperlink r:id="rId447" ref="V492"/>
    <hyperlink r:id="rId448" ref="V493"/>
    <hyperlink r:id="rId449" ref="V494"/>
    <hyperlink r:id="rId450" ref="V495"/>
    <hyperlink r:id="rId451" ref="V496"/>
    <hyperlink r:id="rId452" ref="V497"/>
    <hyperlink r:id="rId453" ref="V498"/>
    <hyperlink r:id="rId454" ref="V499"/>
    <hyperlink r:id="rId455" ref="V500"/>
    <hyperlink r:id="rId456" ref="V501"/>
    <hyperlink r:id="rId457" ref="V502"/>
    <hyperlink r:id="rId458" ref="V503"/>
    <hyperlink r:id="rId459" ref="V504"/>
    <hyperlink r:id="rId460" ref="V505"/>
    <hyperlink r:id="rId461" ref="V506"/>
    <hyperlink r:id="rId462" ref="V507"/>
    <hyperlink r:id="rId463" ref="V508"/>
    <hyperlink r:id="rId464" ref="V509"/>
    <hyperlink r:id="rId465" ref="V510"/>
    <hyperlink r:id="rId466" ref="V511"/>
    <hyperlink r:id="rId467" ref="V512"/>
    <hyperlink r:id="rId468" ref="V513"/>
    <hyperlink r:id="rId469" ref="V514"/>
    <hyperlink r:id="rId470" ref="V515"/>
    <hyperlink r:id="rId471" ref="V516"/>
    <hyperlink r:id="rId472" ref="V517"/>
    <hyperlink r:id="rId473" ref="V518"/>
    <hyperlink r:id="rId474" ref="V519"/>
    <hyperlink r:id="rId475" ref="V520"/>
    <hyperlink r:id="rId476" ref="V521"/>
    <hyperlink r:id="rId477" ref="V522"/>
    <hyperlink r:id="rId478" ref="V523"/>
    <hyperlink r:id="rId479" ref="V524"/>
    <hyperlink r:id="rId480" ref="V525"/>
    <hyperlink r:id="rId481" ref="V526"/>
    <hyperlink r:id="rId482" ref="V527"/>
    <hyperlink r:id="rId483" ref="V528"/>
    <hyperlink r:id="rId484" ref="V529"/>
    <hyperlink r:id="rId485" ref="V530"/>
    <hyperlink r:id="rId486" ref="V531"/>
    <hyperlink r:id="rId487" ref="V532"/>
    <hyperlink r:id="rId488" ref="V533"/>
    <hyperlink r:id="rId489" ref="V534"/>
    <hyperlink r:id="rId490" ref="V535"/>
    <hyperlink r:id="rId491" ref="V536"/>
    <hyperlink r:id="rId492" ref="V537"/>
    <hyperlink r:id="rId493" ref="V538"/>
    <hyperlink r:id="rId494" ref="V539"/>
    <hyperlink r:id="rId495" ref="V540"/>
    <hyperlink r:id="rId496" ref="V541"/>
    <hyperlink r:id="rId497" ref="V542"/>
    <hyperlink r:id="rId498" ref="V543"/>
    <hyperlink r:id="rId499" ref="V544"/>
    <hyperlink r:id="rId500" ref="V545"/>
    <hyperlink r:id="rId501" ref="V546"/>
    <hyperlink r:id="rId502" ref="V547"/>
    <hyperlink r:id="rId503" ref="V548"/>
    <hyperlink r:id="rId504" ref="V549"/>
    <hyperlink r:id="rId505" ref="V550"/>
    <hyperlink r:id="rId506" ref="V551"/>
    <hyperlink r:id="rId507" ref="V552"/>
    <hyperlink r:id="rId508" ref="V553"/>
    <hyperlink r:id="rId509" ref="V554"/>
    <hyperlink r:id="rId510" ref="V555"/>
    <hyperlink r:id="rId511" ref="V556"/>
    <hyperlink r:id="rId512" ref="V557"/>
    <hyperlink r:id="rId513" ref="V558"/>
    <hyperlink r:id="rId514" ref="V559"/>
    <hyperlink r:id="rId515" ref="V560"/>
    <hyperlink r:id="rId516" ref="V561"/>
    <hyperlink r:id="rId517" ref="V562"/>
    <hyperlink r:id="rId518" ref="V563"/>
    <hyperlink r:id="rId519" ref="V564"/>
    <hyperlink r:id="rId520" ref="V565"/>
    <hyperlink r:id="rId521" ref="V566"/>
    <hyperlink r:id="rId522" ref="V567"/>
    <hyperlink r:id="rId523" ref="V568"/>
    <hyperlink r:id="rId524" ref="V569"/>
    <hyperlink r:id="rId525" ref="V570"/>
    <hyperlink r:id="rId526" ref="V571"/>
    <hyperlink r:id="rId527" ref="V572"/>
    <hyperlink r:id="rId528" ref="V573"/>
    <hyperlink r:id="rId529" ref="V574"/>
    <hyperlink r:id="rId530" ref="V575"/>
    <hyperlink r:id="rId531" ref="V576"/>
    <hyperlink r:id="rId532" ref="V577"/>
    <hyperlink r:id="rId533" ref="V578"/>
    <hyperlink r:id="rId534" ref="V579"/>
    <hyperlink r:id="rId535" ref="V580"/>
    <hyperlink r:id="rId536" ref="V581"/>
    <hyperlink r:id="rId537" ref="V582"/>
    <hyperlink r:id="rId538" ref="V583"/>
    <hyperlink r:id="rId539" ref="V584"/>
    <hyperlink r:id="rId540" ref="V585"/>
    <hyperlink r:id="rId541" ref="V586"/>
    <hyperlink r:id="rId542" ref="V587"/>
    <hyperlink r:id="rId543" ref="V588"/>
    <hyperlink r:id="rId544" ref="V590"/>
    <hyperlink r:id="rId545" ref="V591"/>
    <hyperlink r:id="rId546" ref="V592"/>
    <hyperlink r:id="rId547" ref="V593"/>
    <hyperlink r:id="rId548" ref="V594"/>
    <hyperlink r:id="rId549" ref="V595"/>
    <hyperlink r:id="rId550" ref="V596"/>
    <hyperlink r:id="rId551" ref="V597"/>
    <hyperlink r:id="rId552" ref="V598"/>
    <hyperlink r:id="rId553" ref="V599"/>
    <hyperlink r:id="rId554" ref="V600"/>
    <hyperlink r:id="rId555" ref="V601"/>
    <hyperlink r:id="rId556" ref="V602"/>
    <hyperlink r:id="rId557" ref="V603"/>
    <hyperlink r:id="rId558" ref="V604"/>
    <hyperlink r:id="rId559" ref="V605"/>
    <hyperlink r:id="rId560" ref="V606"/>
    <hyperlink r:id="rId561" ref="V607"/>
    <hyperlink r:id="rId562" ref="V608"/>
    <hyperlink r:id="rId563" ref="V609"/>
    <hyperlink r:id="rId564" ref="V610"/>
    <hyperlink r:id="rId565" ref="V611"/>
    <hyperlink r:id="rId566" ref="V612"/>
    <hyperlink r:id="rId567" ref="V613"/>
    <hyperlink r:id="rId568" ref="V614"/>
    <hyperlink r:id="rId569" ref="V615"/>
    <hyperlink r:id="rId570" ref="V616"/>
    <hyperlink r:id="rId571" ref="V617"/>
    <hyperlink r:id="rId572" ref="V618"/>
    <hyperlink r:id="rId573" ref="V619"/>
    <hyperlink r:id="rId574" ref="V620"/>
    <hyperlink r:id="rId575" ref="V621"/>
    <hyperlink r:id="rId576" ref="V622"/>
    <hyperlink r:id="rId577" ref="V623"/>
    <hyperlink r:id="rId578" ref="V624"/>
    <hyperlink r:id="rId579" ref="V625"/>
    <hyperlink r:id="rId580" ref="V626"/>
    <hyperlink r:id="rId581" ref="V627"/>
    <hyperlink r:id="rId582" ref="V628"/>
    <hyperlink r:id="rId583" ref="V629"/>
    <hyperlink r:id="rId584" ref="V630"/>
    <hyperlink r:id="rId585" ref="V631"/>
    <hyperlink r:id="rId586" ref="V632"/>
    <hyperlink r:id="rId587" ref="V633"/>
    <hyperlink r:id="rId588" ref="V634"/>
    <hyperlink r:id="rId589" ref="V635"/>
    <hyperlink r:id="rId590" ref="V637"/>
    <hyperlink r:id="rId591" ref="V638"/>
    <hyperlink r:id="rId592" ref="V639"/>
    <hyperlink r:id="rId593" ref="V640"/>
    <hyperlink r:id="rId594" ref="V641"/>
    <hyperlink r:id="rId595" ref="V642"/>
    <hyperlink r:id="rId596" ref="V643"/>
    <hyperlink r:id="rId597" ref="V644"/>
    <hyperlink r:id="rId598" ref="V645"/>
    <hyperlink r:id="rId599" ref="V646"/>
    <hyperlink r:id="rId600" ref="V647"/>
    <hyperlink r:id="rId601" ref="V648"/>
    <hyperlink r:id="rId602" ref="V649"/>
    <hyperlink r:id="rId603" ref="V650"/>
    <hyperlink r:id="rId604" ref="V651"/>
    <hyperlink r:id="rId605" ref="V652"/>
    <hyperlink r:id="rId606" ref="V653"/>
    <hyperlink r:id="rId607" ref="V654"/>
    <hyperlink r:id="rId608" ref="V655"/>
    <hyperlink r:id="rId609" ref="V656"/>
    <hyperlink r:id="rId610" ref="V657"/>
    <hyperlink r:id="rId611" ref="V658"/>
    <hyperlink r:id="rId612" ref="V659"/>
    <hyperlink r:id="rId613" ref="V660"/>
    <hyperlink r:id="rId614" ref="V661"/>
    <hyperlink r:id="rId615" ref="V662"/>
    <hyperlink r:id="rId616" ref="V663"/>
    <hyperlink r:id="rId617" ref="V664"/>
    <hyperlink r:id="rId618" ref="V665"/>
    <hyperlink r:id="rId619" ref="V666"/>
    <hyperlink r:id="rId620" ref="V667"/>
    <hyperlink r:id="rId621" ref="V668"/>
    <hyperlink r:id="rId622" ref="V669"/>
    <hyperlink r:id="rId623" ref="V670"/>
    <hyperlink r:id="rId624" ref="V671"/>
    <hyperlink r:id="rId625" ref="V672"/>
    <hyperlink r:id="rId626" ref="V673"/>
    <hyperlink r:id="rId627" ref="V674"/>
    <hyperlink r:id="rId628" ref="V675"/>
    <hyperlink r:id="rId629" ref="V676"/>
    <hyperlink r:id="rId630" ref="V677"/>
    <hyperlink r:id="rId631" ref="V678"/>
    <hyperlink r:id="rId632" ref="V679"/>
    <hyperlink r:id="rId633" ref="V682"/>
    <hyperlink r:id="rId634" ref="V683"/>
    <hyperlink r:id="rId635" ref="V685"/>
    <hyperlink r:id="rId636" ref="V686"/>
    <hyperlink r:id="rId637" ref="V687"/>
    <hyperlink r:id="rId638" ref="V688"/>
    <hyperlink r:id="rId639" ref="V689"/>
    <hyperlink r:id="rId640" ref="V690"/>
    <hyperlink r:id="rId641" ref="V691"/>
    <hyperlink r:id="rId642" ref="V692"/>
    <hyperlink r:id="rId643" ref="V693"/>
    <hyperlink r:id="rId644" ref="V694"/>
    <hyperlink r:id="rId645" ref="V695"/>
    <hyperlink r:id="rId646" ref="V696"/>
    <hyperlink r:id="rId647" ref="V697"/>
    <hyperlink r:id="rId648" ref="V698"/>
    <hyperlink r:id="rId649" ref="V699"/>
    <hyperlink r:id="rId650" ref="V700"/>
    <hyperlink r:id="rId651" ref="V701"/>
    <hyperlink r:id="rId652" ref="V702"/>
    <hyperlink r:id="rId653" ref="V703"/>
    <hyperlink r:id="rId654" ref="V704"/>
    <hyperlink r:id="rId655" ref="V705"/>
    <hyperlink r:id="rId656" ref="V706"/>
    <hyperlink r:id="rId657" ref="V707"/>
    <hyperlink r:id="rId658" ref="V708"/>
    <hyperlink r:id="rId659" ref="V709"/>
    <hyperlink r:id="rId660" ref="V710"/>
    <hyperlink r:id="rId661" ref="V711"/>
    <hyperlink r:id="rId662" ref="V712"/>
    <hyperlink r:id="rId663" ref="V713"/>
    <hyperlink r:id="rId664" ref="V714"/>
    <hyperlink r:id="rId665" ref="V715"/>
    <hyperlink r:id="rId666" ref="V716"/>
    <hyperlink r:id="rId667" ref="V717"/>
    <hyperlink r:id="rId668" ref="V718"/>
    <hyperlink r:id="rId669" ref="V719"/>
    <hyperlink r:id="rId670" ref="V720"/>
    <hyperlink r:id="rId671" ref="V721"/>
    <hyperlink r:id="rId672" ref="V722"/>
    <hyperlink r:id="rId673" ref="V723"/>
    <hyperlink r:id="rId674" ref="V724"/>
    <hyperlink r:id="rId675" ref="V725"/>
    <hyperlink r:id="rId676" ref="V726"/>
    <hyperlink r:id="rId677" ref="V727"/>
    <hyperlink r:id="rId678" ref="V728"/>
    <hyperlink r:id="rId679" ref="V729"/>
    <hyperlink r:id="rId680" ref="V730"/>
    <hyperlink r:id="rId681" ref="V731"/>
    <hyperlink r:id="rId682" ref="V732"/>
    <hyperlink r:id="rId683" ref="V733"/>
    <hyperlink r:id="rId684" ref="V734"/>
    <hyperlink r:id="rId685" ref="V735"/>
    <hyperlink r:id="rId686" ref="V736"/>
    <hyperlink r:id="rId687" ref="V737"/>
    <hyperlink r:id="rId688" ref="V738"/>
    <hyperlink r:id="rId689" ref="V739"/>
    <hyperlink r:id="rId690" ref="V740"/>
    <hyperlink r:id="rId691" ref="V741"/>
    <hyperlink r:id="rId692" ref="V742"/>
    <hyperlink r:id="rId693" ref="V743"/>
    <hyperlink r:id="rId694" ref="V744"/>
    <hyperlink r:id="rId695" ref="V745"/>
    <hyperlink r:id="rId696" ref="V746"/>
    <hyperlink r:id="rId697" ref="V747"/>
    <hyperlink r:id="rId698" ref="V748"/>
    <hyperlink r:id="rId699" ref="V749"/>
    <hyperlink r:id="rId700" ref="V750"/>
    <hyperlink r:id="rId701" ref="V751"/>
    <hyperlink r:id="rId702" ref="V752"/>
    <hyperlink r:id="rId703" ref="V753"/>
    <hyperlink r:id="rId704" ref="V754"/>
    <hyperlink r:id="rId705" ref="V755"/>
    <hyperlink r:id="rId706" ref="V756"/>
    <hyperlink r:id="rId707" ref="V757"/>
    <hyperlink r:id="rId708" ref="V758"/>
    <hyperlink r:id="rId709" ref="V759"/>
    <hyperlink r:id="rId710" ref="V760"/>
    <hyperlink r:id="rId711" ref="V761"/>
    <hyperlink r:id="rId712" ref="V762"/>
    <hyperlink r:id="rId713" ref="V763"/>
    <hyperlink r:id="rId714" ref="V764"/>
    <hyperlink r:id="rId715" ref="V765"/>
    <hyperlink r:id="rId716" ref="V766"/>
    <hyperlink r:id="rId717" ref="V767"/>
    <hyperlink r:id="rId718" ref="V768"/>
    <hyperlink r:id="rId719" ref="V769"/>
    <hyperlink r:id="rId720" ref="V770"/>
    <hyperlink r:id="rId721" ref="V771"/>
    <hyperlink r:id="rId722" ref="V772"/>
    <hyperlink r:id="rId723" ref="V773"/>
    <hyperlink r:id="rId724" ref="V774"/>
    <hyperlink r:id="rId725" ref="V775"/>
    <hyperlink r:id="rId726" ref="V776"/>
    <hyperlink r:id="rId727" ref="V777"/>
    <hyperlink r:id="rId728" ref="V778"/>
    <hyperlink r:id="rId729" ref="V779"/>
    <hyperlink r:id="rId730" ref="V780"/>
    <hyperlink r:id="rId731" ref="V781"/>
    <hyperlink r:id="rId732" ref="V782"/>
    <hyperlink r:id="rId733" ref="V783"/>
    <hyperlink r:id="rId734" ref="V784"/>
    <hyperlink r:id="rId735" ref="V785"/>
    <hyperlink r:id="rId736" ref="V786"/>
    <hyperlink r:id="rId737" ref="V787"/>
    <hyperlink r:id="rId738" ref="V788"/>
    <hyperlink r:id="rId739" ref="V789"/>
    <hyperlink r:id="rId740" ref="V790"/>
    <hyperlink r:id="rId741" ref="V791"/>
    <hyperlink r:id="rId742" ref="V792"/>
    <hyperlink r:id="rId743" ref="V793"/>
    <hyperlink r:id="rId744" ref="V794"/>
    <hyperlink r:id="rId745" ref="V795"/>
    <hyperlink r:id="rId746" ref="V796"/>
    <hyperlink r:id="rId747" ref="V797"/>
    <hyperlink r:id="rId748" ref="V798"/>
    <hyperlink r:id="rId749" ref="V799"/>
    <hyperlink r:id="rId750" ref="V800"/>
    <hyperlink r:id="rId751" ref="V801"/>
    <hyperlink r:id="rId752" ref="V802"/>
    <hyperlink r:id="rId753" ref="V803"/>
    <hyperlink r:id="rId754" ref="V804"/>
    <hyperlink r:id="rId755" ref="V805"/>
    <hyperlink r:id="rId756" ref="V806"/>
    <hyperlink r:id="rId757" ref="V807"/>
    <hyperlink r:id="rId758" ref="V808"/>
    <hyperlink r:id="rId759" ref="V809"/>
    <hyperlink r:id="rId760" ref="V810"/>
    <hyperlink r:id="rId761" ref="V811"/>
    <hyperlink r:id="rId762" ref="V812"/>
    <hyperlink r:id="rId763" ref="V813"/>
    <hyperlink r:id="rId764" ref="V814"/>
    <hyperlink r:id="rId765" ref="V815"/>
    <hyperlink r:id="rId766" ref="V816"/>
    <hyperlink r:id="rId767" ref="V817"/>
    <hyperlink r:id="rId768" ref="V818"/>
    <hyperlink r:id="rId769" ref="V819"/>
    <hyperlink r:id="rId770" ref="V820"/>
    <hyperlink r:id="rId771" ref="V821"/>
    <hyperlink r:id="rId772" ref="V822"/>
    <hyperlink r:id="rId773" ref="V823"/>
    <hyperlink r:id="rId774" ref="V824"/>
    <hyperlink r:id="rId775" ref="V825"/>
    <hyperlink r:id="rId776" ref="V826"/>
    <hyperlink r:id="rId777" ref="V827"/>
    <hyperlink r:id="rId778" ref="V828"/>
    <hyperlink r:id="rId779" ref="V829"/>
    <hyperlink r:id="rId780" ref="V830"/>
    <hyperlink r:id="rId781" ref="V831"/>
    <hyperlink r:id="rId782" ref="V832"/>
    <hyperlink r:id="rId783" ref="V833"/>
    <hyperlink r:id="rId784" ref="V834"/>
    <hyperlink r:id="rId785" ref="V835"/>
    <hyperlink r:id="rId786" ref="V836"/>
    <hyperlink r:id="rId787" ref="V837"/>
    <hyperlink r:id="rId788" ref="V838"/>
    <hyperlink r:id="rId789" ref="V839"/>
    <hyperlink r:id="rId790" ref="V840"/>
    <hyperlink r:id="rId791" ref="V841"/>
    <hyperlink r:id="rId792" ref="V842"/>
    <hyperlink r:id="rId793" ref="V843"/>
    <hyperlink r:id="rId794" ref="V844"/>
    <hyperlink r:id="rId795" ref="V845"/>
    <hyperlink r:id="rId796" ref="V846"/>
    <hyperlink r:id="rId797" ref="V847"/>
    <hyperlink r:id="rId798" ref="V848"/>
    <hyperlink r:id="rId799" ref="V849"/>
    <hyperlink r:id="rId800" ref="V850"/>
    <hyperlink r:id="rId801" ref="V851"/>
    <hyperlink r:id="rId802" ref="V852"/>
    <hyperlink r:id="rId803" ref="V853"/>
    <hyperlink r:id="rId804" ref="V854"/>
    <hyperlink r:id="rId805" ref="V855"/>
    <hyperlink r:id="rId806" ref="V856"/>
    <hyperlink r:id="rId807" ref="V857"/>
    <hyperlink r:id="rId808" ref="V858"/>
    <hyperlink r:id="rId809" ref="V859"/>
    <hyperlink r:id="rId810" ref="V860"/>
    <hyperlink r:id="rId811" ref="V861"/>
    <hyperlink r:id="rId812" ref="V862"/>
    <hyperlink r:id="rId813" ref="V863"/>
    <hyperlink r:id="rId814" ref="V864"/>
    <hyperlink r:id="rId815" ref="V865"/>
    <hyperlink r:id="rId816" ref="V866"/>
    <hyperlink r:id="rId817" ref="V867"/>
    <hyperlink r:id="rId818" ref="V868"/>
    <hyperlink r:id="rId819" ref="V869"/>
    <hyperlink r:id="rId820" ref="V870"/>
    <hyperlink r:id="rId821" ref="V871"/>
    <hyperlink r:id="rId822" ref="V872"/>
    <hyperlink r:id="rId823" ref="V873"/>
    <hyperlink r:id="rId824" ref="V874"/>
    <hyperlink r:id="rId825" ref="V875"/>
    <hyperlink r:id="rId826" ref="V876"/>
    <hyperlink r:id="rId827" ref="V877"/>
    <hyperlink r:id="rId828" ref="V878"/>
    <hyperlink r:id="rId829" ref="V879"/>
    <hyperlink r:id="rId830" ref="V880"/>
    <hyperlink r:id="rId831" ref="V881"/>
    <hyperlink r:id="rId832" ref="V882"/>
    <hyperlink r:id="rId833" ref="V883"/>
    <hyperlink r:id="rId834" ref="V884"/>
    <hyperlink r:id="rId835" ref="V885"/>
    <hyperlink r:id="rId836" ref="V886"/>
    <hyperlink r:id="rId837" ref="V887"/>
    <hyperlink r:id="rId838" ref="V888"/>
    <hyperlink r:id="rId839" ref="V889"/>
    <hyperlink r:id="rId840" ref="V890"/>
    <hyperlink r:id="rId841" ref="V891"/>
    <hyperlink r:id="rId842" ref="V892"/>
    <hyperlink r:id="rId843" ref="V893"/>
    <hyperlink r:id="rId844" ref="V894"/>
    <hyperlink r:id="rId845" ref="V895"/>
    <hyperlink r:id="rId846" ref="V896"/>
    <hyperlink r:id="rId847" ref="V897"/>
    <hyperlink r:id="rId848" ref="V898"/>
    <hyperlink r:id="rId849" ref="V899"/>
    <hyperlink r:id="rId850" ref="V900"/>
    <hyperlink r:id="rId851" ref="V901"/>
    <hyperlink r:id="rId852" ref="V902"/>
    <hyperlink r:id="rId853" ref="V903"/>
    <hyperlink r:id="rId854" ref="V904"/>
    <hyperlink r:id="rId855" ref="V905"/>
    <hyperlink r:id="rId856" ref="V906"/>
    <hyperlink r:id="rId857" ref="V907"/>
    <hyperlink r:id="rId858" ref="V908"/>
    <hyperlink r:id="rId859" ref="V909"/>
    <hyperlink r:id="rId860" ref="V910"/>
    <hyperlink r:id="rId861" ref="V911"/>
    <hyperlink r:id="rId862" ref="V912"/>
    <hyperlink r:id="rId863" ref="V913"/>
    <hyperlink r:id="rId864" ref="V914"/>
    <hyperlink r:id="rId865" ref="V915"/>
    <hyperlink r:id="rId866" ref="V916"/>
    <hyperlink r:id="rId867" ref="V917"/>
    <hyperlink r:id="rId868" ref="V918"/>
    <hyperlink r:id="rId869" ref="V919"/>
    <hyperlink r:id="rId870" ref="V920"/>
    <hyperlink r:id="rId871" ref="V921"/>
    <hyperlink r:id="rId872" ref="V922"/>
    <hyperlink r:id="rId873" ref="V923"/>
    <hyperlink r:id="rId874" ref="V924"/>
    <hyperlink r:id="rId875" ref="V925"/>
    <hyperlink r:id="rId876" ref="V926"/>
    <hyperlink r:id="rId877" ref="V927"/>
    <hyperlink r:id="rId878" ref="V928"/>
    <hyperlink r:id="rId879" ref="V929"/>
    <hyperlink r:id="rId880" ref="V930"/>
    <hyperlink r:id="rId881" ref="V931"/>
    <hyperlink r:id="rId882" ref="V932"/>
    <hyperlink r:id="rId883" ref="V933"/>
    <hyperlink r:id="rId884" ref="V934"/>
    <hyperlink r:id="rId885" ref="V935"/>
    <hyperlink r:id="rId886" ref="V936"/>
    <hyperlink r:id="rId887" ref="V937"/>
    <hyperlink r:id="rId888" ref="V938"/>
    <hyperlink r:id="rId889" ref="V939"/>
    <hyperlink r:id="rId890" ref="V940"/>
    <hyperlink r:id="rId891" ref="V941"/>
    <hyperlink r:id="rId892" ref="V942"/>
    <hyperlink r:id="rId893" ref="V943"/>
    <hyperlink r:id="rId894" ref="V944"/>
    <hyperlink r:id="rId895" ref="V945"/>
    <hyperlink r:id="rId896" ref="V946"/>
    <hyperlink r:id="rId897" ref="V947"/>
    <hyperlink r:id="rId898" ref="V948"/>
    <hyperlink r:id="rId899" ref="V949"/>
    <hyperlink r:id="rId900" ref="V950"/>
    <hyperlink r:id="rId901" ref="V951"/>
    <hyperlink r:id="rId902" ref="V952"/>
    <hyperlink r:id="rId903" ref="V953"/>
    <hyperlink r:id="rId904" ref="V954"/>
    <hyperlink r:id="rId905" ref="V955"/>
    <hyperlink r:id="rId906" ref="V956"/>
    <hyperlink r:id="rId907" ref="V957"/>
    <hyperlink r:id="rId908" ref="V958"/>
    <hyperlink r:id="rId909" ref="V959"/>
    <hyperlink r:id="rId910" ref="V960"/>
    <hyperlink r:id="rId911" ref="V961"/>
    <hyperlink r:id="rId912" ref="V962"/>
    <hyperlink r:id="rId913" ref="V963"/>
    <hyperlink r:id="rId914" ref="V964"/>
    <hyperlink r:id="rId915" ref="V965"/>
    <hyperlink r:id="rId916" ref="V966"/>
    <hyperlink r:id="rId917" ref="V967"/>
    <hyperlink r:id="rId918" ref="V968"/>
    <hyperlink r:id="rId919" ref="V969"/>
    <hyperlink r:id="rId920" ref="V970"/>
    <hyperlink r:id="rId921" ref="V971"/>
    <hyperlink r:id="rId922" ref="V972"/>
    <hyperlink r:id="rId923" ref="V973"/>
    <hyperlink r:id="rId924" ref="V974"/>
    <hyperlink r:id="rId925" ref="V975"/>
    <hyperlink r:id="rId926" ref="V976"/>
    <hyperlink r:id="rId927" ref="V977"/>
    <hyperlink r:id="rId928" ref="V978"/>
    <hyperlink r:id="rId929" ref="V979"/>
    <hyperlink r:id="rId930" ref="V980"/>
    <hyperlink r:id="rId931" ref="V981"/>
    <hyperlink r:id="rId932" ref="V982"/>
    <hyperlink r:id="rId933" ref="V983"/>
    <hyperlink r:id="rId934" ref="V984"/>
    <hyperlink r:id="rId935" ref="V985"/>
    <hyperlink r:id="rId936" ref="V986"/>
    <hyperlink r:id="rId937" ref="V987"/>
    <hyperlink r:id="rId938" ref="V988"/>
    <hyperlink r:id="rId939" ref="V989"/>
    <hyperlink r:id="rId940" ref="V990"/>
    <hyperlink r:id="rId941" ref="V991"/>
    <hyperlink r:id="rId942" ref="V992"/>
    <hyperlink r:id="rId943" ref="V993"/>
    <hyperlink r:id="rId944" ref="V994"/>
    <hyperlink r:id="rId945" ref="V995"/>
    <hyperlink r:id="rId946" ref="V996"/>
    <hyperlink r:id="rId947" ref="V997"/>
    <hyperlink r:id="rId948" ref="V998"/>
    <hyperlink r:id="rId949" ref="V999"/>
    <hyperlink r:id="rId950" ref="V1000"/>
    <hyperlink r:id="rId951" ref="V1001"/>
    <hyperlink r:id="rId952" ref="V1002"/>
    <hyperlink r:id="rId953" ref="V1003"/>
    <hyperlink r:id="rId954" ref="V1004"/>
    <hyperlink r:id="rId955" ref="V1005"/>
    <hyperlink r:id="rId956" ref="V1006"/>
    <hyperlink r:id="rId957" ref="V1007"/>
    <hyperlink r:id="rId958" ref="V1008"/>
    <hyperlink r:id="rId959" ref="V1009"/>
    <hyperlink r:id="rId960" ref="V1010"/>
    <hyperlink r:id="rId961" ref="V1011"/>
    <hyperlink r:id="rId962" ref="V1012"/>
    <hyperlink r:id="rId963" ref="V1013"/>
    <hyperlink r:id="rId964" ref="V1014"/>
    <hyperlink r:id="rId965" ref="V1015"/>
    <hyperlink r:id="rId966" ref="V1016"/>
    <hyperlink r:id="rId967" ref="V1017"/>
    <hyperlink r:id="rId968" ref="V1018"/>
    <hyperlink r:id="rId969" ref="V1019"/>
    <hyperlink r:id="rId970" ref="V1020"/>
    <hyperlink r:id="rId971" ref="V1021"/>
    <hyperlink r:id="rId972" ref="V1022"/>
    <hyperlink r:id="rId973" ref="V1023"/>
    <hyperlink r:id="rId974" ref="V1024"/>
    <hyperlink r:id="rId975" ref="V1025"/>
    <hyperlink r:id="rId976" ref="V1026"/>
    <hyperlink r:id="rId977" ref="V1027"/>
    <hyperlink r:id="rId978" ref="V1028"/>
    <hyperlink r:id="rId979" ref="V1029"/>
    <hyperlink r:id="rId980" ref="V1030"/>
    <hyperlink r:id="rId981" ref="V1031"/>
    <hyperlink r:id="rId982" ref="V1032"/>
    <hyperlink r:id="rId983" ref="V1033"/>
    <hyperlink r:id="rId984" ref="V1034"/>
    <hyperlink r:id="rId985" ref="V1035"/>
    <hyperlink r:id="rId986" ref="V1036"/>
    <hyperlink r:id="rId987" ref="V1037"/>
    <hyperlink r:id="rId988" ref="V1038"/>
    <hyperlink r:id="rId989" ref="V1039"/>
    <hyperlink r:id="rId990" ref="V1040"/>
    <hyperlink r:id="rId991" ref="V1041"/>
    <hyperlink r:id="rId992" ref="V1042"/>
    <hyperlink r:id="rId993" ref="V1044"/>
    <hyperlink r:id="rId994" ref="V1045"/>
    <hyperlink r:id="rId995" ref="V1046"/>
    <hyperlink r:id="rId996" ref="V1047"/>
    <hyperlink r:id="rId997" ref="V1048"/>
    <hyperlink r:id="rId998" ref="V1049"/>
    <hyperlink r:id="rId999" ref="V1050"/>
    <hyperlink r:id="rId1000" ref="V1051"/>
    <hyperlink r:id="rId1001" ref="V1052"/>
    <hyperlink r:id="rId1002" ref="V1053"/>
    <hyperlink r:id="rId1003" ref="V1054"/>
    <hyperlink r:id="rId1004" ref="V1055"/>
    <hyperlink r:id="rId1005" ref="V1056"/>
    <hyperlink r:id="rId1006" ref="V1057"/>
    <hyperlink r:id="rId1007" ref="V1058"/>
    <hyperlink r:id="rId1008" ref="V1059"/>
    <hyperlink r:id="rId1009" ref="V1060"/>
    <hyperlink r:id="rId1010" ref="V1061"/>
    <hyperlink r:id="rId1011" ref="V1062"/>
    <hyperlink r:id="rId1012" ref="V1063"/>
    <hyperlink r:id="rId1013" ref="V1064"/>
    <hyperlink r:id="rId1014" ref="V1065"/>
    <hyperlink r:id="rId1015" ref="V1066"/>
    <hyperlink r:id="rId1016" ref="V1067"/>
    <hyperlink r:id="rId1017" ref="V1068"/>
    <hyperlink r:id="rId1018" ref="V1069"/>
    <hyperlink r:id="rId1019" ref="V1070"/>
    <hyperlink r:id="rId1020" ref="V1071"/>
    <hyperlink r:id="rId1021" ref="V1072"/>
    <hyperlink r:id="rId1022" ref="V1073"/>
    <hyperlink r:id="rId1023" ref="V1074"/>
    <hyperlink r:id="rId1024" ref="V1075"/>
    <hyperlink r:id="rId1025" ref="V1076"/>
    <hyperlink r:id="rId1026" ref="V1077"/>
    <hyperlink r:id="rId1027" ref="V1078"/>
    <hyperlink r:id="rId1028" ref="V1079"/>
    <hyperlink r:id="rId1029" ref="V1080"/>
    <hyperlink r:id="rId1030" ref="V1081"/>
    <hyperlink r:id="rId1031" ref="V1082"/>
    <hyperlink r:id="rId1032" ref="V1083"/>
    <hyperlink r:id="rId1033" ref="V1084"/>
    <hyperlink r:id="rId1034" ref="V1085"/>
    <hyperlink r:id="rId1035" ref="V1086"/>
    <hyperlink r:id="rId1036" ref="V1087"/>
    <hyperlink r:id="rId1037" ref="V1088"/>
    <hyperlink r:id="rId1038" ref="V1089"/>
    <hyperlink r:id="rId1039" ref="V1090"/>
    <hyperlink r:id="rId1040" ref="V1091"/>
    <hyperlink r:id="rId1041" ref="V1092"/>
    <hyperlink r:id="rId1042" ref="V1093"/>
    <hyperlink r:id="rId1043" ref="V1094"/>
    <hyperlink r:id="rId1044" ref="V1095"/>
    <hyperlink r:id="rId1045" ref="V1096"/>
    <hyperlink r:id="rId1046" ref="V1097"/>
    <hyperlink r:id="rId1047" ref="V1098"/>
    <hyperlink r:id="rId1048" ref="V1099"/>
    <hyperlink r:id="rId1049" ref="V1100"/>
    <hyperlink r:id="rId1050" ref="V1101"/>
    <hyperlink r:id="rId1051" ref="V1102"/>
    <hyperlink r:id="rId1052" ref="V1103"/>
    <hyperlink r:id="rId1053" ref="V1104"/>
    <hyperlink r:id="rId1054" ref="V1105"/>
    <hyperlink r:id="rId1055" ref="V1106"/>
    <hyperlink r:id="rId1056" ref="V1107"/>
    <hyperlink r:id="rId1057" ref="V1108"/>
    <hyperlink r:id="rId1058" ref="V1109"/>
    <hyperlink r:id="rId1059" ref="V1110"/>
    <hyperlink r:id="rId1060" ref="V1111"/>
    <hyperlink r:id="rId1061" ref="V1112"/>
    <hyperlink r:id="rId1062" ref="V1113"/>
    <hyperlink r:id="rId1063" ref="V1114"/>
    <hyperlink r:id="rId1064" ref="V1115"/>
    <hyperlink r:id="rId1065" ref="V1116"/>
    <hyperlink r:id="rId1066" ref="V1117"/>
    <hyperlink r:id="rId1067" ref="V1118"/>
    <hyperlink r:id="rId1068" ref="V1119"/>
    <hyperlink r:id="rId1069" ref="V1120"/>
    <hyperlink r:id="rId1070" ref="V1121"/>
    <hyperlink r:id="rId1071" ref="V1122"/>
    <hyperlink r:id="rId1072" ref="V1123"/>
    <hyperlink r:id="rId1073" ref="V1124"/>
    <hyperlink r:id="rId1074" ref="V1125"/>
    <hyperlink r:id="rId1075" ref="V1126"/>
    <hyperlink r:id="rId1076" ref="V1127"/>
    <hyperlink r:id="rId1077" ref="V1128"/>
    <hyperlink r:id="rId1078" ref="V1129"/>
    <hyperlink r:id="rId1079" ref="V1130"/>
    <hyperlink r:id="rId1080" ref="V1131"/>
    <hyperlink r:id="rId1081" ref="V1132"/>
    <hyperlink r:id="rId1082" ref="V1133"/>
    <hyperlink r:id="rId1083" ref="V1134"/>
    <hyperlink r:id="rId1084" ref="V1135"/>
    <hyperlink r:id="rId1085" ref="V1136"/>
    <hyperlink r:id="rId1086" ref="V1137"/>
    <hyperlink r:id="rId1087" ref="V1138"/>
    <hyperlink r:id="rId1088" ref="V1139"/>
    <hyperlink r:id="rId1089" ref="V1140"/>
    <hyperlink r:id="rId1090" ref="V1141"/>
    <hyperlink r:id="rId1091" ref="V1142"/>
    <hyperlink r:id="rId1092" ref="V1143"/>
    <hyperlink r:id="rId1093" ref="V1144"/>
    <hyperlink r:id="rId1094" ref="V1145"/>
    <hyperlink r:id="rId1095" ref="V1146"/>
    <hyperlink r:id="rId1096" ref="V1147"/>
    <hyperlink r:id="rId1097" ref="V1148"/>
    <hyperlink r:id="rId1098" ref="V1149"/>
    <hyperlink r:id="rId1099" ref="V1150"/>
    <hyperlink r:id="rId1100" ref="V1151"/>
    <hyperlink r:id="rId1101" ref="V1152"/>
    <hyperlink r:id="rId1102" ref="V1153"/>
    <hyperlink r:id="rId1103" ref="V1154"/>
    <hyperlink r:id="rId1104" ref="V1155"/>
    <hyperlink r:id="rId1105" ref="V1156"/>
    <hyperlink r:id="rId1106" ref="V1157"/>
    <hyperlink r:id="rId1107" ref="V1158"/>
    <hyperlink r:id="rId1108" ref="V1159"/>
    <hyperlink r:id="rId1109" ref="V1160"/>
    <hyperlink r:id="rId1110" ref="V1161"/>
    <hyperlink r:id="rId1111" ref="V1162"/>
    <hyperlink r:id="rId1112" ref="V1163"/>
    <hyperlink r:id="rId1113" ref="V1164"/>
    <hyperlink r:id="rId1114" ref="V1165"/>
    <hyperlink r:id="rId1115" ref="V1166"/>
    <hyperlink r:id="rId1116" ref="V1167"/>
    <hyperlink r:id="rId1117" ref="V1168"/>
    <hyperlink r:id="rId1118" ref="V1169"/>
    <hyperlink r:id="rId1119" ref="V1170"/>
    <hyperlink r:id="rId1120" ref="V1171"/>
    <hyperlink r:id="rId1121" ref="V1172"/>
    <hyperlink r:id="rId1122" ref="V1173"/>
    <hyperlink r:id="rId1123" ref="V1174"/>
    <hyperlink r:id="rId1124" ref="V1175"/>
    <hyperlink r:id="rId1125" ref="V1176"/>
    <hyperlink r:id="rId1126" ref="V1177"/>
    <hyperlink r:id="rId1127" ref="V1178"/>
    <hyperlink r:id="rId1128" ref="V1179"/>
    <hyperlink r:id="rId1129" ref="V1180"/>
    <hyperlink r:id="rId1130" ref="V1181"/>
    <hyperlink r:id="rId1131" ref="V1182"/>
    <hyperlink r:id="rId1132" ref="V1183"/>
    <hyperlink r:id="rId1133" ref="V1184"/>
    <hyperlink r:id="rId1134" ref="V1185"/>
    <hyperlink r:id="rId1135" ref="V1186"/>
    <hyperlink r:id="rId1136" ref="V1187"/>
    <hyperlink r:id="rId1137" ref="V1188"/>
    <hyperlink r:id="rId1138" ref="V1189"/>
    <hyperlink r:id="rId1139" ref="V1190"/>
    <hyperlink r:id="rId1140" ref="V1191"/>
    <hyperlink r:id="rId1141" ref="V1192"/>
    <hyperlink r:id="rId1142" ref="V1193"/>
    <hyperlink r:id="rId1143" ref="V1194"/>
    <hyperlink r:id="rId1144" ref="V1195"/>
    <hyperlink r:id="rId1145" ref="V1196"/>
    <hyperlink r:id="rId1146" ref="V1197"/>
    <hyperlink r:id="rId1147" ref="V1198"/>
    <hyperlink r:id="rId1148" ref="V1199"/>
    <hyperlink r:id="rId1149" ref="V1200"/>
    <hyperlink r:id="rId1150" ref="V1201"/>
    <hyperlink r:id="rId1151" ref="V1202"/>
    <hyperlink r:id="rId1152" ref="V1203"/>
    <hyperlink r:id="rId1153" ref="V1204"/>
    <hyperlink r:id="rId1154" ref="V1205"/>
    <hyperlink r:id="rId1155" ref="V1206"/>
    <hyperlink r:id="rId1156" ref="V1207"/>
    <hyperlink r:id="rId1157" ref="V1208"/>
    <hyperlink r:id="rId1158" ref="V1209"/>
    <hyperlink r:id="rId1159" ref="V1210"/>
    <hyperlink r:id="rId1160" ref="V1211"/>
    <hyperlink r:id="rId1161" ref="V1212"/>
    <hyperlink r:id="rId1162" ref="V1213"/>
    <hyperlink r:id="rId1163" ref="V1214"/>
    <hyperlink r:id="rId1164" ref="V1215"/>
    <hyperlink r:id="rId1165" ref="V1216"/>
    <hyperlink r:id="rId1166" ref="V1217"/>
    <hyperlink r:id="rId1167" ref="V1218"/>
    <hyperlink r:id="rId1168" ref="V1219"/>
    <hyperlink r:id="rId1169" ref="V1220"/>
    <hyperlink r:id="rId1170" ref="V1221"/>
    <hyperlink r:id="rId1171" ref="V1222"/>
    <hyperlink r:id="rId1172" ref="V1223"/>
    <hyperlink r:id="rId1173" ref="V1224"/>
    <hyperlink r:id="rId1174" ref="V1225"/>
    <hyperlink r:id="rId1175" ref="V1226"/>
    <hyperlink r:id="rId1176" ref="V1227"/>
    <hyperlink r:id="rId1177" ref="V1228"/>
    <hyperlink r:id="rId1178" ref="V1229"/>
    <hyperlink r:id="rId1179" ref="V1230"/>
    <hyperlink r:id="rId1180" ref="V1231"/>
    <hyperlink r:id="rId1181" ref="V1232"/>
    <hyperlink r:id="rId1182" ref="V1233"/>
    <hyperlink r:id="rId1183" ref="V1234"/>
    <hyperlink r:id="rId1184" ref="V1235"/>
    <hyperlink r:id="rId1185" ref="V1236"/>
    <hyperlink r:id="rId1186" ref="V1237"/>
    <hyperlink r:id="rId1187" ref="V1238"/>
    <hyperlink r:id="rId1188" ref="V1239"/>
    <hyperlink r:id="rId1189" ref="V1240"/>
    <hyperlink r:id="rId1190" ref="V1241"/>
    <hyperlink r:id="rId1191" ref="V1242"/>
    <hyperlink r:id="rId1192" ref="V1243"/>
    <hyperlink r:id="rId1193" ref="V1244"/>
    <hyperlink r:id="rId1194" ref="V1245"/>
    <hyperlink r:id="rId1195" ref="V1246"/>
    <hyperlink r:id="rId1196" ref="V1247"/>
    <hyperlink r:id="rId1197" ref="V1248"/>
    <hyperlink r:id="rId1198" ref="V1249"/>
    <hyperlink r:id="rId1199" ref="V1250"/>
    <hyperlink r:id="rId1200" ref="V1251"/>
    <hyperlink r:id="rId1201" ref="V1252"/>
    <hyperlink r:id="rId1202" ref="V1253"/>
    <hyperlink r:id="rId1203" ref="V1254"/>
    <hyperlink r:id="rId1204" ref="V1255"/>
    <hyperlink r:id="rId1205" ref="V1256"/>
    <hyperlink r:id="rId1206" ref="V1257"/>
    <hyperlink r:id="rId1207" ref="V1258"/>
    <hyperlink r:id="rId1208" ref="V1259"/>
    <hyperlink r:id="rId1209" ref="V1260"/>
    <hyperlink r:id="rId1210" ref="V1261"/>
    <hyperlink r:id="rId1211" ref="V1262"/>
    <hyperlink r:id="rId1212" ref="V1263"/>
    <hyperlink r:id="rId1213" ref="V1264"/>
    <hyperlink r:id="rId1214" ref="V1265"/>
    <hyperlink r:id="rId1215" ref="V1266"/>
    <hyperlink r:id="rId1216" ref="V1267"/>
    <hyperlink r:id="rId1217" ref="V1268"/>
    <hyperlink r:id="rId1218" ref="V1269"/>
    <hyperlink r:id="rId1219" ref="V1270"/>
    <hyperlink r:id="rId1220" ref="V1271"/>
    <hyperlink r:id="rId1221" ref="V1272"/>
    <hyperlink r:id="rId1222" ref="V1273"/>
    <hyperlink r:id="rId1223" ref="V1274"/>
    <hyperlink r:id="rId1224" ref="V1275"/>
    <hyperlink r:id="rId1225" ref="V1276"/>
    <hyperlink r:id="rId1226" ref="V1277"/>
    <hyperlink r:id="rId1227" ref="V1278"/>
    <hyperlink r:id="rId1228" ref="V1279"/>
    <hyperlink r:id="rId1229" ref="V1280"/>
    <hyperlink r:id="rId1230" ref="V1281"/>
    <hyperlink r:id="rId1231" ref="V1282"/>
    <hyperlink r:id="rId1232" ref="V1283"/>
    <hyperlink r:id="rId1233" ref="V1284"/>
    <hyperlink r:id="rId1234" ref="V1285"/>
    <hyperlink r:id="rId1235" ref="V1286"/>
    <hyperlink r:id="rId1236" ref="V1287"/>
    <hyperlink r:id="rId1237" ref="V1288"/>
    <hyperlink r:id="rId1238" ref="V1289"/>
    <hyperlink r:id="rId1239" ref="V1290"/>
    <hyperlink r:id="rId1240" ref="V1291"/>
    <hyperlink r:id="rId1241" ref="V1292"/>
    <hyperlink r:id="rId1242" ref="V1293"/>
    <hyperlink r:id="rId1243" ref="V1294"/>
    <hyperlink r:id="rId1244" ref="V1295"/>
    <hyperlink r:id="rId1245" ref="V1296"/>
    <hyperlink r:id="rId1246" ref="V1297"/>
    <hyperlink r:id="rId1247" ref="V1298"/>
    <hyperlink r:id="rId1248" ref="V1299"/>
    <hyperlink r:id="rId1249" ref="V1300"/>
    <hyperlink r:id="rId1250" ref="V1301"/>
    <hyperlink r:id="rId1251" ref="V1302"/>
    <hyperlink r:id="rId1252" ref="V1303"/>
    <hyperlink r:id="rId1253" ref="V1304"/>
    <hyperlink r:id="rId1254" ref="V1305"/>
    <hyperlink r:id="rId1255" ref="V1306"/>
    <hyperlink r:id="rId1256" ref="V1307"/>
    <hyperlink r:id="rId1257" ref="V1308"/>
    <hyperlink r:id="rId1258" ref="V1309"/>
    <hyperlink r:id="rId1259" ref="V1310"/>
    <hyperlink r:id="rId1260" ref="V1311"/>
    <hyperlink r:id="rId1261" ref="V1312"/>
    <hyperlink r:id="rId1262" ref="V1313"/>
    <hyperlink r:id="rId1263" ref="V1314"/>
    <hyperlink r:id="rId1264" ref="V1315"/>
    <hyperlink r:id="rId1265" ref="V1316"/>
    <hyperlink r:id="rId1266" ref="V1317"/>
    <hyperlink r:id="rId1267" ref="V1318"/>
    <hyperlink r:id="rId1268" ref="V1319"/>
    <hyperlink r:id="rId1269" ref="V1320"/>
    <hyperlink r:id="rId1270" ref="V1321"/>
    <hyperlink r:id="rId1271" ref="V1322"/>
    <hyperlink r:id="rId1272" ref="V1323"/>
    <hyperlink r:id="rId1273" ref="V1324"/>
    <hyperlink r:id="rId1274" ref="V1325"/>
    <hyperlink r:id="rId1275" ref="V1326"/>
    <hyperlink r:id="rId1276" ref="V1327"/>
    <hyperlink r:id="rId1277" ref="V1328"/>
    <hyperlink r:id="rId1278" ref="V1329"/>
    <hyperlink r:id="rId1279" ref="V1330"/>
    <hyperlink r:id="rId1280" ref="V1331"/>
    <hyperlink r:id="rId1281" ref="V1332"/>
    <hyperlink r:id="rId1282" ref="V1333"/>
    <hyperlink r:id="rId1283" ref="V1334"/>
    <hyperlink r:id="rId1284" ref="V1335"/>
    <hyperlink r:id="rId1285" ref="V1336"/>
    <hyperlink r:id="rId1286" ref="V1337"/>
    <hyperlink r:id="rId1287" ref="V1338"/>
    <hyperlink r:id="rId1288" ref="V1339"/>
    <hyperlink r:id="rId1289" ref="V1340"/>
    <hyperlink r:id="rId1290" ref="V1341"/>
    <hyperlink r:id="rId1291" ref="V1342"/>
    <hyperlink r:id="rId1292" ref="V1343"/>
    <hyperlink r:id="rId1293" ref="V1344"/>
    <hyperlink r:id="rId1294" ref="V1345"/>
    <hyperlink r:id="rId1295" ref="V1346"/>
    <hyperlink r:id="rId1296" ref="V1347"/>
    <hyperlink r:id="rId1297" ref="V1348"/>
    <hyperlink r:id="rId1298" ref="V1349"/>
    <hyperlink r:id="rId1299" ref="V1350"/>
    <hyperlink r:id="rId1300" ref="V1351"/>
    <hyperlink r:id="rId1301" ref="V1352"/>
    <hyperlink r:id="rId1302" ref="V1353"/>
    <hyperlink r:id="rId1303" ref="V1354"/>
    <hyperlink r:id="rId1304" ref="V1355"/>
    <hyperlink r:id="rId1305" ref="V1356"/>
    <hyperlink r:id="rId1306" ref="V1357"/>
    <hyperlink r:id="rId1307" ref="V1358"/>
    <hyperlink r:id="rId1308" ref="V1359"/>
    <hyperlink r:id="rId1309" ref="V1360"/>
    <hyperlink r:id="rId1310" ref="V1361"/>
    <hyperlink r:id="rId1311" ref="V1362"/>
    <hyperlink r:id="rId1312" ref="V1363"/>
    <hyperlink r:id="rId1313" ref="V1364"/>
    <hyperlink r:id="rId1314" ref="V1365"/>
    <hyperlink r:id="rId1315" ref="V1366"/>
    <hyperlink r:id="rId1316" ref="V1367"/>
    <hyperlink r:id="rId1317" ref="V1368"/>
    <hyperlink r:id="rId1318" ref="V1369"/>
    <hyperlink r:id="rId1319" ref="V1370"/>
    <hyperlink r:id="rId1320" ref="V1371"/>
    <hyperlink r:id="rId1321" ref="V1372"/>
    <hyperlink r:id="rId1322" ref="V1373"/>
    <hyperlink r:id="rId1323" ref="V1374"/>
    <hyperlink r:id="rId1324" ref="V1375"/>
    <hyperlink r:id="rId1325" ref="V1376"/>
    <hyperlink r:id="rId1326" ref="V1377"/>
    <hyperlink r:id="rId1327" ref="V1378"/>
    <hyperlink r:id="rId1328" ref="V1379"/>
    <hyperlink r:id="rId1329" ref="V1380"/>
    <hyperlink r:id="rId1330" ref="V1381"/>
    <hyperlink r:id="rId1331" ref="V1382"/>
    <hyperlink r:id="rId1332" ref="V1383"/>
    <hyperlink r:id="rId1333" ref="V1384"/>
    <hyperlink r:id="rId1334" ref="V1385"/>
    <hyperlink r:id="rId1335" ref="V1386"/>
    <hyperlink r:id="rId1336" ref="V1387"/>
    <hyperlink r:id="rId1337" ref="V1388"/>
    <hyperlink r:id="rId1338" ref="V1389"/>
    <hyperlink r:id="rId1339" ref="V1390"/>
    <hyperlink r:id="rId1340" ref="V1391"/>
    <hyperlink r:id="rId1341" ref="V1392"/>
    <hyperlink r:id="rId1342" ref="V1393"/>
    <hyperlink r:id="rId1343" ref="V1394"/>
    <hyperlink r:id="rId1344" ref="V1395"/>
    <hyperlink r:id="rId1345" ref="V1396"/>
    <hyperlink r:id="rId1346" ref="V1397"/>
    <hyperlink r:id="rId1347" ref="V1398"/>
    <hyperlink r:id="rId1348" ref="V1399"/>
    <hyperlink r:id="rId1349" ref="V1400"/>
    <hyperlink r:id="rId1350" ref="V1401"/>
    <hyperlink r:id="rId1351" ref="V1402"/>
    <hyperlink r:id="rId1352" ref="V1403"/>
    <hyperlink r:id="rId1353" ref="V1404"/>
    <hyperlink r:id="rId1354" ref="V1405"/>
    <hyperlink r:id="rId1355" ref="V1406"/>
    <hyperlink r:id="rId1356" ref="V1407"/>
    <hyperlink r:id="rId1357" ref="V1408"/>
    <hyperlink r:id="rId1358" ref="V1409"/>
    <hyperlink r:id="rId1359" ref="V1410"/>
    <hyperlink r:id="rId1360" ref="V1411"/>
    <hyperlink r:id="rId1361" ref="V1412"/>
    <hyperlink r:id="rId1362" ref="V1413"/>
    <hyperlink r:id="rId1363" ref="V1414"/>
    <hyperlink r:id="rId1364" ref="V1415"/>
    <hyperlink r:id="rId1365" ref="V1416"/>
    <hyperlink r:id="rId1366" ref="V1417"/>
    <hyperlink r:id="rId1367" ref="V1418"/>
    <hyperlink r:id="rId1368" ref="V1419"/>
    <hyperlink r:id="rId1369" ref="V1420"/>
    <hyperlink r:id="rId1370" ref="V1421"/>
    <hyperlink r:id="rId1371" ref="V1422"/>
    <hyperlink r:id="rId1372" ref="V1423"/>
    <hyperlink r:id="rId1373" ref="V1424"/>
    <hyperlink r:id="rId1374" ref="V1425"/>
    <hyperlink r:id="rId1375" ref="V1426"/>
    <hyperlink r:id="rId1376" ref="V1427"/>
    <hyperlink r:id="rId1377" ref="V1428"/>
    <hyperlink r:id="rId1378" ref="V1429"/>
    <hyperlink r:id="rId1379" ref="V1430"/>
    <hyperlink r:id="rId1380" ref="V1431"/>
    <hyperlink r:id="rId1381" ref="V1432"/>
    <hyperlink r:id="rId1382" ref="V1433"/>
    <hyperlink r:id="rId1383" ref="V1434"/>
    <hyperlink r:id="rId1384" ref="V1435"/>
    <hyperlink r:id="rId1385" ref="V1436"/>
    <hyperlink r:id="rId1386" ref="V1437"/>
    <hyperlink r:id="rId1387" ref="V1438"/>
    <hyperlink r:id="rId1388" ref="V1439"/>
    <hyperlink r:id="rId1389" ref="V1440"/>
    <hyperlink r:id="rId1390" ref="V1441"/>
    <hyperlink r:id="rId1391" ref="V1442"/>
    <hyperlink r:id="rId1392" ref="V1443"/>
    <hyperlink r:id="rId1393" ref="V1444"/>
    <hyperlink r:id="rId1394" ref="V1445"/>
    <hyperlink r:id="rId1395" ref="V1446"/>
    <hyperlink r:id="rId1396" ref="V1447"/>
    <hyperlink r:id="rId1397" ref="V1448"/>
    <hyperlink r:id="rId1398" ref="V1449"/>
    <hyperlink r:id="rId1399" ref="V1450"/>
    <hyperlink r:id="rId1400" ref="V1451"/>
    <hyperlink r:id="rId1401" ref="V1452"/>
    <hyperlink r:id="rId1402" ref="V1453"/>
    <hyperlink r:id="rId1403" ref="V1454"/>
    <hyperlink r:id="rId1404" ref="V1455"/>
    <hyperlink r:id="rId1405" ref="V1456"/>
    <hyperlink r:id="rId1406" ref="V1457"/>
    <hyperlink r:id="rId1407" ref="V1458"/>
    <hyperlink r:id="rId1408" ref="V1459"/>
    <hyperlink r:id="rId1409" ref="V1460"/>
    <hyperlink r:id="rId1410" ref="V1461"/>
    <hyperlink r:id="rId1411" ref="V1462"/>
    <hyperlink r:id="rId1412" ref="V1463"/>
    <hyperlink r:id="rId1413" ref="V1464"/>
    <hyperlink r:id="rId1414" ref="V1465"/>
    <hyperlink r:id="rId1415" ref="V1466"/>
    <hyperlink r:id="rId1416" ref="V1467"/>
    <hyperlink r:id="rId1417" ref="V1468"/>
    <hyperlink r:id="rId1418" ref="V1469"/>
    <hyperlink r:id="rId1419" ref="V1470"/>
    <hyperlink r:id="rId1420" ref="V1471"/>
    <hyperlink r:id="rId1421" ref="V1472"/>
    <hyperlink r:id="rId1422" ref="V1473"/>
    <hyperlink r:id="rId1423" ref="V1474"/>
  </hyperlinks>
  <printOptions gridLines="1" horizontalCentered="1"/>
  <pageMargins bottom="0.75" footer="0.0" header="0.0" left="0.7" right="0.7" top="0.75"/>
  <pageSetup fitToHeight="0" paperSize="9" cellComments="atEnd" orientation="portrait" pageOrder="overThenDown"/>
  <drawing r:id="rId14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32.75"/>
  </cols>
  <sheetData>
    <row r="1">
      <c r="A1" s="19" t="s">
        <v>1</v>
      </c>
      <c r="B1" s="19" t="s">
        <v>2</v>
      </c>
      <c r="C1" s="19" t="s">
        <v>3</v>
      </c>
      <c r="D1" s="19" t="s">
        <v>4</v>
      </c>
      <c r="E1" s="19" t="s">
        <v>5</v>
      </c>
      <c r="F1" s="19" t="s">
        <v>6</v>
      </c>
      <c r="G1" s="19" t="s">
        <v>7</v>
      </c>
      <c r="H1" s="20" t="s">
        <v>8</v>
      </c>
      <c r="I1" s="20" t="s">
        <v>9</v>
      </c>
      <c r="J1" s="19" t="s">
        <v>10</v>
      </c>
      <c r="K1" s="19" t="s">
        <v>11</v>
      </c>
      <c r="L1" s="19" t="s">
        <v>12</v>
      </c>
      <c r="M1" s="19" t="s">
        <v>13</v>
      </c>
      <c r="N1" s="19" t="s">
        <v>14</v>
      </c>
      <c r="O1" s="19" t="s">
        <v>15</v>
      </c>
      <c r="P1" s="19" t="s">
        <v>16</v>
      </c>
      <c r="Q1" s="19" t="s">
        <v>17</v>
      </c>
      <c r="R1" s="19" t="s">
        <v>18</v>
      </c>
      <c r="S1" s="19" t="s">
        <v>19</v>
      </c>
      <c r="T1" s="19" t="s">
        <v>20</v>
      </c>
      <c r="U1" s="19" t="s">
        <v>21</v>
      </c>
      <c r="V1" s="19" t="s">
        <v>22</v>
      </c>
      <c r="W1" s="19" t="s">
        <v>23</v>
      </c>
    </row>
    <row r="2">
      <c r="A2" s="21" t="s">
        <v>24</v>
      </c>
      <c r="B2" s="21" t="s">
        <v>25</v>
      </c>
      <c r="C2" s="21" t="s">
        <v>26</v>
      </c>
      <c r="D2" s="21" t="s">
        <v>27</v>
      </c>
      <c r="E2" s="21" t="s">
        <v>28</v>
      </c>
      <c r="F2" s="21" t="s">
        <v>28</v>
      </c>
      <c r="G2" s="21" t="s">
        <v>29</v>
      </c>
      <c r="H2" s="22" t="s">
        <v>30</v>
      </c>
      <c r="I2" s="22" t="s">
        <v>31</v>
      </c>
      <c r="J2" s="21" t="s">
        <v>32</v>
      </c>
      <c r="K2" s="21" t="s">
        <v>33</v>
      </c>
      <c r="L2" s="21" t="s">
        <v>34</v>
      </c>
      <c r="M2" s="21" t="s">
        <v>35</v>
      </c>
      <c r="N2" s="21" t="s">
        <v>36</v>
      </c>
      <c r="O2" s="21" t="s">
        <v>37</v>
      </c>
      <c r="P2" s="21" t="s">
        <v>38</v>
      </c>
      <c r="Q2" s="21" t="s">
        <v>39</v>
      </c>
      <c r="R2" s="21"/>
      <c r="S2" s="21"/>
      <c r="T2" s="21"/>
      <c r="U2" s="23" t="s">
        <v>40</v>
      </c>
      <c r="V2" s="21" t="s">
        <v>28</v>
      </c>
      <c r="W2" s="21" t="s">
        <v>41</v>
      </c>
    </row>
    <row r="3">
      <c r="A3" s="21" t="s">
        <v>42</v>
      </c>
      <c r="B3" s="21" t="s">
        <v>25</v>
      </c>
      <c r="C3" s="21" t="s">
        <v>43</v>
      </c>
      <c r="D3" s="21" t="s">
        <v>27</v>
      </c>
      <c r="E3" s="21" t="s">
        <v>28</v>
      </c>
      <c r="F3" s="21" t="s">
        <v>28</v>
      </c>
      <c r="G3" s="21" t="s">
        <v>29</v>
      </c>
      <c r="H3" s="22" t="s">
        <v>44</v>
      </c>
      <c r="I3" s="22" t="s">
        <v>45</v>
      </c>
      <c r="J3" s="21" t="s">
        <v>32</v>
      </c>
      <c r="K3" s="21" t="s">
        <v>33</v>
      </c>
      <c r="L3" s="21" t="s">
        <v>34</v>
      </c>
      <c r="M3" s="21" t="s">
        <v>35</v>
      </c>
      <c r="N3" s="21" t="s">
        <v>46</v>
      </c>
      <c r="O3" s="21" t="s">
        <v>37</v>
      </c>
      <c r="P3" s="21" t="s">
        <v>38</v>
      </c>
      <c r="Q3" s="21" t="s">
        <v>47</v>
      </c>
      <c r="R3" s="21"/>
      <c r="S3" s="21"/>
      <c r="T3" s="21"/>
      <c r="U3" s="23" t="s">
        <v>48</v>
      </c>
      <c r="V3" s="21" t="s">
        <v>28</v>
      </c>
      <c r="W3" s="21" t="s">
        <v>28</v>
      </c>
    </row>
    <row r="4">
      <c r="A4" s="21" t="s">
        <v>49</v>
      </c>
      <c r="B4" s="21" t="s">
        <v>25</v>
      </c>
      <c r="C4" s="21" t="s">
        <v>43</v>
      </c>
      <c r="D4" s="21" t="s">
        <v>27</v>
      </c>
      <c r="E4" s="21" t="s">
        <v>28</v>
      </c>
      <c r="F4" s="21" t="s">
        <v>28</v>
      </c>
      <c r="G4" s="21" t="s">
        <v>29</v>
      </c>
      <c r="H4" s="22" t="s">
        <v>50</v>
      </c>
      <c r="I4" s="22" t="s">
        <v>51</v>
      </c>
      <c r="J4" s="21" t="s">
        <v>32</v>
      </c>
      <c r="K4" s="21" t="s">
        <v>33</v>
      </c>
      <c r="L4" s="21" t="s">
        <v>34</v>
      </c>
      <c r="M4" s="21" t="s">
        <v>52</v>
      </c>
      <c r="N4" s="21" t="s">
        <v>53</v>
      </c>
      <c r="O4" s="21" t="s">
        <v>37</v>
      </c>
      <c r="P4" s="21" t="s">
        <v>38</v>
      </c>
      <c r="Q4" s="21" t="s">
        <v>47</v>
      </c>
      <c r="R4" s="21"/>
      <c r="S4" s="21"/>
      <c r="T4" s="21"/>
      <c r="U4" s="23" t="s">
        <v>54</v>
      </c>
      <c r="V4" s="21" t="s">
        <v>28</v>
      </c>
      <c r="W4" s="21" t="s">
        <v>55</v>
      </c>
    </row>
    <row r="5" ht="17.25" customHeight="1">
      <c r="A5" s="21" t="s">
        <v>56</v>
      </c>
      <c r="B5" s="21" t="s">
        <v>25</v>
      </c>
      <c r="C5" s="21" t="s">
        <v>43</v>
      </c>
      <c r="D5" s="21" t="s">
        <v>27</v>
      </c>
      <c r="E5" s="21" t="s">
        <v>28</v>
      </c>
      <c r="F5" s="21" t="s">
        <v>28</v>
      </c>
      <c r="G5" s="21" t="s">
        <v>29</v>
      </c>
      <c r="H5" s="22" t="s">
        <v>57</v>
      </c>
      <c r="I5" s="22" t="s">
        <v>58</v>
      </c>
      <c r="J5" s="21" t="s">
        <v>32</v>
      </c>
      <c r="K5" s="21" t="s">
        <v>33</v>
      </c>
      <c r="L5" s="21" t="s">
        <v>34</v>
      </c>
      <c r="M5" s="21" t="s">
        <v>35</v>
      </c>
      <c r="N5" s="21" t="s">
        <v>59</v>
      </c>
      <c r="O5" s="21" t="s">
        <v>37</v>
      </c>
      <c r="P5" s="21" t="s">
        <v>38</v>
      </c>
      <c r="Q5" s="21" t="s">
        <v>47</v>
      </c>
      <c r="R5" s="21"/>
      <c r="S5" s="21"/>
      <c r="T5" s="21"/>
      <c r="U5" s="23" t="s">
        <v>60</v>
      </c>
      <c r="V5" s="21" t="s">
        <v>28</v>
      </c>
      <c r="W5" s="21" t="s">
        <v>28</v>
      </c>
    </row>
    <row r="6" ht="15.75" customHeight="1">
      <c r="A6" s="21" t="s">
        <v>61</v>
      </c>
      <c r="B6" s="21" t="s">
        <v>25</v>
      </c>
      <c r="C6" s="21" t="s">
        <v>26</v>
      </c>
      <c r="D6" s="21" t="s">
        <v>27</v>
      </c>
      <c r="E6" s="21" t="s">
        <v>28</v>
      </c>
      <c r="F6" s="21" t="s">
        <v>28</v>
      </c>
      <c r="G6" s="21" t="s">
        <v>29</v>
      </c>
      <c r="H6" s="22" t="s">
        <v>62</v>
      </c>
      <c r="I6" s="22" t="s">
        <v>63</v>
      </c>
      <c r="J6" s="21" t="s">
        <v>32</v>
      </c>
      <c r="K6" s="21" t="s">
        <v>33</v>
      </c>
      <c r="L6" s="21" t="s">
        <v>34</v>
      </c>
      <c r="M6" s="21" t="s">
        <v>52</v>
      </c>
      <c r="N6" s="21"/>
      <c r="O6" s="21" t="s">
        <v>37</v>
      </c>
      <c r="P6" s="21" t="s">
        <v>38</v>
      </c>
      <c r="Q6" s="21" t="s">
        <v>47</v>
      </c>
      <c r="R6" s="21"/>
      <c r="S6" s="21"/>
      <c r="T6" s="21"/>
      <c r="U6" s="23" t="s">
        <v>64</v>
      </c>
      <c r="V6" s="21" t="s">
        <v>28</v>
      </c>
      <c r="W6" s="21" t="s">
        <v>28</v>
      </c>
    </row>
    <row r="7">
      <c r="A7" s="21" t="s">
        <v>65</v>
      </c>
      <c r="B7" s="21" t="s">
        <v>66</v>
      </c>
      <c r="C7" s="21" t="s">
        <v>43</v>
      </c>
      <c r="D7" s="21" t="s">
        <v>27</v>
      </c>
      <c r="E7" s="21" t="s">
        <v>28</v>
      </c>
      <c r="F7" s="21" t="s">
        <v>28</v>
      </c>
      <c r="G7" s="21" t="s">
        <v>29</v>
      </c>
      <c r="H7" s="22" t="s">
        <v>67</v>
      </c>
      <c r="I7" s="22" t="s">
        <v>68</v>
      </c>
      <c r="J7" s="21" t="s">
        <v>32</v>
      </c>
      <c r="K7" s="21" t="s">
        <v>33</v>
      </c>
      <c r="L7" s="21" t="s">
        <v>34</v>
      </c>
      <c r="M7" s="21" t="s">
        <v>35</v>
      </c>
      <c r="N7" s="21" t="s">
        <v>69</v>
      </c>
      <c r="O7" s="21" t="s">
        <v>37</v>
      </c>
      <c r="P7" s="21" t="s">
        <v>38</v>
      </c>
      <c r="Q7" s="21" t="s">
        <v>47</v>
      </c>
      <c r="R7" s="21"/>
      <c r="S7" s="21"/>
      <c r="T7" s="21"/>
      <c r="U7" s="23" t="s">
        <v>70</v>
      </c>
      <c r="V7" s="21" t="s">
        <v>28</v>
      </c>
      <c r="W7" s="21" t="s">
        <v>28</v>
      </c>
    </row>
    <row r="8" ht="15.75" customHeight="1">
      <c r="A8" s="21" t="s">
        <v>71</v>
      </c>
      <c r="B8" s="21" t="s">
        <v>66</v>
      </c>
      <c r="C8" s="21" t="s">
        <v>26</v>
      </c>
      <c r="D8" s="21" t="s">
        <v>27</v>
      </c>
      <c r="E8" s="21" t="s">
        <v>28</v>
      </c>
      <c r="F8" s="21" t="s">
        <v>28</v>
      </c>
      <c r="G8" s="21" t="s">
        <v>29</v>
      </c>
      <c r="H8" s="22" t="s">
        <v>72</v>
      </c>
      <c r="I8" s="22" t="s">
        <v>73</v>
      </c>
      <c r="J8" s="21" t="s">
        <v>32</v>
      </c>
      <c r="K8" s="21" t="s">
        <v>33</v>
      </c>
      <c r="L8" s="21" t="s">
        <v>34</v>
      </c>
      <c r="M8" s="21" t="s">
        <v>52</v>
      </c>
      <c r="N8" s="21" t="s">
        <v>74</v>
      </c>
      <c r="O8" s="21" t="s">
        <v>37</v>
      </c>
      <c r="P8" s="21" t="s">
        <v>38</v>
      </c>
      <c r="Q8" s="21" t="s">
        <v>47</v>
      </c>
      <c r="R8" s="21"/>
      <c r="S8" s="21"/>
      <c r="T8" s="21"/>
      <c r="U8" s="23" t="s">
        <v>75</v>
      </c>
      <c r="V8" s="21" t="s">
        <v>55</v>
      </c>
      <c r="W8" s="21" t="s">
        <v>28</v>
      </c>
    </row>
    <row r="9" ht="14.25" customHeight="1">
      <c r="A9" s="21" t="s">
        <v>76</v>
      </c>
      <c r="B9" s="21" t="s">
        <v>25</v>
      </c>
      <c r="C9" s="21" t="s">
        <v>43</v>
      </c>
      <c r="D9" s="21" t="s">
        <v>27</v>
      </c>
      <c r="E9" s="21" t="s">
        <v>28</v>
      </c>
      <c r="F9" s="21" t="s">
        <v>28</v>
      </c>
      <c r="G9" s="21" t="s">
        <v>29</v>
      </c>
      <c r="H9" s="22" t="s">
        <v>77</v>
      </c>
      <c r="I9" s="22" t="s">
        <v>78</v>
      </c>
      <c r="J9" s="21" t="s">
        <v>32</v>
      </c>
      <c r="K9" s="21" t="s">
        <v>33</v>
      </c>
      <c r="L9" s="21" t="s">
        <v>34</v>
      </c>
      <c r="M9" s="21" t="s">
        <v>52</v>
      </c>
      <c r="N9" s="21" t="s">
        <v>79</v>
      </c>
      <c r="O9" s="21" t="s">
        <v>37</v>
      </c>
      <c r="P9" s="21" t="s">
        <v>38</v>
      </c>
      <c r="Q9" s="21" t="s">
        <v>47</v>
      </c>
      <c r="R9" s="21"/>
      <c r="S9" s="21"/>
      <c r="T9" s="21"/>
      <c r="U9" s="23" t="s">
        <v>80</v>
      </c>
      <c r="V9" s="21" t="s">
        <v>28</v>
      </c>
      <c r="W9" s="21" t="s">
        <v>55</v>
      </c>
    </row>
    <row r="10">
      <c r="A10" s="21" t="s">
        <v>81</v>
      </c>
      <c r="B10" s="21" t="s">
        <v>82</v>
      </c>
      <c r="C10" s="21" t="s">
        <v>26</v>
      </c>
      <c r="D10" s="21" t="s">
        <v>27</v>
      </c>
      <c r="E10" s="21" t="s">
        <v>28</v>
      </c>
      <c r="F10" s="21" t="s">
        <v>28</v>
      </c>
      <c r="G10" s="21" t="s">
        <v>29</v>
      </c>
      <c r="H10" s="22" t="s">
        <v>83</v>
      </c>
      <c r="I10" s="22" t="s">
        <v>84</v>
      </c>
      <c r="J10" s="21" t="s">
        <v>32</v>
      </c>
      <c r="K10" s="21" t="s">
        <v>33</v>
      </c>
      <c r="L10" s="21" t="s">
        <v>34</v>
      </c>
      <c r="M10" s="21" t="s">
        <v>35</v>
      </c>
      <c r="N10" s="21" t="s">
        <v>85</v>
      </c>
      <c r="O10" s="21" t="s">
        <v>37</v>
      </c>
      <c r="P10" s="21" t="s">
        <v>38</v>
      </c>
      <c r="Q10" s="21" t="s">
        <v>47</v>
      </c>
      <c r="R10" s="21"/>
      <c r="S10" s="21"/>
      <c r="T10" s="21"/>
      <c r="U10" s="23" t="s">
        <v>86</v>
      </c>
      <c r="V10" s="21" t="s">
        <v>28</v>
      </c>
      <c r="W10" s="21" t="s">
        <v>28</v>
      </c>
    </row>
    <row r="11" ht="18.75" customHeight="1">
      <c r="A11" s="21" t="s">
        <v>87</v>
      </c>
      <c r="B11" s="21" t="s">
        <v>88</v>
      </c>
      <c r="C11" s="21" t="s">
        <v>26</v>
      </c>
      <c r="D11" s="21" t="s">
        <v>27</v>
      </c>
      <c r="E11" s="21" t="s">
        <v>28</v>
      </c>
      <c r="F11" s="21" t="s">
        <v>28</v>
      </c>
      <c r="G11" s="21" t="s">
        <v>29</v>
      </c>
      <c r="H11" s="22" t="s">
        <v>89</v>
      </c>
      <c r="I11" s="22" t="s">
        <v>90</v>
      </c>
      <c r="J11" s="21" t="s">
        <v>32</v>
      </c>
      <c r="K11" s="21" t="s">
        <v>33</v>
      </c>
      <c r="L11" s="21" t="s">
        <v>34</v>
      </c>
      <c r="M11" s="21" t="s">
        <v>35</v>
      </c>
      <c r="N11" s="21"/>
      <c r="O11" s="21" t="s">
        <v>37</v>
      </c>
      <c r="P11" s="21"/>
      <c r="Q11" s="21" t="s">
        <v>47</v>
      </c>
      <c r="R11" s="21"/>
      <c r="S11" s="21"/>
      <c r="T11" s="21"/>
      <c r="U11" s="23" t="s">
        <v>91</v>
      </c>
      <c r="V11" s="21" t="s">
        <v>28</v>
      </c>
      <c r="W11" s="21" t="s">
        <v>55</v>
      </c>
    </row>
    <row r="12" ht="19.5" customHeight="1">
      <c r="A12" s="21" t="s">
        <v>92</v>
      </c>
      <c r="B12" s="21" t="s">
        <v>88</v>
      </c>
      <c r="C12" s="21" t="s">
        <v>26</v>
      </c>
      <c r="D12" s="21" t="s">
        <v>27</v>
      </c>
      <c r="E12" s="21" t="s">
        <v>28</v>
      </c>
      <c r="F12" s="21" t="s">
        <v>28</v>
      </c>
      <c r="G12" s="21" t="s">
        <v>29</v>
      </c>
      <c r="H12" s="22" t="s">
        <v>93</v>
      </c>
      <c r="I12" s="22" t="s">
        <v>94</v>
      </c>
      <c r="J12" s="21" t="s">
        <v>32</v>
      </c>
      <c r="K12" s="21" t="s">
        <v>33</v>
      </c>
      <c r="L12" s="21" t="s">
        <v>34</v>
      </c>
      <c r="M12" s="21" t="s">
        <v>52</v>
      </c>
      <c r="N12" s="21" t="s">
        <v>95</v>
      </c>
      <c r="O12" s="21" t="s">
        <v>37</v>
      </c>
      <c r="P12" s="21"/>
      <c r="Q12" s="21" t="s">
        <v>47</v>
      </c>
      <c r="R12" s="21"/>
      <c r="S12" s="21"/>
      <c r="T12" s="21"/>
      <c r="U12" s="23" t="s">
        <v>96</v>
      </c>
      <c r="V12" s="21" t="s">
        <v>28</v>
      </c>
      <c r="W12" s="21" t="s">
        <v>55</v>
      </c>
    </row>
    <row r="13">
      <c r="A13" s="21" t="s">
        <v>97</v>
      </c>
      <c r="B13" s="21" t="s">
        <v>88</v>
      </c>
      <c r="C13" s="21" t="s">
        <v>26</v>
      </c>
      <c r="D13" s="21" t="s">
        <v>27</v>
      </c>
      <c r="E13" s="21" t="s">
        <v>28</v>
      </c>
      <c r="F13" s="21" t="s">
        <v>28</v>
      </c>
      <c r="G13" s="21" t="s">
        <v>29</v>
      </c>
      <c r="H13" s="22" t="s">
        <v>98</v>
      </c>
      <c r="I13" s="22" t="s">
        <v>99</v>
      </c>
      <c r="J13" s="21" t="s">
        <v>32</v>
      </c>
      <c r="K13" s="21" t="s">
        <v>33</v>
      </c>
      <c r="L13" s="21" t="s">
        <v>34</v>
      </c>
      <c r="M13" s="21" t="s">
        <v>52</v>
      </c>
      <c r="N13" s="21" t="s">
        <v>100</v>
      </c>
      <c r="O13" s="21" t="s">
        <v>37</v>
      </c>
      <c r="P13" s="21"/>
      <c r="Q13" s="21" t="s">
        <v>47</v>
      </c>
      <c r="R13" s="21"/>
      <c r="S13" s="21"/>
      <c r="T13" s="21"/>
      <c r="U13" s="23" t="s">
        <v>101</v>
      </c>
      <c r="V13" s="21" t="s">
        <v>55</v>
      </c>
      <c r="W13" s="21" t="s">
        <v>55</v>
      </c>
    </row>
    <row r="14">
      <c r="A14" s="21" t="s">
        <v>102</v>
      </c>
      <c r="B14" s="21" t="s">
        <v>88</v>
      </c>
      <c r="C14" s="21" t="s">
        <v>26</v>
      </c>
      <c r="D14" s="21" t="s">
        <v>27</v>
      </c>
      <c r="E14" s="21" t="s">
        <v>28</v>
      </c>
      <c r="F14" s="21" t="s">
        <v>28</v>
      </c>
      <c r="G14" s="21" t="s">
        <v>29</v>
      </c>
      <c r="H14" s="22" t="s">
        <v>103</v>
      </c>
      <c r="I14" s="22" t="s">
        <v>104</v>
      </c>
      <c r="J14" s="21" t="s">
        <v>32</v>
      </c>
      <c r="K14" s="21" t="s">
        <v>33</v>
      </c>
      <c r="L14" s="21" t="s">
        <v>34</v>
      </c>
      <c r="M14" s="21" t="s">
        <v>35</v>
      </c>
      <c r="N14" s="21" t="s">
        <v>105</v>
      </c>
      <c r="O14" s="21" t="s">
        <v>37</v>
      </c>
      <c r="P14" s="21"/>
      <c r="Q14" s="21" t="s">
        <v>47</v>
      </c>
      <c r="R14" s="21"/>
      <c r="S14" s="21"/>
      <c r="T14" s="21"/>
      <c r="U14" s="23" t="s">
        <v>106</v>
      </c>
      <c r="V14" s="21" t="s">
        <v>28</v>
      </c>
      <c r="W14" s="21" t="s">
        <v>28</v>
      </c>
    </row>
    <row r="15">
      <c r="A15" s="21" t="s">
        <v>107</v>
      </c>
      <c r="B15" s="21" t="s">
        <v>108</v>
      </c>
      <c r="C15" s="21" t="s">
        <v>43</v>
      </c>
      <c r="D15" s="21" t="s">
        <v>27</v>
      </c>
      <c r="E15" s="21" t="s">
        <v>28</v>
      </c>
      <c r="F15" s="21" t="s">
        <v>28</v>
      </c>
      <c r="G15" s="21" t="s">
        <v>29</v>
      </c>
      <c r="H15" s="22" t="s">
        <v>109</v>
      </c>
      <c r="I15" s="22" t="s">
        <v>110</v>
      </c>
      <c r="J15" s="21" t="s">
        <v>111</v>
      </c>
      <c r="K15" s="21" t="s">
        <v>112</v>
      </c>
      <c r="L15" s="21" t="s">
        <v>34</v>
      </c>
      <c r="M15" s="21" t="s">
        <v>52</v>
      </c>
      <c r="N15" s="21" t="s">
        <v>113</v>
      </c>
      <c r="O15" s="21" t="s">
        <v>37</v>
      </c>
      <c r="P15" s="21"/>
      <c r="Q15" s="21" t="s">
        <v>39</v>
      </c>
      <c r="R15" s="21"/>
      <c r="S15" s="21"/>
      <c r="T15" s="21"/>
      <c r="U15" s="23" t="s">
        <v>114</v>
      </c>
      <c r="V15" s="21" t="s">
        <v>28</v>
      </c>
      <c r="W15" s="21" t="s">
        <v>41</v>
      </c>
    </row>
    <row r="16">
      <c r="A16" s="21" t="s">
        <v>115</v>
      </c>
      <c r="B16" s="21" t="s">
        <v>116</v>
      </c>
      <c r="C16" s="21" t="s">
        <v>43</v>
      </c>
      <c r="D16" s="21" t="s">
        <v>27</v>
      </c>
      <c r="E16" s="21" t="s">
        <v>28</v>
      </c>
      <c r="F16" s="21" t="s">
        <v>28</v>
      </c>
      <c r="G16" s="21" t="s">
        <v>29</v>
      </c>
      <c r="H16" s="22" t="s">
        <v>117</v>
      </c>
      <c r="I16" s="22" t="s">
        <v>118</v>
      </c>
      <c r="J16" s="21" t="s">
        <v>32</v>
      </c>
      <c r="K16" s="21" t="s">
        <v>33</v>
      </c>
      <c r="L16" s="21" t="s">
        <v>34</v>
      </c>
      <c r="M16" s="21" t="s">
        <v>35</v>
      </c>
      <c r="N16" s="21" t="s">
        <v>119</v>
      </c>
      <c r="O16" s="21" t="s">
        <v>37</v>
      </c>
      <c r="P16" s="21"/>
      <c r="Q16" s="21" t="s">
        <v>47</v>
      </c>
      <c r="R16" s="21"/>
      <c r="S16" s="21"/>
      <c r="T16" s="21"/>
      <c r="U16" s="23" t="s">
        <v>120</v>
      </c>
      <c r="V16" s="21" t="s">
        <v>28</v>
      </c>
      <c r="W16" s="21" t="s">
        <v>28</v>
      </c>
    </row>
    <row r="17">
      <c r="A17" s="21" t="s">
        <v>121</v>
      </c>
      <c r="B17" s="21" t="s">
        <v>25</v>
      </c>
      <c r="C17" s="21" t="s">
        <v>43</v>
      </c>
      <c r="D17" s="21" t="s">
        <v>27</v>
      </c>
      <c r="E17" s="21" t="s">
        <v>28</v>
      </c>
      <c r="F17" s="21" t="s">
        <v>28</v>
      </c>
      <c r="G17" s="21" t="s">
        <v>29</v>
      </c>
      <c r="H17" s="22" t="s">
        <v>122</v>
      </c>
      <c r="I17" s="22" t="s">
        <v>123</v>
      </c>
      <c r="J17" s="21" t="s">
        <v>32</v>
      </c>
      <c r="K17" s="21" t="s">
        <v>33</v>
      </c>
      <c r="L17" s="21" t="s">
        <v>34</v>
      </c>
      <c r="M17" s="21" t="s">
        <v>35</v>
      </c>
      <c r="N17" s="21"/>
      <c r="O17" s="21" t="s">
        <v>37</v>
      </c>
      <c r="P17" s="21"/>
      <c r="Q17" s="21" t="s">
        <v>47</v>
      </c>
      <c r="R17" s="21"/>
      <c r="S17" s="21"/>
      <c r="T17" s="21"/>
      <c r="U17" s="23" t="s">
        <v>124</v>
      </c>
      <c r="V17" s="21" t="s">
        <v>28</v>
      </c>
      <c r="W17" s="21" t="s">
        <v>28</v>
      </c>
    </row>
    <row r="18">
      <c r="A18" s="21" t="s">
        <v>125</v>
      </c>
      <c r="B18" s="21" t="s">
        <v>25</v>
      </c>
      <c r="C18" s="21" t="s">
        <v>43</v>
      </c>
      <c r="D18" s="21" t="s">
        <v>27</v>
      </c>
      <c r="E18" s="21" t="s">
        <v>28</v>
      </c>
      <c r="F18" s="21" t="s">
        <v>28</v>
      </c>
      <c r="G18" s="21" t="s">
        <v>29</v>
      </c>
      <c r="H18" s="22" t="s">
        <v>126</v>
      </c>
      <c r="I18" s="22" t="s">
        <v>127</v>
      </c>
      <c r="J18" s="21" t="s">
        <v>32</v>
      </c>
      <c r="K18" s="21" t="s">
        <v>33</v>
      </c>
      <c r="L18" s="21" t="s">
        <v>34</v>
      </c>
      <c r="M18" s="21" t="s">
        <v>35</v>
      </c>
      <c r="N18" s="21"/>
      <c r="O18" s="21" t="s">
        <v>37</v>
      </c>
      <c r="P18" s="21"/>
      <c r="Q18" s="21" t="s">
        <v>47</v>
      </c>
      <c r="R18" s="21"/>
      <c r="S18" s="21"/>
      <c r="T18" s="21"/>
      <c r="U18" s="23" t="s">
        <v>128</v>
      </c>
      <c r="V18" s="21" t="s">
        <v>28</v>
      </c>
      <c r="W18" s="21" t="s">
        <v>28</v>
      </c>
    </row>
    <row r="19">
      <c r="A19" s="21" t="s">
        <v>129</v>
      </c>
      <c r="B19" s="21" t="s">
        <v>116</v>
      </c>
      <c r="C19" s="21" t="s">
        <v>43</v>
      </c>
      <c r="D19" s="21" t="s">
        <v>27</v>
      </c>
      <c r="E19" s="21" t="s">
        <v>28</v>
      </c>
      <c r="F19" s="21" t="s">
        <v>28</v>
      </c>
      <c r="G19" s="21" t="s">
        <v>29</v>
      </c>
      <c r="H19" s="22" t="s">
        <v>130</v>
      </c>
      <c r="I19" s="22" t="s">
        <v>131</v>
      </c>
      <c r="J19" s="21" t="s">
        <v>32</v>
      </c>
      <c r="K19" s="21" t="s">
        <v>33</v>
      </c>
      <c r="L19" s="21" t="s">
        <v>34</v>
      </c>
      <c r="M19" s="21" t="s">
        <v>52</v>
      </c>
      <c r="N19" s="21"/>
      <c r="O19" s="21" t="s">
        <v>37</v>
      </c>
      <c r="P19" s="21"/>
      <c r="Q19" s="21" t="s">
        <v>47</v>
      </c>
      <c r="R19" s="21"/>
      <c r="S19" s="21"/>
      <c r="T19" s="21"/>
      <c r="U19" s="23" t="s">
        <v>132</v>
      </c>
      <c r="V19" s="21" t="s">
        <v>55</v>
      </c>
      <c r="W19" s="21" t="s">
        <v>28</v>
      </c>
    </row>
  </sheetData>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s>
  <drawing r:id="rId19"/>
</worksheet>
</file>