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<sst xmlns="http://schemas.openxmlformats.org/spreadsheetml/2006/main" count="138">
  <si>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</si>
  <si>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</si>
  <si>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</si>
  <si>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</si>
  <si>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</si>
  <si>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JL-2018-SHY-012</t>
    </r>
  </si>
  <si>
    <t>工程部位/用途</t>
  </si>
  <si>
    <t>k18+133箱涵底板</t>
  </si>
  <si>
    <t>委托/任务编号</t>
  </si>
  <si>
    <t>/</t>
  </si>
  <si>
    <t>试验依据</t>
  </si>
  <si>
    <t>JTG E30-2005</t>
  </si>
  <si>
    <t>样品编号</t>
  </si>
  <si>
    <t>YP-2018-SHY-012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</si>
  <si>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</si>
  <si>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</si>
  <si>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</si>
  <si>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</si>
  <si>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</si>
  <si>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</si>
  <si>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</si>
  <si>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</si>
  <si>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2018/01/10-2018/02/07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</si>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</sst>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_ "/>
    <numFmt numFmtId="44" formatCode="_ &quot;￥&quot;* #,##0.00_ ;_ &quot;￥&quot;* \-#,##0.00_ ;_ &quot;￥&quot;* &quot;-&quot;??_ ;_ @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11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1" borderId="51" applyNumberFormat="0" applyFon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50" applyNumberFormat="0" applyFill="0" applyAlignment="0" applyProtection="0">
      <alignment vertical="center"/>
    </xf>
    <xf numFmtId="0" fontId="28" fillId="0" borderId="50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6" fillId="0" borderId="53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15" borderId="54" applyNumberFormat="0" applyAlignment="0" applyProtection="0">
      <alignment vertical="center"/>
    </xf>
    <xf numFmtId="0" fontId="20" fillId="15" borderId="48" applyNumberFormat="0" applyAlignment="0" applyProtection="0">
      <alignment vertical="center"/>
    </xf>
    <xf numFmtId="0" fontId="14" fillId="6" borderId="47" applyNumberForma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3" fillId="0" borderId="49" applyNumberFormat="0" applyFill="0" applyAlignment="0" applyProtection="0">
      <alignment vertical="center"/>
    </xf>
    <xf numFmtId="0" fontId="27" fillId="0" borderId="52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0" borderId="0">
      <alignment vertical="center"/>
    </xf>
    <xf numFmtId="0" fontId="13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57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5" workbookViewId="0">
      <selection activeCell="A15" sqref="A15:A23"/>
    </sheetView>
  </sheetViews>
  <sheetFormatPr defaultColWidth="7.91666666666667" defaultRowHeight="18" customHeight="1"/>
  <cols>
    <col min="1" max="1" width="10.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5" t="s">
        <v>13</v>
      </c>
      <c r="M7" s="255"/>
      <c r="N7" s="255"/>
      <c r="O7" s="256"/>
      <c r="P7" s="3" t="s">
        <v>14</v>
      </c>
      <c r="Q7" s="215" t="str">
        <f>RIGHT(L7,2)</f>
        <v>12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5" t="s">
        <v>22</v>
      </c>
      <c r="M9" s="255"/>
      <c r="N9" s="255"/>
      <c r="O9" s="256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3" t="str">
        <f>CONCATENATE(LEFT(L$7,P7),"-1")</f>
        <v>YP-2018-SHY-012-1</v>
      </c>
      <c r="B15" s="228" t="s">
        <v>46</v>
      </c>
      <c r="C15" s="229"/>
      <c r="D15" s="254" t="str">
        <f>LEFT(L9,P9)</f>
        <v>2018/01/10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/>
      <c r="L15" s="243">
        <v>44.3</v>
      </c>
      <c r="M15" s="244">
        <v>43.8</v>
      </c>
      <c r="N15" s="244">
        <f>M15</f>
        <v>43.8</v>
      </c>
      <c r="O15" s="239" t="s">
        <v>50</v>
      </c>
      <c r="P15" s="215">
        <f t="shared" ref="P15:P23" si="0">ROUND(K15/22.5,3)</f>
        <v>0</v>
      </c>
      <c r="Q15" s="250">
        <f>ROUND(AVERAGE(L15:L17),3)</f>
        <v>43.767</v>
      </c>
      <c r="R15" s="251">
        <f ca="1" t="shared" ref="R15:R23" si="1">ROUND(R$14+RAND()*S$14,2)</f>
        <v>1051.34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3" t="str">
        <f>CONCATENATE(LEFT(L$7,P7),"-2")</f>
        <v>YP-2018-SHY-012-2</v>
      </c>
      <c r="B16" s="231"/>
      <c r="C16" s="232"/>
      <c r="D16" s="254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/>
      <c r="L16" s="243">
        <v>43.7</v>
      </c>
      <c r="M16" s="244"/>
      <c r="N16" s="244"/>
      <c r="O16" s="239"/>
      <c r="P16" s="215">
        <f t="shared" si="0"/>
        <v>0</v>
      </c>
      <c r="Q16" s="250"/>
      <c r="R16" s="251">
        <f ca="1" t="shared" si="1"/>
        <v>1073.51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3" t="str">
        <f>CONCATENATE(LEFT(L$7,P7),"-3")</f>
        <v>YP-2018-SHY-012-3</v>
      </c>
      <c r="B17" s="233"/>
      <c r="C17" s="234"/>
      <c r="D17" s="254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/>
      <c r="L17" s="243">
        <v>43.3</v>
      </c>
      <c r="M17" s="244"/>
      <c r="N17" s="244"/>
      <c r="O17" s="239"/>
      <c r="P17" s="215">
        <f t="shared" si="0"/>
        <v>0</v>
      </c>
      <c r="Q17" s="250"/>
      <c r="R17" s="251">
        <f ca="1" t="shared" si="1"/>
        <v>990.99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3" t="str">
        <f>CONCATENATE(LEFT(L$7,P7),"-4")</f>
        <v>YP-2018-SHY-012-4</v>
      </c>
      <c r="B18" s="228" t="s">
        <v>46</v>
      </c>
      <c r="C18" s="229"/>
      <c r="D18" s="218" t="str">
        <f>D15</f>
        <v>2018/01/10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/>
      <c r="L18" s="243">
        <v>45.1</v>
      </c>
      <c r="M18" s="244">
        <v>44.6</v>
      </c>
      <c r="N18" s="244">
        <f>M18</f>
        <v>44.6</v>
      </c>
      <c r="O18" s="239" t="s">
        <v>50</v>
      </c>
      <c r="P18" s="215">
        <f t="shared" si="0"/>
        <v>0</v>
      </c>
      <c r="Q18" s="250">
        <f>ROUND(AVERAGE(L18:L20),3)</f>
        <v>44.567</v>
      </c>
      <c r="R18" s="251">
        <f ca="1" t="shared" si="1"/>
        <v>980.14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3" t="str">
        <f>CONCATENATE(LEFT(L$7,P7),"-5")</f>
        <v>YP-2018-SHY-012-5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/>
      <c r="L19" s="243">
        <v>45.6</v>
      </c>
      <c r="M19" s="244"/>
      <c r="N19" s="244"/>
      <c r="O19" s="239"/>
      <c r="P19" s="215">
        <f t="shared" si="0"/>
        <v>0</v>
      </c>
      <c r="Q19" s="250"/>
      <c r="R19" s="251">
        <f ca="1" t="shared" si="1"/>
        <v>985.87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3" t="str">
        <f>CONCATENATE(LEFT(L$7,P7),"-6")</f>
        <v>YP-2018-SHY-012-6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/>
      <c r="L20" s="243">
        <v>43</v>
      </c>
      <c r="M20" s="244"/>
      <c r="N20" s="244"/>
      <c r="O20" s="239"/>
      <c r="P20" s="215">
        <f t="shared" si="0"/>
        <v>0</v>
      </c>
      <c r="Q20" s="250"/>
      <c r="R20" s="251">
        <f ca="1" t="shared" si="1"/>
        <v>1051.53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3" t="str">
        <f>CONCATENATE(LEFT(L$7,P7),"-7")</f>
        <v>YP-2018-SHY-012-7</v>
      </c>
      <c r="B21" s="228" t="s">
        <v>46</v>
      </c>
      <c r="C21" s="229"/>
      <c r="D21" s="218" t="str">
        <f>D15</f>
        <v>2018/01/10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42"/>
      <c r="L21" s="243">
        <v>43.4</v>
      </c>
      <c r="M21" s="244">
        <v>44.2</v>
      </c>
      <c r="N21" s="244">
        <v>44.2</v>
      </c>
      <c r="O21" s="239" t="s">
        <v>50</v>
      </c>
      <c r="P21" s="215">
        <f t="shared" si="0"/>
        <v>0</v>
      </c>
      <c r="Q21" s="250">
        <f>ROUND(AVERAGE(L21:L23),3)</f>
        <v>44.233</v>
      </c>
      <c r="R21" s="251">
        <f ca="1" t="shared" si="1"/>
        <v>982.56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3" t="str">
        <f>CONCATENATE(LEFT(L$7,P7),"-8")</f>
        <v>YP-2018-SHY-012-8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42"/>
      <c r="L22" s="243">
        <v>45</v>
      </c>
      <c r="M22" s="244"/>
      <c r="N22" s="244"/>
      <c r="O22" s="239"/>
      <c r="P22" s="215">
        <f t="shared" si="0"/>
        <v>0</v>
      </c>
      <c r="Q22" s="250"/>
      <c r="R22" s="251">
        <f ca="1" t="shared" si="1"/>
        <v>1008.88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3" t="str">
        <f>CONCATENATE(LEFT(L$7,P7),"-9")</f>
        <v>YP-2018-SHY-012-9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42"/>
      <c r="L23" s="243">
        <v>44.3</v>
      </c>
      <c r="M23" s="244"/>
      <c r="N23" s="244"/>
      <c r="O23" s="239"/>
      <c r="P23" s="215">
        <f t="shared" si="0"/>
        <v>0</v>
      </c>
      <c r="Q23" s="250"/>
      <c r="R23" s="251">
        <f ca="1" t="shared" si="1"/>
        <v>982.8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1007.13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987.05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978.39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985.84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959.52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1028.86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974.03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966.99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976.89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18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CONCATENATE("报告编号：BG-2018-SHY-",RIGHT(强度记录!K4,3))</f>
        <v>报告编号：BG-2018-SHY-012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YP-2018-SHY-012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k18+133箱涵底板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YP-2018-SHY-012-1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2018/01/10-2018/02/07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44.3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43.8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125.1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YP-2018-SHY-012-2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43.7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YP-2018-SHY-012-3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43.3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YP-2018-SHY-012-4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2018/01/10-2018/02/07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45.1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44.6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127.4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YP-2018-SHY-012-5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45.6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YP-2018-SHY-012-6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43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YP-2018-SHY-012-7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2018/01/10-2018/02/07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43.4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44.2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126.3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YP-2018-SHY-012-8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45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YP-2018-SHY-012-9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44.3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2018-03-07T02:36:45Z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