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<sst xmlns="http://schemas.openxmlformats.org/spreadsheetml/2006/main" count="138">
  <si>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</si>
  <si>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</si>
  <si>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</si>
  <si>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</si>
  <si>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</si>
  <si>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JL-2018-SHY-018</t>
    </r>
  </si>
  <si>
    <t>工程部位/用途</t>
  </si>
  <si>
    <t>k23+053.2箱涵底板</t>
  </si>
  <si>
    <t>委托/任务编号</t>
  </si>
  <si>
    <t>/</t>
  </si>
  <si>
    <t>试验依据</t>
  </si>
  <si>
    <t>JTG E30-2005</t>
  </si>
  <si>
    <t>样品编号</t>
  </si>
  <si>
    <t>YP-2018-SHY-018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</si>
  <si>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</si>
  <si>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</si>
  <si>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</si>
  <si>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</si>
  <si>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</si>
  <si>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</si>
  <si>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</si>
  <si>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</si>
  <si>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2018/01/13-2018/02/10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</si>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</sst>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yyyy/m/d;@"/>
    <numFmt numFmtId="43" formatCode="_ * #,##0.00_ ;_ * \-#,##0.00_ ;_ * &quot;-&quot;??_ ;_ @_ "/>
    <numFmt numFmtId="177" formatCode="0.0_ "/>
    <numFmt numFmtId="178" formatCode="0.00;[Red]0.00"/>
    <numFmt numFmtId="179" formatCode="0.00_);[Red]\(0.00\)"/>
    <numFmt numFmtId="180" formatCode="0.0_);[Red]\(0.0\)"/>
    <numFmt numFmtId="181" formatCode="0.000_);[Red]\(0.000\)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13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0" borderId="49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47" applyNumberFormat="0" applyFill="0" applyAlignment="0" applyProtection="0">
      <alignment vertical="center"/>
    </xf>
    <xf numFmtId="0" fontId="24" fillId="0" borderId="47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5" fillId="0" borderId="51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6" fillId="30" borderId="52" applyNumberFormat="0" applyAlignment="0" applyProtection="0">
      <alignment vertical="center"/>
    </xf>
    <xf numFmtId="0" fontId="27" fillId="30" borderId="48" applyNumberFormat="0" applyAlignment="0" applyProtection="0">
      <alignment vertical="center"/>
    </xf>
    <xf numFmtId="0" fontId="28" fillId="31" borderId="53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9" fillId="0" borderId="54" applyNumberFormat="0" applyFill="0" applyAlignment="0" applyProtection="0">
      <alignment vertical="center"/>
    </xf>
    <xf numFmtId="0" fontId="23" fillId="0" borderId="50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30" fillId="0" borderId="0">
      <alignment vertical="center"/>
    </xf>
    <xf numFmtId="0" fontId="12" fillId="3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258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8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8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77" fontId="8" fillId="0" borderId="4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1" fontId="2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15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4.95" customHeight="1" spans="1:18">
      <c r="A6" s="9" t="s">
        <v>6</v>
      </c>
      <c r="B6" s="10"/>
      <c r="C6" s="10"/>
      <c r="D6" s="253" t="s">
        <v>7</v>
      </c>
      <c r="E6" s="253"/>
      <c r="F6" s="253"/>
      <c r="G6" s="253"/>
      <c r="H6" s="253"/>
      <c r="I6" s="253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6" t="s">
        <v>13</v>
      </c>
      <c r="M7" s="256"/>
      <c r="N7" s="256"/>
      <c r="O7" s="257"/>
      <c r="P7" s="3" t="s">
        <v>14</v>
      </c>
      <c r="Q7" s="215" t="str">
        <f>RIGHT(L7,2)</f>
        <v>18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6" t="s">
        <v>22</v>
      </c>
      <c r="M9" s="256"/>
      <c r="N9" s="256"/>
      <c r="O9" s="257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960</v>
      </c>
      <c r="S14" s="249" t="s">
        <v>45</v>
      </c>
      <c r="W14" s="215">
        <f>STDEV(T15:Z23)</f>
        <v>40.4427622616809</v>
      </c>
    </row>
    <row r="15" s="3" customFormat="1" ht="29.25" customHeight="1" spans="1:26">
      <c r="A15" s="254" t="str">
        <f>CONCATENATE(LEFT(L$7,P7),"-1")</f>
        <v>YP-2018-SHY-018-1</v>
      </c>
      <c r="B15" s="228" t="s">
        <v>46</v>
      </c>
      <c r="C15" s="229"/>
      <c r="D15" s="255" t="str">
        <f>LEFT(L9,P9)</f>
        <v>2018/01/13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42">
        <v>988.46</v>
      </c>
      <c r="L15" s="243">
        <v>43.9</v>
      </c>
      <c r="M15" s="244">
        <v>43.9</v>
      </c>
      <c r="N15" s="244">
        <f>M15</f>
        <v>43.9</v>
      </c>
      <c r="O15" s="239" t="s">
        <v>50</v>
      </c>
      <c r="P15" s="215">
        <f t="shared" ref="P15:P23" si="0">ROUND(K15/22.5,3)</f>
        <v>43.932</v>
      </c>
      <c r="Q15" s="250">
        <f>ROUND(AVERAGE(L15:L17),3)</f>
        <v>43.867</v>
      </c>
      <c r="R15" s="251">
        <f ca="1" t="shared" ref="R15:R23" si="1">ROUND(R$14+RAND()*S$14,2)</f>
        <v>1119.56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4" t="str">
        <f>CONCATENATE(LEFT(L$7,P7),"-2")</f>
        <v>YP-2018-SHY-018-2</v>
      </c>
      <c r="B16" s="231"/>
      <c r="C16" s="232"/>
      <c r="D16" s="255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42">
        <v>973.28</v>
      </c>
      <c r="L16" s="243">
        <v>43.2</v>
      </c>
      <c r="M16" s="244"/>
      <c r="N16" s="244"/>
      <c r="O16" s="239"/>
      <c r="P16" s="215">
        <f t="shared" si="0"/>
        <v>43.257</v>
      </c>
      <c r="Q16" s="250"/>
      <c r="R16" s="251">
        <f ca="1" t="shared" si="1"/>
        <v>1117.35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4" t="str">
        <f>CONCATENATE(LEFT(L$7,P7),"-3")</f>
        <v>YP-2018-SHY-018-3</v>
      </c>
      <c r="B17" s="233"/>
      <c r="C17" s="234"/>
      <c r="D17" s="255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42">
        <v>1000.4</v>
      </c>
      <c r="L17" s="243">
        <v>44.5</v>
      </c>
      <c r="M17" s="244"/>
      <c r="N17" s="244"/>
      <c r="O17" s="239"/>
      <c r="P17" s="215">
        <f t="shared" si="0"/>
        <v>44.462</v>
      </c>
      <c r="Q17" s="250"/>
      <c r="R17" s="251">
        <f ca="1" t="shared" si="1"/>
        <v>1005.39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4" t="str">
        <f>CONCATENATE(LEFT(L$7,P7),"-4")</f>
        <v>YP-2018-SHY-018-4</v>
      </c>
      <c r="B18" s="228" t="s">
        <v>46</v>
      </c>
      <c r="C18" s="229"/>
      <c r="D18" s="218" t="str">
        <f>D15</f>
        <v>2018/01/13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242">
        <v>970.59</v>
      </c>
      <c r="L18" s="243">
        <v>43.1</v>
      </c>
      <c r="M18" s="244">
        <v>44</v>
      </c>
      <c r="N18" s="244">
        <f>M18</f>
        <v>44</v>
      </c>
      <c r="O18" s="239" t="s">
        <v>50</v>
      </c>
      <c r="P18" s="215">
        <f t="shared" si="0"/>
        <v>43.137</v>
      </c>
      <c r="Q18" s="250">
        <f>ROUND(AVERAGE(L18:L20),3)</f>
        <v>43.967</v>
      </c>
      <c r="R18" s="251">
        <f ca="1" t="shared" si="1"/>
        <v>1050.07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4" t="str">
        <f>CONCATENATE(LEFT(L$7,P7),"-5")</f>
        <v>YP-2018-SHY-018-5</v>
      </c>
      <c r="B19" s="231"/>
      <c r="C19" s="232"/>
      <c r="D19" s="218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42">
        <v>998.35</v>
      </c>
      <c r="L19" s="243">
        <v>44.4</v>
      </c>
      <c r="M19" s="244"/>
      <c r="N19" s="244"/>
      <c r="O19" s="239"/>
      <c r="P19" s="215">
        <f t="shared" si="0"/>
        <v>44.371</v>
      </c>
      <c r="Q19" s="250"/>
      <c r="R19" s="251">
        <f ca="1" t="shared" si="1"/>
        <v>984.51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4" t="str">
        <f>CONCATENATE(LEFT(L$7,P7),"-6")</f>
        <v>YP-2018-SHY-018-6</v>
      </c>
      <c r="B20" s="233"/>
      <c r="C20" s="234"/>
      <c r="D20" s="218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42">
        <v>999.61</v>
      </c>
      <c r="L20" s="243">
        <v>44.4</v>
      </c>
      <c r="M20" s="244"/>
      <c r="N20" s="244"/>
      <c r="O20" s="239"/>
      <c r="P20" s="215">
        <f t="shared" si="0"/>
        <v>44.427</v>
      </c>
      <c r="Q20" s="250"/>
      <c r="R20" s="251">
        <f ca="1" t="shared" si="1"/>
        <v>1107.42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4" t="str">
        <f>CONCATENATE(LEFT(L$7,P7),"-7")</f>
        <v>YP-2018-SHY-018-7</v>
      </c>
      <c r="B21" s="228" t="s">
        <v>46</v>
      </c>
      <c r="C21" s="229"/>
      <c r="D21" s="218" t="str">
        <f>D15</f>
        <v>2018/01/13</v>
      </c>
      <c r="E21" s="230" t="s">
        <v>47</v>
      </c>
      <c r="F21" s="230" t="s">
        <v>48</v>
      </c>
      <c r="G21" s="230" t="s">
        <v>48</v>
      </c>
      <c r="H21" s="230" t="s">
        <v>48</v>
      </c>
      <c r="I21" s="230" t="s">
        <v>48</v>
      </c>
      <c r="J21" s="230" t="s">
        <v>49</v>
      </c>
      <c r="K21" s="242">
        <v>981.62</v>
      </c>
      <c r="L21" s="243">
        <v>43.6</v>
      </c>
      <c r="M21" s="244">
        <v>44.6</v>
      </c>
      <c r="N21" s="244">
        <f>M21</f>
        <v>44.6</v>
      </c>
      <c r="O21" s="239" t="s">
        <v>50</v>
      </c>
      <c r="P21" s="215">
        <f t="shared" si="0"/>
        <v>43.628</v>
      </c>
      <c r="Q21" s="250">
        <f>ROUND(AVERAGE(L21:L23),3)</f>
        <v>44.567</v>
      </c>
      <c r="R21" s="251">
        <f ca="1" t="shared" si="1"/>
        <v>1051.17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4" t="str">
        <f>CONCATENATE(LEFT(L$7,P7),"-8")</f>
        <v>YP-2018-SHY-018-8</v>
      </c>
      <c r="B22" s="231"/>
      <c r="C22" s="232"/>
      <c r="D22" s="218"/>
      <c r="E22" s="230"/>
      <c r="F22" s="230" t="s">
        <v>48</v>
      </c>
      <c r="G22" s="230" t="s">
        <v>48</v>
      </c>
      <c r="H22" s="230" t="s">
        <v>48</v>
      </c>
      <c r="I22" s="230" t="s">
        <v>48</v>
      </c>
      <c r="J22" s="230" t="s">
        <v>49</v>
      </c>
      <c r="K22" s="242">
        <v>1013.7</v>
      </c>
      <c r="L22" s="243">
        <v>45</v>
      </c>
      <c r="M22" s="244"/>
      <c r="N22" s="244"/>
      <c r="O22" s="239"/>
      <c r="P22" s="215">
        <f t="shared" si="0"/>
        <v>45.053</v>
      </c>
      <c r="Q22" s="250"/>
      <c r="R22" s="251">
        <f ca="1" t="shared" si="1"/>
        <v>1024.01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4" t="str">
        <f>CONCATENATE(LEFT(L$7,P7),"-9")</f>
        <v>YP-2018-SHY-018-9</v>
      </c>
      <c r="B23" s="233"/>
      <c r="C23" s="234"/>
      <c r="D23" s="218"/>
      <c r="E23" s="230"/>
      <c r="F23" s="230" t="s">
        <v>48</v>
      </c>
      <c r="G23" s="230" t="s">
        <v>48</v>
      </c>
      <c r="H23" s="230" t="s">
        <v>48</v>
      </c>
      <c r="I23" s="230" t="s">
        <v>48</v>
      </c>
      <c r="J23" s="230" t="s">
        <v>49</v>
      </c>
      <c r="K23" s="242">
        <v>1014.5</v>
      </c>
      <c r="L23" s="243">
        <v>45.1</v>
      </c>
      <c r="M23" s="244"/>
      <c r="N23" s="244"/>
      <c r="O23" s="239"/>
      <c r="P23" s="215">
        <f t="shared" si="0"/>
        <v>45.089</v>
      </c>
      <c r="Q23" s="250"/>
      <c r="R23" s="251">
        <f ca="1" t="shared" si="1"/>
        <v>1110.66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57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995.27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955.88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999.63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977.55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1000.18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985.34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990.98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984.65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959.29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view="pageBreakPreview" zoomScaleNormal="100" zoomScaleSheetLayoutView="100" topLeftCell="A23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CONCATENATE("报告编号：BG-2018-SHY-",RIGHT(强度记录!K4,3))</f>
        <v>报告编号：BG-2018-SHY-018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65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YP-2018-SHY-018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k23+053.2箱涵底板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72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tr">
        <f>强度记录!B15</f>
        <v>35</v>
      </c>
      <c r="BX29" s="199"/>
      <c r="BY29" s="199"/>
      <c r="BZ29" s="199"/>
      <c r="CA29" s="193" t="s">
        <v>73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YP-2018-SHY-018-1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2018/01/13-2018/02/10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43.9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43.9</v>
      </c>
      <c r="BB38" s="185"/>
      <c r="BC38" s="185"/>
      <c r="BD38" s="185"/>
      <c r="BE38" s="185"/>
      <c r="BF38" s="190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125.4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YP-2018-SHY-018-2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43.2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YP-2018-SHY-018-3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44.5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YP-2018-SHY-018-4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2018/01/13-2018/02/10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43.1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44</v>
      </c>
      <c r="BB47" s="185"/>
      <c r="BC47" s="185"/>
      <c r="BD47" s="185"/>
      <c r="BE47" s="185"/>
      <c r="BF47" s="190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125.7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YP-2018-SHY-018-5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44.4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YP-2018-SHY-018-6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44.4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YP-2018-SHY-018-7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2018/01/13-2018/02/10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43.6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44.6</v>
      </c>
      <c r="BB56" s="185"/>
      <c r="BC56" s="185"/>
      <c r="BD56" s="185"/>
      <c r="BE56" s="185"/>
      <c r="BF56" s="190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127.4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YP-2018-SHY-018-8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45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YP-2018-SHY-018-9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45.1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82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85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2018-03-07T02:43:55Z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false</vt:bool>
  </property>
</Properties>
</file>