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<sst xmlns="http://schemas.openxmlformats.org/spreadsheetml/2006/main" count="138">
  <si>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</si>
  <si>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</si>
  <si>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</si>
  <si>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</si>
  <si>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</si>
  <si>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JL-2018-SHY-024</t>
    </r>
  </si>
  <si>
    <t>工程部位/用途</t>
  </si>
  <si>
    <t>小校家中桥2-4#桩基</t>
  </si>
  <si>
    <t>委托/任务编号</t>
  </si>
  <si>
    <t>/</t>
  </si>
  <si>
    <t>试验依据</t>
  </si>
  <si>
    <t>JTG E30-2005</t>
  </si>
  <si>
    <t>样品编号</t>
  </si>
  <si>
    <t>YP-2018-SHY-024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</si>
  <si>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</si>
  <si>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</si>
  <si>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</si>
  <si>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</si>
  <si>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</si>
  <si>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</si>
  <si>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</si>
  <si>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</si>
  <si>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2018/01/16-2018/02/13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</si>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</sst>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0_);[Red]\(0.000\)"/>
    <numFmt numFmtId="179" formatCode="0.00_);[Red]\(0.00\)"/>
    <numFmt numFmtId="180" formatCode="0.0_);[Red]\(0.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11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47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49" applyNumberFormat="0" applyFill="0" applyAlignment="0" applyProtection="0">
      <alignment vertical="center"/>
    </xf>
    <xf numFmtId="0" fontId="22" fillId="0" borderId="4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0" borderId="5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9" borderId="52" applyNumberFormat="0" applyAlignment="0" applyProtection="0">
      <alignment vertical="center"/>
    </xf>
    <xf numFmtId="0" fontId="25" fillId="19" borderId="48" applyNumberFormat="0" applyAlignment="0" applyProtection="0">
      <alignment vertical="center"/>
    </xf>
    <xf numFmtId="0" fontId="26" fillId="22" borderId="53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  <xf numFmtId="179" fontId="10" fillId="0" borderId="4" xfId="50" applyNumberFormat="1" applyFont="1" applyBorder="1" applyAlignment="1">
      <alignment horizontal="center" vertical="center" wrapText="1"/>
    </xf>
    <xf numFmtId="176" fontId="10" fillId="0" borderId="4" xfId="50" applyNumberFormat="1" applyFont="1" applyBorder="1" applyAlignment="1">
      <alignment horizontal="center" vertical="center" wrapText="1"/>
    </xf>
    <xf numFmtId="180" fontId="10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5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6" t="s">
        <v>13</v>
      </c>
      <c r="M7" s="256"/>
      <c r="N7" s="256"/>
      <c r="O7" s="257"/>
      <c r="P7" s="3" t="s">
        <v>14</v>
      </c>
      <c r="Q7" s="215" t="str">
        <f>RIGHT(L7,2)</f>
        <v>24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6" t="s">
        <v>22</v>
      </c>
      <c r="M9" s="256"/>
      <c r="N9" s="256"/>
      <c r="O9" s="257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4" t="str">
        <f>CONCATENATE(LEFT(L$7,P7),"-1")</f>
        <v>YP-2018-SHY-024-1</v>
      </c>
      <c r="B15" s="228" t="s">
        <v>46</v>
      </c>
      <c r="C15" s="229"/>
      <c r="D15" s="255" t="str">
        <f>LEFT(L9,P9)</f>
        <v>2018/01/16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58">
        <v>950.37</v>
      </c>
      <c r="L15" s="259">
        <v>42.2</v>
      </c>
      <c r="M15" s="260">
        <v>43.1</v>
      </c>
      <c r="N15" s="244">
        <f>M15</f>
        <v>43.1</v>
      </c>
      <c r="O15" s="239" t="s">
        <v>50</v>
      </c>
      <c r="P15" s="215">
        <f t="shared" ref="P15:P23" si="0">ROUND(K15/22.5,3)</f>
        <v>42.239</v>
      </c>
      <c r="Q15" s="250">
        <f>ROUND(AVERAGE(L15:L17),3)</f>
        <v>43.133</v>
      </c>
      <c r="R15" s="251">
        <f ca="1" t="shared" ref="R15:R23" si="1">ROUND(R$14+RAND()*S$14,2)</f>
        <v>1059.41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4" t="str">
        <f>CONCATENATE(LEFT(L$7,P7),"-2")</f>
        <v>YP-2018-SHY-024-2</v>
      </c>
      <c r="B16" s="231"/>
      <c r="C16" s="232"/>
      <c r="D16" s="255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58">
        <v>948.5</v>
      </c>
      <c r="L16" s="259">
        <v>42.2</v>
      </c>
      <c r="M16" s="260"/>
      <c r="N16" s="244"/>
      <c r="O16" s="239"/>
      <c r="P16" s="215">
        <f t="shared" si="0"/>
        <v>42.156</v>
      </c>
      <c r="Q16" s="250"/>
      <c r="R16" s="251">
        <f ca="1" t="shared" si="1"/>
        <v>1051.08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4" t="str">
        <f>CONCATENATE(LEFT(L$7,P7),"-3")</f>
        <v>YP-2018-SHY-024-3</v>
      </c>
      <c r="B17" s="233"/>
      <c r="C17" s="234"/>
      <c r="D17" s="255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58">
        <v>1013.5</v>
      </c>
      <c r="L17" s="259">
        <v>45</v>
      </c>
      <c r="M17" s="260"/>
      <c r="N17" s="244"/>
      <c r="O17" s="239"/>
      <c r="P17" s="215">
        <f t="shared" si="0"/>
        <v>45.044</v>
      </c>
      <c r="Q17" s="250"/>
      <c r="R17" s="251">
        <f ca="1" t="shared" si="1"/>
        <v>970.86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4" t="str">
        <f>CONCATENATE(LEFT(L$7,P7),"-4")</f>
        <v>YP-2018-SHY-024-4</v>
      </c>
      <c r="B18" s="228" t="s">
        <v>46</v>
      </c>
      <c r="C18" s="229"/>
      <c r="D18" s="218" t="str">
        <f>D15</f>
        <v>2018/01/16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58">
        <v>966.73</v>
      </c>
      <c r="L18" s="259">
        <v>43</v>
      </c>
      <c r="M18" s="260">
        <v>43.7</v>
      </c>
      <c r="N18" s="244">
        <f>M18</f>
        <v>43.7</v>
      </c>
      <c r="O18" s="239" t="s">
        <v>50</v>
      </c>
      <c r="P18" s="215">
        <f t="shared" si="0"/>
        <v>42.966</v>
      </c>
      <c r="Q18" s="250">
        <f>ROUND(AVERAGE(L18:L20),3)</f>
        <v>43.7</v>
      </c>
      <c r="R18" s="251">
        <f ca="1" t="shared" si="1"/>
        <v>1002.18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4" t="str">
        <f>CONCATENATE(LEFT(L$7,P7),"-5")</f>
        <v>YP-2018-SHY-024-5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58">
        <v>1028.3</v>
      </c>
      <c r="L19" s="259">
        <v>45.7</v>
      </c>
      <c r="M19" s="260"/>
      <c r="N19" s="244"/>
      <c r="O19" s="239"/>
      <c r="P19" s="215">
        <f t="shared" si="0"/>
        <v>45.702</v>
      </c>
      <c r="Q19" s="250"/>
      <c r="R19" s="251">
        <f ca="1" t="shared" si="1"/>
        <v>1007.65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4" t="str">
        <f>CONCATENATE(LEFT(L$7,P7),"-6")</f>
        <v>YP-2018-SHY-024-6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58">
        <v>953.08</v>
      </c>
      <c r="L20" s="259">
        <v>42.4</v>
      </c>
      <c r="M20" s="260"/>
      <c r="N20" s="244"/>
      <c r="O20" s="239"/>
      <c r="P20" s="215">
        <f t="shared" si="0"/>
        <v>42.359</v>
      </c>
      <c r="Q20" s="250"/>
      <c r="R20" s="251">
        <f ca="1" t="shared" si="1"/>
        <v>1084.03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4" t="str">
        <f>CONCATENATE(LEFT(L$7,P7),"-7")</f>
        <v>YP-2018-SHY-024-7</v>
      </c>
      <c r="B21" s="228" t="s">
        <v>46</v>
      </c>
      <c r="C21" s="229"/>
      <c r="D21" s="218" t="str">
        <f>D15</f>
        <v>2018/01/16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58">
        <v>1079.1</v>
      </c>
      <c r="L21" s="259">
        <v>48</v>
      </c>
      <c r="M21" s="260">
        <v>44.4</v>
      </c>
      <c r="N21" s="244">
        <f>M21</f>
        <v>44.4</v>
      </c>
      <c r="O21" s="239" t="s">
        <v>50</v>
      </c>
      <c r="P21" s="215">
        <f t="shared" si="0"/>
        <v>47.96</v>
      </c>
      <c r="Q21" s="250">
        <f>ROUND(AVERAGE(L21:L23),3)</f>
        <v>44.433</v>
      </c>
      <c r="R21" s="251">
        <f ca="1" t="shared" si="1"/>
        <v>967.82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4" t="str">
        <f>CONCATENATE(LEFT(L$7,P7),"-8")</f>
        <v>YP-2018-SHY-024-8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58">
        <v>946.37</v>
      </c>
      <c r="L22" s="259">
        <v>42.1</v>
      </c>
      <c r="M22" s="260"/>
      <c r="N22" s="244"/>
      <c r="O22" s="239"/>
      <c r="P22" s="215">
        <f t="shared" si="0"/>
        <v>42.061</v>
      </c>
      <c r="Q22" s="250"/>
      <c r="R22" s="251">
        <f ca="1" t="shared" si="1"/>
        <v>1068.4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4" t="str">
        <f>CONCATENATE(LEFT(L$7,P7),"-9")</f>
        <v>YP-2018-SHY-024-9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58">
        <v>971.78</v>
      </c>
      <c r="L23" s="259">
        <v>43.2</v>
      </c>
      <c r="M23" s="260"/>
      <c r="N23" s="244"/>
      <c r="O23" s="239"/>
      <c r="P23" s="215">
        <f t="shared" si="0"/>
        <v>43.19</v>
      </c>
      <c r="Q23" s="250"/>
      <c r="R23" s="251">
        <f ca="1" t="shared" si="1"/>
        <v>970.28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0.786805555555556" bottom="0.235416666666667" header="0.511805555555556" footer="0.11805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1029.16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964.1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1012.02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987.68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986.99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999.25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1024.14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984.52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1012.67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27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报告编号：BG-2018-SHY-024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YP-2018-SHY-024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小校家中桥2-4#桩基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YP-2018-SHY-024-1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2018/01/16-2018/02/13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42.2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43.1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123.1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YP-2018-SHY-024-2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42.2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YP-2018-SHY-024-3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45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YP-2018-SHY-024-4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2018/01/16-2018/02/13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43.7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124.9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YP-2018-SHY-024-5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45.7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YP-2018-SHY-024-6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42.4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YP-2018-SHY-024-7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2018/01/16-2018/02/13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48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44.4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126.9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YP-2018-SHY-024-8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42.1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YP-2018-SHY-024-9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43.2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