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<sst xmlns="http://schemas.openxmlformats.org/spreadsheetml/2006/main" count="138">
  <si>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</si>
  <si>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</si>
  <si>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</si>
  <si>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</si>
  <si>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</si>
  <si>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JL-2018-SHY-030</t>
    </r>
  </si>
  <si>
    <t>工程部位/用途</t>
  </si>
  <si>
    <t>小校家中桥3-3#桩基</t>
  </si>
  <si>
    <t>委托/任务编号</t>
  </si>
  <si>
    <t>/</t>
  </si>
  <si>
    <t>试验依据</t>
  </si>
  <si>
    <t>JTG E30-2005</t>
  </si>
  <si>
    <t>样品编号</t>
  </si>
  <si>
    <t>YP-2018-SHY-030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</si>
  <si>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</si>
  <si>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</si>
  <si>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</si>
  <si>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</si>
  <si>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</si>
  <si>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</si>
  <si>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</si>
  <si>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</si>
  <si>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2018/01/19-2018/02/16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</si>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</sst>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8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47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49" applyNumberFormat="0" applyFill="0" applyAlignment="0" applyProtection="0">
      <alignment vertical="center"/>
    </xf>
    <xf numFmtId="0" fontId="24" fillId="0" borderId="4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0" borderId="52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10" borderId="50" applyNumberFormat="0" applyAlignment="0" applyProtection="0">
      <alignment vertical="center"/>
    </xf>
    <xf numFmtId="0" fontId="15" fillId="10" borderId="48" applyNumberFormat="0" applyAlignment="0" applyProtection="0">
      <alignment vertical="center"/>
    </xf>
    <xf numFmtId="0" fontId="26" fillId="22" borderId="53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0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  <xf numFmtId="178" fontId="10" fillId="0" borderId="4" xfId="50" applyNumberFormat="1" applyFont="1" applyBorder="1" applyAlignment="1">
      <alignment horizontal="center" vertical="center" wrapText="1"/>
    </xf>
    <xf numFmtId="176" fontId="10" fillId="0" borderId="4" xfId="50" applyNumberFormat="1" applyFont="1" applyBorder="1" applyAlignment="1">
      <alignment horizontal="center" vertical="center" wrapText="1"/>
    </xf>
    <xf numFmtId="179" fontId="10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6" t="s">
        <v>13</v>
      </c>
      <c r="M7" s="256"/>
      <c r="N7" s="256"/>
      <c r="O7" s="257"/>
      <c r="P7" s="3" t="s">
        <v>14</v>
      </c>
      <c r="Q7" s="215" t="str">
        <f>RIGHT(L7,2)</f>
        <v>30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6" t="s">
        <v>22</v>
      </c>
      <c r="M9" s="256"/>
      <c r="N9" s="256"/>
      <c r="O9" s="257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4" t="str">
        <f>CONCATENATE(LEFT(L$7,P7),"-1")</f>
        <v>YP-2018-SHY-030-1</v>
      </c>
      <c r="B15" s="228" t="s">
        <v>46</v>
      </c>
      <c r="C15" s="229"/>
      <c r="D15" s="255" t="str">
        <f>LEFT(L9,P9)</f>
        <v>2018/01/19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58">
        <v>939.14</v>
      </c>
      <c r="L15" s="259">
        <v>41.7</v>
      </c>
      <c r="M15" s="260">
        <v>42.5</v>
      </c>
      <c r="N15" s="244">
        <f>M15</f>
        <v>42.5</v>
      </c>
      <c r="O15" s="239" t="s">
        <v>50</v>
      </c>
      <c r="P15" s="215">
        <f t="shared" ref="P15:P23" si="0">ROUND(K15/22.5,3)</f>
        <v>41.74</v>
      </c>
      <c r="Q15" s="250">
        <f>ROUND(AVERAGE(L15:L17),3)</f>
        <v>42.467</v>
      </c>
      <c r="R15" s="251">
        <f ca="1" t="shared" ref="R15:R23" si="1">ROUND(R$14+RAND()*S$14,2)</f>
        <v>1045.52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4" t="str">
        <f>CONCATENATE(LEFT(L$7,P7),"-2")</f>
        <v>YP-2018-SHY-030-2</v>
      </c>
      <c r="B16" s="231"/>
      <c r="C16" s="232"/>
      <c r="D16" s="255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58">
        <v>989.19</v>
      </c>
      <c r="L16" s="259">
        <v>44</v>
      </c>
      <c r="M16" s="260"/>
      <c r="N16" s="244"/>
      <c r="O16" s="239"/>
      <c r="P16" s="215">
        <f t="shared" si="0"/>
        <v>43.964</v>
      </c>
      <c r="Q16" s="250"/>
      <c r="R16" s="251">
        <f ca="1" t="shared" si="1"/>
        <v>1035.52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4" t="str">
        <f>CONCATENATE(LEFT(L$7,P7),"-3")</f>
        <v>YP-2018-SHY-030-3</v>
      </c>
      <c r="B17" s="233"/>
      <c r="C17" s="234"/>
      <c r="D17" s="255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58">
        <v>939.36</v>
      </c>
      <c r="L17" s="259">
        <v>41.7</v>
      </c>
      <c r="M17" s="260"/>
      <c r="N17" s="244"/>
      <c r="O17" s="239"/>
      <c r="P17" s="215">
        <f t="shared" si="0"/>
        <v>41.749</v>
      </c>
      <c r="Q17" s="250"/>
      <c r="R17" s="251">
        <f ca="1" t="shared" si="1"/>
        <v>1020.09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4" t="str">
        <f>CONCATENATE(LEFT(L$7,P7),"-4")</f>
        <v>YP-2018-SHY-030-4</v>
      </c>
      <c r="B18" s="228" t="s">
        <v>46</v>
      </c>
      <c r="C18" s="229"/>
      <c r="D18" s="218" t="str">
        <f>D15</f>
        <v>2018/01/19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58">
        <v>971.65</v>
      </c>
      <c r="L18" s="259">
        <v>43.2</v>
      </c>
      <c r="M18" s="260">
        <v>42.8</v>
      </c>
      <c r="N18" s="244">
        <f>M18</f>
        <v>42.8</v>
      </c>
      <c r="O18" s="239" t="s">
        <v>50</v>
      </c>
      <c r="P18" s="215">
        <f t="shared" si="0"/>
        <v>43.184</v>
      </c>
      <c r="Q18" s="250">
        <f>ROUND(AVERAGE(L18:L20),3)</f>
        <v>42.767</v>
      </c>
      <c r="R18" s="251">
        <f ca="1" t="shared" si="1"/>
        <v>1040.78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4" t="str">
        <f>CONCATENATE(LEFT(L$7,P7),"-5")</f>
        <v>YP-2018-SHY-030-5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58">
        <v>961.09</v>
      </c>
      <c r="L19" s="259">
        <v>42.7</v>
      </c>
      <c r="M19" s="260"/>
      <c r="N19" s="244"/>
      <c r="O19" s="239"/>
      <c r="P19" s="215">
        <f t="shared" si="0"/>
        <v>42.715</v>
      </c>
      <c r="Q19" s="250"/>
      <c r="R19" s="251">
        <f ca="1" t="shared" si="1"/>
        <v>1104.14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4" t="str">
        <f>CONCATENATE(LEFT(L$7,P7),"-6")</f>
        <v>YP-2018-SHY-030-6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58">
        <v>954.42</v>
      </c>
      <c r="L20" s="259">
        <v>42.4</v>
      </c>
      <c r="M20" s="260"/>
      <c r="N20" s="244"/>
      <c r="O20" s="239"/>
      <c r="P20" s="215">
        <f t="shared" si="0"/>
        <v>42.419</v>
      </c>
      <c r="Q20" s="250"/>
      <c r="R20" s="251">
        <f ca="1" t="shared" si="1"/>
        <v>1112.75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4" t="str">
        <f>CONCATENATE(LEFT(L$7,P7),"-7")</f>
        <v>YP-2018-SHY-030-7</v>
      </c>
      <c r="B21" s="228" t="s">
        <v>46</v>
      </c>
      <c r="C21" s="229"/>
      <c r="D21" s="218" t="str">
        <f>D15</f>
        <v>2018/01/19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58">
        <v>934.02</v>
      </c>
      <c r="L21" s="259">
        <v>41.5</v>
      </c>
      <c r="M21" s="260">
        <v>42.7</v>
      </c>
      <c r="N21" s="244">
        <f>M21</f>
        <v>42.7</v>
      </c>
      <c r="O21" s="239" t="s">
        <v>50</v>
      </c>
      <c r="P21" s="215">
        <f t="shared" si="0"/>
        <v>41.512</v>
      </c>
      <c r="Q21" s="250">
        <f>ROUND(AVERAGE(L21:L23),3)</f>
        <v>42.7</v>
      </c>
      <c r="R21" s="251">
        <f ca="1" t="shared" si="1"/>
        <v>1032.47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4" t="str">
        <f>CONCATENATE(LEFT(L$7,P7),"-8")</f>
        <v>YP-2018-SHY-030-8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58">
        <v>986.61</v>
      </c>
      <c r="L22" s="259">
        <v>43.8</v>
      </c>
      <c r="M22" s="260"/>
      <c r="N22" s="244"/>
      <c r="O22" s="239"/>
      <c r="P22" s="215">
        <f t="shared" si="0"/>
        <v>43.849</v>
      </c>
      <c r="Q22" s="250"/>
      <c r="R22" s="251">
        <f ca="1" t="shared" si="1"/>
        <v>1000.49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4" t="str">
        <f>CONCATENATE(LEFT(L$7,P7),"-9")</f>
        <v>YP-2018-SHY-030-9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58">
        <v>962.68</v>
      </c>
      <c r="L23" s="259">
        <v>42.8</v>
      </c>
      <c r="M23" s="260"/>
      <c r="N23" s="244"/>
      <c r="O23" s="239"/>
      <c r="P23" s="215">
        <f t="shared" si="0"/>
        <v>42.786</v>
      </c>
      <c r="Q23" s="250"/>
      <c r="R23" s="251">
        <f ca="1" t="shared" si="1"/>
        <v>977.79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0.786805555555556" bottom="0.235416666666667" header="0.511805555555556" footer="0.11805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1017.36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985.33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988.3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1008.64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985.36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1011.63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954.54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1001.4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951.15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34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报告编号：BG-2018-SHY-030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YP-2018-SHY-030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小校家中桥3-3#桩基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YP-2018-SHY-030-1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2018/01/19-2018/02/16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41.7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42.5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121.4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YP-2018-SHY-030-2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YP-2018-SHY-030-3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41.7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YP-2018-SHY-030-4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2018/01/19-2018/02/16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43.2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42.8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122.3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YP-2018-SHY-030-5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42.7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YP-2018-SHY-030-6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42.4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YP-2018-SHY-030-7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2018/01/19-2018/02/16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41.5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42.7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122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YP-2018-SHY-030-8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43.8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YP-2018-SHY-030-9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42.8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2018-03-07T05:59:05Z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