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5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<sst xmlns="http://schemas.openxmlformats.org/spreadsheetml/2006/main" count="142">
  <si>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</si>
  <si>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</si>
  <si>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</si>
  <si>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</si>
  <si>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</si>
  <si>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JL-2018-SHY-105</t>
    </r>
  </si>
  <si>
    <t>工程部位/用途</t>
  </si>
  <si>
    <t>K19+582涵洞底板</t>
  </si>
  <si>
    <t>委托/任务编号</t>
  </si>
  <si>
    <t>/</t>
  </si>
  <si>
    <t>试验依据</t>
  </si>
  <si>
    <t>JTG E30-2005</t>
  </si>
  <si>
    <t>样品编号</t>
  </si>
  <si>
    <t>YP-2018-SHY-105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</si>
  <si>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</si>
  <si>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</si>
  <si>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</si>
  <si>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</si>
  <si>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</si>
  <si>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</si>
  <si>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</si>
  <si>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</si>
  <si>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2018/04/02-2018/04/30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</si>
  <si>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</si>
  <si>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</si>
  <si>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</si>
  <si>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</si>
  <si>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</si>
  <si>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</si>
  <si>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</si>
  <si>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</si>
  <si>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</si>
  <si>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</si>
  <si>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</si>
  <si>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</si>
  <si>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</si>
  <si>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</si>
  <si>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</si>
  <si>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</si>
  <si>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</si>
  <si>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</si>
  <si>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</si>
  <si>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</si>
  <si>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</si>
  <si>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</si>
  <si>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</si>
  <si>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</si>
  <si>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</si>
  <si>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</si>
  <si>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</si>
  <si>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</si>
  <si>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</si>
  <si>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</si>
  <si>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992.96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</si>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</sst>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2" fillId="20" borderId="5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50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27" fillId="0" borderId="49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0" borderId="53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0" fillId="23" borderId="54" applyNumberFormat="0" applyAlignment="0" applyProtection="0">
      <alignment vertical="center"/>
    </xf>
    <xf numFmtId="0" fontId="24" fillId="23" borderId="51" applyNumberFormat="0" applyAlignment="0" applyProtection="0">
      <alignment vertical="center"/>
    </xf>
    <xf numFmtId="0" fontId="16" fillId="10" borderId="47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0" borderId="48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260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19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7" workbookViewId="0">
      <selection activeCell="M18" sqref="M18:M20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20"/>
      <c r="D6" s="253" t="s">
        <v>7</v>
      </c>
      <c r="E6" s="253"/>
      <c r="F6" s="253"/>
      <c r="G6" s="253"/>
      <c r="H6" s="253"/>
      <c r="I6" s="253"/>
      <c r="J6" s="21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54" t="s">
        <v>11</v>
      </c>
      <c r="E7" s="254"/>
      <c r="F7" s="254"/>
      <c r="G7" s="254"/>
      <c r="H7" s="254"/>
      <c r="I7" s="254"/>
      <c r="J7" s="12" t="s">
        <v>12</v>
      </c>
      <c r="K7" s="12"/>
      <c r="L7" s="258" t="s">
        <v>13</v>
      </c>
      <c r="M7" s="258"/>
      <c r="N7" s="258"/>
      <c r="O7" s="259"/>
      <c r="P7" s="3" t="s">
        <v>14</v>
      </c>
      <c r="Q7" s="215" t="str">
        <f>RIGHT(L7,2)</f>
        <v>05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8" t="s">
        <v>22</v>
      </c>
      <c r="M9" s="258"/>
      <c r="N9" s="258"/>
      <c r="O9" s="259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40.6742231060119</v>
      </c>
    </row>
    <row r="15" s="3" customFormat="1" ht="28" customHeight="1" spans="1:26">
      <c r="A15" s="255" t="str">
        <f>CONCATENATE(LEFT(L$7,P7),"-1")</f>
        <v>YP-2018-SHY-105-1</v>
      </c>
      <c r="B15" s="228" t="s">
        <v>47</v>
      </c>
      <c r="C15" s="229"/>
      <c r="D15" s="256" t="str">
        <f>LEFT(L9,P9)</f>
        <v>2018/04/02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907</v>
      </c>
      <c r="L15" s="243">
        <v>40.3</v>
      </c>
      <c r="M15" s="244">
        <v>42.6</v>
      </c>
      <c r="N15" s="244">
        <f>M15</f>
        <v>42.6</v>
      </c>
      <c r="O15" s="239" t="s">
        <v>51</v>
      </c>
      <c r="P15" s="215">
        <f t="shared" ref="P15:P23" si="0">ROUND(K15/22.5,3)</f>
        <v>40.311</v>
      </c>
      <c r="Q15" s="250">
        <f>ROUND(AVERAGE(L15:L17),3)</f>
        <v>42.567</v>
      </c>
      <c r="R15" s="251">
        <f ca="1" t="shared" ref="R15:R23" si="1">ROUND(R$14+RAND()*S$14,2)</f>
        <v>990.52</v>
      </c>
      <c r="T15" s="3" t="s">
        <v>52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5" t="str">
        <f>CONCATENATE(LEFT(L$7,P7),"-2")</f>
        <v>YP-2018-SHY-105-2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1003.1</v>
      </c>
      <c r="L16" s="243">
        <v>44.6</v>
      </c>
      <c r="M16" s="244"/>
      <c r="N16" s="244"/>
      <c r="O16" s="239"/>
      <c r="P16" s="215">
        <f t="shared" si="0"/>
        <v>44.582</v>
      </c>
      <c r="Q16" s="250"/>
      <c r="R16" s="251">
        <f ca="1" t="shared" si="1"/>
        <v>1003.47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5" t="str">
        <f>CONCATENATE(LEFT(L$7,P7),"-3")</f>
        <v>YP-2018-SHY-105-3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963.11</v>
      </c>
      <c r="L17" s="243">
        <v>42.8</v>
      </c>
      <c r="M17" s="244"/>
      <c r="N17" s="244"/>
      <c r="O17" s="239"/>
      <c r="P17" s="215">
        <f t="shared" si="0"/>
        <v>42.805</v>
      </c>
      <c r="Q17" s="250"/>
      <c r="R17" s="251">
        <f ca="1" t="shared" si="1"/>
        <v>1040.94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5" t="str">
        <f>CONCATENATE(LEFT(L$7,P7),"-4")</f>
        <v>YP-2018-SHY-105-4</v>
      </c>
      <c r="B18" s="228" t="s">
        <v>47</v>
      </c>
      <c r="C18" s="229"/>
      <c r="D18" s="218" t="str">
        <f>D15</f>
        <v>2018/04/02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53</v>
      </c>
      <c r="L18" s="243">
        <v>44.1</v>
      </c>
      <c r="M18" s="244">
        <v>42.5</v>
      </c>
      <c r="N18" s="244">
        <f>M18</f>
        <v>42.5</v>
      </c>
      <c r="O18" s="239" t="s">
        <v>51</v>
      </c>
      <c r="P18" s="215">
        <f>ROUND(K19/22.5,3)</f>
        <v>42.311</v>
      </c>
      <c r="Q18" s="250">
        <f>ROUND(AVERAGE(L18:L20),3)</f>
        <v>42.5</v>
      </c>
      <c r="R18" s="251">
        <f ca="1" t="shared" si="1"/>
        <v>998.34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5" t="str">
        <f>CONCATENATE(LEFT(L$7,P7),"-5")</f>
        <v>YP-2018-SHY-105-5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951.99</v>
      </c>
      <c r="L19" s="243">
        <v>42.3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1037.38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5" t="str">
        <f>CONCATENATE(LEFT(L$7,P7),"-6")</f>
        <v>YP-2018-SHY-105-6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925.06</v>
      </c>
      <c r="L20" s="243">
        <v>41.1</v>
      </c>
      <c r="M20" s="244"/>
      <c r="N20" s="244"/>
      <c r="O20" s="239"/>
      <c r="P20" s="215">
        <f t="shared" si="0"/>
        <v>41.114</v>
      </c>
      <c r="Q20" s="250"/>
      <c r="R20" s="251">
        <f ca="1" t="shared" si="1"/>
        <v>972.69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1031.8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1091.99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1094.72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58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59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60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1022.12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971.62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986.01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993.02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969.83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989.08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999.95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1006.59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970.79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topLeftCell="A7" workbookViewId="0">
      <selection activeCell="CN39" sqref="CN39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48" t="s">
        <v>62</v>
      </c>
      <c r="BK1" s="48"/>
      <c r="BL1" s="48"/>
      <c r="BM1" s="48" t="s">
        <v>63</v>
      </c>
      <c r="BN1" s="48"/>
      <c r="BP1" s="48" t="s">
        <v>64</v>
      </c>
      <c r="BQ1" s="48"/>
      <c r="BR1" s="48" t="s">
        <v>62</v>
      </c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报告编号：BG-2018-SHY-105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68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71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YP-2018-SHY-105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K19+582涵洞底板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73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75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76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YP-2018-SHY-105-1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2018/04/02-2018/04/30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82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40.3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42.6</v>
      </c>
      <c r="BB38" s="185"/>
      <c r="BC38" s="185"/>
      <c r="BD38" s="185"/>
      <c r="BE38" s="185"/>
      <c r="BF38" s="190"/>
      <c r="BG38" s="146" t="s">
        <v>83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121.7</v>
      </c>
      <c r="BP38" s="185"/>
      <c r="BQ38" s="185"/>
      <c r="BR38" s="185"/>
      <c r="BS38" s="185"/>
      <c r="BT38" s="185"/>
      <c r="BU38" s="185"/>
      <c r="BV38" s="202"/>
      <c r="CR38" s="29" t="s">
        <v>84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YP-2018-SHY-105-2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44.6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YP-2018-SHY-105-3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42.8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YP-2018-SHY-105-4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2018/04/02-2018/04/30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82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44.1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42.5</v>
      </c>
      <c r="BB47" s="185"/>
      <c r="BC47" s="185"/>
      <c r="BD47" s="185"/>
      <c r="BE47" s="185"/>
      <c r="BF47" s="190"/>
      <c r="BG47" s="146" t="s">
        <v>83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121.4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YP-2018-SHY-105-5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42.3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YP-2018-SHY-105-6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41.1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86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89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100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103</v>
      </c>
      <c r="M1" s="18"/>
      <c r="N1" s="18"/>
    </row>
    <row r="2" s="3" customFormat="1" ht="14.1" customHeight="1" spans="12:14">
      <c r="L2" s="19"/>
      <c r="M2" s="19" t="s">
        <v>104</v>
      </c>
      <c r="N2" s="19"/>
    </row>
    <row r="3" s="3" customFormat="1" ht="24.95" customHeight="1" spans="1:15">
      <c r="A3" s="104" t="s">
        <v>105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106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101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107</v>
      </c>
      <c r="J11" s="110" t="s">
        <v>108</v>
      </c>
      <c r="K11" s="110" t="s">
        <v>109</v>
      </c>
      <c r="L11" s="110" t="s">
        <v>110</v>
      </c>
      <c r="M11" s="110" t="s">
        <v>111</v>
      </c>
      <c r="N11" s="115" t="s">
        <v>112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116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85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87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88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90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91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92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93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94</v>
      </c>
      <c r="AZ100" s="48"/>
      <c r="BA100" s="48"/>
      <c r="BB100" s="48"/>
      <c r="BC100" s="48"/>
      <c r="BD100" s="48"/>
      <c r="BE100" s="48" t="s">
        <v>95</v>
      </c>
      <c r="BF100" s="48"/>
      <c r="BG100" s="48"/>
      <c r="BH100" s="48"/>
      <c r="BI100" s="48"/>
      <c r="BJ100" s="48"/>
      <c r="BK100" s="48" t="s">
        <v>96</v>
      </c>
      <c r="BL100" s="48"/>
      <c r="BM100" s="48"/>
      <c r="BN100" s="85"/>
      <c r="BO100" s="48" t="s">
        <v>97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103</v>
      </c>
      <c r="M1" s="18"/>
      <c r="N1" s="18"/>
      <c r="O1" s="18"/>
    </row>
    <row r="2" s="1" customFormat="1" ht="14.1" customHeight="1" spans="13:15">
      <c r="M2" s="19"/>
      <c r="N2" s="19" t="s">
        <v>119</v>
      </c>
      <c r="O2" s="19"/>
    </row>
    <row r="3" s="1" customFormat="1" ht="24.95" customHeight="1" spans="1:15">
      <c r="A3" s="5" t="s">
        <v>120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121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122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125</v>
      </c>
      <c r="B15" s="12"/>
      <c r="C15" s="12"/>
      <c r="D15" s="12"/>
      <c r="E15" s="12"/>
      <c r="F15" s="12"/>
      <c r="G15" s="12"/>
      <c r="H15" s="12" t="s">
        <v>126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130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132</v>
      </c>
      <c r="B22" s="12" t="s">
        <v>133</v>
      </c>
      <c r="C22" s="12" t="s">
        <v>134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137</v>
      </c>
      <c r="C25" s="12" t="s">
        <v>134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140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141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2018-05-03T06:32:36Z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