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<sst xmlns="http://schemas.openxmlformats.org/spreadsheetml/2006/main" count="137">
  <si>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</si>
  <si>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</si>
  <si>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</si>
  <si>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</si>
  <si>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</si>
  <si>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rFont val="宋体"/>
        <charset val="134"/>
      </rPr>
      <t>记录编号：</t>
    </r>
    <r>
      <rPr>
        <sz val="10"/>
        <rFont val="仿宋"/>
        <charset val="134"/>
      </rPr>
      <t>JL-2017-SHY-001</t>
    </r>
  </si>
  <si>
    <t>工程部位/用途</t>
  </si>
  <si>
    <t>S246分离立交右幅2-2#桩基</t>
  </si>
  <si>
    <t>委托/任务编号</t>
  </si>
  <si>
    <t>/</t>
  </si>
  <si>
    <t>试验依据</t>
  </si>
  <si>
    <t>JTG E30-2005</t>
  </si>
  <si>
    <t>样品编号</t>
  </si>
  <si>
    <t>YP-2017-SHY-001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</si>
  <si>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</si>
  <si>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</si>
  <si>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</si>
  <si>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</si>
  <si>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</si>
  <si>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</si>
  <si>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</si>
  <si>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</si>
  <si>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2017/11/24-2017/12/22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</si>
  <si>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</si>
  <si>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</si>
  <si>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</si>
  <si>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</si>
  <si>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</si>
  <si>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</si>
  <si>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</si>
  <si>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</si>
  <si>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</si>
  <si>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</si>
  <si>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</si>
  <si>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</si>
  <si>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</si>
  <si>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</si>
  <si>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</si>
  <si>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</si>
  <si>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</si>
  <si>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</si>
  <si>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</si>
  <si>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</si>
  <si>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</si>
  <si>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</si>
  <si>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</si>
  <si>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</si>
  <si>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</si>
  <si>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</si>
  <si>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</si>
  <si>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</si>
  <si>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</si>
  <si>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</si>
  <si>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</si>
  <si>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</si>
  <si>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</si>
  <si>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</si>
  <si>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</si>
  <si>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</si>
  <si>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</si>
  <si>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</si>
  <si>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</si>
  <si>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</si>
  <si>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</si>
  <si>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BG-2017-SHY-001</t>
    </r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</si>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</sst>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30" borderId="54" applyNumberFormat="0" applyAlignment="0" applyProtection="0">
      <alignment vertical="center"/>
    </xf>
    <xf numFmtId="0" fontId="28" fillId="30" borderId="49" applyNumberFormat="0" applyAlignment="0" applyProtection="0">
      <alignment vertical="center"/>
    </xf>
    <xf numFmtId="0" fontId="13" fillId="7" borderId="4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4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Q10" sqref="Q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0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P9" s="3" t="s">
        <v>23</v>
      </c>
      <c r="R9" s="214"/>
    </row>
    <row r="10" s="3" customFormat="1" ht="29" customHeight="1" spans="1:18">
      <c r="A10" s="13" t="s">
        <v>24</v>
      </c>
      <c r="B10" s="14"/>
      <c r="C10" s="14"/>
      <c r="D10" s="218" t="s">
        <v>25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3" customHeight="1" spans="1:18">
      <c r="A11" s="109" t="s">
        <v>26</v>
      </c>
      <c r="B11" s="219"/>
      <c r="C11" s="110"/>
      <c r="D11" s="220" t="s">
        <v>27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28</v>
      </c>
      <c r="B12" s="221" t="s">
        <v>29</v>
      </c>
      <c r="C12" s="22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4" t="s">
        <v>41</v>
      </c>
      <c r="S13" s="3" t="s">
        <v>42</v>
      </c>
    </row>
    <row r="14" s="3" customFormat="1" ht="21" customHeight="1" spans="1:19">
      <c r="A14" s="11"/>
      <c r="B14" s="225"/>
      <c r="C14" s="21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7">
        <v>900</v>
      </c>
      <c r="S14" s="248" t="s">
        <v>45</v>
      </c>
    </row>
    <row r="15" s="3" customFormat="1" ht="29.25" customHeight="1" spans="1:18">
      <c r="A15" s="252" t="str">
        <f>CONCATENATE(LEFT(L$7,P7),"-1")</f>
        <v>YP-2017-SHY-001-1</v>
      </c>
      <c r="B15" s="227" t="s">
        <v>46</v>
      </c>
      <c r="C15" s="228"/>
      <c r="D15" s="253" t="str">
        <f>LEFT(L9,P9)</f>
        <v>2017/11/24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941.86</v>
      </c>
      <c r="L15" s="242">
        <f t="shared" ref="L15:L20" si="0">ROUND(K15/22.5,1)</f>
        <v>41.9</v>
      </c>
      <c r="M15" s="243">
        <f>ROUND(AVERAGE(L15:L17),1)</f>
        <v>41</v>
      </c>
      <c r="N15" s="243">
        <f>M15</f>
        <v>41</v>
      </c>
      <c r="O15" s="238" t="s">
        <v>50</v>
      </c>
      <c r="P15" s="214">
        <f t="shared" ref="P15:P23" si="1">ROUND(K15/22.5,3)</f>
        <v>41.86</v>
      </c>
      <c r="Q15" s="249">
        <f>ROUND(AVERAGE(L15:L17),3)</f>
        <v>40.967</v>
      </c>
      <c r="R15" s="250">
        <f ca="1" t="shared" ref="R15:R23" si="2">ROUND(R$14+RAND()*S$14,2)</f>
        <v>952.1</v>
      </c>
    </row>
    <row r="16" s="3" customFormat="1" ht="29.25" customHeight="1" spans="1:18">
      <c r="A16" s="252" t="str">
        <f>CONCATENATE(LEFT(L$7,P7),"-2")</f>
        <v>YP-2017-SHY-001-2</v>
      </c>
      <c r="B16" s="230"/>
      <c r="C16" s="231"/>
      <c r="D16" s="253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923.61</v>
      </c>
      <c r="L16" s="242">
        <f t="shared" si="0"/>
        <v>41</v>
      </c>
      <c r="M16" s="243"/>
      <c r="N16" s="243"/>
      <c r="O16" s="238"/>
      <c r="P16" s="214">
        <f t="shared" si="1"/>
        <v>41.049</v>
      </c>
      <c r="Q16" s="249"/>
      <c r="R16" s="250">
        <f ca="1" t="shared" si="2"/>
        <v>913.2</v>
      </c>
    </row>
    <row r="17" s="3" customFormat="1" ht="29.25" customHeight="1" spans="1:18">
      <c r="A17" s="252" t="str">
        <f>CONCATENATE(LEFT(L$7,P7),"-3")</f>
        <v>YP-2017-SHY-001-3</v>
      </c>
      <c r="B17" s="232"/>
      <c r="C17" s="233"/>
      <c r="D17" s="253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900.76</v>
      </c>
      <c r="L17" s="242">
        <f t="shared" si="0"/>
        <v>40</v>
      </c>
      <c r="M17" s="243"/>
      <c r="N17" s="243"/>
      <c r="O17" s="238"/>
      <c r="P17" s="214">
        <f t="shared" si="1"/>
        <v>40.034</v>
      </c>
      <c r="Q17" s="249"/>
      <c r="R17" s="250">
        <f ca="1" t="shared" si="2"/>
        <v>976.9</v>
      </c>
    </row>
    <row r="18" s="3" customFormat="1" ht="29.25" customHeight="1" spans="1:18">
      <c r="A18" s="252" t="str">
        <f>CONCATENATE(LEFT(L$7,P7),"-4")</f>
        <v>YP-2017-SHY-001-4</v>
      </c>
      <c r="B18" s="227" t="s">
        <v>46</v>
      </c>
      <c r="C18" s="228"/>
      <c r="D18" s="217" t="str">
        <f>D15</f>
        <v>2017/11/24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939.95</v>
      </c>
      <c r="L18" s="242">
        <f t="shared" si="0"/>
        <v>41.8</v>
      </c>
      <c r="M18" s="243">
        <f>ROUND(AVERAGE(L18:L20),1)</f>
        <v>41.2</v>
      </c>
      <c r="N18" s="243">
        <f>M18</f>
        <v>41.2</v>
      </c>
      <c r="O18" s="238" t="s">
        <v>50</v>
      </c>
      <c r="P18" s="214">
        <f t="shared" si="1"/>
        <v>41.776</v>
      </c>
      <c r="Q18" s="249">
        <f>ROUND(AVERAGE(L18:L20),3)</f>
        <v>41.2</v>
      </c>
      <c r="R18" s="250">
        <f ca="1" t="shared" si="2"/>
        <v>944.95</v>
      </c>
    </row>
    <row r="19" s="3" customFormat="1" ht="29.25" customHeight="1" spans="1:18">
      <c r="A19" s="252" t="str">
        <f>CONCATENATE(LEFT(L$7,P7),"-5")</f>
        <v>YP-2017-SHY-001-5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907.71</v>
      </c>
      <c r="L19" s="242">
        <f t="shared" si="0"/>
        <v>40.3</v>
      </c>
      <c r="M19" s="243"/>
      <c r="N19" s="243"/>
      <c r="O19" s="238"/>
      <c r="P19" s="214">
        <f t="shared" si="1"/>
        <v>40.343</v>
      </c>
      <c r="Q19" s="249"/>
      <c r="R19" s="250">
        <f ca="1" t="shared" si="2"/>
        <v>913.02</v>
      </c>
    </row>
    <row r="20" s="3" customFormat="1" ht="29.25" customHeight="1" spans="1:18">
      <c r="A20" s="252" t="str">
        <f>CONCATENATE(LEFT(L$7,P7),"-6")</f>
        <v>YP-2017-SHY-001-6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934.39</v>
      </c>
      <c r="L20" s="242">
        <f t="shared" si="0"/>
        <v>41.5</v>
      </c>
      <c r="M20" s="243"/>
      <c r="N20" s="243"/>
      <c r="O20" s="238"/>
      <c r="P20" s="214">
        <f t="shared" si="1"/>
        <v>41.528</v>
      </c>
      <c r="Q20" s="249"/>
      <c r="R20" s="250">
        <f ca="1" t="shared" si="2"/>
        <v>903.45</v>
      </c>
    </row>
    <row r="21" s="3" customFormat="1" ht="29.25" customHeight="1" spans="1:18">
      <c r="A21" s="252" t="str">
        <f>CONCATENATE(LEFT(L$7,P7),"-7")</f>
        <v>YP-2017-SHY-001-7</v>
      </c>
      <c r="B21" s="227" t="s">
        <v>46</v>
      </c>
      <c r="C21" s="228"/>
      <c r="D21" s="217" t="str">
        <f>D15</f>
        <v>2017/11/24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964.94</v>
      </c>
      <c r="L21" s="242">
        <f t="shared" ref="L21:L23" si="3">ROUND(K21/22.5,1)</f>
        <v>42.9</v>
      </c>
      <c r="M21" s="243">
        <f>ROUND(AVERAGE(L21:L23),1)</f>
        <v>42.4</v>
      </c>
      <c r="N21" s="243">
        <f>M21</f>
        <v>42.4</v>
      </c>
      <c r="O21" s="238" t="s">
        <v>50</v>
      </c>
      <c r="P21" s="214">
        <f t="shared" si="1"/>
        <v>42.886</v>
      </c>
      <c r="Q21" s="249">
        <f>ROUND(AVERAGE(L21:L23),3)</f>
        <v>42.433</v>
      </c>
      <c r="R21" s="250">
        <f ca="1" t="shared" si="2"/>
        <v>972.98</v>
      </c>
    </row>
    <row r="22" s="3" customFormat="1" ht="29.25" customHeight="1" spans="1:18">
      <c r="A22" s="252" t="str">
        <f>CONCATENATE(LEFT(L$7,P7),"-8")</f>
        <v>YP-2017-SHY-001-8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935.76</v>
      </c>
      <c r="L22" s="242">
        <f t="shared" si="3"/>
        <v>41.6</v>
      </c>
      <c r="M22" s="243"/>
      <c r="N22" s="243"/>
      <c r="O22" s="238"/>
      <c r="P22" s="214">
        <f t="shared" si="1"/>
        <v>41.589</v>
      </c>
      <c r="Q22" s="249"/>
      <c r="R22" s="250">
        <f ca="1" t="shared" si="2"/>
        <v>940.21</v>
      </c>
    </row>
    <row r="23" s="3" customFormat="1" ht="29.25" customHeight="1" spans="1:18">
      <c r="A23" s="252" t="str">
        <f>CONCATENATE(LEFT(L$7,P7),"-9")</f>
        <v>YP-2017-SHY-001-9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962.79</v>
      </c>
      <c r="L23" s="242">
        <f t="shared" si="3"/>
        <v>42.8</v>
      </c>
      <c r="M23" s="243"/>
      <c r="N23" s="243"/>
      <c r="O23" s="238"/>
      <c r="P23" s="214">
        <f t="shared" si="1"/>
        <v>42.791</v>
      </c>
      <c r="Q23" s="249"/>
      <c r="R23" s="250">
        <f ca="1" t="shared" si="2"/>
        <v>940.02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21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6" customHeight="1" spans="18:18">
      <c r="R28" s="251"/>
    </row>
    <row r="29" s="4" customFormat="1" ht="13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24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26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28</v>
      </c>
      <c r="B12" s="221" t="s">
        <v>29</v>
      </c>
      <c r="C12" s="22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4" t="s">
        <v>41</v>
      </c>
      <c r="S13" s="3" t="s">
        <v>42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7">
        <v>950</v>
      </c>
      <c r="S14" s="248" t="s">
        <v>45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1022.59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983.04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999.94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1006.22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988.66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974.21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1017.2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1026.09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969.19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7" workbookViewId="0">
      <selection activeCell="D89" sqref="D89:Q96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2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3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4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4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YP-2017-SHY-001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5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5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5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5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S246分离立交右幅2-2#桩基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4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4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4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4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4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4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4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4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71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4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4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4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4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6"/>
      <c r="BW29" s="197" t="s">
        <v>46</v>
      </c>
      <c r="BX29" s="197"/>
      <c r="BY29" s="197"/>
      <c r="BZ29" s="197"/>
      <c r="CA29" s="198" t="s">
        <v>72</v>
      </c>
      <c r="CB29" s="198"/>
      <c r="CC29" s="198"/>
      <c r="CD29" s="198"/>
      <c r="CE29" s="198"/>
      <c r="CF29" s="198"/>
      <c r="CG29" s="198"/>
      <c r="CH29" s="198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7"/>
      <c r="BX30" s="197"/>
      <c r="BY30" s="197"/>
      <c r="BZ30" s="197"/>
      <c r="CA30" s="198"/>
      <c r="CB30" s="198"/>
      <c r="CC30" s="198"/>
      <c r="CD30" s="198"/>
      <c r="CE30" s="198"/>
      <c r="CF30" s="198"/>
      <c r="CG30" s="198"/>
      <c r="CH30" s="198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7"/>
      <c r="BX31" s="197"/>
      <c r="BY31" s="197"/>
      <c r="BZ31" s="197"/>
      <c r="CA31" s="198"/>
      <c r="CB31" s="198"/>
      <c r="CC31" s="198"/>
      <c r="CD31" s="198"/>
      <c r="CE31" s="198"/>
      <c r="CF31" s="198"/>
      <c r="CG31" s="198"/>
      <c r="CH31" s="198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2017/11/24-2017/12/22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41</v>
      </c>
      <c r="BB38" s="184"/>
      <c r="BC38" s="184"/>
      <c r="BD38" s="184"/>
      <c r="BE38" s="184"/>
      <c r="BF38" s="189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117.1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40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2017/11/24-2017/12/22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41.8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41.2</v>
      </c>
      <c r="BB47" s="184"/>
      <c r="BC47" s="184"/>
      <c r="BD47" s="184"/>
      <c r="BE47" s="184"/>
      <c r="BF47" s="189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117.7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40.3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41.5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2017/11/24-2017/12/22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42.9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42.4</v>
      </c>
      <c r="BB56" s="184"/>
      <c r="BC56" s="184"/>
      <c r="BD56" s="184"/>
      <c r="BE56" s="184"/>
      <c r="BF56" s="189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121.1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41.6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81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84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6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