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<sst xmlns="http://schemas.openxmlformats.org/spreadsheetml/2006/main" count="139">
  <si>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</si>
  <si>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</si>
  <si>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</si>
  <si>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</si>
  <si>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</si>
  <si>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JL-2017-SHY-011</t>
    </r>
  </si>
  <si>
    <t>工程部位/用途</t>
  </si>
  <si>
    <t>尚义一号水库大桥0b-2#桩基</t>
  </si>
  <si>
    <t>委托/任务编号</t>
  </si>
  <si>
    <t>/</t>
  </si>
  <si>
    <t>试验依据</t>
  </si>
  <si>
    <t>JTG E30-2005</t>
  </si>
  <si>
    <t>样品编号</t>
  </si>
  <si>
    <t>YP-2017-SHY-011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</si>
  <si>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</si>
  <si>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</si>
  <si>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</si>
  <si>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</si>
  <si>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</si>
  <si>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</si>
  <si>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</si>
  <si>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</si>
  <si>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2017/11/28-2017/12/26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</si>
  <si>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</si>
  <si>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</si>
  <si>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</si>
  <si>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</si>
  <si>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</si>
  <si>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</si>
  <si>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</si>
  <si>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</si>
  <si>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</si>
  <si>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</si>
  <si>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</si>
  <si>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</si>
  <si>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</si>
  <si>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</si>
  <si>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</si>
  <si>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</si>
  <si>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</si>
  <si>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</si>
  <si>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</si>
  <si>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</si>
  <si>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</si>
  <si>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120</t>
  </si>
  <si>
    <t>35</t>
  </si>
  <si>
    <t>2017.11.28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</si>
  <si>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</si>
  <si>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</si>
  <si>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</si>
  <si>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</si>
  <si>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</si>
  <si>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</si>
  <si>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</si>
  <si>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</si>
  <si>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</si>
  <si>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</si>
  <si>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</si>
  <si>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</si>
  <si>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</si>
  <si>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</si>
  <si>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</si>
  <si>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</si>
  <si>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</si>
  <si>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</si>
  <si>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BG-2017-SHY-011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</si>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</sst>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9" borderId="48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0" borderId="5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7" borderId="53" applyNumberFormat="0" applyAlignment="0" applyProtection="0">
      <alignment vertical="center"/>
    </xf>
    <xf numFmtId="0" fontId="13" fillId="7" borderId="47" applyNumberFormat="0" applyAlignment="0" applyProtection="0">
      <alignment vertical="center"/>
    </xf>
    <xf numFmtId="0" fontId="17" fillId="12" borderId="4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920</v>
      </c>
      <c r="S14" s="248" t="s">
        <v>44</v>
      </c>
    </row>
    <row r="15" s="3" customFormat="1" ht="29.25" customHeight="1" spans="1:18">
      <c r="A15" s="252" t="str">
        <f>CONCATENATE(LEFT(L$7,P7),"-1")</f>
        <v>YP-2017-SHY-011-1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1033.81</v>
      </c>
      <c r="L15" s="242">
        <f t="shared" ref="L15:L20" si="0">ROUND(K15/22.5,1)</f>
        <v>45.9</v>
      </c>
      <c r="M15" s="243">
        <f>ROUND(AVERAGE(L15:L17),1)</f>
        <v>45</v>
      </c>
      <c r="N15" s="243">
        <f>M15</f>
        <v>45</v>
      </c>
      <c r="O15" s="238" t="s">
        <v>50</v>
      </c>
      <c r="P15" s="214">
        <f t="shared" ref="P15:P23" si="1">ROUND(K15/22.5,3)</f>
        <v>45.947</v>
      </c>
      <c r="Q15" s="249">
        <f>ROUND(AVERAGE(L15:L17),3)</f>
        <v>45.033</v>
      </c>
      <c r="R15" s="250">
        <f ca="1" t="shared" ref="R15:R23" si="2">ROUND(R$14+RAND()*S$14,2)</f>
        <v>1038.45</v>
      </c>
    </row>
    <row r="16" s="3" customFormat="1" ht="29.25" customHeight="1" spans="1:18">
      <c r="A16" s="252" t="str">
        <f>CONCATENATE(LEFT(L$7,P7),"-2")</f>
        <v>YP-2017-SHY-011-2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993.31</v>
      </c>
      <c r="L16" s="242">
        <f t="shared" si="0"/>
        <v>44.1</v>
      </c>
      <c r="M16" s="243"/>
      <c r="N16" s="243"/>
      <c r="O16" s="238"/>
      <c r="P16" s="214">
        <f t="shared" si="1"/>
        <v>44.147</v>
      </c>
      <c r="Q16" s="249"/>
      <c r="R16" s="250">
        <f ca="1" t="shared" si="2"/>
        <v>1035.56</v>
      </c>
    </row>
    <row r="17" s="3" customFormat="1" ht="29.25" customHeight="1" spans="1:18">
      <c r="A17" s="252" t="str">
        <f>CONCATENATE(LEFT(L$7,P7),"-3")</f>
        <v>YP-2017-SHY-011-3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1014.98</v>
      </c>
      <c r="L17" s="242">
        <f t="shared" si="0"/>
        <v>45.1</v>
      </c>
      <c r="M17" s="243"/>
      <c r="N17" s="243"/>
      <c r="O17" s="238"/>
      <c r="P17" s="214">
        <f t="shared" si="1"/>
        <v>45.11</v>
      </c>
      <c r="Q17" s="249"/>
      <c r="R17" s="250">
        <f ca="1" t="shared" si="2"/>
        <v>997.28</v>
      </c>
    </row>
    <row r="18" s="3" customFormat="1" ht="29.25" customHeight="1" spans="1:18">
      <c r="A18" s="252" t="str">
        <f>CONCATENATE(LEFT(L$7,P7),"-4")</f>
        <v>YP-2017-SHY-011-4</v>
      </c>
      <c r="B18" s="227" t="s">
        <v>45</v>
      </c>
      <c r="C18" s="228"/>
      <c r="D18" s="217" t="str">
        <f>D15</f>
        <v>2017.11.28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941.24</v>
      </c>
      <c r="L18" s="242">
        <f t="shared" si="0"/>
        <v>41.8</v>
      </c>
      <c r="M18" s="243">
        <f>ROUND(AVERAGE(L18:L20),1)</f>
        <v>42.9</v>
      </c>
      <c r="N18" s="243">
        <f>M18</f>
        <v>42.9</v>
      </c>
      <c r="O18" s="238" t="s">
        <v>50</v>
      </c>
      <c r="P18" s="214">
        <f t="shared" si="1"/>
        <v>41.833</v>
      </c>
      <c r="Q18" s="249">
        <f>ROUND(AVERAGE(L18:L20),3)</f>
        <v>42.867</v>
      </c>
      <c r="R18" s="250">
        <f ca="1" t="shared" si="2"/>
        <v>1015.31</v>
      </c>
    </row>
    <row r="19" s="3" customFormat="1" ht="29.25" customHeight="1" spans="1:18">
      <c r="A19" s="252" t="str">
        <f>CONCATENATE(LEFT(L$7,P7),"-5")</f>
        <v>YP-2017-SHY-011-5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1031.41</v>
      </c>
      <c r="L19" s="242">
        <f t="shared" si="0"/>
        <v>45.8</v>
      </c>
      <c r="M19" s="243"/>
      <c r="N19" s="243"/>
      <c r="O19" s="238"/>
      <c r="P19" s="214">
        <f t="shared" si="1"/>
        <v>45.84</v>
      </c>
      <c r="Q19" s="249"/>
      <c r="R19" s="250">
        <f ca="1" t="shared" si="2"/>
        <v>935.87</v>
      </c>
    </row>
    <row r="20" s="3" customFormat="1" ht="29.25" customHeight="1" spans="1:18">
      <c r="A20" s="252" t="str">
        <f>CONCATENATE(LEFT(L$7,P7),"-6")</f>
        <v>YP-2017-SHY-011-6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922.23</v>
      </c>
      <c r="L20" s="242">
        <f t="shared" si="0"/>
        <v>41</v>
      </c>
      <c r="M20" s="243"/>
      <c r="N20" s="243"/>
      <c r="O20" s="238"/>
      <c r="P20" s="214">
        <f t="shared" si="1"/>
        <v>40.988</v>
      </c>
      <c r="Q20" s="249"/>
      <c r="R20" s="250">
        <f ca="1" t="shared" si="2"/>
        <v>996.63</v>
      </c>
    </row>
    <row r="21" s="3" customFormat="1" ht="29.25" customHeight="1" spans="1:18">
      <c r="A21" s="252" t="str">
        <f>CONCATENATE(LEFT(L$7,P7),"-7")</f>
        <v>YP-2017-SHY-011-7</v>
      </c>
      <c r="B21" s="227" t="s">
        <v>45</v>
      </c>
      <c r="C21" s="228"/>
      <c r="D21" s="217" t="str">
        <f>D15</f>
        <v>2017.11.28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981.9</v>
      </c>
      <c r="L21" s="242">
        <f t="shared" ref="L21:L23" si="3">ROUND(K21/22.5,1)</f>
        <v>43.6</v>
      </c>
      <c r="M21" s="243">
        <f>ROUND(AVERAGE(L21:L23),1)</f>
        <v>44.2</v>
      </c>
      <c r="N21" s="243">
        <f>M21</f>
        <v>44.2</v>
      </c>
      <c r="O21" s="238" t="s">
        <v>50</v>
      </c>
      <c r="P21" s="214">
        <f t="shared" si="1"/>
        <v>43.64</v>
      </c>
      <c r="Q21" s="249">
        <f>ROUND(AVERAGE(L21:L23),3)</f>
        <v>44.167</v>
      </c>
      <c r="R21" s="250">
        <f ca="1" t="shared" si="2"/>
        <v>986.58</v>
      </c>
    </row>
    <row r="22" s="3" customFormat="1" ht="29.25" customHeight="1" spans="1:18">
      <c r="A22" s="252" t="str">
        <f>CONCATENATE(LEFT(L$7,P7),"-8")</f>
        <v>YP-2017-SHY-011-8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994.75</v>
      </c>
      <c r="L22" s="242">
        <f t="shared" si="3"/>
        <v>44.2</v>
      </c>
      <c r="M22" s="243"/>
      <c r="N22" s="243"/>
      <c r="O22" s="238"/>
      <c r="P22" s="214">
        <f t="shared" si="1"/>
        <v>44.211</v>
      </c>
      <c r="Q22" s="249"/>
      <c r="R22" s="250">
        <f ca="1" t="shared" si="2"/>
        <v>989.36</v>
      </c>
    </row>
    <row r="23" s="3" customFormat="1" ht="29.25" customHeight="1" spans="1:18">
      <c r="A23" s="252" t="str">
        <f>CONCATENATE(LEFT(L$7,P7),"-9")</f>
        <v>YP-2017-SHY-011-9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1004.65</v>
      </c>
      <c r="L23" s="242">
        <f t="shared" si="3"/>
        <v>44.7</v>
      </c>
      <c r="M23" s="243"/>
      <c r="N23" s="243"/>
      <c r="O23" s="238"/>
      <c r="P23" s="214">
        <f t="shared" si="1"/>
        <v>44.651</v>
      </c>
      <c r="Q23" s="249"/>
      <c r="R23" s="250">
        <f ca="1" t="shared" si="2"/>
        <v>951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57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1010.08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983.5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989.47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975.7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957.8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955.75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975.25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964.75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991.16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66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YP-2017-SHY-011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尚义一号水库大桥0b-2#桩基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73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74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2017/11/28-2017/12/26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45.9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45</v>
      </c>
      <c r="BB38" s="184"/>
      <c r="BC38" s="184"/>
      <c r="BD38" s="184"/>
      <c r="BE38" s="184"/>
      <c r="BF38" s="189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128.6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YP-2017-SHY-011-2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44.1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YP-2017-SHY-011-3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45.1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YP-2017-SHY-011-4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2017/11/28-2017/12/26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41.8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42.9</v>
      </c>
      <c r="BB47" s="184"/>
      <c r="BC47" s="184"/>
      <c r="BD47" s="184"/>
      <c r="BE47" s="184"/>
      <c r="BF47" s="189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122.6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YP-2017-SHY-011-5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45.8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YP-2017-SHY-011-6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YP-2017-SHY-011-7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2017/11/28-2017/12/26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43.6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44.2</v>
      </c>
      <c r="BB56" s="184"/>
      <c r="BC56" s="184"/>
      <c r="BD56" s="184"/>
      <c r="BE56" s="184"/>
      <c r="BF56" s="189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126.3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YP-2017-SHY-011-8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44.2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YP-2017-SHY-011-9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44.7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83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86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