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<sst xmlns="http://schemas.openxmlformats.org/spreadsheetml/2006/main" count="139">
  <si>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</si>
  <si>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</si>
  <si>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</si>
  <si>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</si>
  <si>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</si>
  <si>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JL-2017-SHY-012</t>
    </r>
  </si>
  <si>
    <t>工程部位/用途</t>
  </si>
  <si>
    <t>尚义一号水库大桥0b-4#桩基</t>
  </si>
  <si>
    <t>委托/任务编号</t>
  </si>
  <si>
    <t>/</t>
  </si>
  <si>
    <t>试验依据</t>
  </si>
  <si>
    <t>JTG E30-2005</t>
  </si>
  <si>
    <t>样品编号</t>
  </si>
  <si>
    <t>YP-2017-SHY-012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</si>
  <si>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</si>
  <si>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</si>
  <si>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</si>
  <si>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</si>
  <si>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</si>
  <si>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</si>
  <si>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</si>
  <si>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</si>
  <si>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2017/11/28-2017/12/26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</si>
  <si>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</si>
  <si>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</si>
  <si>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</si>
  <si>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</si>
  <si>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</si>
  <si>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</si>
  <si>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</si>
  <si>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</si>
  <si>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</si>
  <si>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</si>
  <si>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</si>
  <si>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</si>
  <si>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</si>
  <si>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</si>
  <si>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</si>
  <si>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</si>
  <si>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</si>
  <si>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</si>
  <si>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</si>
  <si>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</si>
  <si>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</si>
  <si>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110</t>
  </si>
  <si>
    <t>35</t>
  </si>
  <si>
    <t>2017.11.28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</si>
  <si>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</si>
  <si>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</si>
  <si>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</si>
  <si>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</si>
  <si>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</si>
  <si>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</si>
  <si>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</si>
  <si>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</si>
  <si>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</si>
  <si>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</si>
  <si>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</si>
  <si>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</si>
  <si>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</si>
  <si>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</si>
  <si>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</si>
  <si>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</si>
  <si>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</si>
  <si>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</si>
  <si>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BG-2017-SHY-012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</si>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</sst>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  <numFmt numFmtId="177" formatCode="0.00;[Red]0.00"/>
    <numFmt numFmtId="178" formatCode="0.0_);[Red]\(0.0\)"/>
    <numFmt numFmtId="41" formatCode="_ * #,##0_ ;_ * \-#,##0_ ;_ * &quot;-&quot;_ ;_ @_ "/>
    <numFmt numFmtId="43" formatCode="_ * #,##0.00_ ;_ * \-#,##0.00_ ;_ * &quot;-&quot;??_ ;_ @_ "/>
    <numFmt numFmtId="179" formatCode="0.00_);[Red]\(0.0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7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49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0" borderId="4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8" borderId="53" applyNumberFormat="0" applyAlignment="0" applyProtection="0">
      <alignment vertical="center"/>
    </xf>
    <xf numFmtId="0" fontId="16" fillId="8" borderId="51" applyNumberFormat="0" applyAlignment="0" applyProtection="0">
      <alignment vertical="center"/>
    </xf>
    <xf numFmtId="0" fontId="14" fillId="6" borderId="5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900</v>
      </c>
      <c r="S14" s="248" t="s">
        <v>44</v>
      </c>
    </row>
    <row r="15" s="3" customFormat="1" ht="29.25" customHeight="1" spans="1:18">
      <c r="A15" s="252" t="str">
        <f>CONCATENATE(LEFT(L$7,P7),"-1")</f>
        <v>YP-2017-SHY-012-1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970.65</v>
      </c>
      <c r="L15" s="242">
        <f t="shared" ref="L15:L20" si="0">ROUND(K15/22.5,1)</f>
        <v>43.1</v>
      </c>
      <c r="M15" s="243">
        <f>ROUND(AVERAGE(L15:L17),1)</f>
        <v>43</v>
      </c>
      <c r="N15" s="243">
        <f>M15</f>
        <v>43</v>
      </c>
      <c r="O15" s="238" t="s">
        <v>50</v>
      </c>
      <c r="P15" s="214">
        <f t="shared" ref="P15:P23" si="1">ROUND(K15/22.5,3)</f>
        <v>43.14</v>
      </c>
      <c r="Q15" s="249">
        <f>ROUND(AVERAGE(L15:L17),3)</f>
        <v>43.033</v>
      </c>
      <c r="R15" s="250">
        <f ca="1" t="shared" ref="R15:R23" si="2">ROUND(R$14+RAND()*S$14,2)</f>
        <v>984.2</v>
      </c>
    </row>
    <row r="16" s="3" customFormat="1" ht="29.25" customHeight="1" spans="1:18">
      <c r="A16" s="252" t="str">
        <f>CONCATENATE(LEFT(L$7,P7),"-2")</f>
        <v>YP-2017-SHY-012-2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942.05</v>
      </c>
      <c r="L16" s="242">
        <f t="shared" si="0"/>
        <v>41.9</v>
      </c>
      <c r="M16" s="243"/>
      <c r="N16" s="243"/>
      <c r="O16" s="238"/>
      <c r="P16" s="214">
        <f t="shared" si="1"/>
        <v>41.869</v>
      </c>
      <c r="Q16" s="249"/>
      <c r="R16" s="250">
        <f ca="1" t="shared" si="2"/>
        <v>974.08</v>
      </c>
    </row>
    <row r="17" s="3" customFormat="1" ht="29.25" customHeight="1" spans="1:18">
      <c r="A17" s="252" t="str">
        <f>CONCATENATE(LEFT(L$7,P7),"-3")</f>
        <v>YP-2017-SHY-012-3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992.41</v>
      </c>
      <c r="L17" s="242">
        <f t="shared" si="0"/>
        <v>44.1</v>
      </c>
      <c r="M17" s="243"/>
      <c r="N17" s="243"/>
      <c r="O17" s="238"/>
      <c r="P17" s="214">
        <f t="shared" si="1"/>
        <v>44.107</v>
      </c>
      <c r="Q17" s="249"/>
      <c r="R17" s="250">
        <f ca="1" t="shared" si="2"/>
        <v>910.72</v>
      </c>
    </row>
    <row r="18" s="3" customFormat="1" ht="29.25" customHeight="1" spans="1:18">
      <c r="A18" s="252" t="str">
        <f>CONCATENATE(LEFT(L$7,P7),"-4")</f>
        <v>YP-2017-SHY-012-4</v>
      </c>
      <c r="B18" s="227" t="s">
        <v>45</v>
      </c>
      <c r="C18" s="228"/>
      <c r="D18" s="217" t="str">
        <f>D15</f>
        <v>2017.11.28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911.13</v>
      </c>
      <c r="L18" s="242">
        <f t="shared" si="0"/>
        <v>40.5</v>
      </c>
      <c r="M18" s="243">
        <f>ROUND(AVERAGE(L18:L20),1)</f>
        <v>41.3</v>
      </c>
      <c r="N18" s="243">
        <f>M18</f>
        <v>41.3</v>
      </c>
      <c r="O18" s="238" t="s">
        <v>50</v>
      </c>
      <c r="P18" s="214">
        <f t="shared" si="1"/>
        <v>40.495</v>
      </c>
      <c r="Q18" s="249">
        <f>ROUND(AVERAGE(L18:L20),3)</f>
        <v>41.3</v>
      </c>
      <c r="R18" s="250">
        <f ca="1" t="shared" si="2"/>
        <v>904.8</v>
      </c>
    </row>
    <row r="19" s="3" customFormat="1" ht="29.25" customHeight="1" spans="1:18">
      <c r="A19" s="252" t="str">
        <f>CONCATENATE(LEFT(L$7,P7),"-5")</f>
        <v>YP-2017-SHY-012-5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968.29</v>
      </c>
      <c r="L19" s="242">
        <f t="shared" si="0"/>
        <v>43</v>
      </c>
      <c r="M19" s="243"/>
      <c r="N19" s="243"/>
      <c r="O19" s="238"/>
      <c r="P19" s="214">
        <f t="shared" si="1"/>
        <v>43.035</v>
      </c>
      <c r="Q19" s="249"/>
      <c r="R19" s="250">
        <f ca="1" t="shared" si="2"/>
        <v>923.62</v>
      </c>
    </row>
    <row r="20" s="3" customFormat="1" ht="29.25" customHeight="1" spans="1:18">
      <c r="A20" s="252" t="str">
        <f>CONCATENATE(LEFT(L$7,P7),"-6")</f>
        <v>YP-2017-SHY-012-6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909.08</v>
      </c>
      <c r="L20" s="242">
        <f t="shared" si="0"/>
        <v>40.4</v>
      </c>
      <c r="M20" s="243"/>
      <c r="N20" s="243"/>
      <c r="O20" s="238"/>
      <c r="P20" s="214">
        <f t="shared" si="1"/>
        <v>40.404</v>
      </c>
      <c r="Q20" s="249"/>
      <c r="R20" s="250">
        <f ca="1" t="shared" si="2"/>
        <v>990.32</v>
      </c>
    </row>
    <row r="21" s="3" customFormat="1" ht="29.25" customHeight="1" spans="1:18">
      <c r="A21" s="252" t="str">
        <f>CONCATENATE(LEFT(L$7,P7),"-7")</f>
        <v>YP-2017-SHY-012-7</v>
      </c>
      <c r="B21" s="227" t="s">
        <v>45</v>
      </c>
      <c r="C21" s="228"/>
      <c r="D21" s="217" t="str">
        <f>D15</f>
        <v>2017.11.28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900.44</v>
      </c>
      <c r="L21" s="242">
        <f t="shared" ref="L21:L23" si="3">ROUND(K21/22.5,1)</f>
        <v>40</v>
      </c>
      <c r="M21" s="243">
        <f>ROUND(AVERAGE(L21:L23),1)</f>
        <v>41.2</v>
      </c>
      <c r="N21" s="243">
        <f>M21</f>
        <v>41.2</v>
      </c>
      <c r="O21" s="238" t="s">
        <v>50</v>
      </c>
      <c r="P21" s="214">
        <f t="shared" si="1"/>
        <v>40.02</v>
      </c>
      <c r="Q21" s="249">
        <f>ROUND(AVERAGE(L21:L23),3)</f>
        <v>41.233</v>
      </c>
      <c r="R21" s="250">
        <f ca="1" t="shared" si="2"/>
        <v>993.18</v>
      </c>
    </row>
    <row r="22" s="3" customFormat="1" ht="29.25" customHeight="1" spans="1:18">
      <c r="A22" s="252" t="str">
        <f>CONCATENATE(LEFT(L$7,P7),"-8")</f>
        <v>YP-2017-SHY-012-8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979</v>
      </c>
      <c r="L22" s="242">
        <f t="shared" si="3"/>
        <v>43.5</v>
      </c>
      <c r="M22" s="243"/>
      <c r="N22" s="243"/>
      <c r="O22" s="238"/>
      <c r="P22" s="214">
        <f t="shared" si="1"/>
        <v>43.511</v>
      </c>
      <c r="Q22" s="249"/>
      <c r="R22" s="250">
        <f ca="1" t="shared" si="2"/>
        <v>975.25</v>
      </c>
    </row>
    <row r="23" s="3" customFormat="1" ht="29.25" customHeight="1" spans="1:18">
      <c r="A23" s="252" t="str">
        <f>CONCATENATE(LEFT(L$7,P7),"-9")</f>
        <v>YP-2017-SHY-012-9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904.59</v>
      </c>
      <c r="L23" s="242">
        <f t="shared" si="3"/>
        <v>40.2</v>
      </c>
      <c r="M23" s="243"/>
      <c r="N23" s="243"/>
      <c r="O23" s="238"/>
      <c r="P23" s="214">
        <f t="shared" si="1"/>
        <v>40.204</v>
      </c>
      <c r="Q23" s="249"/>
      <c r="R23" s="250">
        <f ca="1" t="shared" si="2"/>
        <v>979.88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57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962.37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1009.36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998.7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959.98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1029.91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1026.57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964.93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987.22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982.34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66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69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YP-2017-SHY-012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尚义一号水库大桥0b-4#桩基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71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73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74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2017/11/28-2017/12/26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80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43.1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43</v>
      </c>
      <c r="BB38" s="184"/>
      <c r="BC38" s="184"/>
      <c r="BD38" s="184"/>
      <c r="BE38" s="184"/>
      <c r="BF38" s="189"/>
      <c r="BG38" s="158" t="s">
        <v>81</v>
      </c>
      <c r="BH38" s="159"/>
      <c r="BI38" s="159"/>
      <c r="BJ38" s="159"/>
      <c r="BK38" s="159"/>
      <c r="BL38" s="159"/>
      <c r="BM38" s="159"/>
      <c r="BN38" s="166"/>
      <c r="BO38" s="183">
        <f>ROUND(BA38/BW$29*100,1)</f>
        <v>122.9</v>
      </c>
      <c r="BP38" s="184"/>
      <c r="BQ38" s="184"/>
      <c r="BR38" s="184"/>
      <c r="BS38" s="184"/>
      <c r="BT38" s="184"/>
      <c r="BU38" s="184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85"/>
      <c r="BP39" s="186"/>
      <c r="BQ39" s="186"/>
      <c r="BR39" s="186"/>
      <c r="BS39" s="186"/>
      <c r="BT39" s="186"/>
      <c r="BU39" s="186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85"/>
      <c r="BP40" s="186"/>
      <c r="BQ40" s="186"/>
      <c r="BR40" s="186"/>
      <c r="BS40" s="186"/>
      <c r="BT40" s="186"/>
      <c r="BU40" s="186"/>
      <c r="BV40" s="202"/>
    </row>
    <row r="41" s="29" customFormat="1" ht="7.35" customHeight="1" spans="4:74">
      <c r="D41" s="131" t="str">
        <f>强度记录!A16</f>
        <v>YP-2017-SHY-012-2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41.9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85"/>
      <c r="BP41" s="186"/>
      <c r="BQ41" s="186"/>
      <c r="BR41" s="186"/>
      <c r="BS41" s="186"/>
      <c r="BT41" s="186"/>
      <c r="BU41" s="186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85"/>
      <c r="BP42" s="186"/>
      <c r="BQ42" s="186"/>
      <c r="BR42" s="186"/>
      <c r="BS42" s="186"/>
      <c r="BT42" s="186"/>
      <c r="BU42" s="186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85"/>
      <c r="BP43" s="186"/>
      <c r="BQ43" s="186"/>
      <c r="BR43" s="186"/>
      <c r="BS43" s="186"/>
      <c r="BT43" s="186"/>
      <c r="BU43" s="186"/>
      <c r="BV43" s="202"/>
    </row>
    <row r="44" s="29" customFormat="1" ht="7.35" customHeight="1" spans="4:74">
      <c r="D44" s="131" t="str">
        <f>强度记录!A17</f>
        <v>YP-2017-SHY-012-3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44.1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85"/>
      <c r="BP44" s="186"/>
      <c r="BQ44" s="186"/>
      <c r="BR44" s="186"/>
      <c r="BS44" s="186"/>
      <c r="BT44" s="186"/>
      <c r="BU44" s="186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85"/>
      <c r="BP45" s="186"/>
      <c r="BQ45" s="186"/>
      <c r="BR45" s="186"/>
      <c r="BS45" s="186"/>
      <c r="BT45" s="186"/>
      <c r="BU45" s="186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87"/>
      <c r="BP46" s="188"/>
      <c r="BQ46" s="188"/>
      <c r="BR46" s="188"/>
      <c r="BS46" s="188"/>
      <c r="BT46" s="188"/>
      <c r="BU46" s="188"/>
      <c r="BV46" s="203"/>
    </row>
    <row r="47" s="29" customFormat="1" ht="7.35" customHeight="1" spans="4:74">
      <c r="D47" s="131" t="str">
        <f>强度记录!A18</f>
        <v>YP-2017-SHY-012-4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2017/11/28-2017/12/26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80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40.5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41.3</v>
      </c>
      <c r="BB47" s="184"/>
      <c r="BC47" s="184"/>
      <c r="BD47" s="184"/>
      <c r="BE47" s="184"/>
      <c r="BF47" s="189"/>
      <c r="BG47" s="158" t="s">
        <v>81</v>
      </c>
      <c r="BH47" s="159"/>
      <c r="BI47" s="159"/>
      <c r="BJ47" s="159"/>
      <c r="BK47" s="159"/>
      <c r="BL47" s="159"/>
      <c r="BM47" s="159"/>
      <c r="BN47" s="166"/>
      <c r="BO47" s="183">
        <f>ROUND(BA47/BW$29*100,1)</f>
        <v>118</v>
      </c>
      <c r="BP47" s="184"/>
      <c r="BQ47" s="184"/>
      <c r="BR47" s="184"/>
      <c r="BS47" s="184"/>
      <c r="BT47" s="184"/>
      <c r="BU47" s="184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85"/>
      <c r="BP48" s="186"/>
      <c r="BQ48" s="186"/>
      <c r="BR48" s="186"/>
      <c r="BS48" s="186"/>
      <c r="BT48" s="186"/>
      <c r="BU48" s="186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85"/>
      <c r="BP49" s="186"/>
      <c r="BQ49" s="186"/>
      <c r="BR49" s="186"/>
      <c r="BS49" s="186"/>
      <c r="BT49" s="186"/>
      <c r="BU49" s="186"/>
      <c r="BV49" s="202"/>
    </row>
    <row r="50" s="29" customFormat="1" ht="7.35" customHeight="1" spans="4:74">
      <c r="D50" s="131" t="str">
        <f>强度记录!A19</f>
        <v>YP-2017-SHY-012-5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85"/>
      <c r="BP50" s="186"/>
      <c r="BQ50" s="186"/>
      <c r="BR50" s="186"/>
      <c r="BS50" s="186"/>
      <c r="BT50" s="186"/>
      <c r="BU50" s="186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85"/>
      <c r="BP51" s="186"/>
      <c r="BQ51" s="186"/>
      <c r="BR51" s="186"/>
      <c r="BS51" s="186"/>
      <c r="BT51" s="186"/>
      <c r="BU51" s="186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85"/>
      <c r="BP52" s="186"/>
      <c r="BQ52" s="186"/>
      <c r="BR52" s="186"/>
      <c r="BS52" s="186"/>
      <c r="BT52" s="186"/>
      <c r="BU52" s="186"/>
      <c r="BV52" s="202"/>
    </row>
    <row r="53" s="29" customFormat="1" ht="7.35" customHeight="1" spans="4:74">
      <c r="D53" s="131" t="str">
        <f>强度记录!A20</f>
        <v>YP-2017-SHY-012-6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40.4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85"/>
      <c r="BP53" s="186"/>
      <c r="BQ53" s="186"/>
      <c r="BR53" s="186"/>
      <c r="BS53" s="186"/>
      <c r="BT53" s="186"/>
      <c r="BU53" s="186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85"/>
      <c r="BP54" s="186"/>
      <c r="BQ54" s="186"/>
      <c r="BR54" s="186"/>
      <c r="BS54" s="186"/>
      <c r="BT54" s="186"/>
      <c r="BU54" s="186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87"/>
      <c r="BP55" s="188"/>
      <c r="BQ55" s="188"/>
      <c r="BR55" s="188"/>
      <c r="BS55" s="188"/>
      <c r="BT55" s="188"/>
      <c r="BU55" s="188"/>
      <c r="BV55" s="203"/>
    </row>
    <row r="56" s="29" customFormat="1" ht="7.35" customHeight="1" spans="4:74">
      <c r="D56" s="131" t="str">
        <f>强度记录!A21</f>
        <v>YP-2017-SHY-012-7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2017/11/28-2017/12/26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80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40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41.2</v>
      </c>
      <c r="BB56" s="184"/>
      <c r="BC56" s="184"/>
      <c r="BD56" s="184"/>
      <c r="BE56" s="184"/>
      <c r="BF56" s="189"/>
      <c r="BG56" s="158" t="s">
        <v>81</v>
      </c>
      <c r="BH56" s="159"/>
      <c r="BI56" s="159"/>
      <c r="BJ56" s="159"/>
      <c r="BK56" s="159"/>
      <c r="BL56" s="159"/>
      <c r="BM56" s="159"/>
      <c r="BN56" s="166"/>
      <c r="BO56" s="183">
        <f>ROUND(BA56/BW$29*100,1)</f>
        <v>117.7</v>
      </c>
      <c r="BP56" s="184"/>
      <c r="BQ56" s="184"/>
      <c r="BR56" s="184"/>
      <c r="BS56" s="184"/>
      <c r="BT56" s="184"/>
      <c r="BU56" s="184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85"/>
      <c r="BP57" s="186"/>
      <c r="BQ57" s="186"/>
      <c r="BR57" s="186"/>
      <c r="BS57" s="186"/>
      <c r="BT57" s="186"/>
      <c r="BU57" s="186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85"/>
      <c r="BP58" s="186"/>
      <c r="BQ58" s="186"/>
      <c r="BR58" s="186"/>
      <c r="BS58" s="186"/>
      <c r="BT58" s="186"/>
      <c r="BU58" s="186"/>
      <c r="BV58" s="202"/>
    </row>
    <row r="59" s="29" customFormat="1" ht="7.35" customHeight="1" spans="4:74">
      <c r="D59" s="131" t="str">
        <f>强度记录!A22</f>
        <v>YP-2017-SHY-012-8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43.5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85"/>
      <c r="BP59" s="186"/>
      <c r="BQ59" s="186"/>
      <c r="BR59" s="186"/>
      <c r="BS59" s="186"/>
      <c r="BT59" s="186"/>
      <c r="BU59" s="186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85"/>
      <c r="BP60" s="186"/>
      <c r="BQ60" s="186"/>
      <c r="BR60" s="186"/>
      <c r="BS60" s="186"/>
      <c r="BT60" s="186"/>
      <c r="BU60" s="186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85"/>
      <c r="BP61" s="186"/>
      <c r="BQ61" s="186"/>
      <c r="BR61" s="186"/>
      <c r="BS61" s="186"/>
      <c r="BT61" s="186"/>
      <c r="BU61" s="186"/>
      <c r="BV61" s="202"/>
    </row>
    <row r="62" s="29" customFormat="1" ht="7.35" customHeight="1" spans="4:74">
      <c r="D62" s="131" t="str">
        <f>强度记录!A23</f>
        <v>YP-2017-SHY-012-9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40.2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85"/>
      <c r="BP62" s="186"/>
      <c r="BQ62" s="186"/>
      <c r="BR62" s="186"/>
      <c r="BS62" s="186"/>
      <c r="BT62" s="186"/>
      <c r="BU62" s="186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85"/>
      <c r="BP63" s="186"/>
      <c r="BQ63" s="186"/>
      <c r="BR63" s="186"/>
      <c r="BS63" s="186"/>
      <c r="BT63" s="186"/>
      <c r="BU63" s="186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87"/>
      <c r="BP64" s="188"/>
      <c r="BQ64" s="188"/>
      <c r="BR64" s="188"/>
      <c r="BS64" s="188"/>
      <c r="BT64" s="188"/>
      <c r="BU64" s="188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83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86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97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100</v>
      </c>
      <c r="M1" s="18"/>
      <c r="N1" s="18"/>
    </row>
    <row r="2" s="3" customFormat="1" ht="14.1" customHeight="1" spans="12:14">
      <c r="L2" s="19"/>
      <c r="M2" s="19" t="s">
        <v>101</v>
      </c>
      <c r="N2" s="19"/>
    </row>
    <row r="3" s="3" customFormat="1" ht="24.95" customHeight="1" spans="1:15">
      <c r="A3" s="104" t="s">
        <v>102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103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98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104</v>
      </c>
      <c r="J11" s="110" t="s">
        <v>105</v>
      </c>
      <c r="K11" s="110" t="s">
        <v>106</v>
      </c>
      <c r="L11" s="110" t="s">
        <v>107</v>
      </c>
      <c r="M11" s="110" t="s">
        <v>108</v>
      </c>
      <c r="N11" s="115" t="s">
        <v>109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113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82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84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85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87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88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89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90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91</v>
      </c>
      <c r="AZ100" s="48"/>
      <c r="BA100" s="48"/>
      <c r="BB100" s="48"/>
      <c r="BC100" s="48"/>
      <c r="BD100" s="48"/>
      <c r="BE100" s="48" t="s">
        <v>92</v>
      </c>
      <c r="BF100" s="48"/>
      <c r="BG100" s="48"/>
      <c r="BH100" s="48"/>
      <c r="BI100" s="48"/>
      <c r="BJ100" s="48"/>
      <c r="BK100" s="48" t="s">
        <v>93</v>
      </c>
      <c r="BL100" s="48"/>
      <c r="BM100" s="48"/>
      <c r="BN100" s="85"/>
      <c r="BO100" s="48" t="s">
        <v>94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100</v>
      </c>
      <c r="M1" s="18"/>
      <c r="N1" s="18"/>
      <c r="O1" s="18"/>
    </row>
    <row r="2" s="1" customFormat="1" ht="14.1" customHeight="1" spans="13:15">
      <c r="M2" s="19"/>
      <c r="N2" s="19" t="s">
        <v>116</v>
      </c>
      <c r="O2" s="19"/>
    </row>
    <row r="3" s="1" customFormat="1" ht="24.95" customHeight="1" spans="1:15">
      <c r="A3" s="5" t="s">
        <v>117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118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119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122</v>
      </c>
      <c r="B15" s="12"/>
      <c r="C15" s="12"/>
      <c r="D15" s="12"/>
      <c r="E15" s="12"/>
      <c r="F15" s="12"/>
      <c r="G15" s="12"/>
      <c r="H15" s="12" t="s">
        <v>123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129</v>
      </c>
      <c r="B22" s="12" t="s">
        <v>130</v>
      </c>
      <c r="C22" s="12" t="s">
        <v>131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134</v>
      </c>
      <c r="C25" s="12" t="s">
        <v>131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138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