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<sst xmlns="http://schemas.openxmlformats.org/spreadsheetml/2006/main" count="138">
  <si>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</si>
  <si>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</si>
  <si>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</si>
  <si>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</si>
  <si>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</si>
  <si>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JL-2017-SHY-018</t>
    </r>
  </si>
  <si>
    <t>工程部位/用途</t>
  </si>
  <si>
    <t>尚义一号水库大桥1-2#桩基</t>
  </si>
  <si>
    <t>委托/任务编号</t>
  </si>
  <si>
    <t>/</t>
  </si>
  <si>
    <t>试验依据</t>
  </si>
  <si>
    <t>JTG E30-2005</t>
  </si>
  <si>
    <t>样品编号</t>
  </si>
  <si>
    <t>YP-2017-SHY-018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</si>
  <si>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</si>
  <si>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</si>
  <si>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</si>
  <si>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</si>
  <si>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</si>
  <si>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</si>
  <si>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</si>
  <si>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</si>
  <si>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2017/12/02-2017/12/30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</si>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</sst>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48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5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14" borderId="54" applyNumberFormat="0" applyAlignment="0" applyProtection="0">
      <alignment vertical="center"/>
    </xf>
    <xf numFmtId="0" fontId="18" fillId="14" borderId="47" applyNumberFormat="0" applyAlignment="0" applyProtection="0">
      <alignment vertical="center"/>
    </xf>
    <xf numFmtId="0" fontId="20" fillId="15" borderId="49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6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5" workbookViewId="0">
      <selection activeCell="A15" sqref="A15:A24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</row>
    <row r="15" s="3" customFormat="1" ht="29.25" customHeight="1" spans="1:18">
      <c r="A15" s="253" t="str">
        <f>CONCATENATE(LEFT(L$7,P7),"-1")</f>
        <v>YP-2017-SHY-018-1</v>
      </c>
      <c r="B15" s="228" t="s">
        <v>46</v>
      </c>
      <c r="C15" s="229"/>
      <c r="D15" s="254" t="str">
        <f>LEFT(L9,P9)</f>
        <v>2017/12/02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1052.38</v>
      </c>
      <c r="L15" s="243">
        <f t="shared" ref="L15:L20" si="0">ROUND(K15/22.5,1)</f>
        <v>46.8</v>
      </c>
      <c r="M15" s="244">
        <f>ROUND(AVERAGE(L15:L17),1)</f>
        <v>47.2</v>
      </c>
      <c r="N15" s="244">
        <f>M15</f>
        <v>47.2</v>
      </c>
      <c r="O15" s="239" t="s">
        <v>50</v>
      </c>
      <c r="P15" s="215">
        <f t="shared" ref="P15:P23" si="1">ROUND(K15/22.5,3)</f>
        <v>46.772</v>
      </c>
      <c r="Q15" s="250">
        <f>ROUND(AVERAGE(L15:L17),3)</f>
        <v>47.233</v>
      </c>
      <c r="R15" s="251">
        <f ca="1" t="shared" ref="R15:R23" si="2">ROUND(R$14+RAND()*S$14,2)</f>
        <v>987.26</v>
      </c>
    </row>
    <row r="16" s="3" customFormat="1" ht="29.25" customHeight="1" spans="1:18">
      <c r="A16" s="253" t="str">
        <f>CONCATENATE(LEFT(L$7,P7),"-2")</f>
        <v>YP-2017-SHY-018-2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1085.8</v>
      </c>
      <c r="L16" s="243">
        <f t="shared" si="0"/>
        <v>48.3</v>
      </c>
      <c r="M16" s="244"/>
      <c r="N16" s="244"/>
      <c r="O16" s="239"/>
      <c r="P16" s="215">
        <f t="shared" si="1"/>
        <v>48.258</v>
      </c>
      <c r="Q16" s="250"/>
      <c r="R16" s="251">
        <f ca="1" t="shared" si="2"/>
        <v>1064.12</v>
      </c>
    </row>
    <row r="17" s="3" customFormat="1" ht="29.25" customHeight="1" spans="1:18">
      <c r="A17" s="253" t="str">
        <f>CONCATENATE(LEFT(L$7,P7),"-3")</f>
        <v>YP-2017-SHY-018-3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1047.55</v>
      </c>
      <c r="L17" s="243">
        <f t="shared" si="0"/>
        <v>46.6</v>
      </c>
      <c r="M17" s="244"/>
      <c r="N17" s="244"/>
      <c r="O17" s="239"/>
      <c r="P17" s="215">
        <f t="shared" si="1"/>
        <v>46.558</v>
      </c>
      <c r="Q17" s="250"/>
      <c r="R17" s="251">
        <f ca="1" t="shared" si="2"/>
        <v>1027.22</v>
      </c>
    </row>
    <row r="18" s="3" customFormat="1" ht="29.25" customHeight="1" spans="1:18">
      <c r="A18" s="253" t="str">
        <f>CONCATENATE(LEFT(L$7,P7),"-4")</f>
        <v>YP-2017-SHY-018-4</v>
      </c>
      <c r="B18" s="228" t="s">
        <v>46</v>
      </c>
      <c r="C18" s="229"/>
      <c r="D18" s="218" t="str">
        <f>D15</f>
        <v>2017/12/02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1038.11</v>
      </c>
      <c r="L18" s="243">
        <f t="shared" si="0"/>
        <v>46.1</v>
      </c>
      <c r="M18" s="244">
        <f>ROUND(AVERAGE(L18:L20),1)</f>
        <v>48.2</v>
      </c>
      <c r="N18" s="244">
        <f>M18</f>
        <v>48.2</v>
      </c>
      <c r="O18" s="239" t="s">
        <v>50</v>
      </c>
      <c r="P18" s="215">
        <f t="shared" si="1"/>
        <v>46.138</v>
      </c>
      <c r="Q18" s="250">
        <f>ROUND(AVERAGE(L18:L20),3)</f>
        <v>48.167</v>
      </c>
      <c r="R18" s="251">
        <f ca="1" t="shared" si="2"/>
        <v>1009.36</v>
      </c>
    </row>
    <row r="19" s="3" customFormat="1" ht="29.25" customHeight="1" spans="1:18">
      <c r="A19" s="253" t="str">
        <f>CONCATENATE(LEFT(L$7,P7),"-5")</f>
        <v>YP-2017-SHY-018-5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1072.14</v>
      </c>
      <c r="L19" s="243">
        <f t="shared" si="0"/>
        <v>47.7</v>
      </c>
      <c r="M19" s="244"/>
      <c r="N19" s="244"/>
      <c r="O19" s="239"/>
      <c r="P19" s="215">
        <f t="shared" si="1"/>
        <v>47.651</v>
      </c>
      <c r="Q19" s="250"/>
      <c r="R19" s="251">
        <f ca="1" t="shared" si="2"/>
        <v>1068.71</v>
      </c>
    </row>
    <row r="20" s="3" customFormat="1" ht="29.25" customHeight="1" spans="1:18">
      <c r="A20" s="253" t="str">
        <f>CONCATENATE(LEFT(L$7,P7),"-6")</f>
        <v>YP-2017-SHY-018-6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1140.63</v>
      </c>
      <c r="L20" s="243">
        <f t="shared" si="0"/>
        <v>50.7</v>
      </c>
      <c r="M20" s="244"/>
      <c r="N20" s="244"/>
      <c r="O20" s="239"/>
      <c r="P20" s="215">
        <f t="shared" si="1"/>
        <v>50.695</v>
      </c>
      <c r="Q20" s="250"/>
      <c r="R20" s="251">
        <f ca="1" t="shared" si="2"/>
        <v>969.61</v>
      </c>
    </row>
    <row r="21" s="3" customFormat="1" ht="29.25" customHeight="1" spans="1:18">
      <c r="A21" s="253" t="str">
        <f>CONCATENATE(LEFT(L$7,P7),"-7")</f>
        <v>YP-2017-SHY-018-7</v>
      </c>
      <c r="B21" s="228" t="s">
        <v>46</v>
      </c>
      <c r="C21" s="229"/>
      <c r="D21" s="218" t="str">
        <f>D15</f>
        <v>2017/12/02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1149.05</v>
      </c>
      <c r="L21" s="243">
        <f t="shared" ref="L21:L23" si="3">ROUND(K21/22.5,1)</f>
        <v>51.1</v>
      </c>
      <c r="M21" s="244">
        <f>ROUND(AVERAGE(L21:L23),1)</f>
        <v>46.9</v>
      </c>
      <c r="N21" s="244">
        <f>M21</f>
        <v>46.9</v>
      </c>
      <c r="O21" s="239" t="s">
        <v>50</v>
      </c>
      <c r="P21" s="215">
        <f t="shared" si="1"/>
        <v>51.069</v>
      </c>
      <c r="Q21" s="250">
        <f>ROUND(AVERAGE(L21:L23),3)</f>
        <v>46.933</v>
      </c>
      <c r="R21" s="251">
        <f ca="1" t="shared" si="2"/>
        <v>1144.01</v>
      </c>
    </row>
    <row r="22" s="3" customFormat="1" ht="29.25" customHeight="1" spans="1:18">
      <c r="A22" s="253" t="str">
        <f>CONCATENATE(LEFT(L$7,P7),"-8")</f>
        <v>YP-2017-SHY-018-8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1055.04</v>
      </c>
      <c r="L22" s="243">
        <f t="shared" si="3"/>
        <v>46.9</v>
      </c>
      <c r="M22" s="244"/>
      <c r="N22" s="244"/>
      <c r="O22" s="239"/>
      <c r="P22" s="215">
        <f t="shared" si="1"/>
        <v>46.891</v>
      </c>
      <c r="Q22" s="250"/>
      <c r="R22" s="251">
        <f ca="1" t="shared" si="2"/>
        <v>992.15</v>
      </c>
    </row>
    <row r="23" s="3" customFormat="1" ht="29.25" customHeight="1" spans="1:18">
      <c r="A23" s="253" t="str">
        <f>CONCATENATE(LEFT(L$7,P7),"-9")</f>
        <v>YP-2017-SHY-018-9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964.05</v>
      </c>
      <c r="L23" s="243">
        <f t="shared" si="3"/>
        <v>42.8</v>
      </c>
      <c r="M23" s="244"/>
      <c r="N23" s="244"/>
      <c r="O23" s="239"/>
      <c r="P23" s="215">
        <f t="shared" si="1"/>
        <v>42.847</v>
      </c>
      <c r="Q23" s="250"/>
      <c r="R23" s="251">
        <f ca="1" t="shared" si="2"/>
        <v>1109.95</v>
      </c>
    </row>
    <row r="24" s="3" customFormat="1" ht="29.25" customHeight="1" spans="1:18">
      <c r="A24" s="255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964.16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950.37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995.06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1009.75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958.6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1007.91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971.42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1016.08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1026.84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32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报告编号：BG-2017-SHY-018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YP-2017-SHY-018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尚义一号水库大桥1-2#桩基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YP-2017-SHY-018-1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2017/12/02-2017/12/30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46.8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47.2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134.9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YP-2017-SHY-018-2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48.3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YP-2017-SHY-018-3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46.6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YP-2017-SHY-018-4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2017/12/02-2017/12/30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46.1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48.2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137.7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YP-2017-SHY-018-5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47.7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YP-2017-SHY-018-6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50.7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YP-2017-SHY-018-7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2017/12/02-2017/12/30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51.1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46.9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134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YP-2017-SHY-018-8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46.9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YP-2017-SHY-018-9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42.8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