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<sst xmlns="http://schemas.openxmlformats.org/spreadsheetml/2006/main" count="137">
  <si>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</si>
  <si>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</si>
  <si>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</si>
  <si>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</si>
  <si>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</si>
  <si>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JL-2017-SHY-019</t>
    </r>
  </si>
  <si>
    <t>工程部位/用途</t>
  </si>
  <si>
    <t>尚义一号水库大桥1-0#桩基</t>
  </si>
  <si>
    <t>委托/任务编号</t>
  </si>
  <si>
    <t>/</t>
  </si>
  <si>
    <t>试验依据</t>
  </si>
  <si>
    <t>JTG E30-2005</t>
  </si>
  <si>
    <t>样品编号</t>
  </si>
  <si>
    <t>YP-2017-SHY-019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</si>
  <si>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</si>
  <si>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</si>
  <si>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</si>
  <si>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</si>
  <si>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</si>
  <si>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</si>
  <si>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</si>
  <si>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</si>
  <si>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2017/12/03-2017/12/31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</si>
  <si>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</si>
  <si>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</si>
  <si>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</si>
  <si>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</si>
  <si>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</si>
  <si>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</si>
  <si>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</si>
  <si>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</si>
  <si>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</si>
  <si>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</si>
  <si>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</si>
  <si>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</si>
  <si>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</si>
  <si>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</si>
  <si>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</si>
  <si>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</si>
  <si>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</si>
  <si>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</si>
  <si>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</si>
  <si>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</si>
  <si>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</si>
  <si>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</si>
  <si>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150</t>
  </si>
  <si>
    <t>35</t>
  </si>
  <si>
    <t>28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</si>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</sst>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0" borderId="5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0" borderId="5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8" borderId="49" applyNumberFormat="0" applyAlignment="0" applyProtection="0">
      <alignment vertical="center"/>
    </xf>
    <xf numFmtId="0" fontId="21" fillId="18" borderId="48" applyNumberFormat="0" applyAlignment="0" applyProtection="0">
      <alignment vertical="center"/>
    </xf>
    <xf numFmtId="0" fontId="23" fillId="21" borderId="5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6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6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6"/>
    </row>
    <row r="2" s="3" customFormat="1" ht="14.1" customHeight="1" spans="13:18">
      <c r="M2" s="19"/>
      <c r="N2" s="19" t="s">
        <v>1</v>
      </c>
      <c r="O2" s="19"/>
      <c r="R2" s="216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6"/>
    </row>
    <row r="4" s="3" customFormat="1" ht="9.95" customHeight="1" spans="1:18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6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8"/>
    </row>
    <row r="6" s="3" customFormat="1" ht="24.95" customHeight="1" spans="1:18">
      <c r="A6" s="9" t="s">
        <v>6</v>
      </c>
      <c r="B6" s="10"/>
      <c r="C6" s="10"/>
      <c r="D6" s="218" t="s">
        <v>7</v>
      </c>
      <c r="E6" s="218"/>
      <c r="F6" s="218"/>
      <c r="G6" s="218"/>
      <c r="H6" s="218"/>
      <c r="I6" s="218"/>
      <c r="J6" s="10" t="s">
        <v>8</v>
      </c>
      <c r="K6" s="10"/>
      <c r="L6" s="238" t="s">
        <v>9</v>
      </c>
      <c r="M6" s="238"/>
      <c r="N6" s="238"/>
      <c r="O6" s="239"/>
      <c r="R6" s="216"/>
    </row>
    <row r="7" s="3" customFormat="1" ht="24.95" customHeight="1" spans="1:18">
      <c r="A7" s="11" t="s">
        <v>10</v>
      </c>
      <c r="B7" s="12"/>
      <c r="C7" s="12"/>
      <c r="D7" s="219" t="s">
        <v>11</v>
      </c>
      <c r="E7" s="219"/>
      <c r="F7" s="219"/>
      <c r="G7" s="219"/>
      <c r="H7" s="219"/>
      <c r="I7" s="219"/>
      <c r="J7" s="12" t="s">
        <v>12</v>
      </c>
      <c r="K7" s="12"/>
      <c r="L7" s="231" t="s">
        <v>13</v>
      </c>
      <c r="M7" s="231"/>
      <c r="N7" s="231"/>
      <c r="O7" s="240"/>
      <c r="P7" s="3" t="s">
        <v>14</v>
      </c>
      <c r="R7" s="216"/>
    </row>
    <row r="8" s="3" customFormat="1" ht="24.95" customHeight="1" spans="1:18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0"/>
      <c r="R8" s="216"/>
    </row>
    <row r="9" s="3" customFormat="1" ht="24.95" customHeight="1" spans="1:18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31" t="s">
        <v>22</v>
      </c>
      <c r="M9" s="231"/>
      <c r="N9" s="231"/>
      <c r="O9" s="240"/>
      <c r="P9" s="3" t="s">
        <v>23</v>
      </c>
      <c r="R9" s="216"/>
    </row>
    <row r="10" s="3" customFormat="1" ht="35.1" customHeight="1" spans="1:18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1"/>
      <c r="R10" s="216"/>
    </row>
    <row r="11" s="3" customFormat="1" ht="28.5" customHeight="1" spans="1:18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2"/>
      <c r="R11" s="216"/>
    </row>
    <row r="12" s="3" customFormat="1" ht="22.5" customHeight="1" spans="1:18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6"/>
    </row>
    <row r="13" s="3" customFormat="1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3" t="s">
        <v>42</v>
      </c>
    </row>
    <row r="14" s="3" customFormat="1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9">
        <v>900</v>
      </c>
      <c r="S14" s="250" t="s">
        <v>45</v>
      </c>
    </row>
    <row r="15" s="3" customFormat="1" ht="29.25" customHeight="1" spans="1:18">
      <c r="A15" s="254" t="str">
        <f>CONCATENATE(LEFT(L$7,P7),"-1")</f>
        <v>YP-2017-SHY-019-1</v>
      </c>
      <c r="B15" s="229" t="s">
        <v>46</v>
      </c>
      <c r="C15" s="230"/>
      <c r="D15" s="255" t="str">
        <f>LEFT(L9,P9)</f>
        <v>2017/12/03</v>
      </c>
      <c r="E15" s="231" t="s">
        <v>47</v>
      </c>
      <c r="F15" s="231" t="s">
        <v>45</v>
      </c>
      <c r="G15" s="231" t="s">
        <v>45</v>
      </c>
      <c r="H15" s="231" t="s">
        <v>45</v>
      </c>
      <c r="I15" s="231" t="s">
        <v>45</v>
      </c>
      <c r="J15" s="231" t="s">
        <v>48</v>
      </c>
      <c r="K15" s="243">
        <v>1010.84</v>
      </c>
      <c r="L15" s="244">
        <f t="shared" ref="L15:L20" si="0">ROUND(K15/22.5,1)</f>
        <v>44.9</v>
      </c>
      <c r="M15" s="245">
        <f>ROUND(AVERAGE(L15:L17),1)</f>
        <v>43.8</v>
      </c>
      <c r="N15" s="245">
        <f>M15</f>
        <v>43.8</v>
      </c>
      <c r="O15" s="240" t="s">
        <v>49</v>
      </c>
      <c r="P15" s="216">
        <f t="shared" ref="P15:P23" si="1">ROUND(K15/22.5,3)</f>
        <v>44.926</v>
      </c>
      <c r="Q15" s="251">
        <f>ROUND(AVERAGE(L15:L17),3)</f>
        <v>43.833</v>
      </c>
      <c r="R15" s="252">
        <f ca="1" t="shared" ref="R15:R23" si="2">ROUND(R$14+RAND()*S$14,2)</f>
        <v>988.48</v>
      </c>
    </row>
    <row r="16" s="3" customFormat="1" ht="29.25" customHeight="1" spans="1:18">
      <c r="A16" s="254" t="str">
        <f>CONCATENATE(LEFT(L$7,P7),"-2")</f>
        <v>YP-2017-SHY-019-2</v>
      </c>
      <c r="B16" s="232"/>
      <c r="C16" s="233"/>
      <c r="D16" s="255"/>
      <c r="E16" s="231"/>
      <c r="F16" s="231" t="s">
        <v>45</v>
      </c>
      <c r="G16" s="231" t="s">
        <v>45</v>
      </c>
      <c r="H16" s="231" t="s">
        <v>45</v>
      </c>
      <c r="I16" s="231" t="s">
        <v>45</v>
      </c>
      <c r="J16" s="231" t="s">
        <v>48</v>
      </c>
      <c r="K16" s="243">
        <v>947.32</v>
      </c>
      <c r="L16" s="244">
        <f t="shared" si="0"/>
        <v>42.1</v>
      </c>
      <c r="M16" s="245"/>
      <c r="N16" s="245"/>
      <c r="O16" s="240"/>
      <c r="P16" s="216">
        <f t="shared" si="1"/>
        <v>42.103</v>
      </c>
      <c r="Q16" s="251"/>
      <c r="R16" s="252">
        <f ca="1" t="shared" si="2"/>
        <v>1017.96</v>
      </c>
    </row>
    <row r="17" s="3" customFormat="1" ht="29.25" customHeight="1" spans="1:18">
      <c r="A17" s="254" t="str">
        <f>CONCATENATE(LEFT(L$7,P7),"-3")</f>
        <v>YP-2017-SHY-019-3</v>
      </c>
      <c r="B17" s="234"/>
      <c r="C17" s="235"/>
      <c r="D17" s="255"/>
      <c r="E17" s="231"/>
      <c r="F17" s="231" t="s">
        <v>45</v>
      </c>
      <c r="G17" s="231" t="s">
        <v>45</v>
      </c>
      <c r="H17" s="231" t="s">
        <v>45</v>
      </c>
      <c r="I17" s="231" t="s">
        <v>45</v>
      </c>
      <c r="J17" s="231" t="s">
        <v>48</v>
      </c>
      <c r="K17" s="243">
        <v>1001.78</v>
      </c>
      <c r="L17" s="244">
        <f t="shared" si="0"/>
        <v>44.5</v>
      </c>
      <c r="M17" s="245"/>
      <c r="N17" s="245"/>
      <c r="O17" s="240"/>
      <c r="P17" s="216">
        <f t="shared" si="1"/>
        <v>44.524</v>
      </c>
      <c r="Q17" s="251"/>
      <c r="R17" s="252">
        <f ca="1" t="shared" si="2"/>
        <v>901.06</v>
      </c>
    </row>
    <row r="18" s="3" customFormat="1" ht="29.25" customHeight="1" spans="1:18">
      <c r="A18" s="254" t="str">
        <f>CONCATENATE(LEFT(L$7,P7),"-4")</f>
        <v>YP-2017-SHY-019-4</v>
      </c>
      <c r="B18" s="229" t="s">
        <v>46</v>
      </c>
      <c r="C18" s="230"/>
      <c r="D18" s="219" t="str">
        <f>D15</f>
        <v>2017/12/03</v>
      </c>
      <c r="E18" s="231" t="s">
        <v>47</v>
      </c>
      <c r="F18" s="231" t="s">
        <v>45</v>
      </c>
      <c r="G18" s="231" t="s">
        <v>45</v>
      </c>
      <c r="H18" s="231" t="s">
        <v>45</v>
      </c>
      <c r="I18" s="231" t="s">
        <v>45</v>
      </c>
      <c r="J18" s="231" t="s">
        <v>48</v>
      </c>
      <c r="K18" s="243">
        <v>905.42</v>
      </c>
      <c r="L18" s="244">
        <f t="shared" si="0"/>
        <v>40.2</v>
      </c>
      <c r="M18" s="245">
        <f>ROUND(AVERAGE(L18:L20),1)</f>
        <v>42.7</v>
      </c>
      <c r="N18" s="245">
        <f>M18</f>
        <v>42.7</v>
      </c>
      <c r="O18" s="240" t="s">
        <v>49</v>
      </c>
      <c r="P18" s="216">
        <f t="shared" si="1"/>
        <v>40.241</v>
      </c>
      <c r="Q18" s="251">
        <f>ROUND(AVERAGE(L18:L20),3)</f>
        <v>42.667</v>
      </c>
      <c r="R18" s="252">
        <f ca="1" t="shared" si="2"/>
        <v>990.58</v>
      </c>
    </row>
    <row r="19" s="3" customFormat="1" ht="29.25" customHeight="1" spans="1:18">
      <c r="A19" s="254" t="str">
        <f>CONCATENATE(LEFT(L$7,P7),"-5")</f>
        <v>YP-2017-SHY-019-5</v>
      </c>
      <c r="B19" s="232"/>
      <c r="C19" s="233"/>
      <c r="D19" s="219"/>
      <c r="E19" s="231"/>
      <c r="F19" s="231" t="s">
        <v>45</v>
      </c>
      <c r="G19" s="231" t="s">
        <v>45</v>
      </c>
      <c r="H19" s="231" t="s">
        <v>45</v>
      </c>
      <c r="I19" s="231" t="s">
        <v>45</v>
      </c>
      <c r="J19" s="231" t="s">
        <v>48</v>
      </c>
      <c r="K19" s="243">
        <v>979.07</v>
      </c>
      <c r="L19" s="244">
        <f t="shared" si="0"/>
        <v>43.5</v>
      </c>
      <c r="M19" s="245"/>
      <c r="N19" s="245"/>
      <c r="O19" s="240"/>
      <c r="P19" s="216">
        <f t="shared" si="1"/>
        <v>43.514</v>
      </c>
      <c r="Q19" s="251"/>
      <c r="R19" s="252">
        <f ca="1" t="shared" si="2"/>
        <v>1014.66</v>
      </c>
    </row>
    <row r="20" s="3" customFormat="1" ht="29.25" customHeight="1" spans="1:18">
      <c r="A20" s="254" t="str">
        <f>CONCATENATE(LEFT(L$7,P7),"-6")</f>
        <v>YP-2017-SHY-019-6</v>
      </c>
      <c r="B20" s="234"/>
      <c r="C20" s="235"/>
      <c r="D20" s="219"/>
      <c r="E20" s="231"/>
      <c r="F20" s="231" t="s">
        <v>45</v>
      </c>
      <c r="G20" s="231" t="s">
        <v>45</v>
      </c>
      <c r="H20" s="231" t="s">
        <v>45</v>
      </c>
      <c r="I20" s="231" t="s">
        <v>45</v>
      </c>
      <c r="J20" s="231" t="s">
        <v>48</v>
      </c>
      <c r="K20" s="243">
        <v>997.46</v>
      </c>
      <c r="L20" s="244">
        <f t="shared" si="0"/>
        <v>44.3</v>
      </c>
      <c r="M20" s="245"/>
      <c r="N20" s="245"/>
      <c r="O20" s="240"/>
      <c r="P20" s="216">
        <f t="shared" si="1"/>
        <v>44.332</v>
      </c>
      <c r="Q20" s="251"/>
      <c r="R20" s="252">
        <f ca="1" t="shared" si="2"/>
        <v>953.9</v>
      </c>
    </row>
    <row r="21" s="3" customFormat="1" ht="29.25" customHeight="1" spans="1:18">
      <c r="A21" s="254" t="str">
        <f>CONCATENATE(LEFT(L$7,P7),"-7")</f>
        <v>YP-2017-SHY-019-7</v>
      </c>
      <c r="B21" s="229" t="s">
        <v>46</v>
      </c>
      <c r="C21" s="230"/>
      <c r="D21" s="219" t="str">
        <f>D15</f>
        <v>2017/12/03</v>
      </c>
      <c r="E21" s="231" t="s">
        <v>47</v>
      </c>
      <c r="F21" s="231" t="s">
        <v>45</v>
      </c>
      <c r="G21" s="231" t="s">
        <v>45</v>
      </c>
      <c r="H21" s="231" t="s">
        <v>45</v>
      </c>
      <c r="I21" s="231" t="s">
        <v>45</v>
      </c>
      <c r="J21" s="231" t="s">
        <v>48</v>
      </c>
      <c r="K21" s="243">
        <v>1008.19</v>
      </c>
      <c r="L21" s="244">
        <f t="shared" ref="L21:L23" si="3">ROUND(K21/22.5,1)</f>
        <v>44.8</v>
      </c>
      <c r="M21" s="245">
        <f>ROUND(AVERAGE(L21:L23),1)</f>
        <v>43.5</v>
      </c>
      <c r="N21" s="245">
        <f>M21</f>
        <v>43.5</v>
      </c>
      <c r="O21" s="240" t="s">
        <v>49</v>
      </c>
      <c r="P21" s="216">
        <f t="shared" si="1"/>
        <v>44.808</v>
      </c>
      <c r="Q21" s="251">
        <f>ROUND(AVERAGE(L21:L23),3)</f>
        <v>43.5</v>
      </c>
      <c r="R21" s="252">
        <f ca="1" t="shared" si="2"/>
        <v>1004.99</v>
      </c>
    </row>
    <row r="22" s="3" customFormat="1" ht="29.25" customHeight="1" spans="1:18">
      <c r="A22" s="254" t="str">
        <f>CONCATENATE(LEFT(L$7,P7),"-8")</f>
        <v>YP-2017-SHY-019-8</v>
      </c>
      <c r="B22" s="232"/>
      <c r="C22" s="233"/>
      <c r="D22" s="219"/>
      <c r="E22" s="231"/>
      <c r="F22" s="231" t="s">
        <v>45</v>
      </c>
      <c r="G22" s="231" t="s">
        <v>45</v>
      </c>
      <c r="H22" s="231" t="s">
        <v>45</v>
      </c>
      <c r="I22" s="231" t="s">
        <v>45</v>
      </c>
      <c r="J22" s="231" t="s">
        <v>48</v>
      </c>
      <c r="K22" s="243">
        <v>1018.5</v>
      </c>
      <c r="L22" s="244">
        <f t="shared" si="3"/>
        <v>45.3</v>
      </c>
      <c r="M22" s="245"/>
      <c r="N22" s="245"/>
      <c r="O22" s="240"/>
      <c r="P22" s="216">
        <f t="shared" si="1"/>
        <v>45.267</v>
      </c>
      <c r="Q22" s="251"/>
      <c r="R22" s="252">
        <f ca="1" t="shared" si="2"/>
        <v>1039.99</v>
      </c>
    </row>
    <row r="23" s="3" customFormat="1" ht="29.25" customHeight="1" spans="1:18">
      <c r="A23" s="254" t="str">
        <f>CONCATENATE(LEFT(L$7,P7),"-9")</f>
        <v>YP-2017-SHY-019-9</v>
      </c>
      <c r="B23" s="234"/>
      <c r="C23" s="235"/>
      <c r="D23" s="219"/>
      <c r="E23" s="231"/>
      <c r="F23" s="231" t="s">
        <v>45</v>
      </c>
      <c r="G23" s="231" t="s">
        <v>45</v>
      </c>
      <c r="H23" s="231" t="s">
        <v>45</v>
      </c>
      <c r="I23" s="231" t="s">
        <v>45</v>
      </c>
      <c r="J23" s="231" t="s">
        <v>48</v>
      </c>
      <c r="K23" s="243">
        <v>908.49</v>
      </c>
      <c r="L23" s="244">
        <f t="shared" si="3"/>
        <v>40.4</v>
      </c>
      <c r="M23" s="245"/>
      <c r="N23" s="245"/>
      <c r="O23" s="240"/>
      <c r="P23" s="216">
        <f t="shared" si="1"/>
        <v>40.377</v>
      </c>
      <c r="Q23" s="251"/>
      <c r="R23" s="252">
        <f ca="1" t="shared" si="2"/>
        <v>999.39</v>
      </c>
    </row>
    <row r="24" s="3" customFormat="1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0" t="s">
        <v>9</v>
      </c>
      <c r="P24" s="246" t="s">
        <v>50</v>
      </c>
      <c r="Q24" s="246" t="s">
        <v>50</v>
      </c>
      <c r="R24" s="246" t="s">
        <v>51</v>
      </c>
    </row>
    <row r="25" s="3" customFormat="1" ht="29.25" customHeight="1" spans="1:18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0"/>
      <c r="R25" s="216"/>
    </row>
    <row r="26" s="3" customFormat="1" ht="29.25" customHeight="1" spans="1:18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0"/>
      <c r="R26" s="216"/>
    </row>
    <row r="27" s="4" customFormat="1" ht="42.75" customHeight="1" spans="1:18">
      <c r="A27" s="13" t="s">
        <v>52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7"/>
      <c r="R27" s="253"/>
    </row>
    <row r="28" s="4" customFormat="1" ht="5.1" customHeight="1" spans="18:18">
      <c r="R28" s="253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3"/>
    </row>
    <row r="30" s="4" customFormat="1" customHeight="1" spans="18:18">
      <c r="R30" s="253"/>
    </row>
    <row r="31" s="4" customFormat="1" customHeight="1" spans="18:18">
      <c r="R31" s="253"/>
    </row>
    <row r="32" s="4" customFormat="1" customHeight="1" spans="18:18">
      <c r="R32" s="253"/>
    </row>
    <row r="33" s="4" customFormat="1" customHeight="1" spans="18:18">
      <c r="R33" s="253"/>
    </row>
    <row r="34" s="4" customFormat="1" customHeight="1" spans="18:18">
      <c r="R34" s="253"/>
    </row>
    <row r="35" s="4" customFormat="1" customHeight="1" spans="18:18">
      <c r="R35" s="253"/>
    </row>
    <row r="36" s="4" customFormat="1" customHeight="1" spans="18:18">
      <c r="R36" s="253"/>
    </row>
    <row r="37" s="4" customFormat="1" customHeight="1" spans="18:18">
      <c r="R37" s="253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6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6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6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6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6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6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6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6"/>
    </row>
    <row r="2" s="3" customFormat="1" ht="14.1" customHeight="1" spans="13:18">
      <c r="M2" s="19"/>
      <c r="N2" s="19" t="s">
        <v>1</v>
      </c>
      <c r="O2" s="19"/>
      <c r="R2" s="216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6"/>
    </row>
    <row r="4" s="3" customFormat="1" ht="9.95" customHeight="1" spans="1:18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6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8"/>
    </row>
    <row r="6" s="3" customFormat="1" ht="24.95" customHeight="1" spans="1:18">
      <c r="A6" s="9" t="s">
        <v>6</v>
      </c>
      <c r="B6" s="10"/>
      <c r="C6" s="10"/>
      <c r="D6" s="218"/>
      <c r="E6" s="218"/>
      <c r="F6" s="218"/>
      <c r="G6" s="218"/>
      <c r="H6" s="218"/>
      <c r="I6" s="218"/>
      <c r="J6" s="10" t="s">
        <v>8</v>
      </c>
      <c r="K6" s="10"/>
      <c r="L6" s="238"/>
      <c r="M6" s="238"/>
      <c r="N6" s="238"/>
      <c r="O6" s="239"/>
      <c r="R6" s="216"/>
    </row>
    <row r="7" s="3" customFormat="1" ht="24.95" customHeight="1" spans="1:18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/>
      <c r="M7" s="231"/>
      <c r="N7" s="231"/>
      <c r="O7" s="240"/>
      <c r="R7" s="216"/>
    </row>
    <row r="8" s="3" customFormat="1" ht="24.95" customHeight="1" spans="1:18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0"/>
      <c r="R8" s="216"/>
    </row>
    <row r="9" s="3" customFormat="1" ht="24.95" customHeight="1" spans="1:18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/>
      <c r="M9" s="231"/>
      <c r="N9" s="231"/>
      <c r="O9" s="240"/>
      <c r="R9" s="216"/>
    </row>
    <row r="10" s="3" customFormat="1" ht="35.1" customHeight="1" spans="1:18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1"/>
      <c r="R10" s="216"/>
    </row>
    <row r="11" s="3" customFormat="1" ht="28.5" customHeight="1" spans="1:18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2"/>
      <c r="R11" s="216"/>
    </row>
    <row r="12" s="3" customFormat="1" ht="22.5" customHeight="1" spans="1:18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6"/>
    </row>
    <row r="13" s="3" customFormat="1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3" t="s">
        <v>42</v>
      </c>
    </row>
    <row r="14" s="3" customFormat="1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9">
        <v>950</v>
      </c>
      <c r="S14" s="250" t="s">
        <v>56</v>
      </c>
    </row>
    <row r="15" s="3" customFormat="1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3"/>
      <c r="L15" s="244"/>
      <c r="M15" s="245"/>
      <c r="N15" s="245"/>
      <c r="O15" s="240"/>
      <c r="P15" s="216">
        <f t="shared" ref="P15:P23" si="0">ROUND(K15/22.5,3)</f>
        <v>0</v>
      </c>
      <c r="Q15" s="251" t="e">
        <f>ROUND(AVERAGE(L15:L17),3)</f>
        <v>#DIV/0!</v>
      </c>
      <c r="R15" s="252">
        <f ca="1" t="shared" ref="R15:R23" si="1">ROUND(R$14+RAND()*S$14,2)</f>
        <v>1006.62</v>
      </c>
    </row>
    <row r="16" s="3" customFormat="1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3"/>
      <c r="L16" s="244"/>
      <c r="M16" s="245"/>
      <c r="N16" s="245"/>
      <c r="O16" s="240"/>
      <c r="P16" s="216">
        <f t="shared" si="0"/>
        <v>0</v>
      </c>
      <c r="Q16" s="251"/>
      <c r="R16" s="252">
        <f ca="1" t="shared" si="1"/>
        <v>979.94</v>
      </c>
    </row>
    <row r="17" s="3" customFormat="1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3"/>
      <c r="L17" s="244"/>
      <c r="M17" s="245"/>
      <c r="N17" s="245"/>
      <c r="O17" s="240"/>
      <c r="P17" s="216">
        <f t="shared" si="0"/>
        <v>0</v>
      </c>
      <c r="Q17" s="251"/>
      <c r="R17" s="252">
        <f ca="1" t="shared" si="1"/>
        <v>973.55</v>
      </c>
    </row>
    <row r="18" s="3" customFormat="1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3"/>
      <c r="L18" s="244"/>
      <c r="M18" s="245"/>
      <c r="N18" s="245"/>
      <c r="O18" s="240"/>
      <c r="P18" s="216">
        <f t="shared" si="0"/>
        <v>0</v>
      </c>
      <c r="Q18" s="251" t="e">
        <f>ROUND(AVERAGE(L18:L20),3)</f>
        <v>#DIV/0!</v>
      </c>
      <c r="R18" s="252">
        <f ca="1" t="shared" si="1"/>
        <v>989.67</v>
      </c>
    </row>
    <row r="19" s="3" customFormat="1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3"/>
      <c r="L19" s="244"/>
      <c r="M19" s="245"/>
      <c r="N19" s="245"/>
      <c r="O19" s="240"/>
      <c r="P19" s="216">
        <f t="shared" si="0"/>
        <v>0</v>
      </c>
      <c r="Q19" s="251"/>
      <c r="R19" s="252">
        <f ca="1" t="shared" si="1"/>
        <v>998.1</v>
      </c>
    </row>
    <row r="20" s="3" customFormat="1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3"/>
      <c r="L20" s="244"/>
      <c r="M20" s="245"/>
      <c r="N20" s="245"/>
      <c r="O20" s="240"/>
      <c r="P20" s="216">
        <f t="shared" si="0"/>
        <v>0</v>
      </c>
      <c r="Q20" s="251"/>
      <c r="R20" s="252">
        <f ca="1" t="shared" si="1"/>
        <v>1022.25</v>
      </c>
    </row>
    <row r="21" s="3" customFormat="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3"/>
      <c r="L21" s="244"/>
      <c r="M21" s="245"/>
      <c r="N21" s="245"/>
      <c r="O21" s="240"/>
      <c r="P21" s="216">
        <f t="shared" si="0"/>
        <v>0</v>
      </c>
      <c r="Q21" s="251" t="e">
        <f>ROUND(AVERAGE(L21:L23),3)</f>
        <v>#DIV/0!</v>
      </c>
      <c r="R21" s="252">
        <f ca="1" t="shared" si="1"/>
        <v>983.96</v>
      </c>
    </row>
    <row r="22" s="3" customFormat="1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3"/>
      <c r="L22" s="244"/>
      <c r="M22" s="245"/>
      <c r="N22" s="245"/>
      <c r="O22" s="240"/>
      <c r="P22" s="216">
        <f t="shared" si="0"/>
        <v>0</v>
      </c>
      <c r="Q22" s="251"/>
      <c r="R22" s="252">
        <f ca="1" t="shared" si="1"/>
        <v>1028.97</v>
      </c>
    </row>
    <row r="23" s="3" customFormat="1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3"/>
      <c r="L23" s="244"/>
      <c r="M23" s="245"/>
      <c r="N23" s="245"/>
      <c r="O23" s="240"/>
      <c r="P23" s="216">
        <f t="shared" si="0"/>
        <v>0</v>
      </c>
      <c r="Q23" s="251"/>
      <c r="R23" s="252">
        <f ca="1" t="shared" si="1"/>
        <v>957.37</v>
      </c>
    </row>
    <row r="24" s="3" customFormat="1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0" t="s">
        <v>9</v>
      </c>
      <c r="P24" s="246" t="s">
        <v>50</v>
      </c>
      <c r="Q24" s="246" t="s">
        <v>50</v>
      </c>
      <c r="R24" s="246" t="s">
        <v>51</v>
      </c>
    </row>
    <row r="25" s="3" customFormat="1" ht="29.25" customHeight="1" spans="1:18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0"/>
      <c r="R25" s="216"/>
    </row>
    <row r="26" s="3" customFormat="1" ht="29.25" customHeight="1" spans="1:18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0"/>
      <c r="R26" s="216"/>
    </row>
    <row r="27" s="4" customFormat="1" ht="42.75" customHeight="1" spans="1:18">
      <c r="A27" s="13" t="s">
        <v>52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7"/>
      <c r="R27" s="253"/>
    </row>
    <row r="28" s="4" customFormat="1" ht="5.1" customHeight="1" spans="18:18">
      <c r="R28" s="253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3"/>
    </row>
    <row r="30" s="4" customFormat="1" customHeight="1" spans="18:18">
      <c r="R30" s="253"/>
    </row>
    <row r="31" s="4" customFormat="1" customHeight="1" spans="18:18">
      <c r="R31" s="253"/>
    </row>
    <row r="32" s="4" customFormat="1" customHeight="1" spans="18:18">
      <c r="R32" s="253"/>
    </row>
    <row r="33" s="4" customFormat="1" customHeight="1" spans="18:18">
      <c r="R33" s="253"/>
    </row>
    <row r="34" s="4" customFormat="1" customHeight="1" spans="18:18">
      <c r="R34" s="253"/>
    </row>
    <row r="35" s="4" customFormat="1" customHeight="1" spans="18:18">
      <c r="R35" s="253"/>
    </row>
    <row r="36" s="4" customFormat="1" customHeight="1" spans="18:18">
      <c r="R36" s="253"/>
    </row>
    <row r="37" s="4" customFormat="1" customHeight="1" spans="18:18">
      <c r="R37" s="253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6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6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6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6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6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6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U99"/>
  <sheetViews>
    <sheetView tabSelected="1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99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CU3" s="205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报告编号：BG-2017-SHY-019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64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YP-2017-SHY-019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71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72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YP-2017-SHY-019-1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2017/12/03-2017/12/31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YP-2017-SHY-019-2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42.1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YP-2017-SHY-019-3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YP-2017-SHY-019-4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2017/12/03-2017/12/31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42.7</v>
      </c>
      <c r="BB47" s="185"/>
      <c r="BC47" s="185"/>
      <c r="BD47" s="185"/>
      <c r="BE47" s="185"/>
      <c r="BF47" s="190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YP-2017-SHY-019-5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YP-2017-SHY-019-6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YP-2017-SHY-019-7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2017/12/03-2017/12/31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43.5</v>
      </c>
      <c r="BB56" s="185"/>
      <c r="BC56" s="185"/>
      <c r="BD56" s="185"/>
      <c r="BE56" s="185"/>
      <c r="BF56" s="190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YP-2017-SHY-019-8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YP-2017-SHY-019-9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40.4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6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1"/>
    </row>
    <row r="66" s="29" customFormat="1" ht="7.35" customHeight="1" spans="4:74">
      <c r="D66" s="207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2"/>
    </row>
    <row r="67" s="29" customFormat="1" ht="7.35" customHeight="1" spans="4:74">
      <c r="D67" s="208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2"/>
    </row>
    <row r="68" s="29" customFormat="1" ht="7.35" customHeight="1" spans="4:74">
      <c r="D68" s="206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2"/>
    </row>
    <row r="69" s="29" customFormat="1" ht="7.35" customHeight="1" spans="4:74">
      <c r="D69" s="207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2"/>
    </row>
    <row r="70" s="29" customFormat="1" ht="7.35" customHeight="1" spans="4:74">
      <c r="D70" s="208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2"/>
    </row>
    <row r="71" s="29" customFormat="1" ht="7.35" customHeight="1" spans="4:74">
      <c r="D71" s="206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2"/>
    </row>
    <row r="72" s="29" customFormat="1" ht="7.35" customHeight="1" spans="4:74">
      <c r="D72" s="207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2"/>
    </row>
    <row r="73" s="29" customFormat="1" ht="7.35" customHeight="1" spans="4:74">
      <c r="D73" s="208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3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9" t="s">
        <v>81</v>
      </c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4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4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4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4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4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4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4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4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9" t="s">
        <v>84</v>
      </c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4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4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4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4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4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4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4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210"/>
      <c r="BT96" s="210"/>
      <c r="BU96" s="210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