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<sst xmlns="http://schemas.openxmlformats.org/spreadsheetml/2006/main" count="137">
  <si>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</si>
  <si>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</si>
  <si>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</si>
  <si>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</si>
  <si>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</si>
  <si>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JL-2017-SHY-021</t>
    </r>
  </si>
  <si>
    <t>工程部位/用途</t>
  </si>
  <si>
    <t>尚义一号水库大桥1-3#桩基</t>
  </si>
  <si>
    <t>委托/任务编号</t>
  </si>
  <si>
    <t>/</t>
  </si>
  <si>
    <t>试验依据</t>
  </si>
  <si>
    <t>JTG E30-2005</t>
  </si>
  <si>
    <t>样品编号</t>
  </si>
  <si>
    <t>YP-2017-SHY-021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</si>
  <si>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</si>
  <si>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</si>
  <si>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</si>
  <si>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</si>
  <si>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</si>
  <si>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</si>
  <si>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</si>
  <si>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</si>
  <si>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2017/12/04-2018/01/01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</si>
  <si>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</si>
  <si>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</si>
  <si>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</si>
  <si>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</si>
  <si>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</si>
  <si>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</si>
  <si>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</si>
  <si>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</si>
  <si>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</si>
  <si>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</si>
  <si>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</si>
  <si>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</si>
  <si>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</si>
  <si>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</si>
  <si>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</si>
  <si>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</si>
  <si>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</si>
  <si>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</si>
  <si>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</si>
  <si>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</si>
  <si>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</si>
  <si>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</si>
  <si>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150</t>
  </si>
  <si>
    <t>35</t>
  </si>
  <si>
    <t>28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</si>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</sst>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0" borderId="54" applyNumberFormat="0" applyAlignment="0" applyProtection="0">
      <alignment vertical="center"/>
    </xf>
    <xf numFmtId="0" fontId="28" fillId="20" borderId="48" applyNumberFormat="0" applyAlignment="0" applyProtection="0">
      <alignment vertical="center"/>
    </xf>
    <xf numFmtId="0" fontId="20" fillId="16" borderId="4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880</v>
      </c>
      <c r="S14" s="249" t="s">
        <v>45</v>
      </c>
    </row>
    <row r="15" s="3" customFormat="1" ht="29.25" customHeight="1" spans="1:18">
      <c r="A15" s="253" t="str">
        <f>CONCATENATE(LEFT(L$7,P7),"-1")</f>
        <v>YP-2017-SHY-021-1</v>
      </c>
      <c r="B15" s="228" t="s">
        <v>46</v>
      </c>
      <c r="C15" s="229"/>
      <c r="D15" s="254" t="str">
        <f>LEFT(L9,P9)</f>
        <v>2017/12/04</v>
      </c>
      <c r="E15" s="230" t="s">
        <v>47</v>
      </c>
      <c r="F15" s="230" t="s">
        <v>45</v>
      </c>
      <c r="G15" s="230" t="s">
        <v>45</v>
      </c>
      <c r="H15" s="230" t="s">
        <v>45</v>
      </c>
      <c r="I15" s="230" t="s">
        <v>45</v>
      </c>
      <c r="J15" s="230" t="s">
        <v>48</v>
      </c>
      <c r="K15" s="242">
        <v>901.12</v>
      </c>
      <c r="L15" s="243">
        <f t="shared" ref="L15:L20" si="0">ROUND(K15/22.5,1)</f>
        <v>40</v>
      </c>
      <c r="M15" s="244">
        <f>ROUND(AVERAGE(L15:L17),1)</f>
        <v>41.4</v>
      </c>
      <c r="N15" s="244">
        <f>M15</f>
        <v>41.4</v>
      </c>
      <c r="O15" s="239" t="s">
        <v>49</v>
      </c>
      <c r="P15" s="215">
        <f t="shared" ref="P15:P23" si="1">ROUND(K15/22.5,3)</f>
        <v>40.05</v>
      </c>
      <c r="Q15" s="250">
        <f>ROUND(AVERAGE(L15:L17),3)</f>
        <v>41.367</v>
      </c>
      <c r="R15" s="251">
        <f ca="1" t="shared" ref="R15:R23" si="2">ROUND(R$14+RAND()*S$14,2)</f>
        <v>1011.64</v>
      </c>
    </row>
    <row r="16" s="3" customFormat="1" ht="29.25" customHeight="1" spans="1:18">
      <c r="A16" s="253" t="str">
        <f>CONCATENATE(LEFT(L$7,P7),"-2")</f>
        <v>YP-2017-SHY-021-2</v>
      </c>
      <c r="B16" s="231"/>
      <c r="C16" s="232"/>
      <c r="D16" s="254"/>
      <c r="E16" s="230"/>
      <c r="F16" s="230" t="s">
        <v>45</v>
      </c>
      <c r="G16" s="230" t="s">
        <v>45</v>
      </c>
      <c r="H16" s="230" t="s">
        <v>45</v>
      </c>
      <c r="I16" s="230" t="s">
        <v>45</v>
      </c>
      <c r="J16" s="230" t="s">
        <v>48</v>
      </c>
      <c r="K16" s="242">
        <v>953.13</v>
      </c>
      <c r="L16" s="243">
        <f t="shared" si="0"/>
        <v>42.4</v>
      </c>
      <c r="M16" s="244"/>
      <c r="N16" s="244"/>
      <c r="O16" s="239"/>
      <c r="P16" s="215">
        <f t="shared" si="1"/>
        <v>42.361</v>
      </c>
      <c r="Q16" s="250"/>
      <c r="R16" s="251">
        <f ca="1" t="shared" si="2"/>
        <v>895.8</v>
      </c>
    </row>
    <row r="17" s="3" customFormat="1" ht="29.25" customHeight="1" spans="1:18">
      <c r="A17" s="253" t="str">
        <f>CONCATENATE(LEFT(L$7,P7),"-3")</f>
        <v>YP-2017-SHY-021-3</v>
      </c>
      <c r="B17" s="233"/>
      <c r="C17" s="234"/>
      <c r="D17" s="254"/>
      <c r="E17" s="230"/>
      <c r="F17" s="230" t="s">
        <v>45</v>
      </c>
      <c r="G17" s="230" t="s">
        <v>45</v>
      </c>
      <c r="H17" s="230" t="s">
        <v>45</v>
      </c>
      <c r="I17" s="230" t="s">
        <v>45</v>
      </c>
      <c r="J17" s="230" t="s">
        <v>48</v>
      </c>
      <c r="K17" s="242">
        <v>939.35</v>
      </c>
      <c r="L17" s="243">
        <f t="shared" si="0"/>
        <v>41.7</v>
      </c>
      <c r="M17" s="244"/>
      <c r="N17" s="244"/>
      <c r="O17" s="239"/>
      <c r="P17" s="215">
        <f t="shared" si="1"/>
        <v>41.749</v>
      </c>
      <c r="Q17" s="250"/>
      <c r="R17" s="251">
        <f ca="1" t="shared" si="2"/>
        <v>991.62</v>
      </c>
    </row>
    <row r="18" s="3" customFormat="1" ht="29.25" customHeight="1" spans="1:18">
      <c r="A18" s="253" t="str">
        <f>CONCATENATE(LEFT(L$7,P7),"-4")</f>
        <v>YP-2017-SHY-021-4</v>
      </c>
      <c r="B18" s="228" t="s">
        <v>46</v>
      </c>
      <c r="C18" s="229"/>
      <c r="D18" s="218" t="str">
        <f>D15</f>
        <v>2017/12/04</v>
      </c>
      <c r="E18" s="230" t="s">
        <v>47</v>
      </c>
      <c r="F18" s="230" t="s">
        <v>45</v>
      </c>
      <c r="G18" s="230" t="s">
        <v>45</v>
      </c>
      <c r="H18" s="230" t="s">
        <v>45</v>
      </c>
      <c r="I18" s="230" t="s">
        <v>45</v>
      </c>
      <c r="J18" s="230" t="s">
        <v>48</v>
      </c>
      <c r="K18" s="242">
        <v>1016.15</v>
      </c>
      <c r="L18" s="243">
        <f t="shared" si="0"/>
        <v>45.2</v>
      </c>
      <c r="M18" s="244">
        <f>ROUND(AVERAGE(L18:L20),1)</f>
        <v>43.5</v>
      </c>
      <c r="N18" s="244">
        <f>M18</f>
        <v>43.5</v>
      </c>
      <c r="O18" s="239" t="s">
        <v>49</v>
      </c>
      <c r="P18" s="215">
        <f t="shared" si="1"/>
        <v>45.162</v>
      </c>
      <c r="Q18" s="250">
        <f>ROUND(AVERAGE(L18:L20),3)</f>
        <v>43.533</v>
      </c>
      <c r="R18" s="251">
        <f ca="1" t="shared" si="2"/>
        <v>925.54</v>
      </c>
    </row>
    <row r="19" s="3" customFormat="1" ht="29.25" customHeight="1" spans="1:18">
      <c r="A19" s="253" t="str">
        <f>CONCATENATE(LEFT(L$7,P7),"-5")</f>
        <v>YP-2017-SHY-021-5</v>
      </c>
      <c r="B19" s="231"/>
      <c r="C19" s="232"/>
      <c r="D19" s="218"/>
      <c r="E19" s="230"/>
      <c r="F19" s="230" t="s">
        <v>45</v>
      </c>
      <c r="G19" s="230" t="s">
        <v>45</v>
      </c>
      <c r="H19" s="230" t="s">
        <v>45</v>
      </c>
      <c r="I19" s="230" t="s">
        <v>45</v>
      </c>
      <c r="J19" s="230" t="s">
        <v>48</v>
      </c>
      <c r="K19" s="242">
        <v>969.11</v>
      </c>
      <c r="L19" s="243">
        <f t="shared" si="0"/>
        <v>43.1</v>
      </c>
      <c r="M19" s="244"/>
      <c r="N19" s="244"/>
      <c r="O19" s="239"/>
      <c r="P19" s="215">
        <f t="shared" si="1"/>
        <v>43.072</v>
      </c>
      <c r="Q19" s="250"/>
      <c r="R19" s="251">
        <f ca="1" t="shared" si="2"/>
        <v>980.17</v>
      </c>
    </row>
    <row r="20" s="3" customFormat="1" ht="29.25" customHeight="1" spans="1:18">
      <c r="A20" s="253" t="str">
        <f>CONCATENATE(LEFT(L$7,P7),"-6")</f>
        <v>YP-2017-SHY-021-6</v>
      </c>
      <c r="B20" s="233"/>
      <c r="C20" s="234"/>
      <c r="D20" s="218"/>
      <c r="E20" s="230"/>
      <c r="F20" s="230" t="s">
        <v>45</v>
      </c>
      <c r="G20" s="230" t="s">
        <v>45</v>
      </c>
      <c r="H20" s="230" t="s">
        <v>45</v>
      </c>
      <c r="I20" s="230" t="s">
        <v>45</v>
      </c>
      <c r="J20" s="230" t="s">
        <v>48</v>
      </c>
      <c r="K20" s="242">
        <v>950.99</v>
      </c>
      <c r="L20" s="243">
        <f t="shared" si="0"/>
        <v>42.3</v>
      </c>
      <c r="M20" s="244"/>
      <c r="N20" s="244"/>
      <c r="O20" s="239"/>
      <c r="P20" s="215">
        <f t="shared" si="1"/>
        <v>42.266</v>
      </c>
      <c r="Q20" s="250"/>
      <c r="R20" s="251">
        <f ca="1" t="shared" si="2"/>
        <v>910.92</v>
      </c>
    </row>
    <row r="21" s="3" customFormat="1" ht="29.25" customHeight="1" spans="1:18">
      <c r="A21" s="253" t="str">
        <f>CONCATENATE(LEFT(L$7,P7),"-7")</f>
        <v>YP-2017-SHY-021-7</v>
      </c>
      <c r="B21" s="228" t="s">
        <v>46</v>
      </c>
      <c r="C21" s="229"/>
      <c r="D21" s="218" t="str">
        <f>D15</f>
        <v>2017/12/04</v>
      </c>
      <c r="E21" s="230" t="s">
        <v>47</v>
      </c>
      <c r="F21" s="230" t="s">
        <v>45</v>
      </c>
      <c r="G21" s="230" t="s">
        <v>45</v>
      </c>
      <c r="H21" s="230" t="s">
        <v>45</v>
      </c>
      <c r="I21" s="230" t="s">
        <v>45</v>
      </c>
      <c r="J21" s="230" t="s">
        <v>48</v>
      </c>
      <c r="K21" s="242">
        <v>890.97</v>
      </c>
      <c r="L21" s="243">
        <f t="shared" ref="L21:L23" si="3">ROUND(K21/22.5,1)</f>
        <v>39.6</v>
      </c>
      <c r="M21" s="244">
        <f>ROUND(AVERAGE(L21:L23),1)</f>
        <v>41.3</v>
      </c>
      <c r="N21" s="244">
        <f>M21</f>
        <v>41.3</v>
      </c>
      <c r="O21" s="239" t="s">
        <v>49</v>
      </c>
      <c r="P21" s="215">
        <f t="shared" si="1"/>
        <v>39.599</v>
      </c>
      <c r="Q21" s="250">
        <f>ROUND(AVERAGE(L21:L23),3)</f>
        <v>41.3</v>
      </c>
      <c r="R21" s="251">
        <f ca="1" t="shared" si="2"/>
        <v>927.64</v>
      </c>
    </row>
    <row r="22" s="3" customFormat="1" ht="29.25" customHeight="1" spans="1:18">
      <c r="A22" s="253" t="str">
        <f>CONCATENATE(LEFT(L$7,P7),"-8")</f>
        <v>YP-2017-SHY-021-8</v>
      </c>
      <c r="B22" s="231"/>
      <c r="C22" s="232"/>
      <c r="D22" s="218"/>
      <c r="E22" s="230"/>
      <c r="F22" s="230" t="s">
        <v>45</v>
      </c>
      <c r="G22" s="230" t="s">
        <v>45</v>
      </c>
      <c r="H22" s="230" t="s">
        <v>45</v>
      </c>
      <c r="I22" s="230" t="s">
        <v>45</v>
      </c>
      <c r="J22" s="230" t="s">
        <v>48</v>
      </c>
      <c r="K22" s="242">
        <v>946.97</v>
      </c>
      <c r="L22" s="243">
        <f t="shared" si="3"/>
        <v>42.1</v>
      </c>
      <c r="M22" s="244"/>
      <c r="N22" s="244"/>
      <c r="O22" s="239"/>
      <c r="P22" s="215">
        <f t="shared" si="1"/>
        <v>42.088</v>
      </c>
      <c r="Q22" s="250"/>
      <c r="R22" s="251">
        <f ca="1" t="shared" si="2"/>
        <v>958.31</v>
      </c>
    </row>
    <row r="23" s="3" customFormat="1" ht="29.25" customHeight="1" spans="1:18">
      <c r="A23" s="253" t="str">
        <f>CONCATENATE(LEFT(L$7,P7),"-9")</f>
        <v>YP-2017-SHY-021-9</v>
      </c>
      <c r="B23" s="233"/>
      <c r="C23" s="234"/>
      <c r="D23" s="218"/>
      <c r="E23" s="230"/>
      <c r="F23" s="230" t="s">
        <v>45</v>
      </c>
      <c r="G23" s="230" t="s">
        <v>45</v>
      </c>
      <c r="H23" s="230" t="s">
        <v>45</v>
      </c>
      <c r="I23" s="230" t="s">
        <v>45</v>
      </c>
      <c r="J23" s="230" t="s">
        <v>48</v>
      </c>
      <c r="K23" s="242">
        <v>949.48</v>
      </c>
      <c r="L23" s="243">
        <f t="shared" si="3"/>
        <v>42.2</v>
      </c>
      <c r="M23" s="244"/>
      <c r="N23" s="244"/>
      <c r="O23" s="239"/>
      <c r="P23" s="215">
        <f t="shared" si="1"/>
        <v>42.199</v>
      </c>
      <c r="Q23" s="250"/>
      <c r="R23" s="251">
        <f ca="1" t="shared" si="2"/>
        <v>984.7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54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55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56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983.17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1019.72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1009.19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990.48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1000.15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1011.38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1001.04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995.93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1016.62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50</v>
      </c>
      <c r="Q24" s="245" t="s">
        <v>50</v>
      </c>
      <c r="R24" s="245" t="s">
        <v>51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52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报告编号：BG-2017-SHY-021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64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尚义一号水库大桥1-3#桩基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71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72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2017/12/04-2018/01/01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49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41.4</v>
      </c>
      <c r="BB38" s="185"/>
      <c r="BC38" s="185"/>
      <c r="BD38" s="185"/>
      <c r="BE38" s="185"/>
      <c r="BF38" s="190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118.3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2017/12/04-2018/01/01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49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43.5</v>
      </c>
      <c r="BB47" s="185"/>
      <c r="BC47" s="185"/>
      <c r="BD47" s="185"/>
      <c r="BE47" s="185"/>
      <c r="BF47" s="190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2017/12/04-2018/01/01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49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39.6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41.3</v>
      </c>
      <c r="BB56" s="185"/>
      <c r="BC56" s="185"/>
      <c r="BD56" s="185"/>
      <c r="BE56" s="185"/>
      <c r="BF56" s="190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118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81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84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