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<sst xmlns="http://schemas.openxmlformats.org/spreadsheetml/2006/main" count="138">
  <si>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</si>
  <si>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</si>
  <si>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</si>
  <si>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</si>
  <si>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</si>
  <si>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rFont val="仿宋"/>
        <charset val="134"/>
      </rPr>
      <t>JL-2017-SHY-025</t>
    </r>
  </si>
  <si>
    <t>工程部位/用途</t>
  </si>
  <si>
    <t>尚义一号水库大桥2-4#桩基</t>
  </si>
  <si>
    <t>委托/任务编号</t>
  </si>
  <si>
    <t>/</t>
  </si>
  <si>
    <t>试验依据</t>
  </si>
  <si>
    <t>JTG E30-2005</t>
  </si>
  <si>
    <t>样品编号</t>
  </si>
  <si>
    <t>YP-2017-SHY-025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</si>
  <si>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</si>
  <si>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</si>
  <si>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</si>
  <si>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</si>
  <si>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</si>
  <si>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</si>
  <si>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</si>
  <si>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</si>
  <si>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2017/12/16-2018/01/13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</si>
  <si>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</si>
  <si>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</si>
  <si>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</si>
  <si>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</si>
  <si>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</si>
  <si>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</si>
  <si>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</si>
  <si>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</si>
  <si>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</si>
  <si>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</si>
  <si>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</si>
  <si>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</si>
  <si>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</si>
  <si>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</si>
  <si>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</si>
  <si>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</si>
  <si>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</si>
  <si>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</si>
  <si>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</si>
  <si>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</si>
  <si>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</si>
  <si>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</si>
  <si>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130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</si>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</sst>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;@"/>
    <numFmt numFmtId="177" formatCode="0.0_ "/>
    <numFmt numFmtId="178" formatCode="0.00;[Red]0.00"/>
    <numFmt numFmtId="179" formatCode="0.00_);[Red]\(0.00\)"/>
    <numFmt numFmtId="180" formatCode="0.0_);[Red]\(0.0\)"/>
    <numFmt numFmtId="181" formatCode="0.000_);[Red]\(0.000\)"/>
  </numFmts>
  <fonts count="3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5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27" borderId="54" applyNumberFormat="0" applyAlignment="0" applyProtection="0">
      <alignment vertical="center"/>
    </xf>
    <xf numFmtId="0" fontId="28" fillId="27" borderId="48" applyNumberFormat="0" applyAlignment="0" applyProtection="0">
      <alignment vertical="center"/>
    </xf>
    <xf numFmtId="0" fontId="20" fillId="24" borderId="4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24" fillId="0" borderId="5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255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15" t="s">
        <v>5</v>
      </c>
      <c r="L4" s="215"/>
      <c r="M4" s="215"/>
      <c r="N4" s="215"/>
      <c r="O4" s="21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15"/>
      <c r="L5" s="215"/>
      <c r="M5" s="215"/>
      <c r="N5" s="215"/>
      <c r="O5" s="215"/>
      <c r="R5" s="247"/>
    </row>
    <row r="6" s="3" customFormat="1" ht="24.95" customHeight="1" spans="1:18">
      <c r="A6" s="9" t="s">
        <v>6</v>
      </c>
      <c r="B6" s="10"/>
      <c r="C6" s="10"/>
      <c r="D6" s="217" t="s">
        <v>7</v>
      </c>
      <c r="E6" s="217"/>
      <c r="F6" s="217"/>
      <c r="G6" s="217"/>
      <c r="H6" s="217"/>
      <c r="I6" s="217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30" t="s">
        <v>13</v>
      </c>
      <c r="M7" s="230"/>
      <c r="N7" s="230"/>
      <c r="O7" s="239"/>
      <c r="P7" s="3" t="s">
        <v>14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30" t="s">
        <v>22</v>
      </c>
      <c r="M9" s="230"/>
      <c r="N9" s="230"/>
      <c r="O9" s="239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3" t="str">
        <f>CONCATENATE(LEFT(L$7,P7),"-1")</f>
        <v>YP-2017-SHY-025-1</v>
      </c>
      <c r="B15" s="228" t="s">
        <v>46</v>
      </c>
      <c r="C15" s="229"/>
      <c r="D15" s="254" t="str">
        <f>LEFT(L9,P9)</f>
        <v>2017/12/16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42">
        <v>991.22</v>
      </c>
      <c r="L15" s="243">
        <f t="shared" ref="L15:L20" si="0">ROUND(K15/22.5,1)</f>
        <v>44.1</v>
      </c>
      <c r="M15" s="244">
        <f>ROUND(AVERAGE(L15:L17),1)</f>
        <v>44.5</v>
      </c>
      <c r="N15" s="244">
        <f>M15</f>
        <v>44.5</v>
      </c>
      <c r="O15" s="239" t="s">
        <v>50</v>
      </c>
      <c r="P15" s="215">
        <f t="shared" ref="P15:P23" si="1">ROUND(K15/22.5,3)</f>
        <v>44.054</v>
      </c>
      <c r="Q15" s="250">
        <f>ROUND(AVERAGE(L15:L17),3)</f>
        <v>44.5</v>
      </c>
      <c r="R15" s="251">
        <f ca="1" t="shared" ref="R15:R23" si="2">ROUND(R$14+RAND()*S$14,2)</f>
        <v>1049.64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3" t="str">
        <f>CONCATENATE(LEFT(L$7,P7),"-2")</f>
        <v>YP-2017-SHY-025-2</v>
      </c>
      <c r="B16" s="231"/>
      <c r="C16" s="232"/>
      <c r="D16" s="254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42">
        <v>1044.19</v>
      </c>
      <c r="L16" s="243">
        <f t="shared" si="0"/>
        <v>46.4</v>
      </c>
      <c r="M16" s="244"/>
      <c r="N16" s="244"/>
      <c r="O16" s="239"/>
      <c r="P16" s="215">
        <f t="shared" si="1"/>
        <v>46.408</v>
      </c>
      <c r="Q16" s="250"/>
      <c r="R16" s="251">
        <f ca="1" t="shared" si="2"/>
        <v>962.34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3" t="str">
        <f>CONCATENATE(LEFT(L$7,P7),"-3")</f>
        <v>YP-2017-SHY-025-3</v>
      </c>
      <c r="B17" s="233"/>
      <c r="C17" s="234"/>
      <c r="D17" s="254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42">
        <v>967.87</v>
      </c>
      <c r="L17" s="243">
        <f t="shared" si="0"/>
        <v>43</v>
      </c>
      <c r="M17" s="244"/>
      <c r="N17" s="244"/>
      <c r="O17" s="239"/>
      <c r="P17" s="215">
        <f t="shared" si="1"/>
        <v>43.016</v>
      </c>
      <c r="Q17" s="250"/>
      <c r="R17" s="251">
        <f ca="1" t="shared" si="2"/>
        <v>1017.2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3" t="str">
        <f>CONCATENATE(LEFT(L$7,P7),"-4")</f>
        <v>YP-2017-SHY-025-4</v>
      </c>
      <c r="B18" s="228" t="s">
        <v>46</v>
      </c>
      <c r="C18" s="229"/>
      <c r="D18" s="218" t="str">
        <f>D15</f>
        <v>2017/12/16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42">
        <v>1075.93</v>
      </c>
      <c r="L18" s="243">
        <f t="shared" si="0"/>
        <v>47.8</v>
      </c>
      <c r="M18" s="244">
        <f>ROUND(AVERAGE(L18:L20),1)</f>
        <v>47.1</v>
      </c>
      <c r="N18" s="244">
        <f>M18</f>
        <v>47.1</v>
      </c>
      <c r="O18" s="239" t="s">
        <v>50</v>
      </c>
      <c r="P18" s="215">
        <f t="shared" si="1"/>
        <v>47.819</v>
      </c>
      <c r="Q18" s="250">
        <f>ROUND(AVERAGE(L18:L20),3)</f>
        <v>47.1</v>
      </c>
      <c r="R18" s="251">
        <f ca="1" t="shared" si="2"/>
        <v>1058.85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3" t="str">
        <f>CONCATENATE(LEFT(L$7,P7),"-5")</f>
        <v>YP-2017-SHY-025-5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42">
        <v>1028.6</v>
      </c>
      <c r="L19" s="243">
        <f t="shared" si="0"/>
        <v>45.7</v>
      </c>
      <c r="M19" s="244"/>
      <c r="N19" s="244"/>
      <c r="O19" s="239"/>
      <c r="P19" s="215">
        <f t="shared" si="1"/>
        <v>45.716</v>
      </c>
      <c r="Q19" s="250"/>
      <c r="R19" s="251">
        <f ca="1" t="shared" si="2"/>
        <v>1079.51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3" t="str">
        <f>CONCATENATE(LEFT(L$7,P7),"-6")</f>
        <v>YP-2017-SHY-025-6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42">
        <v>1075.77</v>
      </c>
      <c r="L20" s="243">
        <f t="shared" si="0"/>
        <v>47.8</v>
      </c>
      <c r="M20" s="244"/>
      <c r="N20" s="244"/>
      <c r="O20" s="239"/>
      <c r="P20" s="215">
        <f t="shared" si="1"/>
        <v>47.812</v>
      </c>
      <c r="Q20" s="250"/>
      <c r="R20" s="251">
        <f ca="1" t="shared" si="2"/>
        <v>1085.89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3" t="str">
        <f>CONCATENATE(LEFT(L$7,P7),"-7")</f>
        <v>YP-2017-SHY-025-7</v>
      </c>
      <c r="B21" s="228" t="s">
        <v>46</v>
      </c>
      <c r="C21" s="229"/>
      <c r="D21" s="218" t="str">
        <f>D15</f>
        <v>2017/12/16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42">
        <v>1073.98</v>
      </c>
      <c r="L21" s="243">
        <f t="shared" ref="L21:L23" si="3">ROUND(K21/22.5,1)</f>
        <v>47.7</v>
      </c>
      <c r="M21" s="244">
        <f>ROUND(AVERAGE(L21:L23),1)</f>
        <v>46.7</v>
      </c>
      <c r="N21" s="244">
        <f>M21</f>
        <v>46.7</v>
      </c>
      <c r="O21" s="239" t="s">
        <v>50</v>
      </c>
      <c r="P21" s="215">
        <f t="shared" si="1"/>
        <v>47.732</v>
      </c>
      <c r="Q21" s="250">
        <f>ROUND(AVERAGE(L21:L23),3)</f>
        <v>46.7</v>
      </c>
      <c r="R21" s="251">
        <f ca="1" t="shared" si="2"/>
        <v>1019.75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3" t="str">
        <f>CONCATENATE(LEFT(L$7,P7),"-8")</f>
        <v>YP-2017-SHY-025-8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42">
        <v>1002.02</v>
      </c>
      <c r="L22" s="243">
        <f t="shared" si="3"/>
        <v>44.5</v>
      </c>
      <c r="M22" s="244"/>
      <c r="N22" s="244"/>
      <c r="O22" s="239"/>
      <c r="P22" s="215">
        <f t="shared" si="1"/>
        <v>44.534</v>
      </c>
      <c r="Q22" s="250"/>
      <c r="R22" s="251">
        <f ca="1" t="shared" si="2"/>
        <v>1083.08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3" t="str">
        <f>CONCATENATE(LEFT(L$7,P7),"-9")</f>
        <v>YP-2017-SHY-025-9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42">
        <v>1078.2</v>
      </c>
      <c r="L23" s="243">
        <f t="shared" si="3"/>
        <v>47.9</v>
      </c>
      <c r="M23" s="244"/>
      <c r="N23" s="244"/>
      <c r="O23" s="239"/>
      <c r="P23" s="215">
        <f t="shared" si="1"/>
        <v>47.92</v>
      </c>
      <c r="Q23" s="250"/>
      <c r="R23" s="251">
        <f ca="1" t="shared" si="2"/>
        <v>1056.79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1005.79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1029.4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1029.57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1017.28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960.52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1002.3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985.65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978.55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957.93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29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CONCATENATE("报告编号：BG-2017-SHY-",RIGHT(强度记录!K4,3))</f>
        <v>报告编号：BG-2017-SHY-025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YP-2017-SHY-025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尚义一号水库大桥2-4#桩基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">
        <v>46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YP-2017-SHY-025-1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2017/12/16-2018/01/13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44.1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44.5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127.1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YP-2017-SHY-025-2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46.4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YP-2017-SHY-025-3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YP-2017-SHY-025-4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2017/12/16-2018/01/13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47.8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47.1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134.6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YP-2017-SHY-025-5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45.7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YP-2017-SHY-025-6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47.8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YP-2017-SHY-025-7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2017/12/16-2018/01/13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47.7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46.7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133.4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YP-2017-SHY-025-8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44.5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YP-2017-SHY-025-9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47.9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865277777777778" right="0.629166666666667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2018-03-07T02:17:31Z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