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<sst xmlns="http://schemas.openxmlformats.org/spreadsheetml/2006/main" count="138">
  <si>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</si>
  <si>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</si>
  <si>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</si>
  <si>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</si>
  <si>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</si>
  <si>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JL-2017-SHY-037</t>
    </r>
  </si>
  <si>
    <t>工程部位/用途</t>
  </si>
  <si>
    <t>K23+738.8乡道分离立交0-1#桩基</t>
  </si>
  <si>
    <t>委托/任务编号</t>
  </si>
  <si>
    <t>/</t>
  </si>
  <si>
    <t>试验依据</t>
  </si>
  <si>
    <t>JTG E30-2005</t>
  </si>
  <si>
    <t>样品编号</t>
  </si>
  <si>
    <t>YP-2017-SHY-037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</si>
  <si>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</si>
  <si>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</si>
  <si>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</si>
  <si>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</si>
  <si>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</si>
  <si>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</si>
  <si>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</si>
  <si>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</si>
  <si>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2017/12/19-2018/01/16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</si>
  <si>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</si>
  <si>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</si>
  <si>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</si>
  <si>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</si>
  <si>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</si>
  <si>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</si>
  <si>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</si>
  <si>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</si>
  <si>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</si>
  <si>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</si>
  <si>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</si>
  <si>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</si>
  <si>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</si>
  <si>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</si>
  <si>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</si>
  <si>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</si>
  <si>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</si>
  <si>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</si>
  <si>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</si>
  <si>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</si>
  <si>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</si>
  <si>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</si>
  <si>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180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</si>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</sst>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.0_ "/>
    <numFmt numFmtId="178" formatCode="0.00;[Red]0.00"/>
    <numFmt numFmtId="179" formatCode="0.00_);[Red]\(0.0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6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5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5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7" borderId="53" applyNumberFormat="0" applyAlignment="0" applyProtection="0">
      <alignment vertical="center"/>
    </xf>
    <xf numFmtId="0" fontId="27" fillId="17" borderId="50" applyNumberFormat="0" applyAlignment="0" applyProtection="0">
      <alignment vertical="center"/>
    </xf>
    <xf numFmtId="0" fontId="21" fillId="7" borderId="5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YP-2017-SHY-037-1</v>
      </c>
      <c r="B15" s="231" t="s">
        <v>46</v>
      </c>
      <c r="C15" s="232"/>
      <c r="D15" s="257" t="str">
        <f>LEFT(L9,P9)</f>
        <v>2017/12/19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1038.04</v>
      </c>
      <c r="L15" s="246">
        <f t="shared" ref="L15:L20" si="0">ROUND(K15/22.5,1)</f>
        <v>46.1</v>
      </c>
      <c r="M15" s="247">
        <f>ROUND(AVERAGE(L15:L17),1)</f>
        <v>46.6</v>
      </c>
      <c r="N15" s="247">
        <f>M15</f>
        <v>46.6</v>
      </c>
      <c r="O15" s="242" t="s">
        <v>50</v>
      </c>
      <c r="P15" s="218">
        <f t="shared" ref="P15:P23" si="1">ROUND(K15/22.5,3)</f>
        <v>46.135</v>
      </c>
      <c r="Q15" s="253">
        <f>ROUND(AVERAGE(L15:L17),3)</f>
        <v>46.567</v>
      </c>
      <c r="R15" s="254">
        <f ca="1" t="shared" ref="R15:R23" si="2">ROUND(R$14+RAND()*S$14,2)</f>
        <v>996.46</v>
      </c>
    </row>
    <row r="16" s="3" customFormat="1" ht="29.25" customHeight="1" spans="1:18">
      <c r="A16" s="256" t="str">
        <f>CONCATENATE(LEFT(L$7,P7),"-2")</f>
        <v>YP-2017-SHY-037-2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979.74</v>
      </c>
      <c r="L16" s="246">
        <f t="shared" si="0"/>
        <v>43.5</v>
      </c>
      <c r="M16" s="247"/>
      <c r="N16" s="247"/>
      <c r="O16" s="242"/>
      <c r="P16" s="218">
        <f t="shared" si="1"/>
        <v>43.544</v>
      </c>
      <c r="Q16" s="253"/>
      <c r="R16" s="254">
        <f ca="1" t="shared" si="2"/>
        <v>1020.83</v>
      </c>
    </row>
    <row r="17" s="3" customFormat="1" ht="29.25" customHeight="1" spans="1:18">
      <c r="A17" s="256" t="str">
        <f>CONCATENATE(LEFT(L$7,P7),"-3")</f>
        <v>YP-2017-SHY-037-3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1127.97</v>
      </c>
      <c r="L17" s="246">
        <f t="shared" si="0"/>
        <v>50.1</v>
      </c>
      <c r="M17" s="247"/>
      <c r="N17" s="247"/>
      <c r="O17" s="242"/>
      <c r="P17" s="218">
        <f t="shared" si="1"/>
        <v>50.132</v>
      </c>
      <c r="Q17" s="253"/>
      <c r="R17" s="254">
        <f ca="1" t="shared" si="2"/>
        <v>978.57</v>
      </c>
    </row>
    <row r="18" s="3" customFormat="1" ht="29.25" customHeight="1" spans="1:18">
      <c r="A18" s="256" t="str">
        <f>CONCATENATE(LEFT(L$7,P7),"-4")</f>
        <v>YP-2017-SHY-037-4</v>
      </c>
      <c r="B18" s="231" t="s">
        <v>46</v>
      </c>
      <c r="C18" s="232"/>
      <c r="D18" s="221" t="str">
        <f>D15</f>
        <v>2017/12/19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1109.83</v>
      </c>
      <c r="L18" s="246">
        <f t="shared" si="0"/>
        <v>49.3</v>
      </c>
      <c r="M18" s="247">
        <f>ROUND(AVERAGE(L18:L20),1)</f>
        <v>46.6</v>
      </c>
      <c r="N18" s="247">
        <f>M18</f>
        <v>46.6</v>
      </c>
      <c r="O18" s="242" t="s">
        <v>50</v>
      </c>
      <c r="P18" s="218">
        <f t="shared" si="1"/>
        <v>49.326</v>
      </c>
      <c r="Q18" s="253">
        <f>ROUND(AVERAGE(L18:L20),3)</f>
        <v>46.633</v>
      </c>
      <c r="R18" s="254">
        <f ca="1" t="shared" si="2"/>
        <v>971.95</v>
      </c>
    </row>
    <row r="19" s="3" customFormat="1" ht="29.25" customHeight="1" spans="1:18">
      <c r="A19" s="256" t="str">
        <f>CONCATENATE(LEFT(L$7,P7),"-5")</f>
        <v>YP-2017-SHY-037-5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984.28</v>
      </c>
      <c r="L19" s="246">
        <f t="shared" si="0"/>
        <v>43.7</v>
      </c>
      <c r="M19" s="247"/>
      <c r="N19" s="247"/>
      <c r="O19" s="242"/>
      <c r="P19" s="218">
        <f t="shared" si="1"/>
        <v>43.746</v>
      </c>
      <c r="Q19" s="253"/>
      <c r="R19" s="254">
        <f ca="1" t="shared" si="2"/>
        <v>1063.15</v>
      </c>
    </row>
    <row r="20" s="3" customFormat="1" ht="29.25" customHeight="1" spans="1:18">
      <c r="A20" s="256" t="str">
        <f>CONCATENATE(LEFT(L$7,P7),"-6")</f>
        <v>YP-2017-SHY-037-6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1054.39</v>
      </c>
      <c r="L20" s="246">
        <f t="shared" si="0"/>
        <v>46.9</v>
      </c>
      <c r="M20" s="247"/>
      <c r="N20" s="247"/>
      <c r="O20" s="242"/>
      <c r="P20" s="218">
        <f t="shared" si="1"/>
        <v>46.862</v>
      </c>
      <c r="Q20" s="253"/>
      <c r="R20" s="254">
        <f ca="1" t="shared" si="2"/>
        <v>984.25</v>
      </c>
    </row>
    <row r="21" s="3" customFormat="1" ht="29.25" customHeight="1" spans="1:18">
      <c r="A21" s="256" t="str">
        <f>CONCATENATE(LEFT(L$7,P7),"-7")</f>
        <v>YP-2017-SHY-037-7</v>
      </c>
      <c r="B21" s="231" t="s">
        <v>46</v>
      </c>
      <c r="C21" s="232"/>
      <c r="D21" s="221" t="str">
        <f>D15</f>
        <v>2017/12/19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981.59</v>
      </c>
      <c r="L21" s="246">
        <f t="shared" ref="L21:L23" si="3">ROUND(K21/22.5,1)</f>
        <v>43.6</v>
      </c>
      <c r="M21" s="247">
        <f>ROUND(AVERAGE(L21:L23),1)</f>
        <v>46.3</v>
      </c>
      <c r="N21" s="247">
        <f>M21</f>
        <v>46.3</v>
      </c>
      <c r="O21" s="242" t="s">
        <v>50</v>
      </c>
      <c r="P21" s="218">
        <f t="shared" si="1"/>
        <v>43.626</v>
      </c>
      <c r="Q21" s="253">
        <f>ROUND(AVERAGE(L21:L23),3)</f>
        <v>46.3</v>
      </c>
      <c r="R21" s="254">
        <f ca="1" t="shared" si="2"/>
        <v>1058.36</v>
      </c>
    </row>
    <row r="22" s="3" customFormat="1" ht="29.25" customHeight="1" spans="1:18">
      <c r="A22" s="256" t="str">
        <f>CONCATENATE(LEFT(L$7,P7),"-8")</f>
        <v>YP-2017-SHY-037-8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1064.09</v>
      </c>
      <c r="L22" s="246">
        <f t="shared" si="3"/>
        <v>47.3</v>
      </c>
      <c r="M22" s="247"/>
      <c r="N22" s="247"/>
      <c r="O22" s="242"/>
      <c r="P22" s="218">
        <f t="shared" si="1"/>
        <v>47.293</v>
      </c>
      <c r="Q22" s="253"/>
      <c r="R22" s="254">
        <f ca="1" t="shared" si="2"/>
        <v>1073.83</v>
      </c>
    </row>
    <row r="23" s="3" customFormat="1" ht="29.25" customHeight="1" spans="1:18">
      <c r="A23" s="256" t="str">
        <f>CONCATENATE(LEFT(L$7,P7),"-9")</f>
        <v>YP-2017-SHY-037-9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1079.94</v>
      </c>
      <c r="L23" s="246">
        <f t="shared" si="3"/>
        <v>48</v>
      </c>
      <c r="M23" s="247"/>
      <c r="N23" s="247"/>
      <c r="O23" s="242"/>
      <c r="P23" s="218">
        <f t="shared" si="1"/>
        <v>47.997</v>
      </c>
      <c r="Q23" s="253"/>
      <c r="R23" s="254">
        <f ca="1" t="shared" si="2"/>
        <v>1126.22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993.19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956.87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998.55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1010.23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968.31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1007.1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1024.74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1026.2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1024.44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报告编号：BG-2017-SHY-037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YP-2017-SHY-037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K23+738.8乡道分离立交0-1#桩基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2017/12/19-2018/01/16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46.1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46.6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133.1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YP-2017-SHY-037-2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43.5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YP-2017-SHY-037-3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50.1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YP-2017-SHY-037-4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2017/12/19-2018/01/16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49.3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46.6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133.1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YP-2017-SHY-037-5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43.7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YP-2017-SHY-037-6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46.9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YP-2017-SHY-037-7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2017/12/19-2018/01/16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43.6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46.3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132.3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YP-2017-SHY-037-8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47.3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YP-2017-SHY-037-9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48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