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<sst xmlns="http://schemas.openxmlformats.org/spreadsheetml/2006/main" count="138">
  <si>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</si>
  <si>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</si>
  <si>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</si>
  <si>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</si>
  <si>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</si>
  <si>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rFont val="仿宋"/>
        <charset val="134"/>
      </rPr>
      <t>JL-2017-SHY-041</t>
    </r>
  </si>
  <si>
    <t>工程部位/用途</t>
  </si>
  <si>
    <t>尚义一号水库大桥3-3#桩基</t>
  </si>
  <si>
    <t>委托/任务编号</t>
  </si>
  <si>
    <t>/</t>
  </si>
  <si>
    <t>试验依据</t>
  </si>
  <si>
    <t>JTG E30-2005</t>
  </si>
  <si>
    <t>样品编号</t>
  </si>
  <si>
    <t>YP-2017-SHY-041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</si>
  <si>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</si>
  <si>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</si>
  <si>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</si>
  <si>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</si>
  <si>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</si>
  <si>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</si>
  <si>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</si>
  <si>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</si>
  <si>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2017/12/21-2018/01/18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</si>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</sst>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176" formatCode="0.0_ "/>
    <numFmt numFmtId="177" formatCode="0.00;[Red]0.00"/>
    <numFmt numFmtId="178" formatCode="0.0_);[Red]\(0.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9" formatCode="0.000_);[Red]\(0.000\)"/>
    <numFmt numFmtId="43" formatCode="_ * #,##0.00_ ;_ * \-#,##0.00_ ;_ * &quot;-&quot;??_ ;_ @_ "/>
    <numFmt numFmtId="41" formatCode="_ * #,##0_ ;_ * \-#,##0_ ;_ * &quot;-&quot;_ ;_ @_ "/>
    <numFmt numFmtId="180" formatCode="0.00_);[Red]\(0.00\)"/>
    <numFmt numFmtId="181" formatCode="yyyy/m/d;@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indexed="8"/>
      <name val="宋体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11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6" borderId="47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51" applyNumberFormat="0" applyFill="0" applyAlignment="0" applyProtection="0">
      <alignment vertical="center"/>
    </xf>
    <xf numFmtId="0" fontId="27" fillId="0" borderId="51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0" borderId="53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9" fillId="13" borderId="54" applyNumberFormat="0" applyAlignment="0" applyProtection="0">
      <alignment vertical="center"/>
    </xf>
    <xf numFmtId="0" fontId="19" fillId="13" borderId="48" applyNumberFormat="0" applyAlignment="0" applyProtection="0">
      <alignment vertical="center"/>
    </xf>
    <xf numFmtId="0" fontId="22" fillId="20" borderId="49" applyNumberForma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4" fillId="0" borderId="50" applyNumberFormat="0" applyFill="0" applyAlignment="0" applyProtection="0">
      <alignment vertical="center"/>
    </xf>
    <xf numFmtId="0" fontId="26" fillId="0" borderId="52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0" borderId="0">
      <alignment vertical="center"/>
    </xf>
  </cellStyleXfs>
  <cellXfs count="255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3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15" t="s">
        <v>5</v>
      </c>
      <c r="L4" s="215"/>
      <c r="M4" s="215"/>
      <c r="N4" s="215"/>
      <c r="O4" s="21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15"/>
      <c r="L5" s="215"/>
      <c r="M5" s="215"/>
      <c r="N5" s="215"/>
      <c r="O5" s="215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30" t="s">
        <v>13</v>
      </c>
      <c r="M7" s="230"/>
      <c r="N7" s="230"/>
      <c r="O7" s="239"/>
      <c r="P7" s="3" t="s">
        <v>14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30" t="s">
        <v>22</v>
      </c>
      <c r="M9" s="230"/>
      <c r="N9" s="230"/>
      <c r="O9" s="239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3" t="str">
        <f>CONCATENATE(LEFT(L$7,P7),"-1")</f>
        <v>YP-2017-SHY-041-1</v>
      </c>
      <c r="B15" s="228" t="s">
        <v>46</v>
      </c>
      <c r="C15" s="229"/>
      <c r="D15" s="254" t="str">
        <f>LEFT(L9,P9)</f>
        <v>2017/12/21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/>
      <c r="L15" s="243">
        <v>43.9</v>
      </c>
      <c r="M15" s="244">
        <f>ROUND(AVERAGE(L15:L17),1)</f>
        <v>44.9</v>
      </c>
      <c r="N15" s="244">
        <f>M15</f>
        <v>44.9</v>
      </c>
      <c r="O15" s="239" t="s">
        <v>50</v>
      </c>
      <c r="P15" s="215">
        <f t="shared" ref="P15:P23" si="0">ROUND(K15/22.5,3)</f>
        <v>0</v>
      </c>
      <c r="Q15" s="250">
        <f>ROUND(AVERAGE(L15:L17),3)</f>
        <v>44.867</v>
      </c>
      <c r="R15" s="251">
        <f ca="1" t="shared" ref="R15:R23" si="1">ROUND(R$14+RAND()*S$14,2)</f>
        <v>1019.85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3" t="str">
        <f>CONCATENATE(LEFT(L$7,P7),"-2")</f>
        <v>YP-2017-SHY-041-2</v>
      </c>
      <c r="B16" s="231"/>
      <c r="C16" s="232"/>
      <c r="D16" s="254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/>
      <c r="L16" s="243">
        <v>45</v>
      </c>
      <c r="M16" s="244"/>
      <c r="N16" s="244"/>
      <c r="O16" s="239"/>
      <c r="P16" s="215">
        <f t="shared" si="0"/>
        <v>0</v>
      </c>
      <c r="Q16" s="250"/>
      <c r="R16" s="251">
        <f ca="1" t="shared" si="1"/>
        <v>1014.25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3" t="str">
        <f>CONCATENATE(LEFT(L$7,P7),"-3")</f>
        <v>YP-2017-SHY-041-3</v>
      </c>
      <c r="B17" s="233"/>
      <c r="C17" s="234"/>
      <c r="D17" s="254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/>
      <c r="L17" s="243">
        <v>45.7</v>
      </c>
      <c r="M17" s="244"/>
      <c r="N17" s="244"/>
      <c r="O17" s="239"/>
      <c r="P17" s="215">
        <f t="shared" si="0"/>
        <v>0</v>
      </c>
      <c r="Q17" s="250"/>
      <c r="R17" s="251">
        <f ca="1" t="shared" si="1"/>
        <v>1103.15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3" t="str">
        <f>CONCATENATE(LEFT(L$7,P7),"-4")</f>
        <v>YP-2017-SHY-041-4</v>
      </c>
      <c r="B18" s="228" t="s">
        <v>46</v>
      </c>
      <c r="C18" s="229"/>
      <c r="D18" s="218" t="str">
        <f>D15</f>
        <v>2017/12/21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/>
      <c r="L18" s="243">
        <v>42.2</v>
      </c>
      <c r="M18" s="244">
        <f>ROUND(AVERAGE(L18:L20),1)</f>
        <v>42</v>
      </c>
      <c r="N18" s="244">
        <f>M18</f>
        <v>42</v>
      </c>
      <c r="O18" s="239" t="s">
        <v>50</v>
      </c>
      <c r="P18" s="215">
        <f t="shared" si="0"/>
        <v>0</v>
      </c>
      <c r="Q18" s="250">
        <f>ROUND(AVERAGE(L18:L20),3)</f>
        <v>41.967</v>
      </c>
      <c r="R18" s="251">
        <f ca="1" t="shared" si="1"/>
        <v>1024.54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3" t="str">
        <f>CONCATENATE(LEFT(L$7,P7),"-5")</f>
        <v>YP-2017-SHY-041-5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/>
      <c r="L19" s="243">
        <v>44.3</v>
      </c>
      <c r="M19" s="244"/>
      <c r="N19" s="244"/>
      <c r="O19" s="239"/>
      <c r="P19" s="215">
        <f t="shared" si="0"/>
        <v>0</v>
      </c>
      <c r="Q19" s="250"/>
      <c r="R19" s="251">
        <f ca="1" t="shared" si="1"/>
        <v>1048.33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3" t="str">
        <f>CONCATENATE(LEFT(L$7,P7),"-6")</f>
        <v>YP-2017-SHY-041-6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/>
      <c r="L20" s="243">
        <v>39.4</v>
      </c>
      <c r="M20" s="244"/>
      <c r="N20" s="244"/>
      <c r="O20" s="239"/>
      <c r="P20" s="215">
        <f t="shared" si="0"/>
        <v>0</v>
      </c>
      <c r="Q20" s="250"/>
      <c r="R20" s="251">
        <f ca="1" t="shared" si="1"/>
        <v>1085.34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3" t="str">
        <f>CONCATENATE(LEFT(L$7,P7),"-7")</f>
        <v>YP-2017-SHY-041-7</v>
      </c>
      <c r="B21" s="228" t="s">
        <v>46</v>
      </c>
      <c r="C21" s="229"/>
      <c r="D21" s="218" t="str">
        <f>D15</f>
        <v>2017/12/21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42"/>
      <c r="L21" s="243">
        <v>42</v>
      </c>
      <c r="M21" s="244">
        <f>ROUND(AVERAGE(L21:L23),1)</f>
        <v>43.4</v>
      </c>
      <c r="N21" s="244">
        <f>M21</f>
        <v>43.4</v>
      </c>
      <c r="O21" s="239" t="s">
        <v>50</v>
      </c>
      <c r="P21" s="215">
        <f t="shared" si="0"/>
        <v>0</v>
      </c>
      <c r="Q21" s="250">
        <f>ROUND(AVERAGE(L21:L23),3)</f>
        <v>43.367</v>
      </c>
      <c r="R21" s="251">
        <f ca="1" t="shared" si="1"/>
        <v>1028.4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3" t="str">
        <f>CONCATENATE(LEFT(L$7,P7),"-8")</f>
        <v>YP-2017-SHY-041-8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42"/>
      <c r="L22" s="243">
        <v>45</v>
      </c>
      <c r="M22" s="244"/>
      <c r="N22" s="244"/>
      <c r="O22" s="239"/>
      <c r="P22" s="215">
        <f t="shared" si="0"/>
        <v>0</v>
      </c>
      <c r="Q22" s="250"/>
      <c r="R22" s="251">
        <f ca="1" t="shared" si="1"/>
        <v>966.22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3" t="str">
        <f>CONCATENATE(LEFT(L$7,P7),"-9")</f>
        <v>YP-2017-SHY-041-9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42"/>
      <c r="L23" s="243">
        <v>43.1</v>
      </c>
      <c r="M23" s="244"/>
      <c r="N23" s="244"/>
      <c r="O23" s="239"/>
      <c r="P23" s="215">
        <f t="shared" si="0"/>
        <v>0</v>
      </c>
      <c r="Q23" s="250"/>
      <c r="R23" s="251">
        <f ca="1" t="shared" si="1"/>
        <v>1102.12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978.07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1029.73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997.77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996.71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1018.21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1008.07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965.67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1011.59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1015.74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15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CONCATENATE("报告编号：BG-2017-SHY-",RIGHT(强度记录!K4,3))</f>
        <v>报告编号：BG-2017-SHY-041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YP-2017-SHY-041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尚义一号水库大桥3-3#桩基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YP-2017-SHY-041-1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2017/12/21-2018/01/18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43.9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44.9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128.3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YP-2017-SHY-041-2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45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YP-2017-SHY-041-3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45.7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YP-2017-SHY-041-4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2017/12/21-2018/01/18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42.2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42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120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YP-2017-SHY-041-5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44.3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YP-2017-SHY-041-6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39.4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YP-2017-SHY-041-7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2017/12/21-2018/01/18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42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43.4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124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YP-2017-SHY-041-8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45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YP-2017-SHY-041-9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43.1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865277777777778" right="0.629166666666667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2018-03-07T01:59:24Z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