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<sst xmlns="http://schemas.openxmlformats.org/spreadsheetml/2006/main" count="138">
  <si>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</si>
  <si>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</si>
  <si>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</si>
  <si>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</si>
  <si>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</si>
  <si>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JL-2017-SHY-052</t>
    </r>
  </si>
  <si>
    <t>工程部位/用途</t>
  </si>
  <si>
    <t>K17+827箱涵底板</t>
  </si>
  <si>
    <t>委托/任务编号</t>
  </si>
  <si>
    <t>/</t>
  </si>
  <si>
    <t>试验依据</t>
  </si>
  <si>
    <t>JTG E30-2005</t>
  </si>
  <si>
    <t>样品编号</t>
  </si>
  <si>
    <t>YP-2017-SHY-052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</si>
  <si>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</si>
  <si>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</si>
  <si>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</si>
  <si>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</si>
  <si>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</si>
  <si>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</si>
  <si>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</si>
  <si>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</si>
  <si>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2017/12/24-2018/01/21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</si>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</sst>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25" borderId="54" applyNumberFormat="0" applyAlignment="0" applyProtection="0">
      <alignment vertical="center"/>
    </xf>
    <xf numFmtId="0" fontId="29" fillId="25" borderId="48" applyNumberFormat="0" applyAlignment="0" applyProtection="0">
      <alignment vertical="center"/>
    </xf>
    <xf numFmtId="0" fontId="21" fillId="22" borderId="4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8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56" t="s">
        <v>7</v>
      </c>
      <c r="E6" s="256"/>
      <c r="F6" s="256"/>
      <c r="G6" s="256"/>
      <c r="H6" s="256"/>
      <c r="I6" s="256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7" t="str">
        <f>CONCATENATE(LEFT(L$7,P7),"-1")</f>
        <v>YP-2017-SHY-052-1</v>
      </c>
      <c r="B15" s="231" t="s">
        <v>46</v>
      </c>
      <c r="C15" s="232"/>
      <c r="D15" s="258" t="str">
        <f>LEFT(L9,P9)</f>
        <v>2017/12/24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44.6</v>
      </c>
      <c r="M15" s="247">
        <f>ROUND(AVERAGE(L15:L17),1)</f>
        <v>45</v>
      </c>
      <c r="N15" s="247">
        <f>M15</f>
        <v>45</v>
      </c>
      <c r="O15" s="242" t="s">
        <v>50</v>
      </c>
      <c r="P15" s="218">
        <f t="shared" ref="P15:P23" si="0">ROUND(K15/22.5,3)</f>
        <v>0</v>
      </c>
      <c r="Q15" s="253">
        <f>ROUND(AVERAGE(L15:L17),3)</f>
        <v>45</v>
      </c>
      <c r="R15" s="254">
        <f ca="1" t="shared" ref="R15:R23" si="1">ROUND(R$14+RAND()*S$14,2)</f>
        <v>981.23</v>
      </c>
    </row>
    <row r="16" s="3" customFormat="1" ht="29.25" customHeight="1" spans="1:18">
      <c r="A16" s="257" t="str">
        <f>CONCATENATE(LEFT(L$7,P7),"-2")</f>
        <v>YP-2017-SHY-052-2</v>
      </c>
      <c r="B16" s="234"/>
      <c r="C16" s="235"/>
      <c r="D16" s="258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44.3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1022.68</v>
      </c>
    </row>
    <row r="17" s="3" customFormat="1" ht="29.25" customHeight="1" spans="1:18">
      <c r="A17" s="257" t="str">
        <f>CONCATENATE(LEFT(L$7,P7),"-3")</f>
        <v>YP-2017-SHY-052-3</v>
      </c>
      <c r="B17" s="236"/>
      <c r="C17" s="237"/>
      <c r="D17" s="258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46.1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1069.3</v>
      </c>
    </row>
    <row r="18" s="3" customFormat="1" ht="29.25" customHeight="1" spans="1:18">
      <c r="A18" s="257" t="str">
        <f>CONCATENATE(LEFT(L$7,P7),"-4")</f>
        <v>YP-2017-SHY-052-4</v>
      </c>
      <c r="B18" s="231" t="s">
        <v>46</v>
      </c>
      <c r="C18" s="232"/>
      <c r="D18" s="221" t="str">
        <f>D15</f>
        <v>2017/12/24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44.2</v>
      </c>
      <c r="M18" s="247">
        <v>44.3</v>
      </c>
      <c r="N18" s="247">
        <f>M18</f>
        <v>44.3</v>
      </c>
      <c r="O18" s="242" t="s">
        <v>50</v>
      </c>
      <c r="P18" s="218">
        <f t="shared" si="0"/>
        <v>0</v>
      </c>
      <c r="Q18" s="253">
        <f>ROUND(AVERAGE(L18:L20),3)</f>
        <v>44.233</v>
      </c>
      <c r="R18" s="254">
        <f ca="1" t="shared" si="1"/>
        <v>1109.77</v>
      </c>
    </row>
    <row r="19" s="3" customFormat="1" ht="29.25" customHeight="1" spans="1:18">
      <c r="A19" s="257" t="str">
        <f>CONCATENATE(LEFT(L$7,P7),"-5")</f>
        <v>YP-2017-SHY-052-5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42.9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989.52</v>
      </c>
    </row>
    <row r="20" s="3" customFormat="1" ht="29.25" customHeight="1" spans="1:18">
      <c r="A20" s="257" t="str">
        <f>CONCATENATE(LEFT(L$7,P7),"-6")</f>
        <v>YP-2017-SHY-052-6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45.6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1015.75</v>
      </c>
    </row>
    <row r="21" s="3" customFormat="1" ht="29.25" customHeight="1" spans="1:18">
      <c r="A21" s="257" t="str">
        <f>CONCATENATE(LEFT(L$7,P7),"-7")</f>
        <v>YP-2017-SHY-052-7</v>
      </c>
      <c r="B21" s="231" t="s">
        <v>46</v>
      </c>
      <c r="C21" s="232"/>
      <c r="D21" s="221" t="str">
        <f>D15</f>
        <v>2017/12/24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44.2</v>
      </c>
      <c r="M21" s="247">
        <f>ROUND(AVERAGE(L21:L23),1)</f>
        <v>45.2</v>
      </c>
      <c r="N21" s="247">
        <f>M21</f>
        <v>45.2</v>
      </c>
      <c r="O21" s="242" t="s">
        <v>50</v>
      </c>
      <c r="P21" s="218">
        <f t="shared" si="0"/>
        <v>0</v>
      </c>
      <c r="Q21" s="253">
        <f>ROUND(AVERAGE(L21:L23),3)</f>
        <v>45.233</v>
      </c>
      <c r="R21" s="254">
        <f ca="1" t="shared" si="1"/>
        <v>1081.65</v>
      </c>
    </row>
    <row r="22" s="3" customFormat="1" ht="29.25" customHeight="1" spans="1:18">
      <c r="A22" s="257" t="str">
        <f>CONCATENATE(LEFT(L$7,P7),"-8")</f>
        <v>YP-2017-SHY-052-8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45.4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1015.72</v>
      </c>
    </row>
    <row r="23" s="3" customFormat="1" ht="29.25" customHeight="1" spans="1:18">
      <c r="A23" s="257" t="str">
        <f>CONCATENATE(LEFT(L$7,P7),"-9")</f>
        <v>YP-2017-SHY-052-9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46.1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960.8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1007.15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997.65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991.72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970.83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980.51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952.49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1002.6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998.19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970.56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报告编号：BG-2017-SHY-052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YP-2017-SHY-052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K17+827箱涵底板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2017/12/24-2018/01/21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44.6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45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128.6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YP-2017-SHY-052-2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44.3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YP-2017-SHY-052-3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46.1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YP-2017-SHY-052-4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2017/12/24-2018/01/21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44.2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44.3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126.6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YP-2017-SHY-052-5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42.9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YP-2017-SHY-052-6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45.6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YP-2017-SHY-052-7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2017/12/24-2018/01/21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44.2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45.2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129.1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YP-2017-SHY-052-8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45.4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YP-2017-SHY-052-9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46.1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