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<sst xmlns="http://schemas.openxmlformats.org/spreadsheetml/2006/main" count="138">
  <si>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</si>
  <si>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</si>
  <si>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</si>
  <si>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</si>
  <si>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</si>
  <si>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JL-2017-SHY-055</t>
    </r>
  </si>
  <si>
    <t>工程部位/用途</t>
  </si>
  <si>
    <t>K24+015分离立交3-1#桩基</t>
  </si>
  <si>
    <t>委托/任务编号</t>
  </si>
  <si>
    <t>/</t>
  </si>
  <si>
    <t>试验依据</t>
  </si>
  <si>
    <t>JTG E30-2005</t>
  </si>
  <si>
    <t>样品编号</t>
  </si>
  <si>
    <t>YP-2017-SHY-055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</si>
  <si>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</si>
  <si>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</si>
  <si>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</si>
  <si>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</si>
  <si>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</si>
  <si>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</si>
  <si>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</si>
  <si>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</si>
  <si>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2017/12/24-2018/01/21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</si>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</sst>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.0_ "/>
    <numFmt numFmtId="178" formatCode="0.00;[Red]0.00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17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2" borderId="47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0" borderId="5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19" borderId="54" applyNumberFormat="0" applyAlignment="0" applyProtection="0">
      <alignment vertical="center"/>
    </xf>
    <xf numFmtId="0" fontId="19" fillId="19" borderId="48" applyNumberFormat="0" applyAlignment="0" applyProtection="0">
      <alignment vertical="center"/>
    </xf>
    <xf numFmtId="0" fontId="22" fillId="26" borderId="49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6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252" t="s">
        <v>5</v>
      </c>
      <c r="L4" s="252"/>
      <c r="M4" s="252"/>
      <c r="N4" s="252"/>
      <c r="O4" s="252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2"/>
      <c r="L5" s="252"/>
      <c r="M5" s="252"/>
      <c r="N5" s="252"/>
      <c r="O5" s="252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960</v>
      </c>
      <c r="S14" s="252" t="s">
        <v>45</v>
      </c>
    </row>
    <row r="15" s="3" customFormat="1" ht="29.25" customHeight="1" spans="1:18">
      <c r="A15" s="256" t="str">
        <f>CONCATENATE(LEFT(L$7,P7),"-1")</f>
        <v>YP-2017-SHY-055-1</v>
      </c>
      <c r="B15" s="231" t="s">
        <v>46</v>
      </c>
      <c r="C15" s="232"/>
      <c r="D15" s="257" t="str">
        <f>LEFT(L9,P9)</f>
        <v>2017/12/24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/>
      <c r="L15" s="246">
        <v>44</v>
      </c>
      <c r="M15" s="247">
        <f>ROUND(AVERAGE(L15:L17),1)</f>
        <v>44.4</v>
      </c>
      <c r="N15" s="247">
        <f>M15</f>
        <v>44.4</v>
      </c>
      <c r="O15" s="242" t="s">
        <v>50</v>
      </c>
      <c r="P15" s="218">
        <f t="shared" ref="P15:P23" si="0">ROUND(K15/22.5,3)</f>
        <v>0</v>
      </c>
      <c r="Q15" s="253">
        <f>ROUND(AVERAGE(L15:L17),3)</f>
        <v>44.433</v>
      </c>
      <c r="R15" s="254">
        <f ca="1" t="shared" ref="R15:R23" si="1">ROUND(R$14+RAND()*S$14,2)</f>
        <v>1109.89</v>
      </c>
    </row>
    <row r="16" s="3" customFormat="1" ht="29.25" customHeight="1" spans="1:18">
      <c r="A16" s="256" t="str">
        <f>CONCATENATE(LEFT(L$7,P7),"-2")</f>
        <v>YP-2017-SHY-055-2</v>
      </c>
      <c r="B16" s="234"/>
      <c r="C16" s="235"/>
      <c r="D16" s="257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/>
      <c r="L16" s="246">
        <v>44.3</v>
      </c>
      <c r="M16" s="247"/>
      <c r="N16" s="247"/>
      <c r="O16" s="242"/>
      <c r="P16" s="218">
        <f t="shared" si="0"/>
        <v>0</v>
      </c>
      <c r="Q16" s="253"/>
      <c r="R16" s="254">
        <f ca="1" t="shared" si="1"/>
        <v>1044.49</v>
      </c>
    </row>
    <row r="17" s="3" customFormat="1" ht="29.25" customHeight="1" spans="1:18">
      <c r="A17" s="256" t="str">
        <f>CONCATENATE(LEFT(L$7,P7),"-3")</f>
        <v>YP-2017-SHY-055-3</v>
      </c>
      <c r="B17" s="236"/>
      <c r="C17" s="237"/>
      <c r="D17" s="257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/>
      <c r="L17" s="246">
        <v>45</v>
      </c>
      <c r="M17" s="247"/>
      <c r="N17" s="247"/>
      <c r="O17" s="242"/>
      <c r="P17" s="218">
        <f t="shared" si="0"/>
        <v>0</v>
      </c>
      <c r="Q17" s="253"/>
      <c r="R17" s="254">
        <f ca="1" t="shared" si="1"/>
        <v>1116.8</v>
      </c>
    </row>
    <row r="18" s="3" customFormat="1" ht="29.25" customHeight="1" spans="1:18">
      <c r="A18" s="256" t="str">
        <f>CONCATENATE(LEFT(L$7,P7),"-4")</f>
        <v>YP-2017-SHY-055-4</v>
      </c>
      <c r="B18" s="231" t="s">
        <v>46</v>
      </c>
      <c r="C18" s="232"/>
      <c r="D18" s="221" t="str">
        <f>D15</f>
        <v>2017/12/24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/>
      <c r="L18" s="246">
        <v>44.8</v>
      </c>
      <c r="M18" s="247">
        <f>ROUND(AVERAGE(L18:L20),1)</f>
        <v>43.8</v>
      </c>
      <c r="N18" s="247">
        <f>M18</f>
        <v>43.8</v>
      </c>
      <c r="O18" s="242" t="s">
        <v>50</v>
      </c>
      <c r="P18" s="218">
        <f t="shared" si="0"/>
        <v>0</v>
      </c>
      <c r="Q18" s="253">
        <f>ROUND(AVERAGE(L18:L20),3)</f>
        <v>43.833</v>
      </c>
      <c r="R18" s="254">
        <f ca="1" t="shared" si="1"/>
        <v>1107.03</v>
      </c>
    </row>
    <row r="19" s="3" customFormat="1" ht="29.25" customHeight="1" spans="1:18">
      <c r="A19" s="256" t="str">
        <f>CONCATENATE(LEFT(L$7,P7),"-5")</f>
        <v>YP-2017-SHY-055-5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/>
      <c r="L19" s="246">
        <v>42</v>
      </c>
      <c r="M19" s="247"/>
      <c r="N19" s="247"/>
      <c r="O19" s="242"/>
      <c r="P19" s="218">
        <f t="shared" si="0"/>
        <v>0</v>
      </c>
      <c r="Q19" s="253"/>
      <c r="R19" s="254">
        <f ca="1" t="shared" si="1"/>
        <v>1014.34</v>
      </c>
    </row>
    <row r="20" s="3" customFormat="1" ht="29.25" customHeight="1" spans="1:18">
      <c r="A20" s="256" t="str">
        <f>CONCATENATE(LEFT(L$7,P7),"-6")</f>
        <v>YP-2017-SHY-055-6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/>
      <c r="L20" s="246">
        <v>44.7</v>
      </c>
      <c r="M20" s="247"/>
      <c r="N20" s="247"/>
      <c r="O20" s="242"/>
      <c r="P20" s="218">
        <f t="shared" si="0"/>
        <v>0</v>
      </c>
      <c r="Q20" s="253"/>
      <c r="R20" s="254">
        <f ca="1" t="shared" si="1"/>
        <v>1061.39</v>
      </c>
    </row>
    <row r="21" s="3" customFormat="1" ht="29.25" customHeight="1" spans="1:18">
      <c r="A21" s="256" t="str">
        <f>CONCATENATE(LEFT(L$7,P7),"-7")</f>
        <v>YP-2017-SHY-055-7</v>
      </c>
      <c r="B21" s="231" t="s">
        <v>46</v>
      </c>
      <c r="C21" s="232"/>
      <c r="D21" s="221" t="str">
        <f>D15</f>
        <v>2017/12/24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/>
      <c r="L21" s="246">
        <v>44.7</v>
      </c>
      <c r="M21" s="247">
        <f>ROUND(AVERAGE(L21:L23),1)</f>
        <v>44.5</v>
      </c>
      <c r="N21" s="247">
        <f>M21</f>
        <v>44.5</v>
      </c>
      <c r="O21" s="242" t="s">
        <v>50</v>
      </c>
      <c r="P21" s="218">
        <f t="shared" si="0"/>
        <v>0</v>
      </c>
      <c r="Q21" s="253">
        <f>ROUND(AVERAGE(L21:L23),3)</f>
        <v>44.467</v>
      </c>
      <c r="R21" s="254">
        <f ca="1" t="shared" si="1"/>
        <v>1040.85</v>
      </c>
    </row>
    <row r="22" s="3" customFormat="1" ht="29.25" customHeight="1" spans="1:18">
      <c r="A22" s="256" t="str">
        <f>CONCATENATE(LEFT(L$7,P7),"-8")</f>
        <v>YP-2017-SHY-055-8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/>
      <c r="L22" s="246">
        <v>44.1</v>
      </c>
      <c r="M22" s="247"/>
      <c r="N22" s="247"/>
      <c r="O22" s="242"/>
      <c r="P22" s="218">
        <f t="shared" si="0"/>
        <v>0</v>
      </c>
      <c r="Q22" s="253"/>
      <c r="R22" s="254">
        <f ca="1" t="shared" si="1"/>
        <v>1002.6</v>
      </c>
    </row>
    <row r="23" s="3" customFormat="1" ht="29.25" customHeight="1" spans="1:18">
      <c r="A23" s="256" t="str">
        <f>CONCATENATE(LEFT(L$7,P7),"-9")</f>
        <v>YP-2017-SHY-055-9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/>
      <c r="L23" s="246">
        <v>44.6</v>
      </c>
      <c r="M23" s="247"/>
      <c r="N23" s="247"/>
      <c r="O23" s="242"/>
      <c r="P23" s="218">
        <f t="shared" si="0"/>
        <v>0</v>
      </c>
      <c r="Q23" s="253"/>
      <c r="R23" s="254">
        <f ca="1" t="shared" si="1"/>
        <v>966.89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1028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962.9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968.23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986.71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1013.56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1012.97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972.05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950.77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978.17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3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21" width="1.25" style="30"/>
    <col min="22" max="22" width="1.25" style="30" customWidth="1"/>
    <col min="23" max="31" width="1.25" style="30"/>
    <col min="32" max="32" width="1.25" style="30" customWidth="1"/>
    <col min="33" max="41" width="1.25" style="30"/>
    <col min="42" max="42" width="1.25" style="30" customWidth="1"/>
    <col min="43" max="49" width="1.25" style="30"/>
    <col min="50" max="50" width="1.25" style="30" customWidth="1"/>
    <col min="51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报告编号：BG-2017-SHY-055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YP-2017-SHY-055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K24+015分离立交3-1#桩基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YP-2017-SHY-055-1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2017/12/24-2018/01/21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44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44.4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126.9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YP-2017-SHY-055-2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44.3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YP-2017-SHY-055-3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45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YP-2017-SHY-055-4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2017/12/24-2018/01/21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44.8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43.8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125.1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YP-2017-SHY-055-5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42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YP-2017-SHY-055-6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44.7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YP-2017-SHY-055-7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2017/12/24-2018/01/21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44.7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44.5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127.1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YP-2017-SHY-055-8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44.1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YP-2017-SHY-055-9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44.6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07638888888889" right="0.629166666666667" top="0.707638888888889" bottom="0.747916666666667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