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<sst xmlns="http://schemas.openxmlformats.org/spreadsheetml/2006/main" count="138">
  <si>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</si>
  <si>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</si>
  <si>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</si>
  <si>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</si>
  <si>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</si>
  <si>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JL-2017-SHY-075</t>
    </r>
  </si>
  <si>
    <t>工程部位/用途</t>
  </si>
  <si>
    <t>尚义一号水库大桥6b-2#桩基</t>
  </si>
  <si>
    <t>委托/任务编号</t>
  </si>
  <si>
    <t>/</t>
  </si>
  <si>
    <t>试验依据</t>
  </si>
  <si>
    <t>JTG E30-2005</t>
  </si>
  <si>
    <t>样品编号</t>
  </si>
  <si>
    <t>YP-2017-SHY-075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</si>
  <si>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</si>
  <si>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</si>
  <si>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</si>
  <si>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</si>
  <si>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</si>
  <si>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</si>
  <si>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</si>
  <si>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</si>
  <si>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2017/12/31-2018/01/28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</si>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</sst>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9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8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5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18" borderId="54" applyNumberFormat="0" applyAlignment="0" applyProtection="0">
      <alignment vertical="center"/>
    </xf>
    <xf numFmtId="0" fontId="21" fillId="18" borderId="47" applyNumberFormat="0" applyAlignment="0" applyProtection="0">
      <alignment vertical="center"/>
    </xf>
    <xf numFmtId="0" fontId="23" fillId="19" borderId="49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81" fontId="3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left" vertical="center" wrapText="1"/>
    </xf>
    <xf numFmtId="181" fontId="8" fillId="0" borderId="2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181" fontId="8" fillId="0" borderId="6" xfId="50" applyNumberFormat="1" applyFont="1" applyBorder="1" applyAlignment="1">
      <alignment horizontal="center" vertical="center" wrapText="1"/>
    </xf>
    <xf numFmtId="181" fontId="8" fillId="0" borderId="19" xfId="50" applyNumberFormat="1" applyFont="1" applyBorder="1" applyAlignment="1">
      <alignment horizontal="center" vertical="center" wrapText="1"/>
    </xf>
    <xf numFmtId="181" fontId="2" fillId="0" borderId="4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2" fillId="0" borderId="0" xfId="50" applyNumberFormat="1" applyFont="1" applyBorder="1" applyAlignment="1">
      <alignment horizontal="center" vertical="center" wrapText="1"/>
    </xf>
    <xf numFmtId="181" fontId="2" fillId="0" borderId="0" xfId="50" applyNumberFormat="1" applyFont="1" applyBorder="1" applyAlignment="1">
      <alignment horizont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2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8.625" style="25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4:18">
      <c r="D1" s="253"/>
      <c r="M1" s="18" t="s">
        <v>0</v>
      </c>
      <c r="N1" s="18"/>
      <c r="O1" s="18"/>
      <c r="R1" s="215"/>
    </row>
    <row r="2" s="3" customFormat="1" ht="14.1" customHeight="1" spans="4:18">
      <c r="D2" s="253"/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25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25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25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6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57" t="s">
        <v>11</v>
      </c>
      <c r="E7" s="218"/>
      <c r="F7" s="218"/>
      <c r="G7" s="218"/>
      <c r="H7" s="218"/>
      <c r="I7" s="218"/>
      <c r="J7" s="12" t="s">
        <v>12</v>
      </c>
      <c r="K7" s="12"/>
      <c r="L7" s="264" t="s">
        <v>13</v>
      </c>
      <c r="M7" s="264"/>
      <c r="N7" s="264"/>
      <c r="O7" s="265"/>
      <c r="P7" s="3" t="s">
        <v>14</v>
      </c>
      <c r="Q7" s="215" t="str">
        <f>RIGHT(L7,2)</f>
        <v>75</v>
      </c>
      <c r="R7" s="215"/>
    </row>
    <row r="8" s="3" customFormat="1" ht="24.95" customHeight="1" spans="1:18">
      <c r="A8" s="11" t="s">
        <v>15</v>
      </c>
      <c r="B8" s="12"/>
      <c r="C8" s="12"/>
      <c r="D8" s="257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57" t="s">
        <v>20</v>
      </c>
      <c r="E9" s="218"/>
      <c r="F9" s="218"/>
      <c r="G9" s="218"/>
      <c r="H9" s="218"/>
      <c r="I9" s="218"/>
      <c r="J9" s="12" t="s">
        <v>21</v>
      </c>
      <c r="K9" s="12"/>
      <c r="L9" s="264" t="s">
        <v>22</v>
      </c>
      <c r="M9" s="264"/>
      <c r="N9" s="264"/>
      <c r="O9" s="265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58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59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260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260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260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61" t="str">
        <f>CONCATENATE(LEFT(L$7,P7),"-1")</f>
        <v>YP-2017-SHY-075-1</v>
      </c>
      <c r="B15" s="228" t="s">
        <v>46</v>
      </c>
      <c r="C15" s="229"/>
      <c r="D15" s="257" t="str">
        <f>LEFT(L9,P9)</f>
        <v>2017/12/31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45.2</v>
      </c>
      <c r="M15" s="244">
        <v>43.9</v>
      </c>
      <c r="N15" s="244">
        <f>M15</f>
        <v>43.9</v>
      </c>
      <c r="O15" s="239" t="s">
        <v>50</v>
      </c>
      <c r="P15" s="215">
        <f t="shared" ref="P15:P23" si="0">ROUND(K15/22.5,3)</f>
        <v>0</v>
      </c>
      <c r="Q15" s="250">
        <f>ROUND(AVERAGE(L15:L17),3)</f>
        <v>43.867</v>
      </c>
      <c r="R15" s="251">
        <f ca="1" t="shared" ref="R15:R23" si="1">ROUND(R$14+RAND()*S$14,2)</f>
        <v>1065.2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61" t="str">
        <f>CONCATENATE(LEFT(L$7,P7),"-2")</f>
        <v>YP-2017-SHY-075-2</v>
      </c>
      <c r="B16" s="231"/>
      <c r="C16" s="232"/>
      <c r="D16" s="257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43.9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1109.13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61" t="str">
        <f>CONCATENATE(LEFT(L$7,P7),"-3")</f>
        <v>YP-2017-SHY-075-3</v>
      </c>
      <c r="B17" s="233"/>
      <c r="C17" s="234"/>
      <c r="D17" s="257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42.5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1113.07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61" t="str">
        <f>CONCATENATE(LEFT(L$7,P7),"-4")</f>
        <v>YP-2017-SHY-075-4</v>
      </c>
      <c r="B18" s="228" t="s">
        <v>46</v>
      </c>
      <c r="C18" s="229"/>
      <c r="D18" s="257" t="str">
        <f>D15</f>
        <v>2017/12/31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42.3</v>
      </c>
      <c r="M18" s="244">
        <f>ROUND(AVERAGE(L18:L20),1)</f>
        <v>42.8</v>
      </c>
      <c r="N18" s="244">
        <f>M18</f>
        <v>42.8</v>
      </c>
      <c r="O18" s="239" t="s">
        <v>50</v>
      </c>
      <c r="P18" s="215">
        <f t="shared" si="0"/>
        <v>0</v>
      </c>
      <c r="Q18" s="250">
        <f>ROUND(AVERAGE(L18:L20),3)</f>
        <v>42.8</v>
      </c>
      <c r="R18" s="251">
        <f ca="1" t="shared" si="1"/>
        <v>1037.72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61" t="str">
        <f>CONCATENATE(LEFT(L$7,P7),"-5")</f>
        <v>YP-2017-SHY-075-5</v>
      </c>
      <c r="B19" s="231"/>
      <c r="C19" s="232"/>
      <c r="D19" s="257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41.1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1007.79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61" t="str">
        <f>CONCATENATE(LEFT(L$7,P7),"-6")</f>
        <v>YP-2017-SHY-075-6</v>
      </c>
      <c r="B20" s="233"/>
      <c r="C20" s="234"/>
      <c r="D20" s="257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45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1047.86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61" t="str">
        <f>CONCATENATE(LEFT(L$7,P7),"-7")</f>
        <v>YP-2017-SHY-075-7</v>
      </c>
      <c r="B21" s="228" t="s">
        <v>46</v>
      </c>
      <c r="C21" s="229"/>
      <c r="D21" s="257" t="str">
        <f>D15</f>
        <v>2017/12/31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45.7</v>
      </c>
      <c r="M21" s="244">
        <f>ROUND(AVERAGE(L21:L23),1)</f>
        <v>44.2</v>
      </c>
      <c r="N21" s="244">
        <f>M21</f>
        <v>44.2</v>
      </c>
      <c r="O21" s="239" t="s">
        <v>50</v>
      </c>
      <c r="P21" s="215">
        <f t="shared" si="0"/>
        <v>0</v>
      </c>
      <c r="Q21" s="250">
        <f>ROUND(AVERAGE(L21:L23),3)</f>
        <v>44.167</v>
      </c>
      <c r="R21" s="251">
        <f ca="1" t="shared" si="1"/>
        <v>1058.43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61" t="str">
        <f>CONCATENATE(LEFT(L$7,P7),"-8")</f>
        <v>YP-2017-SHY-075-8</v>
      </c>
      <c r="B22" s="231"/>
      <c r="C22" s="232"/>
      <c r="D22" s="257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43.6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1051.28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61" t="str">
        <f>CONCATENATE(LEFT(L$7,P7),"-9")</f>
        <v>YP-2017-SHY-075-9</v>
      </c>
      <c r="B23" s="233"/>
      <c r="C23" s="234"/>
      <c r="D23" s="257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43.2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1113.05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57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57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57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58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4:18">
      <c r="D28" s="262"/>
      <c r="R28" s="252"/>
    </row>
    <row r="29" s="4" customFormat="1" customHeight="1" spans="1:18">
      <c r="A29" s="17" t="s">
        <v>54</v>
      </c>
      <c r="B29" s="17"/>
      <c r="C29" s="17"/>
      <c r="D29" s="263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4:18">
      <c r="D30" s="262"/>
      <c r="R30" s="252"/>
    </row>
    <row r="31" s="4" customFormat="1" customHeight="1" spans="4:18">
      <c r="D31" s="262"/>
      <c r="R31" s="252"/>
    </row>
    <row r="32" s="4" customFormat="1" customHeight="1" spans="4:18">
      <c r="D32" s="262"/>
      <c r="R32" s="252"/>
    </row>
    <row r="33" s="4" customFormat="1" customHeight="1" spans="4:18">
      <c r="D33" s="262"/>
      <c r="R33" s="252"/>
    </row>
    <row r="34" s="4" customFormat="1" customHeight="1" spans="4:18">
      <c r="D34" s="262"/>
      <c r="R34" s="252"/>
    </row>
    <row r="35" s="4" customFormat="1" customHeight="1" spans="4:18">
      <c r="D35" s="262"/>
      <c r="R35" s="252"/>
    </row>
    <row r="36" s="4" customFormat="1" customHeight="1" spans="4:18">
      <c r="D36" s="262"/>
      <c r="R36" s="252"/>
    </row>
    <row r="37" s="4" customFormat="1" customHeight="1" spans="4:18">
      <c r="D37" s="262"/>
      <c r="R37" s="252"/>
    </row>
    <row r="38" s="3" customFormat="1" customHeight="1" spans="1:18">
      <c r="A38" s="4"/>
      <c r="B38" s="4"/>
      <c r="C38" s="4"/>
      <c r="D38" s="26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26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26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26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26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26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986.86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1014.5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1009.79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964.18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965.5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1029.65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968.99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1001.69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982.59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6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报告编号：BG-2017-SHY-075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YP-2017-SHY-075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尚义一号水库大桥6b-2#桩基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YP-2017-SHY-075-1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2017/12/31-2018/01/28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45.2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43.9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YP-2017-SHY-075-2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YP-2017-SHY-075-3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YP-2017-SHY-075-4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2017/12/31-2018/01/28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42.8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122.3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YP-2017-SHY-075-5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41.1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YP-2017-SHY-075-6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YP-2017-SHY-075-7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2017/12/31-2018/01/28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45.7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44.2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YP-2017-SHY-075-8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43.6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YP-2017-SHY-075-9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43.2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2018-03-07T00:56:14Z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