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nis\OneDrive\Рабочий стол\Course_4\КОМОД\Лаба_4\"/>
    </mc:Choice>
  </mc:AlternateContent>
  <xr:revisionPtr revIDLastSave="0" documentId="13_ncr:1_{29A878F0-F35D-4E35-B7FA-C9640D0616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-1_table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7" i="1" l="1"/>
  <c r="L316" i="1"/>
  <c r="L31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M285" i="1"/>
  <c r="L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D317" i="1"/>
  <c r="D316" i="1"/>
  <c r="B323" i="1"/>
  <c r="B320" i="1"/>
  <c r="F318" i="1" s="1"/>
  <c r="B317" i="1"/>
  <c r="G316" i="1" s="1"/>
  <c r="B315" i="1"/>
  <c r="E316" i="1" s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85" i="1"/>
  <c r="B318" i="1" s="1"/>
  <c r="E286" i="1"/>
  <c r="E287" i="1"/>
  <c r="H287" i="1" s="1"/>
  <c r="E288" i="1"/>
  <c r="E289" i="1"/>
  <c r="H289" i="1" s="1"/>
  <c r="E290" i="1"/>
  <c r="E291" i="1"/>
  <c r="H291" i="1" s="1"/>
  <c r="E292" i="1"/>
  <c r="E293" i="1"/>
  <c r="H293" i="1" s="1"/>
  <c r="E294" i="1"/>
  <c r="E295" i="1"/>
  <c r="H295" i="1" s="1"/>
  <c r="E296" i="1"/>
  <c r="E297" i="1"/>
  <c r="H297" i="1" s="1"/>
  <c r="E298" i="1"/>
  <c r="E299" i="1"/>
  <c r="H299" i="1" s="1"/>
  <c r="E300" i="1"/>
  <c r="E301" i="1"/>
  <c r="H301" i="1" s="1"/>
  <c r="E302" i="1"/>
  <c r="E303" i="1"/>
  <c r="H303" i="1" s="1"/>
  <c r="E304" i="1"/>
  <c r="E305" i="1"/>
  <c r="H305" i="1" s="1"/>
  <c r="E306" i="1"/>
  <c r="E307" i="1"/>
  <c r="H307" i="1" s="1"/>
  <c r="E308" i="1"/>
  <c r="E309" i="1"/>
  <c r="H309" i="1" s="1"/>
  <c r="E310" i="1"/>
  <c r="E311" i="1"/>
  <c r="H311" i="1" s="1"/>
  <c r="E312" i="1"/>
  <c r="E313" i="1"/>
  <c r="H313" i="1" s="1"/>
  <c r="E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85" i="1"/>
  <c r="B319" i="1" s="1"/>
  <c r="G317" i="1" s="1"/>
  <c r="D266" i="1"/>
  <c r="B321" i="1" l="1"/>
  <c r="G318" i="1" s="1"/>
  <c r="F317" i="1"/>
  <c r="E318" i="1"/>
  <c r="B316" i="1"/>
  <c r="D318" i="1" l="1"/>
  <c r="F316" i="1"/>
  <c r="D321" i="1" s="1" a="1"/>
  <c r="D321" i="1" s="1"/>
  <c r="H321" i="1" s="1" a="1"/>
  <c r="E317" i="1"/>
  <c r="H321" i="1" l="1"/>
  <c r="I285" i="1" s="1"/>
  <c r="B269" i="1" l="1"/>
  <c r="F234" i="1"/>
  <c r="F235" i="1"/>
  <c r="F238" i="1"/>
  <c r="F239" i="1"/>
  <c r="F242" i="1"/>
  <c r="F243" i="1"/>
  <c r="F246" i="1"/>
  <c r="F247" i="1"/>
  <c r="F250" i="1"/>
  <c r="F251" i="1"/>
  <c r="F254" i="1"/>
  <c r="F255" i="1"/>
  <c r="F258" i="1"/>
  <c r="F259" i="1"/>
  <c r="B263" i="1"/>
  <c r="E234" i="1"/>
  <c r="E235" i="1"/>
  <c r="E236" i="1"/>
  <c r="F236" i="1" s="1"/>
  <c r="E237" i="1"/>
  <c r="F237" i="1" s="1"/>
  <c r="E238" i="1"/>
  <c r="E239" i="1"/>
  <c r="E240" i="1"/>
  <c r="F240" i="1" s="1"/>
  <c r="E241" i="1"/>
  <c r="F241" i="1" s="1"/>
  <c r="E242" i="1"/>
  <c r="E243" i="1"/>
  <c r="E244" i="1"/>
  <c r="F244" i="1" s="1"/>
  <c r="E245" i="1"/>
  <c r="F245" i="1" s="1"/>
  <c r="E246" i="1"/>
  <c r="E247" i="1"/>
  <c r="E248" i="1"/>
  <c r="F248" i="1" s="1"/>
  <c r="E249" i="1"/>
  <c r="F249" i="1" s="1"/>
  <c r="E250" i="1"/>
  <c r="E251" i="1"/>
  <c r="E252" i="1"/>
  <c r="F252" i="1" s="1"/>
  <c r="E253" i="1"/>
  <c r="F253" i="1" s="1"/>
  <c r="E254" i="1"/>
  <c r="E255" i="1"/>
  <c r="E256" i="1"/>
  <c r="F256" i="1" s="1"/>
  <c r="E257" i="1"/>
  <c r="F257" i="1" s="1"/>
  <c r="E258" i="1"/>
  <c r="E259" i="1"/>
  <c r="E260" i="1"/>
  <c r="F260" i="1" s="1"/>
  <c r="E261" i="1"/>
  <c r="F261" i="1" s="1"/>
  <c r="E233" i="1"/>
  <c r="D234" i="1"/>
  <c r="D235" i="1"/>
  <c r="B265" i="1" s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33" i="1"/>
  <c r="H182" i="1"/>
  <c r="H186" i="1"/>
  <c r="H198" i="1"/>
  <c r="H202" i="1"/>
  <c r="B210" i="1"/>
  <c r="H183" i="1" s="1"/>
  <c r="B214" i="1"/>
  <c r="D211" i="1" s="1" a="1"/>
  <c r="D211" i="1" s="1"/>
  <c r="F182" i="1"/>
  <c r="F190" i="1"/>
  <c r="F198" i="1"/>
  <c r="F206" i="1"/>
  <c r="E190" i="1"/>
  <c r="E206" i="1"/>
  <c r="D180" i="1"/>
  <c r="F180" i="1" s="1"/>
  <c r="D181" i="1"/>
  <c r="E181" i="1" s="1"/>
  <c r="D182" i="1"/>
  <c r="E182" i="1" s="1"/>
  <c r="D183" i="1"/>
  <c r="E183" i="1" s="1"/>
  <c r="D184" i="1"/>
  <c r="F184" i="1" s="1"/>
  <c r="D185" i="1"/>
  <c r="F185" i="1" s="1"/>
  <c r="D186" i="1"/>
  <c r="E186" i="1" s="1"/>
  <c r="D187" i="1"/>
  <c r="E187" i="1" s="1"/>
  <c r="D188" i="1"/>
  <c r="F188" i="1" s="1"/>
  <c r="D189" i="1"/>
  <c r="E189" i="1" s="1"/>
  <c r="D190" i="1"/>
  <c r="D191" i="1"/>
  <c r="E191" i="1" s="1"/>
  <c r="D192" i="1"/>
  <c r="F192" i="1" s="1"/>
  <c r="D193" i="1"/>
  <c r="F193" i="1" s="1"/>
  <c r="D194" i="1"/>
  <c r="E194" i="1" s="1"/>
  <c r="D195" i="1"/>
  <c r="E195" i="1" s="1"/>
  <c r="D196" i="1"/>
  <c r="F196" i="1" s="1"/>
  <c r="D197" i="1"/>
  <c r="E197" i="1" s="1"/>
  <c r="D198" i="1"/>
  <c r="E198" i="1" s="1"/>
  <c r="D199" i="1"/>
  <c r="E199" i="1" s="1"/>
  <c r="D200" i="1"/>
  <c r="F200" i="1" s="1"/>
  <c r="D201" i="1"/>
  <c r="F201" i="1" s="1"/>
  <c r="D202" i="1"/>
  <c r="E202" i="1" s="1"/>
  <c r="D203" i="1"/>
  <c r="E203" i="1" s="1"/>
  <c r="D204" i="1"/>
  <c r="F204" i="1" s="1"/>
  <c r="D205" i="1"/>
  <c r="F205" i="1" s="1"/>
  <c r="D206" i="1"/>
  <c r="D207" i="1"/>
  <c r="E207" i="1" s="1"/>
  <c r="D179" i="1"/>
  <c r="F179" i="1" s="1"/>
  <c r="E106" i="1"/>
  <c r="B141" i="1" s="1"/>
  <c r="D106" i="1"/>
  <c r="B138" i="1"/>
  <c r="B139" i="1"/>
  <c r="E140" i="1" s="1"/>
  <c r="B145" i="1"/>
  <c r="B159" i="1" s="1" a="1"/>
  <c r="B159" i="1" s="1"/>
  <c r="B144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B140" i="1" s="1"/>
  <c r="F106" i="1"/>
  <c r="B142" i="1" s="1"/>
  <c r="E141" i="1" s="1"/>
  <c r="E142" i="1" l="1"/>
  <c r="H149" i="1"/>
  <c r="M149" i="1" s="1"/>
  <c r="M155" i="1" s="1"/>
  <c r="H150" i="1"/>
  <c r="M150" i="1" s="1"/>
  <c r="M154" i="1" s="1"/>
  <c r="E139" i="1"/>
  <c r="G140" i="1" s="1"/>
  <c r="F202" i="1"/>
  <c r="F194" i="1"/>
  <c r="F186" i="1"/>
  <c r="H194" i="1"/>
  <c r="F203" i="1"/>
  <c r="F195" i="1"/>
  <c r="F187" i="1"/>
  <c r="F207" i="1"/>
  <c r="F199" i="1"/>
  <c r="F191" i="1"/>
  <c r="F183" i="1"/>
  <c r="H206" i="1"/>
  <c r="H190" i="1"/>
  <c r="B264" i="1"/>
  <c r="B268" i="1" s="1"/>
  <c r="I249" i="1" s="1"/>
  <c r="F233" i="1"/>
  <c r="B266" i="1" s="1"/>
  <c r="D263" i="1" s="1"/>
  <c r="F263" i="1" s="1"/>
  <c r="I239" i="1"/>
  <c r="I255" i="1"/>
  <c r="I261" i="1"/>
  <c r="I253" i="1"/>
  <c r="I243" i="1"/>
  <c r="I235" i="1"/>
  <c r="I254" i="1"/>
  <c r="I250" i="1"/>
  <c r="I238" i="1"/>
  <c r="I234" i="1"/>
  <c r="I252" i="1"/>
  <c r="I248" i="1"/>
  <c r="E205" i="1"/>
  <c r="E201" i="1"/>
  <c r="E193" i="1"/>
  <c r="E185" i="1"/>
  <c r="E179" i="1"/>
  <c r="E204" i="1"/>
  <c r="E200" i="1"/>
  <c r="E196" i="1"/>
  <c r="E192" i="1"/>
  <c r="E188" i="1"/>
  <c r="E184" i="1"/>
  <c r="E180" i="1"/>
  <c r="F197" i="1"/>
  <c r="F189" i="1"/>
  <c r="F181" i="1"/>
  <c r="B212" i="1" s="1"/>
  <c r="H179" i="1"/>
  <c r="H204" i="1"/>
  <c r="H200" i="1"/>
  <c r="H196" i="1"/>
  <c r="H192" i="1"/>
  <c r="H188" i="1"/>
  <c r="H184" i="1"/>
  <c r="H180" i="1"/>
  <c r="B209" i="1"/>
  <c r="B215" i="1" s="1"/>
  <c r="H205" i="1"/>
  <c r="H201" i="1"/>
  <c r="H197" i="1"/>
  <c r="H193" i="1"/>
  <c r="H189" i="1"/>
  <c r="H185" i="1"/>
  <c r="H181" i="1"/>
  <c r="H207" i="1"/>
  <c r="H203" i="1"/>
  <c r="H199" i="1"/>
  <c r="H195" i="1"/>
  <c r="H191" i="1"/>
  <c r="H187" i="1"/>
  <c r="J139" i="1"/>
  <c r="E143" i="1"/>
  <c r="G141" i="1" s="1"/>
  <c r="G139" i="1"/>
  <c r="E144" i="1"/>
  <c r="G142" i="1" s="1"/>
  <c r="I240" i="1" l="1"/>
  <c r="I256" i="1"/>
  <c r="I242" i="1"/>
  <c r="I258" i="1"/>
  <c r="D264" i="1"/>
  <c r="F264" i="1" s="1"/>
  <c r="I237" i="1"/>
  <c r="I245" i="1"/>
  <c r="I251" i="1"/>
  <c r="I236" i="1"/>
  <c r="I259" i="1"/>
  <c r="I241" i="1"/>
  <c r="G110" i="1"/>
  <c r="G114" i="1"/>
  <c r="G118" i="1"/>
  <c r="G122" i="1"/>
  <c r="G126" i="1"/>
  <c r="G130" i="1"/>
  <c r="G134" i="1"/>
  <c r="G108" i="1"/>
  <c r="G112" i="1"/>
  <c r="G116" i="1"/>
  <c r="G120" i="1"/>
  <c r="G124" i="1"/>
  <c r="G128" i="1"/>
  <c r="G132" i="1"/>
  <c r="G121" i="1"/>
  <c r="G129" i="1"/>
  <c r="G107" i="1"/>
  <c r="G111" i="1"/>
  <c r="G115" i="1"/>
  <c r="G119" i="1"/>
  <c r="G123" i="1"/>
  <c r="G127" i="1"/>
  <c r="G131" i="1"/>
  <c r="G106" i="1"/>
  <c r="G109" i="1"/>
  <c r="G113" i="1"/>
  <c r="G117" i="1"/>
  <c r="G125" i="1"/>
  <c r="G133" i="1"/>
  <c r="I244" i="1"/>
  <c r="I260" i="1"/>
  <c r="I246" i="1"/>
  <c r="I233" i="1"/>
  <c r="I247" i="1"/>
  <c r="I257" i="1"/>
  <c r="G243" i="1"/>
  <c r="G244" i="1"/>
  <c r="H244" i="1" s="1"/>
  <c r="G239" i="1"/>
  <c r="J239" i="1" s="1"/>
  <c r="G256" i="1"/>
  <c r="G236" i="1"/>
  <c r="J236" i="1" s="1"/>
  <c r="G241" i="1"/>
  <c r="G238" i="1"/>
  <c r="H241" i="1"/>
  <c r="J241" i="1"/>
  <c r="G235" i="1"/>
  <c r="G251" i="1"/>
  <c r="G248" i="1"/>
  <c r="G245" i="1"/>
  <c r="G254" i="1"/>
  <c r="G255" i="1"/>
  <c r="G233" i="1"/>
  <c r="G257" i="1"/>
  <c r="G261" i="1"/>
  <c r="G250" i="1"/>
  <c r="G237" i="1"/>
  <c r="G253" i="1"/>
  <c r="G246" i="1"/>
  <c r="G242" i="1"/>
  <c r="B211" i="1"/>
  <c r="D210" i="1" s="1"/>
  <c r="D209" i="1" s="1"/>
  <c r="B160" i="1" l="1" a="1"/>
  <c r="B160" i="1" s="1"/>
  <c r="B161" i="1" s="1"/>
  <c r="H236" i="1"/>
  <c r="G260" i="1"/>
  <c r="G249" i="1"/>
  <c r="G234" i="1"/>
  <c r="G259" i="1"/>
  <c r="G247" i="1"/>
  <c r="G252" i="1"/>
  <c r="G240" i="1"/>
  <c r="G258" i="1"/>
  <c r="H233" i="1"/>
  <c r="J244" i="1"/>
  <c r="J243" i="1"/>
  <c r="H243" i="1"/>
  <c r="J238" i="1"/>
  <c r="H238" i="1"/>
  <c r="H239" i="1"/>
  <c r="J256" i="1"/>
  <c r="H256" i="1"/>
  <c r="J251" i="1"/>
  <c r="H251" i="1"/>
  <c r="J237" i="1"/>
  <c r="H237" i="1"/>
  <c r="J233" i="1"/>
  <c r="J254" i="1"/>
  <c r="H254" i="1"/>
  <c r="J235" i="1"/>
  <c r="H235" i="1"/>
  <c r="J253" i="1"/>
  <c r="H253" i="1"/>
  <c r="J255" i="1"/>
  <c r="H255" i="1"/>
  <c r="J242" i="1"/>
  <c r="H242" i="1"/>
  <c r="J250" i="1"/>
  <c r="H250" i="1"/>
  <c r="J245" i="1"/>
  <c r="H245" i="1"/>
  <c r="J257" i="1"/>
  <c r="H257" i="1"/>
  <c r="J246" i="1"/>
  <c r="H246" i="1"/>
  <c r="J261" i="1"/>
  <c r="H261" i="1"/>
  <c r="H248" i="1"/>
  <c r="J248" i="1"/>
  <c r="G180" i="1"/>
  <c r="I180" i="1" s="1"/>
  <c r="G181" i="1"/>
  <c r="I181" i="1" s="1"/>
  <c r="G185" i="1"/>
  <c r="I185" i="1" s="1"/>
  <c r="G189" i="1"/>
  <c r="I189" i="1" s="1"/>
  <c r="G193" i="1"/>
  <c r="I193" i="1" s="1"/>
  <c r="G197" i="1"/>
  <c r="I197" i="1" s="1"/>
  <c r="G201" i="1"/>
  <c r="I201" i="1" s="1"/>
  <c r="G205" i="1"/>
  <c r="I205" i="1" s="1"/>
  <c r="G187" i="1"/>
  <c r="I187" i="1" s="1"/>
  <c r="G191" i="1"/>
  <c r="I191" i="1" s="1"/>
  <c r="G195" i="1"/>
  <c r="I195" i="1" s="1"/>
  <c r="G199" i="1"/>
  <c r="I199" i="1" s="1"/>
  <c r="G203" i="1"/>
  <c r="I203" i="1" s="1"/>
  <c r="G207" i="1"/>
  <c r="I207" i="1" s="1"/>
  <c r="G184" i="1"/>
  <c r="I184" i="1" s="1"/>
  <c r="G188" i="1"/>
  <c r="I188" i="1" s="1"/>
  <c r="G196" i="1"/>
  <c r="I196" i="1" s="1"/>
  <c r="G200" i="1"/>
  <c r="I200" i="1" s="1"/>
  <c r="G182" i="1"/>
  <c r="I182" i="1" s="1"/>
  <c r="G186" i="1"/>
  <c r="I186" i="1" s="1"/>
  <c r="G190" i="1"/>
  <c r="I190" i="1" s="1"/>
  <c r="G194" i="1"/>
  <c r="I194" i="1" s="1"/>
  <c r="G198" i="1"/>
  <c r="I198" i="1" s="1"/>
  <c r="G202" i="1"/>
  <c r="I202" i="1" s="1"/>
  <c r="G206" i="1"/>
  <c r="I206" i="1" s="1"/>
  <c r="G183" i="1"/>
  <c r="I183" i="1" s="1"/>
  <c r="G179" i="1"/>
  <c r="G192" i="1"/>
  <c r="I192" i="1" s="1"/>
  <c r="G204" i="1"/>
  <c r="I204" i="1" s="1"/>
  <c r="H252" i="1" l="1"/>
  <c r="J252" i="1"/>
  <c r="J249" i="1"/>
  <c r="H249" i="1"/>
  <c r="H247" i="1"/>
  <c r="J247" i="1"/>
  <c r="J260" i="1"/>
  <c r="H260" i="1"/>
  <c r="H258" i="1"/>
  <c r="J258" i="1"/>
  <c r="J259" i="1"/>
  <c r="H259" i="1"/>
  <c r="J240" i="1"/>
  <c r="H240" i="1"/>
  <c r="J234" i="1"/>
  <c r="H234" i="1"/>
  <c r="D212" i="1" a="1"/>
  <c r="D212" i="1" s="1"/>
  <c r="D213" i="1" s="1"/>
  <c r="I17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<sst xmlns="http://schemas.openxmlformats.org/spreadsheetml/2006/main" count="133" uniqueCount="101">
  <si>
    <t>x_i</t>
  </si>
  <si>
    <t>y_i</t>
  </si>
  <si>
    <t>(x_i)^2</t>
  </si>
  <si>
    <t>(y_i)^2</t>
  </si>
  <si>
    <t>x_i*y_i</t>
  </si>
  <si>
    <t>A</t>
  </si>
  <si>
    <t>A0</t>
  </si>
  <si>
    <t>A1</t>
  </si>
  <si>
    <t>B</t>
  </si>
  <si>
    <t>B0</t>
  </si>
  <si>
    <t>B1</t>
  </si>
  <si>
    <t>a0</t>
  </si>
  <si>
    <t>a1</t>
  </si>
  <si>
    <t>b0</t>
  </si>
  <si>
    <t>b1</t>
  </si>
  <si>
    <t>r</t>
  </si>
  <si>
    <t>Sy^2</t>
  </si>
  <si>
    <t>Sx^2</t>
  </si>
  <si>
    <t>Syср</t>
  </si>
  <si>
    <t>Sxср</t>
  </si>
  <si>
    <t>v</t>
  </si>
  <si>
    <t>t v,p</t>
  </si>
  <si>
    <t>dx</t>
  </si>
  <si>
    <t>dy</t>
  </si>
  <si>
    <t>R^2</t>
  </si>
  <si>
    <t>y_t</t>
  </si>
  <si>
    <t>z_i</t>
  </si>
  <si>
    <t>№</t>
  </si>
  <si>
    <t>Σx</t>
  </si>
  <si>
    <t>Σy</t>
  </si>
  <si>
    <t>Σx^2</t>
  </si>
  <si>
    <t>Σy^2</t>
  </si>
  <si>
    <t>Σxy</t>
  </si>
  <si>
    <t>n</t>
  </si>
  <si>
    <t>Вычисление коэффициентов регрессии</t>
  </si>
  <si>
    <t>Коэффициент регрессии</t>
  </si>
  <si>
    <t>Оценка линейного коэффициента связи</t>
  </si>
  <si>
    <t>0 &lt; r &lt; 1 Вероятностная, прямая С увеличением X увеличивается Y</t>
  </si>
  <si>
    <t>Оценка коэффициента корреляции r по степени тесноты связи</t>
  </si>
  <si>
    <t>Практически отсутствует</t>
  </si>
  <si>
    <t>Значения несмещенной дисперсии</t>
  </si>
  <si>
    <t>Среднеквадратическое отклонения выборочного среднего</t>
  </si>
  <si>
    <t>Уравнения прямой и обратной регрессии</t>
  </si>
  <si>
    <t>Оценка доверительного интервала</t>
  </si>
  <si>
    <t>p</t>
  </si>
  <si>
    <t>Абсолютная ошибка</t>
  </si>
  <si>
    <t>*оставили два значащих разряда</t>
  </si>
  <si>
    <t>*оставили один значащий разряд</t>
  </si>
  <si>
    <t>Коэффициент детерминации</t>
  </si>
  <si>
    <t>Σ(y-yср)^2</t>
  </si>
  <si>
    <t>Σ(yt-yср)^2</t>
  </si>
  <si>
    <t>y=3,55+30,7370387*x</t>
  </si>
  <si>
    <t>x = 0,0174480762631268 + 0,000209829392552962*y</t>
  </si>
  <si>
    <t>Гиперболическая регрессия</t>
  </si>
  <si>
    <t>z_i^2</t>
  </si>
  <si>
    <t>z*y</t>
  </si>
  <si>
    <t>y-yср</t>
  </si>
  <si>
    <t>Σz</t>
  </si>
  <si>
    <t>Σz^2</t>
  </si>
  <si>
    <t>Σz*y</t>
  </si>
  <si>
    <t>y_t-yср</t>
  </si>
  <si>
    <t>Экспоненциальная регрессия</t>
  </si>
  <si>
    <t>x_i^2</t>
  </si>
  <si>
    <t>ln(y_i)</t>
  </si>
  <si>
    <t>ln(y_t)</t>
  </si>
  <si>
    <t>ln(y_t)-ln(yср)</t>
  </si>
  <si>
    <t>ln(y_i)-ln(yср)</t>
  </si>
  <si>
    <t>Σlny</t>
  </si>
  <si>
    <t>Σlny*x</t>
  </si>
  <si>
    <t>ln(y_i)*x_i</t>
  </si>
  <si>
    <t>lny_ср</t>
  </si>
  <si>
    <t>Уравнение экспоненты</t>
  </si>
  <si>
    <t>y = -0,936002276867778e^x*3,14370897729922</t>
  </si>
  <si>
    <t>Уравнение логарифма</t>
  </si>
  <si>
    <t>lny = 0,392192582921834+23,1897176873953*x</t>
  </si>
  <si>
    <t>y_ср</t>
  </si>
  <si>
    <t>Σ(lny-lnyср)^2</t>
  </si>
  <si>
    <t>Σ(lnyt-lnyср)^2</t>
  </si>
  <si>
    <t>Полиномиальная регрессия</t>
  </si>
  <si>
    <t>x_i^3</t>
  </si>
  <si>
    <t>x_i^4</t>
  </si>
  <si>
    <t>y_i*x_i^2</t>
  </si>
  <si>
    <t>y-y_ср</t>
  </si>
  <si>
    <t>y_t-y_ср</t>
  </si>
  <si>
    <t>(y-y_ср)^2</t>
  </si>
  <si>
    <t>(y_t-y_ср)^2</t>
  </si>
  <si>
    <r>
      <t>∑</t>
    </r>
    <r>
      <rPr>
        <sz val="11"/>
        <color theme="1"/>
        <rFont val="Calibri"/>
        <family val="2"/>
      </rPr>
      <t>x=</t>
    </r>
  </si>
  <si>
    <r>
      <t>∑</t>
    </r>
    <r>
      <rPr>
        <sz val="11"/>
        <color theme="1"/>
        <rFont val="Calibri"/>
        <family val="2"/>
      </rPr>
      <t>x^2=</t>
    </r>
  </si>
  <si>
    <r>
      <t>∑y</t>
    </r>
    <r>
      <rPr>
        <sz val="11"/>
        <color theme="1"/>
        <rFont val="Calibri"/>
        <family val="2"/>
      </rPr>
      <t>=</t>
    </r>
  </si>
  <si>
    <r>
      <t>∑</t>
    </r>
    <r>
      <rPr>
        <sz val="11"/>
        <color theme="1"/>
        <rFont val="Calibri"/>
        <family val="2"/>
      </rPr>
      <t>x^3=</t>
    </r>
  </si>
  <si>
    <r>
      <t>∑</t>
    </r>
    <r>
      <rPr>
        <sz val="11"/>
        <color theme="1"/>
        <rFont val="Calibri"/>
        <family val="2"/>
      </rPr>
      <t>x*y=</t>
    </r>
  </si>
  <si>
    <r>
      <t>∑</t>
    </r>
    <r>
      <rPr>
        <sz val="11"/>
        <color theme="1"/>
        <rFont val="Calibri"/>
        <family val="2"/>
      </rPr>
      <t>x^4=</t>
    </r>
  </si>
  <si>
    <r>
      <t>∑</t>
    </r>
    <r>
      <rPr>
        <sz val="11"/>
        <color theme="1"/>
        <rFont val="Calibri"/>
        <family val="2"/>
      </rPr>
      <t>y*x^2=</t>
    </r>
  </si>
  <si>
    <t>n=</t>
  </si>
  <si>
    <t>y(ср)=</t>
  </si>
  <si>
    <t>Коэффициенты системы</t>
  </si>
  <si>
    <t>Свободные члены</t>
  </si>
  <si>
    <t>Обратная матрица</t>
  </si>
  <si>
    <t>Корни</t>
  </si>
  <si>
    <t>Уравнение параболы</t>
  </si>
  <si>
    <t>y = -1,91845010395477+536,29980851065*x+8809,43245249263*x^2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</si>
</sst>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0.0E+00"/>
    <numFmt numFmtId="170" formatCode="0.00000000"/>
    <numFmt numFmtId="171" formatCode="0.000000000"/>
    <numFmt numFmtId="172" formatCode="0.000000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1" fillId="0" borderId="0" xfId="0" applyNumberFormat="1" applyFon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/>
    <xf numFmtId="0" fontId="0" fillId="2" borderId="1" xfId="0" applyNumberFormat="1" applyFill="1" applyBorder="1"/>
    <xf numFmtId="0" fontId="0" fillId="0" borderId="0" xfId="0" applyNumberFormat="1"/>
    <xf numFmtId="164" fontId="0" fillId="0" borderId="0" xfId="0" applyNumberFormat="1" applyBorder="1"/>
    <xf numFmtId="168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0" xfId="0" applyNumberFormat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0" xfId="0" applyNumberFormat="1" applyFill="1"/>
    <xf numFmtId="164" fontId="0" fillId="2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0" xfId="0" applyNumberFormat="1" applyFill="1" applyBorder="1"/>
    <xf numFmtId="0" fontId="1" fillId="2" borderId="0" xfId="0" applyNumberFormat="1" applyFont="1" applyFill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" fontId="0" fillId="0" borderId="0" xfId="0" applyNumberFormat="1"/>
    <xf numFmtId="171" fontId="0" fillId="0" borderId="0" xfId="0" applyNumberFormat="1"/>
    <xf numFmtId="164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0" xfId="0" applyNumberFormat="1" applyFont="1" applyBorder="1"/>
    <xf numFmtId="2" fontId="0" fillId="0" borderId="0" xfId="0" applyNumberFormat="1" applyFill="1"/>
    <xf numFmtId="172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5" xfId="0" applyNumberFormat="1" applyFill="1" applyBorder="1"/>
    <xf numFmtId="0" fontId="0" fillId="3" borderId="6" xfId="0" applyNumberFormat="1" applyFill="1" applyBorder="1"/>
    <xf numFmtId="0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 регрессионная</a:t>
            </a:r>
            <a:r>
              <a:rPr lang="ru-RU" baseline="0"/>
              <a:t> модель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'page-1_table-1'!$B$106:$B$134</c:f>
              <c:numCache>
                <c:formatCode>General</c:formatCode>
                <c:ptCount val="29"/>
                <c:pt idx="0">
                  <c:v>0.01</c:v>
                </c:pt>
                <c:pt idx="1">
                  <c:v>1.0999999999999999E-2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5.2999999999999999E-2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1.2E-2</c:v>
                </c:pt>
                <c:pt idx="11">
                  <c:v>1.9E-2</c:v>
                </c:pt>
                <c:pt idx="12">
                  <c:v>3.3000000000000002E-2</c:v>
                </c:pt>
                <c:pt idx="13">
                  <c:v>1.4999999999999999E-2</c:v>
                </c:pt>
                <c:pt idx="14">
                  <c:v>2.1000000000000001E-2</c:v>
                </c:pt>
                <c:pt idx="15">
                  <c:v>1.7000000000000001E-2</c:v>
                </c:pt>
                <c:pt idx="16">
                  <c:v>1.2999999999999999E-2</c:v>
                </c:pt>
                <c:pt idx="17">
                  <c:v>2.3E-2</c:v>
                </c:pt>
                <c:pt idx="18">
                  <c:v>1.4E-2</c:v>
                </c:pt>
                <c:pt idx="19">
                  <c:v>1.6E-2</c:v>
                </c:pt>
                <c:pt idx="20">
                  <c:v>1.2E-2</c:v>
                </c:pt>
                <c:pt idx="21">
                  <c:v>1.6E-2</c:v>
                </c:pt>
                <c:pt idx="22">
                  <c:v>1.7999999999999999E-2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1.2E-2</c:v>
                </c:pt>
                <c:pt idx="26">
                  <c:v>1.0999999999999999E-2</c:v>
                </c:pt>
                <c:pt idx="27">
                  <c:v>0.02</c:v>
                </c:pt>
                <c:pt idx="28">
                  <c:v>0.01</c:v>
                </c:pt>
              </c:numCache>
            </c:numRef>
          </c:xVal>
          <c:yVal>
            <c:numRef>
              <c:f>'page-1_table-1'!$C$106:$C$134</c:f>
              <c:numCache>
                <c:formatCode>0.00</c:formatCode>
                <c:ptCount val="29"/>
                <c:pt idx="0">
                  <c:v>0.9</c:v>
                </c:pt>
                <c:pt idx="1">
                  <c:v>0.65600000000000003</c:v>
                </c:pt>
                <c:pt idx="2">
                  <c:v>5.17</c:v>
                </c:pt>
                <c:pt idx="3">
                  <c:v>3.2829999999999999</c:v>
                </c:pt>
                <c:pt idx="4">
                  <c:v>2.8460000000000001</c:v>
                </c:pt>
                <c:pt idx="5">
                  <c:v>3.48</c:v>
                </c:pt>
                <c:pt idx="6">
                  <c:v>3.77</c:v>
                </c:pt>
                <c:pt idx="7">
                  <c:v>2.13</c:v>
                </c:pt>
                <c:pt idx="8">
                  <c:v>0.185</c:v>
                </c:pt>
                <c:pt idx="9">
                  <c:v>0.58299999999999996</c:v>
                </c:pt>
                <c:pt idx="10">
                  <c:v>1.917</c:v>
                </c:pt>
                <c:pt idx="11">
                  <c:v>0.122</c:v>
                </c:pt>
                <c:pt idx="12">
                  <c:v>7.22</c:v>
                </c:pt>
                <c:pt idx="13">
                  <c:v>3.8</c:v>
                </c:pt>
                <c:pt idx="14">
                  <c:v>2.33</c:v>
                </c:pt>
                <c:pt idx="15">
                  <c:v>15</c:v>
                </c:pt>
                <c:pt idx="16">
                  <c:v>11.3</c:v>
                </c:pt>
                <c:pt idx="17">
                  <c:v>6.43</c:v>
                </c:pt>
                <c:pt idx="18">
                  <c:v>5.33</c:v>
                </c:pt>
                <c:pt idx="19">
                  <c:v>4.2</c:v>
                </c:pt>
                <c:pt idx="20">
                  <c:v>1.74</c:v>
                </c:pt>
                <c:pt idx="21">
                  <c:v>8.3000000000000007</c:v>
                </c:pt>
                <c:pt idx="22">
                  <c:v>0.89</c:v>
                </c:pt>
                <c:pt idx="23">
                  <c:v>4.55</c:v>
                </c:pt>
                <c:pt idx="24">
                  <c:v>0.05</c:v>
                </c:pt>
                <c:pt idx="25">
                  <c:v>6.67</c:v>
                </c:pt>
                <c:pt idx="26">
                  <c:v>3.22</c:v>
                </c:pt>
                <c:pt idx="27">
                  <c:v>12.3</c:v>
                </c:pt>
                <c:pt idx="2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E57-922D-A873B119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08575"/>
        <c:axId val="23120774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'page-1_table-1'!$B$106:$B$134</c:f>
              <c:numCache>
                <c:formatCode>General</c:formatCode>
                <c:ptCount val="29"/>
                <c:pt idx="0">
                  <c:v>0.01</c:v>
                </c:pt>
                <c:pt idx="1">
                  <c:v>1.0999999999999999E-2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5.2999999999999999E-2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1.2E-2</c:v>
                </c:pt>
                <c:pt idx="11">
                  <c:v>1.9E-2</c:v>
                </c:pt>
                <c:pt idx="12">
                  <c:v>3.3000000000000002E-2</c:v>
                </c:pt>
                <c:pt idx="13">
                  <c:v>1.4999999999999999E-2</c:v>
                </c:pt>
                <c:pt idx="14">
                  <c:v>2.1000000000000001E-2</c:v>
                </c:pt>
                <c:pt idx="15">
                  <c:v>1.7000000000000001E-2</c:v>
                </c:pt>
                <c:pt idx="16">
                  <c:v>1.2999999999999999E-2</c:v>
                </c:pt>
                <c:pt idx="17">
                  <c:v>2.3E-2</c:v>
                </c:pt>
                <c:pt idx="18">
                  <c:v>1.4E-2</c:v>
                </c:pt>
                <c:pt idx="19">
                  <c:v>1.6E-2</c:v>
                </c:pt>
                <c:pt idx="20">
                  <c:v>1.2E-2</c:v>
                </c:pt>
                <c:pt idx="21">
                  <c:v>1.6E-2</c:v>
                </c:pt>
                <c:pt idx="22">
                  <c:v>1.7999999999999999E-2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1.2E-2</c:v>
                </c:pt>
                <c:pt idx="26">
                  <c:v>1.0999999999999999E-2</c:v>
                </c:pt>
                <c:pt idx="27">
                  <c:v>0.02</c:v>
                </c:pt>
                <c:pt idx="28">
                  <c:v>0.01</c:v>
                </c:pt>
              </c:numCache>
            </c:numRef>
          </c:xVal>
          <c:yVal>
            <c:numRef>
              <c:f>'page-1_table-1'!$G$106:$G$134</c:f>
              <c:numCache>
                <c:formatCode>0.000000</c:formatCode>
                <c:ptCount val="29"/>
                <c:pt idx="0">
                  <c:v>3.8539439197461443</c:v>
                </c:pt>
                <c:pt idx="1">
                  <c:v>3.8846809584488899</c:v>
                </c:pt>
                <c:pt idx="2">
                  <c:v>4.837529158234009</c:v>
                </c:pt>
                <c:pt idx="3">
                  <c:v>4.5301587712065512</c:v>
                </c:pt>
                <c:pt idx="4">
                  <c:v>3.9461550358543818</c:v>
                </c:pt>
                <c:pt idx="5">
                  <c:v>3.9768920745571275</c:v>
                </c:pt>
                <c:pt idx="6">
                  <c:v>4.0076291132598731</c:v>
                </c:pt>
                <c:pt idx="7">
                  <c:v>5.1756365839642129</c:v>
                </c:pt>
                <c:pt idx="8">
                  <c:v>4.0076291132598731</c:v>
                </c:pt>
                <c:pt idx="9">
                  <c:v>4.0998402293681107</c:v>
                </c:pt>
                <c:pt idx="10">
                  <c:v>3.9154179971516356</c:v>
                </c:pt>
                <c:pt idx="11">
                  <c:v>4.1305772680708559</c:v>
                </c:pt>
                <c:pt idx="12">
                  <c:v>4.5608958099092973</c:v>
                </c:pt>
                <c:pt idx="13">
                  <c:v>4.0076291132598731</c:v>
                </c:pt>
                <c:pt idx="14">
                  <c:v>4.1920513454763473</c:v>
                </c:pt>
                <c:pt idx="15">
                  <c:v>4.0691031906653645</c:v>
                </c:pt>
                <c:pt idx="16">
                  <c:v>3.9461550358543818</c:v>
                </c:pt>
                <c:pt idx="17">
                  <c:v>4.2535254228818395</c:v>
                </c:pt>
                <c:pt idx="18">
                  <c:v>3.9768920745571275</c:v>
                </c:pt>
                <c:pt idx="19">
                  <c:v>4.0383661519626193</c:v>
                </c:pt>
                <c:pt idx="20">
                  <c:v>3.9154179971516356</c:v>
                </c:pt>
                <c:pt idx="21">
                  <c:v>4.0383661519626193</c:v>
                </c:pt>
                <c:pt idx="22">
                  <c:v>4.0998402293681107</c:v>
                </c:pt>
                <c:pt idx="23">
                  <c:v>3.9461550358543818</c:v>
                </c:pt>
                <c:pt idx="24">
                  <c:v>3.9461550358543818</c:v>
                </c:pt>
                <c:pt idx="25">
                  <c:v>3.9154179971516356</c:v>
                </c:pt>
                <c:pt idx="26">
                  <c:v>3.8846809584488899</c:v>
                </c:pt>
                <c:pt idx="27">
                  <c:v>4.161314306773602</c:v>
                </c:pt>
                <c:pt idx="28">
                  <c:v>3.8539439197461443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3D-4E57-922D-A873B119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08575"/>
        <c:axId val="231207743"/>
      </c:scatterChart>
      <c:valAx>
        <c:axId val="2312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207743"/>
        <c:crosses val="autoZero"/>
        <c:crossBetween val="midCat"/>
      </c:valAx>
      <c:valAx>
        <c:axId val="2312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2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'page-1_table-1'!$B$179:$B$207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'page-1_table-1'!$C$179:$C$207</c:f>
              <c:numCache>
                <c:formatCode>0.00</c:formatCode>
                <c:ptCount val="29"/>
                <c:pt idx="0">
                  <c:v>0.9</c:v>
                </c:pt>
                <c:pt idx="1">
                  <c:v>0.8</c:v>
                </c:pt>
                <c:pt idx="2">
                  <c:v>0.65600000000000003</c:v>
                </c:pt>
                <c:pt idx="3">
                  <c:v>3.22</c:v>
                </c:pt>
                <c:pt idx="4">
                  <c:v>1.917</c:v>
                </c:pt>
                <c:pt idx="5">
                  <c:v>1.74</c:v>
                </c:pt>
                <c:pt idx="6">
                  <c:v>6.67</c:v>
                </c:pt>
                <c:pt idx="7">
                  <c:v>2.8460000000000001</c:v>
                </c:pt>
                <c:pt idx="8">
                  <c:v>11.3</c:v>
                </c:pt>
                <c:pt idx="9">
                  <c:v>4.55</c:v>
                </c:pt>
                <c:pt idx="10">
                  <c:v>0.05</c:v>
                </c:pt>
                <c:pt idx="11">
                  <c:v>3.48</c:v>
                </c:pt>
                <c:pt idx="12">
                  <c:v>5.33</c:v>
                </c:pt>
                <c:pt idx="13">
                  <c:v>3.77</c:v>
                </c:pt>
                <c:pt idx="14">
                  <c:v>0.185</c:v>
                </c:pt>
                <c:pt idx="15">
                  <c:v>3.8</c:v>
                </c:pt>
                <c:pt idx="16">
                  <c:v>4.2</c:v>
                </c:pt>
                <c:pt idx="17">
                  <c:v>8.3000000000000007</c:v>
                </c:pt>
                <c:pt idx="18">
                  <c:v>15</c:v>
                </c:pt>
                <c:pt idx="19">
                  <c:v>0.58299999999999996</c:v>
                </c:pt>
                <c:pt idx="20">
                  <c:v>0.89</c:v>
                </c:pt>
                <c:pt idx="21">
                  <c:v>0.122</c:v>
                </c:pt>
                <c:pt idx="22">
                  <c:v>12.3</c:v>
                </c:pt>
                <c:pt idx="23">
                  <c:v>2.33</c:v>
                </c:pt>
                <c:pt idx="24">
                  <c:v>6.43</c:v>
                </c:pt>
                <c:pt idx="25">
                  <c:v>3.2829999999999999</c:v>
                </c:pt>
                <c:pt idx="26">
                  <c:v>7.22</c:v>
                </c:pt>
                <c:pt idx="27">
                  <c:v>5.17</c:v>
                </c:pt>
                <c:pt idx="28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8-4E2C-AF7B-C6576B37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44495"/>
        <c:axId val="209173575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'page-1_table-1'!$B$179:$B$207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'page-1_table-1'!$G$179:$G$207</c:f>
              <c:numCache>
                <c:formatCode>0.00000000</c:formatCode>
                <c:ptCount val="29"/>
                <c:pt idx="0">
                  <c:v>2.7693645059354957</c:v>
                </c:pt>
                <c:pt idx="1">
                  <c:v>2.7693645059354957</c:v>
                </c:pt>
                <c:pt idx="2">
                  <c:v>3.1141126325669251</c:v>
                </c:pt>
                <c:pt idx="3">
                  <c:v>3.1141126325669251</c:v>
                </c:pt>
                <c:pt idx="4">
                  <c:v>3.4014027380931169</c:v>
                </c:pt>
                <c:pt idx="5">
                  <c:v>3.4014027380931169</c:v>
                </c:pt>
                <c:pt idx="6">
                  <c:v>3.4014027380931169</c:v>
                </c:pt>
                <c:pt idx="7">
                  <c:v>3.644494365846048</c:v>
                </c:pt>
                <c:pt idx="8">
                  <c:v>3.644494365846048</c:v>
                </c:pt>
                <c:pt idx="9">
                  <c:v>3.644494365846048</c:v>
                </c:pt>
                <c:pt idx="10">
                  <c:v>3.644494365846048</c:v>
                </c:pt>
                <c:pt idx="11">
                  <c:v>3.8528586182057034</c:v>
                </c:pt>
                <c:pt idx="12">
                  <c:v>3.8528586182057034</c:v>
                </c:pt>
                <c:pt idx="13">
                  <c:v>4.0334409702507372</c:v>
                </c:pt>
                <c:pt idx="14">
                  <c:v>4.0334409702507372</c:v>
                </c:pt>
                <c:pt idx="15">
                  <c:v>4.0334409702507372</c:v>
                </c:pt>
                <c:pt idx="16">
                  <c:v>4.1914505282901438</c:v>
                </c:pt>
                <c:pt idx="17">
                  <c:v>4.1914505282901438</c:v>
                </c:pt>
                <c:pt idx="18">
                  <c:v>4.3308707265602067</c:v>
                </c:pt>
                <c:pt idx="19">
                  <c:v>4.454799791689152</c:v>
                </c:pt>
                <c:pt idx="20">
                  <c:v>4.454799791689152</c:v>
                </c:pt>
                <c:pt idx="21">
                  <c:v>4.5656836920676822</c:v>
                </c:pt>
                <c:pt idx="22">
                  <c:v>4.6654792024083589</c:v>
                </c:pt>
                <c:pt idx="23">
                  <c:v>4.755770378430876</c:v>
                </c:pt>
                <c:pt idx="24">
                  <c:v>4.9127985106439498</c:v>
                </c:pt>
                <c:pt idx="25">
                  <c:v>5.3765222135856829</c:v>
                </c:pt>
                <c:pt idx="26">
                  <c:v>5.4124334767764566</c:v>
                </c:pt>
                <c:pt idx="27">
                  <c:v>5.6586821386560491</c:v>
                </c:pt>
                <c:pt idx="28">
                  <c:v>5.8460789190801421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B8-4E2C-AF7B-C6576B37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44495"/>
        <c:axId val="2091735759"/>
      </c:scatterChart>
      <c:valAx>
        <c:axId val="20917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35759"/>
        <c:crosses val="autoZero"/>
        <c:crossBetween val="midCat"/>
      </c:valAx>
      <c:valAx>
        <c:axId val="20917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4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Экспоненциальная</a:t>
            </a:r>
            <a:r>
              <a:rPr lang="ru-RU" baseline="0"/>
              <a:t> регрессия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'page-1_table-1'!$B$233:$B$261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'page-1_table-1'!$C$233:$C$261</c:f>
              <c:numCache>
                <c:formatCode>0.00</c:formatCode>
                <c:ptCount val="29"/>
                <c:pt idx="0">
                  <c:v>0.9</c:v>
                </c:pt>
                <c:pt idx="1">
                  <c:v>0.8</c:v>
                </c:pt>
                <c:pt idx="2">
                  <c:v>0.65600000000000003</c:v>
                </c:pt>
                <c:pt idx="3">
                  <c:v>3.22</c:v>
                </c:pt>
                <c:pt idx="4">
                  <c:v>1.917</c:v>
                </c:pt>
                <c:pt idx="5">
                  <c:v>1.74</c:v>
                </c:pt>
                <c:pt idx="6">
                  <c:v>6.67</c:v>
                </c:pt>
                <c:pt idx="7">
                  <c:v>2.8460000000000001</c:v>
                </c:pt>
                <c:pt idx="8">
                  <c:v>11.3</c:v>
                </c:pt>
                <c:pt idx="9">
                  <c:v>4.55</c:v>
                </c:pt>
                <c:pt idx="10">
                  <c:v>0.05</c:v>
                </c:pt>
                <c:pt idx="11">
                  <c:v>3.48</c:v>
                </c:pt>
                <c:pt idx="12">
                  <c:v>5.33</c:v>
                </c:pt>
                <c:pt idx="13">
                  <c:v>3.77</c:v>
                </c:pt>
                <c:pt idx="14">
                  <c:v>0.185</c:v>
                </c:pt>
                <c:pt idx="15">
                  <c:v>3.8</c:v>
                </c:pt>
                <c:pt idx="16">
                  <c:v>4.2</c:v>
                </c:pt>
                <c:pt idx="17">
                  <c:v>8.3000000000000007</c:v>
                </c:pt>
                <c:pt idx="18">
                  <c:v>15</c:v>
                </c:pt>
                <c:pt idx="19">
                  <c:v>0.58299999999999996</c:v>
                </c:pt>
                <c:pt idx="20">
                  <c:v>0.89</c:v>
                </c:pt>
                <c:pt idx="21">
                  <c:v>0.122</c:v>
                </c:pt>
                <c:pt idx="22">
                  <c:v>12.3</c:v>
                </c:pt>
                <c:pt idx="23">
                  <c:v>2.33</c:v>
                </c:pt>
                <c:pt idx="24">
                  <c:v>6.43</c:v>
                </c:pt>
                <c:pt idx="25">
                  <c:v>3.2829999999999999</c:v>
                </c:pt>
                <c:pt idx="26">
                  <c:v>7.22</c:v>
                </c:pt>
                <c:pt idx="27">
                  <c:v>5.17</c:v>
                </c:pt>
                <c:pt idx="28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F-49B5-8F57-5698B9A9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2687"/>
        <c:axId val="9988894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'page-1_table-1'!$B$233:$B$261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'page-1_table-1'!$G$233:$G$261</c:f>
              <c:numCache>
                <c:formatCode>General</c:formatCode>
                <c:ptCount val="29"/>
                <c:pt idx="0">
                  <c:v>1.8665461785712987</c:v>
                </c:pt>
                <c:pt idx="1">
                  <c:v>1.8665461785712987</c:v>
                </c:pt>
                <c:pt idx="2">
                  <c:v>1.9103366393240855</c:v>
                </c:pt>
                <c:pt idx="3">
                  <c:v>1.9103366393240855</c:v>
                </c:pt>
                <c:pt idx="4">
                  <c:v>1.955154454489507</c:v>
                </c:pt>
                <c:pt idx="5">
                  <c:v>1.955154454489507</c:v>
                </c:pt>
                <c:pt idx="6">
                  <c:v>1.955154454489507</c:v>
                </c:pt>
                <c:pt idx="7">
                  <c:v>2.0010237265106752</c:v>
                </c:pt>
                <c:pt idx="8">
                  <c:v>2.0010237265106752</c:v>
                </c:pt>
                <c:pt idx="9">
                  <c:v>2.0010237265106752</c:v>
                </c:pt>
                <c:pt idx="10">
                  <c:v>2.0010237265106752</c:v>
                </c:pt>
                <c:pt idx="11">
                  <c:v>2.0479691232906423</c:v>
                </c:pt>
                <c:pt idx="12">
                  <c:v>2.0479691232906423</c:v>
                </c:pt>
                <c:pt idx="13">
                  <c:v>2.0960158914584794</c:v>
                </c:pt>
                <c:pt idx="14">
                  <c:v>2.0960158914584794</c:v>
                </c:pt>
                <c:pt idx="15">
                  <c:v>2.0960158914584794</c:v>
                </c:pt>
                <c:pt idx="16">
                  <c:v>2.1451898699465901</c:v>
                </c:pt>
                <c:pt idx="17">
                  <c:v>2.1451898699465901</c:v>
                </c:pt>
                <c:pt idx="18">
                  <c:v>2.1955175038865522</c:v>
                </c:pt>
                <c:pt idx="19">
                  <c:v>2.2470258588309719</c:v>
                </c:pt>
                <c:pt idx="20">
                  <c:v>2.2470258588309719</c:v>
                </c:pt>
                <c:pt idx="21">
                  <c:v>2.299742635308986</c:v>
                </c:pt>
                <c:pt idx="22">
                  <c:v>2.3536961837232515</c:v>
                </c:pt>
                <c:pt idx="23">
                  <c:v>2.4089155195964254</c:v>
                </c:pt>
                <c:pt idx="24">
                  <c:v>2.5232710354012542</c:v>
                </c:pt>
                <c:pt idx="25">
                  <c:v>3.1088831592659436</c:v>
                </c:pt>
                <c:pt idx="26">
                  <c:v>3.1818197024566626</c:v>
                </c:pt>
                <c:pt idx="27">
                  <c:v>3.9202707715523193</c:v>
                </c:pt>
                <c:pt idx="28">
                  <c:v>5.0593985892387634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F-49B5-8F57-5698B9A9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2687"/>
        <c:axId val="99888943"/>
      </c:scatterChart>
      <c:valAx>
        <c:axId val="998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88943"/>
        <c:crosses val="autoZero"/>
        <c:crossBetween val="midCat"/>
      </c:valAx>
      <c:valAx>
        <c:axId val="998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Параболическая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'page-1_table-1'!$B$285:$B$313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'page-1_table-1'!$C$285:$C$313</c:f>
              <c:numCache>
                <c:formatCode>0.00</c:formatCode>
                <c:ptCount val="29"/>
                <c:pt idx="0">
                  <c:v>0.9</c:v>
                </c:pt>
                <c:pt idx="1">
                  <c:v>0.8</c:v>
                </c:pt>
                <c:pt idx="2">
                  <c:v>0.65600000000000003</c:v>
                </c:pt>
                <c:pt idx="3">
                  <c:v>3.22</c:v>
                </c:pt>
                <c:pt idx="4">
                  <c:v>1.917</c:v>
                </c:pt>
                <c:pt idx="5">
                  <c:v>1.74</c:v>
                </c:pt>
                <c:pt idx="6">
                  <c:v>6.67</c:v>
                </c:pt>
                <c:pt idx="7">
                  <c:v>2.8460000000000001</c:v>
                </c:pt>
                <c:pt idx="8">
                  <c:v>11.3</c:v>
                </c:pt>
                <c:pt idx="9">
                  <c:v>4.55</c:v>
                </c:pt>
                <c:pt idx="10">
                  <c:v>0.05</c:v>
                </c:pt>
                <c:pt idx="11">
                  <c:v>3.48</c:v>
                </c:pt>
                <c:pt idx="12">
                  <c:v>5.33</c:v>
                </c:pt>
                <c:pt idx="13">
                  <c:v>3.77</c:v>
                </c:pt>
                <c:pt idx="14">
                  <c:v>0.185</c:v>
                </c:pt>
                <c:pt idx="15">
                  <c:v>3.8</c:v>
                </c:pt>
                <c:pt idx="16">
                  <c:v>4.2</c:v>
                </c:pt>
                <c:pt idx="17">
                  <c:v>8.3000000000000007</c:v>
                </c:pt>
                <c:pt idx="18">
                  <c:v>15</c:v>
                </c:pt>
                <c:pt idx="19">
                  <c:v>0.58299999999999996</c:v>
                </c:pt>
                <c:pt idx="20">
                  <c:v>0.89</c:v>
                </c:pt>
                <c:pt idx="21">
                  <c:v>0.122</c:v>
                </c:pt>
                <c:pt idx="22">
                  <c:v>12.3</c:v>
                </c:pt>
                <c:pt idx="23">
                  <c:v>2.33</c:v>
                </c:pt>
                <c:pt idx="24">
                  <c:v>6.43</c:v>
                </c:pt>
                <c:pt idx="25">
                  <c:v>3.2829999999999999</c:v>
                </c:pt>
                <c:pt idx="26">
                  <c:v>7.22</c:v>
                </c:pt>
                <c:pt idx="27">
                  <c:v>5.17</c:v>
                </c:pt>
                <c:pt idx="28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928-9472-6C5834F1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7279"/>
        <c:axId val="102917894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'page-1_table-1'!$B$285:$B$313</c:f>
              <c:numCache>
                <c:formatCode>General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4.2000000000000003E-2</c:v>
                </c:pt>
                <c:pt idx="28">
                  <c:v>5.2999999999999999E-2</c:v>
                </c:pt>
              </c:numCache>
            </c:numRef>
          </c:xVal>
          <c:yVal>
            <c:numRef>
              <c:f>'page-1_table-1'!$I$285:$I$313</c:f>
              <c:numCache>
                <c:formatCode>General</c:formatCode>
                <c:ptCount val="29"/>
                <c:pt idx="0">
                  <c:v>2.5636047359024698</c:v>
                </c:pt>
                <c:pt idx="1">
                  <c:v>2.5636047359024698</c:v>
                </c:pt>
                <c:pt idx="2">
                  <c:v>2.9149064629107739</c:v>
                </c:pt>
                <c:pt idx="3">
                  <c:v>2.9149064629107739</c:v>
                </c:pt>
                <c:pt idx="4">
                  <c:v>3.2485893250140938</c:v>
                </c:pt>
                <c:pt idx="5">
                  <c:v>3.2485893250140938</c:v>
                </c:pt>
                <c:pt idx="6">
                  <c:v>3.2485893250140938</c:v>
                </c:pt>
                <c:pt idx="7">
                  <c:v>3.5646533222124273</c:v>
                </c:pt>
                <c:pt idx="8">
                  <c:v>3.5646533222124273</c:v>
                </c:pt>
                <c:pt idx="9">
                  <c:v>3.5646533222124273</c:v>
                </c:pt>
                <c:pt idx="10">
                  <c:v>3.5646533222124273</c:v>
                </c:pt>
                <c:pt idx="11">
                  <c:v>3.8630984545057769</c:v>
                </c:pt>
                <c:pt idx="12">
                  <c:v>3.8630984545057769</c:v>
                </c:pt>
                <c:pt idx="13">
                  <c:v>4.1439247218941402</c:v>
                </c:pt>
                <c:pt idx="14">
                  <c:v>4.1439247218941402</c:v>
                </c:pt>
                <c:pt idx="15">
                  <c:v>4.1439247218941402</c:v>
                </c:pt>
                <c:pt idx="16">
                  <c:v>4.4071321243775188</c:v>
                </c:pt>
                <c:pt idx="17">
                  <c:v>4.4071321243775188</c:v>
                </c:pt>
                <c:pt idx="18">
                  <c:v>4.6527206619559127</c:v>
                </c:pt>
                <c:pt idx="19">
                  <c:v>4.8806903346293193</c:v>
                </c:pt>
                <c:pt idx="20">
                  <c:v>4.8806903346293193</c:v>
                </c:pt>
                <c:pt idx="21">
                  <c:v>5.0910411423977422</c:v>
                </c:pt>
                <c:pt idx="22">
                  <c:v>5.2837730852611813</c:v>
                </c:pt>
                <c:pt idx="23">
                  <c:v>5.458886163219633</c:v>
                </c:pt>
                <c:pt idx="24">
                  <c:v>5.75625572442158</c:v>
                </c:pt>
                <c:pt idx="25">
                  <c:v>6.2222849370335762</c:v>
                </c:pt>
                <c:pt idx="26">
                  <c:v>6.1859716361322068</c:v>
                </c:pt>
                <c:pt idx="27">
                  <c:v>5.0663030072955291</c:v>
                </c:pt>
                <c:pt idx="28">
                  <c:v>1.7597439880578776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2-4928-9472-6C5834F1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7279"/>
        <c:axId val="1029178943"/>
      </c:scatterChart>
      <c:valAx>
        <c:axId val="10291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178943"/>
        <c:crosses val="autoZero"/>
        <c:crossBetween val="midCat"/>
      </c:valAx>
      <c:valAx>
        <c:axId val="10291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1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регрессия (6 степень)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2594925634295722E-2"/>
          <c:y val="0.17171296296296298"/>
          <c:w val="0.849175853018372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7320253718285214"/>
                  <c:y val="-0.60468613298337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'page-1_table-1'!$B$106:$B$134</c:f>
              <c:numCache>
                <c:formatCode>General</c:formatCode>
                <c:ptCount val="29"/>
                <c:pt idx="0">
                  <c:v>0.01</c:v>
                </c:pt>
                <c:pt idx="1">
                  <c:v>1.0999999999999999E-2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5.2999999999999999E-2</c:v>
                </c:pt>
                <c:pt idx="8">
                  <c:v>1.4999999999999999E-2</c:v>
                </c:pt>
                <c:pt idx="9">
                  <c:v>1.7999999999999999E-2</c:v>
                </c:pt>
                <c:pt idx="10">
                  <c:v>1.2E-2</c:v>
                </c:pt>
                <c:pt idx="11">
                  <c:v>1.9E-2</c:v>
                </c:pt>
                <c:pt idx="12">
                  <c:v>3.3000000000000002E-2</c:v>
                </c:pt>
                <c:pt idx="13">
                  <c:v>1.4999999999999999E-2</c:v>
                </c:pt>
                <c:pt idx="14">
                  <c:v>2.1000000000000001E-2</c:v>
                </c:pt>
                <c:pt idx="15">
                  <c:v>1.7000000000000001E-2</c:v>
                </c:pt>
                <c:pt idx="16">
                  <c:v>1.2999999999999999E-2</c:v>
                </c:pt>
                <c:pt idx="17">
                  <c:v>2.3E-2</c:v>
                </c:pt>
                <c:pt idx="18">
                  <c:v>1.4E-2</c:v>
                </c:pt>
                <c:pt idx="19">
                  <c:v>1.6E-2</c:v>
                </c:pt>
                <c:pt idx="20">
                  <c:v>1.2E-2</c:v>
                </c:pt>
                <c:pt idx="21">
                  <c:v>1.6E-2</c:v>
                </c:pt>
                <c:pt idx="22">
                  <c:v>1.7999999999999999E-2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1.2E-2</c:v>
                </c:pt>
                <c:pt idx="26">
                  <c:v>1.0999999999999999E-2</c:v>
                </c:pt>
                <c:pt idx="27">
                  <c:v>0.02</c:v>
                </c:pt>
                <c:pt idx="28">
                  <c:v>0.01</c:v>
                </c:pt>
              </c:numCache>
            </c:numRef>
          </c:xVal>
          <c:yVal>
            <c:numRef>
              <c:f>'page-1_table-1'!$C$106:$C$134</c:f>
              <c:numCache>
                <c:formatCode>0.00</c:formatCode>
                <c:ptCount val="29"/>
                <c:pt idx="0">
                  <c:v>0.9</c:v>
                </c:pt>
                <c:pt idx="1">
                  <c:v>0.65600000000000003</c:v>
                </c:pt>
                <c:pt idx="2">
                  <c:v>5.17</c:v>
                </c:pt>
                <c:pt idx="3">
                  <c:v>3.2829999999999999</c:v>
                </c:pt>
                <c:pt idx="4">
                  <c:v>2.8460000000000001</c:v>
                </c:pt>
                <c:pt idx="5">
                  <c:v>3.48</c:v>
                </c:pt>
                <c:pt idx="6">
                  <c:v>3.77</c:v>
                </c:pt>
                <c:pt idx="7">
                  <c:v>2.13</c:v>
                </c:pt>
                <c:pt idx="8">
                  <c:v>0.185</c:v>
                </c:pt>
                <c:pt idx="9">
                  <c:v>0.58299999999999996</c:v>
                </c:pt>
                <c:pt idx="10">
                  <c:v>1.917</c:v>
                </c:pt>
                <c:pt idx="11">
                  <c:v>0.122</c:v>
                </c:pt>
                <c:pt idx="12">
                  <c:v>7.22</c:v>
                </c:pt>
                <c:pt idx="13">
                  <c:v>3.8</c:v>
                </c:pt>
                <c:pt idx="14">
                  <c:v>2.33</c:v>
                </c:pt>
                <c:pt idx="15">
                  <c:v>15</c:v>
                </c:pt>
                <c:pt idx="16">
                  <c:v>11.3</c:v>
                </c:pt>
                <c:pt idx="17">
                  <c:v>6.43</c:v>
                </c:pt>
                <c:pt idx="18">
                  <c:v>5.33</c:v>
                </c:pt>
                <c:pt idx="19">
                  <c:v>4.2</c:v>
                </c:pt>
                <c:pt idx="20">
                  <c:v>1.74</c:v>
                </c:pt>
                <c:pt idx="21">
                  <c:v>8.3000000000000007</c:v>
                </c:pt>
                <c:pt idx="22">
                  <c:v>0.89</c:v>
                </c:pt>
                <c:pt idx="23">
                  <c:v>4.55</c:v>
                </c:pt>
                <c:pt idx="24">
                  <c:v>0.05</c:v>
                </c:pt>
                <c:pt idx="25">
                  <c:v>6.67</c:v>
                </c:pt>
                <c:pt idx="26">
                  <c:v>3.22</c:v>
                </c:pt>
                <c:pt idx="27">
                  <c:v>12.3</c:v>
                </c:pt>
                <c:pt idx="2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0-41B8-89F4-0C80B695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58751"/>
        <c:axId val="1039059167"/>
      </c:scatterChart>
      <c:valAx>
        <c:axId val="103905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059167"/>
        <c:crosses val="autoZero"/>
        <c:crossBetween val="midCat"/>
      </c:valAx>
      <c:valAx>
        <c:axId val="10390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05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142</xdr:row>
      <xdr:rowOff>173263</xdr:rowOff>
    </xdr:from>
    <xdr:ext cx="18959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C3411F-BBCC-4D57-A6A8-884EE9550C1D}"/>
                </a:ext>
              </a:extLst>
            </xdr:cNvPr>
            <xdr:cNvSpPr txBox="1"/>
          </xdr:nvSpPr>
          <xdr:spPr>
            <a:xfrm>
              <a:off x="0" y="28512406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C3411F-BBCC-4D57-A6A8-884EE9550C1D}"/>
                </a:ext>
              </a:extLst>
            </xdr:cNvPr>
            <xdr:cNvSpPr txBox="1"/>
          </xdr:nvSpPr>
          <xdr:spPr>
            <a:xfrm>
              <a:off x="0" y="28512406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𝑥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46265</xdr:colOff>
      <xdr:row>144</xdr:row>
      <xdr:rowOff>906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06E0FD-7F9C-484A-8AD2-DEC14B1D6DFA}"/>
                </a:ext>
              </a:extLst>
            </xdr:cNvPr>
            <xdr:cNvSpPr txBox="1"/>
          </xdr:nvSpPr>
          <xdr:spPr>
            <a:xfrm>
              <a:off x="46265" y="28739192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06E0FD-7F9C-484A-8AD2-DEC14B1D6DFA}"/>
                </a:ext>
              </a:extLst>
            </xdr:cNvPr>
            <xdr:cNvSpPr txBox="1"/>
          </xdr:nvSpPr>
          <xdr:spPr>
            <a:xfrm>
              <a:off x="46265" y="28739192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𝑦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4</xdr:col>
      <xdr:colOff>328440</xdr:colOff>
      <xdr:row>158</xdr:row>
      <xdr:rowOff>139860</xdr:rowOff>
    </xdr:from>
    <xdr:to>
      <xdr:col>10</xdr:col>
      <xdr:colOff>56297</xdr:colOff>
      <xdr:row>172</xdr:row>
      <xdr:rowOff>89059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AB1E5B-58FD-4C00-88F2-E6D2F899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82176</xdr:colOff>
      <xdr:row>212</xdr:row>
      <xdr:rowOff>143381</xdr:rowOff>
    </xdr:from>
    <xdr:ext cx="18959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3F4553-6BAB-45C4-9DAF-85B30965EBAF}"/>
                </a:ext>
              </a:extLst>
            </xdr:cNvPr>
            <xdr:cNvSpPr txBox="1"/>
          </xdr:nvSpPr>
          <xdr:spPr>
            <a:xfrm>
              <a:off x="82176" y="41321263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RU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3F4553-6BAB-45C4-9DAF-85B30965EBAF}"/>
                </a:ext>
              </a:extLst>
            </xdr:cNvPr>
            <xdr:cNvSpPr txBox="1"/>
          </xdr:nvSpPr>
          <xdr:spPr>
            <a:xfrm>
              <a:off x="82176" y="41321263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r>
                <a:rPr lang="ru-RU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</a:t>
              </a:r>
              <a:endParaRPr lang="ru-RU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97117</xdr:colOff>
      <xdr:row>214</xdr:row>
      <xdr:rowOff>1440</xdr:rowOff>
    </xdr:from>
    <xdr:ext cx="18959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FBA91A0-4A58-4D62-89F9-392E0C889CB3}"/>
                </a:ext>
              </a:extLst>
            </xdr:cNvPr>
            <xdr:cNvSpPr txBox="1"/>
          </xdr:nvSpPr>
          <xdr:spPr>
            <a:xfrm>
              <a:off x="97117" y="41567793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6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acc>
                  </m:oMath>
                </m:oMathPara>
              </a14:m>
              <a:endParaRPr lang="ru-RU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FBA91A0-4A58-4D62-89F9-392E0C889CB3}"/>
                </a:ext>
              </a:extLst>
            </xdr:cNvPr>
            <xdr:cNvSpPr txBox="1"/>
          </xdr:nvSpPr>
          <xdr:spPr>
            <a:xfrm>
              <a:off x="97117" y="41567793"/>
              <a:ext cx="189594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𝑧</a:t>
              </a:r>
              <a:r>
                <a:rPr lang="ru-RU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</a:t>
              </a:r>
              <a:endParaRPr lang="ru-RU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694765</xdr:colOff>
      <xdr:row>212</xdr:row>
      <xdr:rowOff>2987</xdr:rowOff>
    </xdr:from>
    <xdr:to>
      <xdr:col>9</xdr:col>
      <xdr:colOff>463177</xdr:colOff>
      <xdr:row>226</xdr:row>
      <xdr:rowOff>26893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84DCB04-E0C8-4A8C-A010-DEE7FF32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264</xdr:row>
      <xdr:rowOff>189753</xdr:rowOff>
    </xdr:from>
    <xdr:to>
      <xdr:col>9</xdr:col>
      <xdr:colOff>366059</xdr:colOff>
      <xdr:row>279</xdr:row>
      <xdr:rowOff>19424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F108296-3D08-485A-82F8-4FFFC0AB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201634</xdr:colOff>
      <xdr:row>328</xdr:row>
      <xdr:rowOff>119618</xdr:rowOff>
    </xdr:from>
    <xdr:to>
      <xdr:col>10</xdr:col>
      <xdr:colOff>346777</xdr:colOff>
      <xdr:row>342</xdr:row>
      <xdr:rowOff>63045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1A335D-2813-47B1-AC72-135D72BF2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941294</xdr:colOff>
      <xdr:row>103</xdr:row>
      <xdr:rowOff>167341</xdr:rowOff>
    </xdr:from>
    <xdr:to>
      <xdr:col>13</xdr:col>
      <xdr:colOff>141941</xdr:colOff>
      <xdr:row>117</xdr:row>
      <xdr:rowOff>191247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330B494-9373-41E6-BA08-DFEB200F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26"/>
  <sheetViews>
    <sheetView tabSelected="1" topLeftCell="A101" zoomScale="85" zoomScaleNormal="85" workbookViewId="0">
      <selection activeCell="O112" sqref="O112"/>
    </sheetView>
  </sheetViews>
  <sheetFormatPr defaultRowHeight="15.5" x14ac:dyDescent="0.35"/>
  <cols>
    <col min="1" max="1" width="10.4140625" bestFit="1" customWidth="1"/>
    <col min="2" max="2" width="16.33203125" customWidth="1"/>
    <col min="3" max="3" width="14.08203125" customWidth="1"/>
    <col min="4" max="4" width="12.1640625" customWidth="1"/>
    <col min="5" max="5" width="9.58203125" customWidth="1"/>
    <col min="6" max="6" width="11.33203125" customWidth="1"/>
    <col min="7" max="7" width="18.58203125" customWidth="1"/>
    <col min="8" max="8" width="12.58203125" bestFit="1" customWidth="1"/>
    <col min="9" max="9" width="12.6640625" bestFit="1" customWidth="1"/>
    <col min="10" max="10" width="14.33203125" bestFit="1" customWidth="1"/>
    <col min="13" max="13" width="13.75" bestFit="1" customWidth="1"/>
  </cols>
  <sheetData>
    <row r="2" spans="2:5" x14ac:dyDescent="0.35">
      <c r="B2" s="2"/>
      <c r="C2" s="3"/>
      <c r="D2" s="4"/>
      <c r="E2" s="4"/>
    </row>
    <row r="3" spans="2:5" x14ac:dyDescent="0.35">
      <c r="B3" s="2"/>
      <c r="C3" s="3"/>
      <c r="D3" s="4"/>
      <c r="E3" s="4"/>
    </row>
    <row r="4" spans="2:5" x14ac:dyDescent="0.35">
      <c r="B4" s="2"/>
      <c r="C4" s="3"/>
      <c r="D4" s="4"/>
      <c r="E4" s="4"/>
    </row>
    <row r="5" spans="2:5" x14ac:dyDescent="0.35">
      <c r="B5" s="2"/>
      <c r="C5" s="3"/>
      <c r="D5" s="4"/>
      <c r="E5" s="4"/>
    </row>
    <row r="6" spans="2:5" x14ac:dyDescent="0.35">
      <c r="B6" s="2"/>
      <c r="C6" s="3"/>
      <c r="D6" s="4"/>
      <c r="E6" s="4"/>
    </row>
    <row r="7" spans="2:5" x14ac:dyDescent="0.35">
      <c r="B7" s="2"/>
      <c r="C7" s="3"/>
      <c r="D7" s="4"/>
      <c r="E7" s="4"/>
    </row>
    <row r="8" spans="2:5" x14ac:dyDescent="0.35">
      <c r="B8" s="2"/>
      <c r="C8" s="3"/>
      <c r="D8" s="4"/>
      <c r="E8" s="4"/>
    </row>
    <row r="9" spans="2:5" x14ac:dyDescent="0.35">
      <c r="B9" s="2"/>
      <c r="C9" s="3"/>
      <c r="D9" s="4"/>
      <c r="E9" s="4"/>
    </row>
    <row r="10" spans="2:5" x14ac:dyDescent="0.35">
      <c r="B10" s="2"/>
      <c r="C10" s="3"/>
      <c r="D10" s="4"/>
      <c r="E10" s="4"/>
    </row>
    <row r="11" spans="2:5" x14ac:dyDescent="0.35">
      <c r="B11" s="2"/>
      <c r="C11" s="3"/>
      <c r="D11" s="4"/>
      <c r="E11" s="4"/>
    </row>
    <row r="12" spans="2:5" x14ac:dyDescent="0.35">
      <c r="B12" s="2"/>
      <c r="C12" s="3"/>
      <c r="D12" s="4"/>
      <c r="E12" s="4"/>
    </row>
    <row r="13" spans="2:5" x14ac:dyDescent="0.35">
      <c r="B13" s="2"/>
      <c r="C13" s="3"/>
      <c r="D13" s="4"/>
      <c r="E13" s="4"/>
    </row>
    <row r="14" spans="2:5" x14ac:dyDescent="0.35">
      <c r="B14" s="2"/>
      <c r="C14" s="3"/>
      <c r="D14" s="4"/>
      <c r="E14" s="4"/>
    </row>
    <row r="15" spans="2:5" x14ac:dyDescent="0.35">
      <c r="B15" s="2"/>
      <c r="C15" s="3"/>
      <c r="D15" s="4"/>
      <c r="E15" s="4"/>
    </row>
    <row r="16" spans="2:5" x14ac:dyDescent="0.35">
      <c r="B16" s="2"/>
      <c r="C16" s="3"/>
      <c r="D16" s="4"/>
      <c r="E16" s="4"/>
    </row>
    <row r="17" spans="1:8" x14ac:dyDescent="0.35">
      <c r="B17" s="2"/>
      <c r="C17" s="3"/>
      <c r="D17" s="4"/>
      <c r="E17" s="4"/>
    </row>
    <row r="18" spans="1:8" x14ac:dyDescent="0.35">
      <c r="B18" s="2"/>
      <c r="C18" s="3"/>
      <c r="D18" s="4"/>
      <c r="E18" s="4"/>
    </row>
    <row r="19" spans="1:8" x14ac:dyDescent="0.35">
      <c r="B19" s="2"/>
      <c r="C19" s="3"/>
      <c r="D19" s="4"/>
      <c r="E19" s="4"/>
    </row>
    <row r="20" spans="1:8" x14ac:dyDescent="0.35">
      <c r="B20" s="2"/>
      <c r="C20" s="3"/>
      <c r="D20" s="4"/>
      <c r="E20" s="4"/>
    </row>
    <row r="21" spans="1:8" x14ac:dyDescent="0.35">
      <c r="B21" s="2"/>
      <c r="C21" s="3"/>
      <c r="D21" s="4"/>
      <c r="E21" s="4"/>
    </row>
    <row r="22" spans="1:8" x14ac:dyDescent="0.35">
      <c r="B22" s="2"/>
      <c r="C22" s="3"/>
      <c r="D22" s="4"/>
      <c r="E22" s="4"/>
    </row>
    <row r="23" spans="1:8" x14ac:dyDescent="0.35">
      <c r="B23" s="2"/>
      <c r="C23" s="3"/>
      <c r="D23" s="4"/>
      <c r="E23" s="4"/>
    </row>
    <row r="24" spans="1:8" x14ac:dyDescent="0.35">
      <c r="B24" s="2"/>
      <c r="C24" s="3"/>
      <c r="D24" s="4"/>
      <c r="E24" s="4"/>
    </row>
    <row r="25" spans="1:8" x14ac:dyDescent="0.35">
      <c r="B25" s="2"/>
      <c r="C25" s="3"/>
      <c r="D25" s="4"/>
      <c r="E25" s="4"/>
    </row>
    <row r="26" spans="1:8" x14ac:dyDescent="0.35">
      <c r="B26" s="2"/>
      <c r="C26" s="3"/>
      <c r="D26" s="4"/>
      <c r="E26" s="4"/>
    </row>
    <row r="27" spans="1:8" x14ac:dyDescent="0.35">
      <c r="B27" s="2"/>
      <c r="C27" s="3"/>
      <c r="D27" s="4"/>
      <c r="E27" s="4"/>
    </row>
    <row r="28" spans="1:8" x14ac:dyDescent="0.35">
      <c r="B28" s="2"/>
      <c r="C28" s="3"/>
      <c r="D28" s="4"/>
      <c r="E28" s="4"/>
    </row>
    <row r="29" spans="1:8" x14ac:dyDescent="0.35">
      <c r="A29" s="14"/>
      <c r="B29" s="11"/>
      <c r="C29" s="29"/>
      <c r="D29" s="30"/>
      <c r="E29" s="30"/>
      <c r="F29" s="14"/>
      <c r="G29" s="14"/>
      <c r="H29" s="14"/>
    </row>
    <row r="30" spans="1:8" x14ac:dyDescent="0.35">
      <c r="A30" s="14"/>
      <c r="B30" s="11"/>
      <c r="C30" s="29"/>
      <c r="D30" s="30"/>
      <c r="E30" s="30"/>
      <c r="F30" s="14"/>
      <c r="G30" s="14"/>
      <c r="H30" s="14"/>
    </row>
    <row r="31" spans="1:8" x14ac:dyDescent="0.35">
      <c r="A31" s="31"/>
      <c r="B31" s="11"/>
      <c r="C31" s="11"/>
      <c r="D31" s="11"/>
      <c r="E31" s="11"/>
      <c r="F31" s="14"/>
      <c r="G31" s="14"/>
      <c r="H31" s="14"/>
    </row>
    <row r="32" spans="1:8" x14ac:dyDescent="0.35">
      <c r="A32" s="14"/>
      <c r="B32" s="14"/>
      <c r="C32" s="14"/>
      <c r="D32" s="14"/>
      <c r="E32" s="14"/>
      <c r="F32" s="14"/>
      <c r="G32" s="14"/>
      <c r="H32" s="14"/>
    </row>
    <row r="33" spans="1:8" x14ac:dyDescent="0.35">
      <c r="A33" s="14"/>
      <c r="B33" s="14"/>
      <c r="C33" s="14"/>
      <c r="D33" s="14"/>
      <c r="E33" s="14"/>
      <c r="F33" s="14"/>
      <c r="G33" s="14"/>
      <c r="H33" s="14"/>
    </row>
    <row r="34" spans="1:8" x14ac:dyDescent="0.35">
      <c r="A34" s="5"/>
    </row>
    <row r="35" spans="1:8" x14ac:dyDescent="0.35">
      <c r="A35" s="5"/>
    </row>
    <row r="36" spans="1:8" x14ac:dyDescent="0.35">
      <c r="A36" s="5"/>
    </row>
    <row r="37" spans="1:8" x14ac:dyDescent="0.35">
      <c r="A37" s="5"/>
    </row>
    <row r="43" spans="1:8" x14ac:dyDescent="0.35">
      <c r="A43" s="5"/>
    </row>
    <row r="44" spans="1:8" x14ac:dyDescent="0.35">
      <c r="A44" s="5"/>
    </row>
    <row r="45" spans="1:8" x14ac:dyDescent="0.35">
      <c r="A45" s="5"/>
    </row>
    <row r="48" spans="1:8" x14ac:dyDescent="0.35">
      <c r="A48" s="5"/>
      <c r="B48" s="1"/>
    </row>
    <row r="49" spans="1:2" x14ac:dyDescent="0.35">
      <c r="A49" s="5"/>
    </row>
    <row r="50" spans="1:2" x14ac:dyDescent="0.35">
      <c r="A50" s="5"/>
    </row>
    <row r="51" spans="1:2" x14ac:dyDescent="0.35">
      <c r="A51" s="5"/>
    </row>
    <row r="52" spans="1:2" x14ac:dyDescent="0.35">
      <c r="A52" s="5"/>
    </row>
    <row r="53" spans="1:2" x14ac:dyDescent="0.35">
      <c r="A53" s="5"/>
      <c r="B53" s="1"/>
    </row>
    <row r="54" spans="1:2" x14ac:dyDescent="0.35">
      <c r="A54" s="5"/>
      <c r="B54" s="4"/>
    </row>
    <row r="55" spans="1:2" x14ac:dyDescent="0.35">
      <c r="A55" s="5"/>
      <c r="B55" s="6"/>
    </row>
    <row r="56" spans="1:2" x14ac:dyDescent="0.35">
      <c r="A56" s="5"/>
      <c r="B56" s="2"/>
    </row>
    <row r="57" spans="1:2" x14ac:dyDescent="0.35">
      <c r="A57" s="5"/>
    </row>
    <row r="59" spans="1:2" x14ac:dyDescent="0.35">
      <c r="A59" s="5"/>
    </row>
    <row r="60" spans="1:2" x14ac:dyDescent="0.35">
      <c r="A60" s="2"/>
    </row>
    <row r="61" spans="1:2" x14ac:dyDescent="0.35">
      <c r="A61" s="2"/>
    </row>
    <row r="62" spans="1:2" x14ac:dyDescent="0.35">
      <c r="A62" s="2"/>
    </row>
    <row r="63" spans="1:2" x14ac:dyDescent="0.35">
      <c r="A63" s="2"/>
    </row>
    <row r="64" spans="1:2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97" spans="1:7" x14ac:dyDescent="0.35">
      <c r="C97" s="2"/>
      <c r="D97" s="2"/>
      <c r="F97" s="2"/>
    </row>
    <row r="98" spans="1:7" x14ac:dyDescent="0.35">
      <c r="B98" s="2"/>
      <c r="C98" s="2"/>
      <c r="D98" s="4"/>
    </row>
    <row r="99" spans="1:7" x14ac:dyDescent="0.35">
      <c r="B99" s="2"/>
      <c r="C99" s="7"/>
      <c r="D99" s="8"/>
    </row>
    <row r="105" spans="1:7" x14ac:dyDescent="0.35">
      <c r="A105" s="9" t="s">
        <v>27</v>
      </c>
      <c r="B105" s="9" t="s">
        <v>0</v>
      </c>
      <c r="C105" s="9" t="s">
        <v>1</v>
      </c>
      <c r="D105" s="9" t="s">
        <v>2</v>
      </c>
      <c r="E105" s="9" t="s">
        <v>3</v>
      </c>
      <c r="F105" s="9" t="s">
        <v>4</v>
      </c>
      <c r="G105" s="9" t="s">
        <v>25</v>
      </c>
    </row>
    <row r="106" spans="1:7" x14ac:dyDescent="0.35">
      <c r="A106">
        <v>1</v>
      </c>
      <c r="B106" s="10">
        <v>0.01</v>
      </c>
      <c r="C106" s="1">
        <v>0.9</v>
      </c>
      <c r="D106" s="4">
        <f>B106^2</f>
        <v>1E-4</v>
      </c>
      <c r="E106" s="4">
        <f>C106^2</f>
        <v>0.81</v>
      </c>
      <c r="F106">
        <f>B106*C106</f>
        <v>9.0000000000000011E-3</v>
      </c>
      <c r="G106" s="26">
        <f>$G$139+$G$140*B106</f>
        <v>3.8539439197461443</v>
      </c>
    </row>
    <row r="107" spans="1:7" x14ac:dyDescent="0.35">
      <c r="A107">
        <v>2</v>
      </c>
      <c r="B107" s="10">
        <v>1.0999999999999999E-2</v>
      </c>
      <c r="C107" s="1">
        <v>0.65600000000000003</v>
      </c>
      <c r="D107" s="4">
        <f t="shared" ref="D107:D134" si="0">B107^2</f>
        <v>1.2099999999999999E-4</v>
      </c>
      <c r="E107" s="4">
        <f t="shared" ref="E107:E134" si="1">C107^2</f>
        <v>0.43033600000000005</v>
      </c>
      <c r="F107">
        <f t="shared" ref="F107:F134" si="2">B107*C107</f>
        <v>7.2160000000000002E-3</v>
      </c>
      <c r="G107" s="26">
        <f t="shared" ref="G107:G134" si="3">$G$139+$G$140*B107</f>
        <v>3.8846809584488899</v>
      </c>
    </row>
    <row r="108" spans="1:7" x14ac:dyDescent="0.35">
      <c r="A108">
        <v>3</v>
      </c>
      <c r="B108" s="10">
        <v>4.2000000000000003E-2</v>
      </c>
      <c r="C108" s="1">
        <v>5.17</v>
      </c>
      <c r="D108" s="4">
        <f t="shared" si="0"/>
        <v>1.7640000000000002E-3</v>
      </c>
      <c r="E108" s="4">
        <f t="shared" si="1"/>
        <v>26.728899999999999</v>
      </c>
      <c r="F108">
        <f t="shared" si="2"/>
        <v>0.21714</v>
      </c>
      <c r="G108" s="26">
        <f t="shared" si="3"/>
        <v>4.837529158234009</v>
      </c>
    </row>
    <row r="109" spans="1:7" x14ac:dyDescent="0.35">
      <c r="A109">
        <v>4</v>
      </c>
      <c r="B109" s="10">
        <v>3.2000000000000001E-2</v>
      </c>
      <c r="C109" s="1">
        <v>3.2829999999999999</v>
      </c>
      <c r="D109" s="4">
        <f t="shared" si="0"/>
        <v>1.024E-3</v>
      </c>
      <c r="E109" s="4">
        <f t="shared" si="1"/>
        <v>10.778089</v>
      </c>
      <c r="F109">
        <f t="shared" si="2"/>
        <v>0.105056</v>
      </c>
      <c r="G109" s="26">
        <f t="shared" si="3"/>
        <v>4.5301587712065512</v>
      </c>
    </row>
    <row r="110" spans="1:7" x14ac:dyDescent="0.35">
      <c r="A110">
        <v>5</v>
      </c>
      <c r="B110" s="10">
        <v>1.2999999999999999E-2</v>
      </c>
      <c r="C110" s="1">
        <v>2.8460000000000001</v>
      </c>
      <c r="D110" s="4">
        <f t="shared" si="0"/>
        <v>1.6899999999999999E-4</v>
      </c>
      <c r="E110" s="4">
        <f t="shared" si="1"/>
        <v>8.0997160000000008</v>
      </c>
      <c r="F110">
        <f t="shared" si="2"/>
        <v>3.6997999999999996E-2</v>
      </c>
      <c r="G110" s="26">
        <f t="shared" si="3"/>
        <v>3.9461550358543818</v>
      </c>
    </row>
    <row r="111" spans="1:7" x14ac:dyDescent="0.35">
      <c r="A111">
        <v>6</v>
      </c>
      <c r="B111" s="10">
        <v>1.4E-2</v>
      </c>
      <c r="C111" s="1">
        <v>3.48</v>
      </c>
      <c r="D111" s="4">
        <f t="shared" si="0"/>
        <v>1.9600000000000002E-4</v>
      </c>
      <c r="E111" s="4">
        <f t="shared" si="1"/>
        <v>12.1104</v>
      </c>
      <c r="F111">
        <f t="shared" si="2"/>
        <v>4.8719999999999999E-2</v>
      </c>
      <c r="G111" s="26">
        <f t="shared" si="3"/>
        <v>3.9768920745571275</v>
      </c>
    </row>
    <row r="112" spans="1:7" x14ac:dyDescent="0.35">
      <c r="A112">
        <v>7</v>
      </c>
      <c r="B112" s="10">
        <v>1.4999999999999999E-2</v>
      </c>
      <c r="C112" s="1">
        <v>3.77</v>
      </c>
      <c r="D112" s="4">
        <f t="shared" si="0"/>
        <v>2.2499999999999999E-4</v>
      </c>
      <c r="E112" s="4">
        <f t="shared" si="1"/>
        <v>14.212899999999999</v>
      </c>
      <c r="F112">
        <f t="shared" si="2"/>
        <v>5.6549999999999996E-2</v>
      </c>
      <c r="G112" s="26">
        <f t="shared" si="3"/>
        <v>4.0076291132598731</v>
      </c>
    </row>
    <row r="113" spans="1:7" x14ac:dyDescent="0.35">
      <c r="A113">
        <v>8</v>
      </c>
      <c r="B113" s="10">
        <v>5.2999999999999999E-2</v>
      </c>
      <c r="C113" s="1">
        <v>2.13</v>
      </c>
      <c r="D113" s="4">
        <f t="shared" si="0"/>
        <v>2.8089999999999999E-3</v>
      </c>
      <c r="E113" s="4">
        <f t="shared" si="1"/>
        <v>4.5368999999999993</v>
      </c>
      <c r="F113">
        <f t="shared" si="2"/>
        <v>0.11288999999999999</v>
      </c>
      <c r="G113" s="26">
        <f t="shared" si="3"/>
        <v>5.1756365839642129</v>
      </c>
    </row>
    <row r="114" spans="1:7" x14ac:dyDescent="0.35">
      <c r="A114">
        <v>9</v>
      </c>
      <c r="B114" s="10">
        <v>1.4999999999999999E-2</v>
      </c>
      <c r="C114" s="1">
        <v>0.185</v>
      </c>
      <c r="D114" s="4">
        <f t="shared" si="0"/>
        <v>2.2499999999999999E-4</v>
      </c>
      <c r="E114" s="4">
        <f t="shared" si="1"/>
        <v>3.4224999999999998E-2</v>
      </c>
      <c r="F114">
        <f t="shared" si="2"/>
        <v>2.7749999999999997E-3</v>
      </c>
      <c r="G114" s="26">
        <f t="shared" si="3"/>
        <v>4.0076291132598731</v>
      </c>
    </row>
    <row r="115" spans="1:7" x14ac:dyDescent="0.35">
      <c r="A115">
        <v>10</v>
      </c>
      <c r="B115" s="10">
        <v>1.7999999999999999E-2</v>
      </c>
      <c r="C115" s="1">
        <v>0.58299999999999996</v>
      </c>
      <c r="D115" s="4">
        <f t="shared" si="0"/>
        <v>3.2399999999999996E-4</v>
      </c>
      <c r="E115" s="4">
        <f t="shared" si="1"/>
        <v>0.33988899999999994</v>
      </c>
      <c r="F115">
        <f t="shared" si="2"/>
        <v>1.0493999999999998E-2</v>
      </c>
      <c r="G115" s="26">
        <f t="shared" si="3"/>
        <v>4.0998402293681107</v>
      </c>
    </row>
    <row r="116" spans="1:7" x14ac:dyDescent="0.35">
      <c r="A116">
        <v>11</v>
      </c>
      <c r="B116" s="10">
        <v>1.2E-2</v>
      </c>
      <c r="C116" s="1">
        <v>1.917</v>
      </c>
      <c r="D116" s="4">
        <f t="shared" si="0"/>
        <v>1.44E-4</v>
      </c>
      <c r="E116" s="4">
        <f t="shared" si="1"/>
        <v>3.6748890000000003</v>
      </c>
      <c r="F116">
        <f t="shared" si="2"/>
        <v>2.3004E-2</v>
      </c>
      <c r="G116" s="26">
        <f t="shared" si="3"/>
        <v>3.9154179971516356</v>
      </c>
    </row>
    <row r="117" spans="1:7" x14ac:dyDescent="0.35">
      <c r="A117">
        <v>12</v>
      </c>
      <c r="B117" s="10">
        <v>1.9E-2</v>
      </c>
      <c r="C117" s="1">
        <v>0.122</v>
      </c>
      <c r="D117" s="4">
        <f t="shared" si="0"/>
        <v>3.6099999999999999E-4</v>
      </c>
      <c r="E117" s="4">
        <f t="shared" si="1"/>
        <v>1.4884E-2</v>
      </c>
      <c r="F117">
        <f t="shared" si="2"/>
        <v>2.3179999999999997E-3</v>
      </c>
      <c r="G117" s="26">
        <f t="shared" si="3"/>
        <v>4.1305772680708559</v>
      </c>
    </row>
    <row r="118" spans="1:7" x14ac:dyDescent="0.35">
      <c r="A118">
        <v>13</v>
      </c>
      <c r="B118" s="10">
        <v>3.3000000000000002E-2</v>
      </c>
      <c r="C118" s="1">
        <v>7.22</v>
      </c>
      <c r="D118" s="4">
        <f t="shared" si="0"/>
        <v>1.0890000000000001E-3</v>
      </c>
      <c r="E118" s="4">
        <f t="shared" si="1"/>
        <v>52.128399999999999</v>
      </c>
      <c r="F118">
        <f t="shared" si="2"/>
        <v>0.23826</v>
      </c>
      <c r="G118" s="26">
        <f t="shared" si="3"/>
        <v>4.5608958099092973</v>
      </c>
    </row>
    <row r="119" spans="1:7" x14ac:dyDescent="0.35">
      <c r="A119">
        <v>14</v>
      </c>
      <c r="B119" s="10">
        <v>1.4999999999999999E-2</v>
      </c>
      <c r="C119" s="1">
        <v>3.8</v>
      </c>
      <c r="D119" s="4">
        <f t="shared" si="0"/>
        <v>2.2499999999999999E-4</v>
      </c>
      <c r="E119" s="4">
        <f t="shared" si="1"/>
        <v>14.44</v>
      </c>
      <c r="F119">
        <f t="shared" si="2"/>
        <v>5.6999999999999995E-2</v>
      </c>
      <c r="G119" s="26">
        <f t="shared" si="3"/>
        <v>4.0076291132598731</v>
      </c>
    </row>
    <row r="120" spans="1:7" x14ac:dyDescent="0.35">
      <c r="A120">
        <v>15</v>
      </c>
      <c r="B120" s="10">
        <v>2.1000000000000001E-2</v>
      </c>
      <c r="C120" s="1">
        <v>2.33</v>
      </c>
      <c r="D120" s="4">
        <f t="shared" si="0"/>
        <v>4.4100000000000004E-4</v>
      </c>
      <c r="E120" s="4">
        <f t="shared" si="1"/>
        <v>5.4289000000000005</v>
      </c>
      <c r="F120">
        <f t="shared" si="2"/>
        <v>4.8930000000000001E-2</v>
      </c>
      <c r="G120" s="26">
        <f t="shared" si="3"/>
        <v>4.1920513454763473</v>
      </c>
    </row>
    <row r="121" spans="1:7" x14ac:dyDescent="0.35">
      <c r="A121">
        <v>16</v>
      </c>
      <c r="B121" s="10">
        <v>1.7000000000000001E-2</v>
      </c>
      <c r="C121" s="1">
        <v>15</v>
      </c>
      <c r="D121" s="4">
        <f t="shared" si="0"/>
        <v>2.8900000000000003E-4</v>
      </c>
      <c r="E121" s="4">
        <f t="shared" si="1"/>
        <v>225</v>
      </c>
      <c r="F121">
        <f t="shared" si="2"/>
        <v>0.255</v>
      </c>
      <c r="G121" s="26">
        <f t="shared" si="3"/>
        <v>4.0691031906653645</v>
      </c>
    </row>
    <row r="122" spans="1:7" x14ac:dyDescent="0.35">
      <c r="A122">
        <v>17</v>
      </c>
      <c r="B122" s="10">
        <v>1.2999999999999999E-2</v>
      </c>
      <c r="C122" s="1">
        <v>11.3</v>
      </c>
      <c r="D122" s="4">
        <f t="shared" si="0"/>
        <v>1.6899999999999999E-4</v>
      </c>
      <c r="E122" s="4">
        <f t="shared" si="1"/>
        <v>127.69000000000001</v>
      </c>
      <c r="F122">
        <f t="shared" si="2"/>
        <v>0.1469</v>
      </c>
      <c r="G122" s="26">
        <f t="shared" si="3"/>
        <v>3.9461550358543818</v>
      </c>
    </row>
    <row r="123" spans="1:7" x14ac:dyDescent="0.35">
      <c r="A123">
        <v>18</v>
      </c>
      <c r="B123" s="10">
        <v>2.3E-2</v>
      </c>
      <c r="C123" s="1">
        <v>6.43</v>
      </c>
      <c r="D123" s="4">
        <f t="shared" si="0"/>
        <v>5.2899999999999996E-4</v>
      </c>
      <c r="E123" s="4">
        <f t="shared" si="1"/>
        <v>41.344899999999996</v>
      </c>
      <c r="F123">
        <f t="shared" si="2"/>
        <v>0.14788999999999999</v>
      </c>
      <c r="G123" s="26">
        <f t="shared" si="3"/>
        <v>4.2535254228818395</v>
      </c>
    </row>
    <row r="124" spans="1:7" x14ac:dyDescent="0.35">
      <c r="A124">
        <v>19</v>
      </c>
      <c r="B124" s="10">
        <v>1.4E-2</v>
      </c>
      <c r="C124" s="1">
        <v>5.33</v>
      </c>
      <c r="D124" s="4">
        <f t="shared" si="0"/>
        <v>1.9600000000000002E-4</v>
      </c>
      <c r="E124" s="4">
        <f t="shared" si="1"/>
        <v>28.408899999999999</v>
      </c>
      <c r="F124">
        <f t="shared" si="2"/>
        <v>7.4620000000000006E-2</v>
      </c>
      <c r="G124" s="26">
        <f t="shared" si="3"/>
        <v>3.9768920745571275</v>
      </c>
    </row>
    <row r="125" spans="1:7" x14ac:dyDescent="0.35">
      <c r="A125">
        <v>20</v>
      </c>
      <c r="B125" s="10">
        <v>1.6E-2</v>
      </c>
      <c r="C125" s="1">
        <v>4.2</v>
      </c>
      <c r="D125" s="4">
        <f t="shared" si="0"/>
        <v>2.5599999999999999E-4</v>
      </c>
      <c r="E125" s="4">
        <f t="shared" si="1"/>
        <v>17.64</v>
      </c>
      <c r="F125">
        <f t="shared" si="2"/>
        <v>6.720000000000001E-2</v>
      </c>
      <c r="G125" s="26">
        <f t="shared" si="3"/>
        <v>4.0383661519626193</v>
      </c>
    </row>
    <row r="126" spans="1:7" x14ac:dyDescent="0.35">
      <c r="A126">
        <v>21</v>
      </c>
      <c r="B126" s="10">
        <v>1.2E-2</v>
      </c>
      <c r="C126" s="1">
        <v>1.74</v>
      </c>
      <c r="D126" s="4">
        <f t="shared" si="0"/>
        <v>1.44E-4</v>
      </c>
      <c r="E126" s="4">
        <f t="shared" si="1"/>
        <v>3.0276000000000001</v>
      </c>
      <c r="F126">
        <f t="shared" si="2"/>
        <v>2.0879999999999999E-2</v>
      </c>
      <c r="G126" s="26">
        <f t="shared" si="3"/>
        <v>3.9154179971516356</v>
      </c>
    </row>
    <row r="127" spans="1:7" x14ac:dyDescent="0.35">
      <c r="A127">
        <v>22</v>
      </c>
      <c r="B127" s="10">
        <v>1.6E-2</v>
      </c>
      <c r="C127" s="1">
        <v>8.3000000000000007</v>
      </c>
      <c r="D127" s="4">
        <f t="shared" si="0"/>
        <v>2.5599999999999999E-4</v>
      </c>
      <c r="E127" s="4">
        <f t="shared" si="1"/>
        <v>68.890000000000015</v>
      </c>
      <c r="F127">
        <f t="shared" si="2"/>
        <v>0.1328</v>
      </c>
      <c r="G127" s="26">
        <f t="shared" si="3"/>
        <v>4.0383661519626193</v>
      </c>
    </row>
    <row r="128" spans="1:7" x14ac:dyDescent="0.35">
      <c r="A128">
        <v>23</v>
      </c>
      <c r="B128" s="10">
        <v>1.7999999999999999E-2</v>
      </c>
      <c r="C128" s="1">
        <v>0.89</v>
      </c>
      <c r="D128" s="4">
        <f t="shared" si="0"/>
        <v>3.2399999999999996E-4</v>
      </c>
      <c r="E128" s="4">
        <f t="shared" si="1"/>
        <v>0.79210000000000003</v>
      </c>
      <c r="F128">
        <f t="shared" si="2"/>
        <v>1.602E-2</v>
      </c>
      <c r="G128" s="26">
        <f t="shared" si="3"/>
        <v>4.0998402293681107</v>
      </c>
    </row>
    <row r="129" spans="1:16" x14ac:dyDescent="0.35">
      <c r="A129">
        <v>24</v>
      </c>
      <c r="B129" s="10">
        <v>1.2999999999999999E-2</v>
      </c>
      <c r="C129" s="1">
        <v>4.55</v>
      </c>
      <c r="D129" s="4">
        <f t="shared" si="0"/>
        <v>1.6899999999999999E-4</v>
      </c>
      <c r="E129" s="4">
        <f t="shared" si="1"/>
        <v>20.702499999999997</v>
      </c>
      <c r="F129">
        <f t="shared" si="2"/>
        <v>5.9149999999999994E-2</v>
      </c>
      <c r="G129" s="26">
        <f t="shared" si="3"/>
        <v>3.9461550358543818</v>
      </c>
    </row>
    <row r="130" spans="1:16" x14ac:dyDescent="0.35">
      <c r="A130">
        <v>25</v>
      </c>
      <c r="B130" s="10">
        <v>1.2999999999999999E-2</v>
      </c>
      <c r="C130" s="1">
        <v>0.05</v>
      </c>
      <c r="D130" s="4">
        <f t="shared" si="0"/>
        <v>1.6899999999999999E-4</v>
      </c>
      <c r="E130" s="4">
        <f t="shared" si="1"/>
        <v>2.5000000000000005E-3</v>
      </c>
      <c r="F130">
        <f t="shared" si="2"/>
        <v>6.4999999999999997E-4</v>
      </c>
      <c r="G130" s="26">
        <f t="shared" si="3"/>
        <v>3.9461550358543818</v>
      </c>
    </row>
    <row r="131" spans="1:16" x14ac:dyDescent="0.35">
      <c r="A131">
        <v>26</v>
      </c>
      <c r="B131" s="10">
        <v>1.2E-2</v>
      </c>
      <c r="C131" s="1">
        <v>6.67</v>
      </c>
      <c r="D131" s="4">
        <f t="shared" si="0"/>
        <v>1.44E-4</v>
      </c>
      <c r="E131" s="4">
        <f t="shared" si="1"/>
        <v>44.488900000000001</v>
      </c>
      <c r="F131">
        <f t="shared" si="2"/>
        <v>8.004E-2</v>
      </c>
      <c r="G131" s="26">
        <f t="shared" si="3"/>
        <v>3.9154179971516356</v>
      </c>
    </row>
    <row r="132" spans="1:16" x14ac:dyDescent="0.35">
      <c r="A132">
        <v>27</v>
      </c>
      <c r="B132" s="10">
        <v>1.0999999999999999E-2</v>
      </c>
      <c r="C132" s="1">
        <v>3.22</v>
      </c>
      <c r="D132" s="4">
        <f t="shared" si="0"/>
        <v>1.2099999999999999E-4</v>
      </c>
      <c r="E132" s="4">
        <f t="shared" si="1"/>
        <v>10.368400000000001</v>
      </c>
      <c r="F132">
        <f t="shared" si="2"/>
        <v>3.542E-2</v>
      </c>
      <c r="G132" s="26">
        <f t="shared" si="3"/>
        <v>3.8846809584488899</v>
      </c>
    </row>
    <row r="133" spans="1:16" x14ac:dyDescent="0.35">
      <c r="A133">
        <v>28</v>
      </c>
      <c r="B133" s="10">
        <v>0.02</v>
      </c>
      <c r="C133" s="1">
        <v>12.3</v>
      </c>
      <c r="D133" s="4">
        <f t="shared" si="0"/>
        <v>4.0000000000000002E-4</v>
      </c>
      <c r="E133" s="4">
        <f t="shared" si="1"/>
        <v>151.29000000000002</v>
      </c>
      <c r="F133">
        <f t="shared" si="2"/>
        <v>0.24600000000000002</v>
      </c>
      <c r="G133" s="26">
        <f t="shared" si="3"/>
        <v>4.161314306773602</v>
      </c>
    </row>
    <row r="134" spans="1:16" x14ac:dyDescent="0.35">
      <c r="A134">
        <v>29</v>
      </c>
      <c r="B134" s="10">
        <v>0.01</v>
      </c>
      <c r="C134" s="1">
        <v>0.8</v>
      </c>
      <c r="D134" s="4">
        <f t="shared" si="0"/>
        <v>1E-4</v>
      </c>
      <c r="E134" s="4">
        <f t="shared" si="1"/>
        <v>0.64000000000000012</v>
      </c>
      <c r="F134">
        <f t="shared" si="2"/>
        <v>8.0000000000000002E-3</v>
      </c>
      <c r="G134" s="26">
        <f t="shared" si="3"/>
        <v>3.8539439197461443</v>
      </c>
    </row>
    <row r="135" spans="1:16" x14ac:dyDescent="0.35">
      <c r="D135" s="14"/>
      <c r="E135" s="14"/>
      <c r="F135" s="14"/>
      <c r="G135" s="26"/>
    </row>
    <row r="136" spans="1:16" x14ac:dyDescent="0.35">
      <c r="D136" s="14"/>
      <c r="E136" s="14"/>
      <c r="F136" s="14"/>
      <c r="G136" s="26"/>
    </row>
    <row r="138" spans="1:16" x14ac:dyDescent="0.35">
      <c r="A138" s="15" t="s">
        <v>28</v>
      </c>
      <c r="B138" s="11">
        <f>SUM(B106:B134)</f>
        <v>0.53100000000000025</v>
      </c>
      <c r="D138" s="18" t="s">
        <v>34</v>
      </c>
      <c r="E138" s="18"/>
      <c r="F138" s="18"/>
      <c r="G138" s="18"/>
      <c r="H138" s="10"/>
      <c r="I138" s="22" t="s">
        <v>35</v>
      </c>
      <c r="J138" s="18"/>
      <c r="K138" s="18"/>
      <c r="M138" s="18" t="s">
        <v>36</v>
      </c>
      <c r="N138" s="18"/>
      <c r="O138" s="18"/>
      <c r="P138" s="18"/>
    </row>
    <row r="139" spans="1:16" x14ac:dyDescent="0.35">
      <c r="A139" s="16" t="s">
        <v>29</v>
      </c>
      <c r="B139" s="11">
        <f>SUM(C106:C134)</f>
        <v>119.17199999999997</v>
      </c>
      <c r="D139" s="19" t="s">
        <v>5</v>
      </c>
      <c r="E139" s="11">
        <f>B143*B140-B138^2</f>
        <v>8.0045999999999728E-2</v>
      </c>
      <c r="F139" s="20" t="s">
        <v>11</v>
      </c>
      <c r="G139" s="13">
        <f>E140/E139</f>
        <v>3.5465735327186865</v>
      </c>
      <c r="H139" s="14"/>
      <c r="I139" s="22" t="s">
        <v>15</v>
      </c>
      <c r="J139" s="14">
        <f>E141/SQRT(E139*E142)</f>
        <v>8.0308991774732288E-2</v>
      </c>
      <c r="K139" s="14"/>
      <c r="M139" t="s">
        <v>37</v>
      </c>
    </row>
    <row r="140" spans="1:16" x14ac:dyDescent="0.35">
      <c r="A140" s="16" t="s">
        <v>30</v>
      </c>
      <c r="B140" s="12">
        <f>SUM(D106:D134)</f>
        <v>1.2482999999999999E-2</v>
      </c>
      <c r="D140" s="18" t="s">
        <v>6</v>
      </c>
      <c r="E140">
        <f>B139*B140-B138*B142</f>
        <v>0.28388902499999902</v>
      </c>
      <c r="F140" s="21" t="s">
        <v>12</v>
      </c>
      <c r="G140">
        <f>E141/E139</f>
        <v>30.737038702745775</v>
      </c>
    </row>
    <row r="141" spans="1:16" x14ac:dyDescent="0.35">
      <c r="A141" s="16" t="s">
        <v>31</v>
      </c>
      <c r="B141" s="13">
        <f>SUM(E106:E134)</f>
        <v>894.05422800000008</v>
      </c>
      <c r="D141" s="18" t="s">
        <v>7</v>
      </c>
      <c r="E141">
        <f>B143*B142-B138*B139</f>
        <v>2.4603769999999798</v>
      </c>
      <c r="F141" s="21" t="s">
        <v>13</v>
      </c>
      <c r="G141">
        <f>E143/E142</f>
        <v>1.7448076263126843E-2</v>
      </c>
    </row>
    <row r="142" spans="1:16" x14ac:dyDescent="0.35">
      <c r="A142" s="16" t="s">
        <v>32</v>
      </c>
      <c r="B142" s="14">
        <f>SUM(F106:F134)</f>
        <v>2.266921</v>
      </c>
      <c r="D142" s="18" t="s">
        <v>8</v>
      </c>
      <c r="E142">
        <f>B143*B141-B139^2</f>
        <v>11725.607028000011</v>
      </c>
      <c r="F142" s="21" t="s">
        <v>14</v>
      </c>
      <c r="G142">
        <f>E144/E142</f>
        <v>2.098293925529616E-4</v>
      </c>
    </row>
    <row r="143" spans="1:16" x14ac:dyDescent="0.35">
      <c r="A143" s="16" t="s">
        <v>33</v>
      </c>
      <c r="B143" s="14">
        <v>29</v>
      </c>
      <c r="D143" s="18" t="s">
        <v>9</v>
      </c>
      <c r="E143">
        <f>B138*B141-B139*B142</f>
        <v>204.5892856560003</v>
      </c>
    </row>
    <row r="144" spans="1:16" x14ac:dyDescent="0.35">
      <c r="A144" s="16"/>
      <c r="B144" s="14">
        <f>SUM(B106:B134)/B143</f>
        <v>1.8310344827586214E-2</v>
      </c>
      <c r="D144" s="18" t="s">
        <v>10</v>
      </c>
      <c r="E144">
        <f>E141</f>
        <v>2.4603769999999798</v>
      </c>
    </row>
    <row r="145" spans="1:17" x14ac:dyDescent="0.35">
      <c r="A145" s="17"/>
      <c r="B145" s="14">
        <f>SUM(C106:C134)/B143</f>
        <v>4.1093793103448268</v>
      </c>
    </row>
    <row r="148" spans="1:17" x14ac:dyDescent="0.35">
      <c r="A148" s="18" t="s">
        <v>38</v>
      </c>
      <c r="B148" s="18"/>
      <c r="C148" s="18"/>
      <c r="D148" s="18"/>
      <c r="E148" s="18"/>
      <c r="G148" s="18" t="s">
        <v>40</v>
      </c>
      <c r="H148" s="18"/>
      <c r="I148" s="18"/>
      <c r="J148" s="18"/>
      <c r="L148" s="18" t="s">
        <v>41</v>
      </c>
      <c r="M148" s="18"/>
      <c r="N148" s="18"/>
      <c r="O148" s="18"/>
      <c r="P148" s="18"/>
      <c r="Q148" s="18"/>
    </row>
    <row r="149" spans="1:17" x14ac:dyDescent="0.35">
      <c r="A149" t="s">
        <v>39</v>
      </c>
      <c r="G149" s="23" t="s">
        <v>16</v>
      </c>
      <c r="H149">
        <f>1/(B143-1)*(B141-1/B143*(B139)^2)</f>
        <v>14.440402743842377</v>
      </c>
      <c r="L149" s="23" t="s">
        <v>18</v>
      </c>
      <c r="M149">
        <f>H149/SQRT(B143)</f>
        <v>2.6815154709306381</v>
      </c>
    </row>
    <row r="150" spans="1:17" x14ac:dyDescent="0.35">
      <c r="G150" s="23" t="s">
        <v>17</v>
      </c>
      <c r="H150">
        <f>1/(B143-1)*(B140-1/B143*(B138)^2)</f>
        <v>9.8578817733989846E-5</v>
      </c>
      <c r="L150" s="23" t="s">
        <v>19</v>
      </c>
      <c r="M150">
        <f>H150/SQRT(B143)</f>
        <v>1.8305626896207202E-5</v>
      </c>
    </row>
    <row r="153" spans="1:17" x14ac:dyDescent="0.35">
      <c r="A153" s="18" t="s">
        <v>42</v>
      </c>
      <c r="B153" s="18"/>
      <c r="C153" s="18"/>
      <c r="G153" s="18" t="s">
        <v>43</v>
      </c>
      <c r="H153" s="18"/>
      <c r="I153" s="18"/>
      <c r="L153" s="18" t="s">
        <v>45</v>
      </c>
      <c r="M153" s="18"/>
    </row>
    <row r="154" spans="1:17" x14ac:dyDescent="0.35">
      <c r="A154" t="s">
        <v>51</v>
      </c>
      <c r="G154" s="18" t="s">
        <v>20</v>
      </c>
      <c r="H154">
        <v>27</v>
      </c>
      <c r="L154" s="18" t="s">
        <v>22</v>
      </c>
      <c r="M154" s="24">
        <f>H156*M150</f>
        <v>3.7343478868262695E-5</v>
      </c>
      <c r="N154" t="s">
        <v>46</v>
      </c>
    </row>
    <row r="155" spans="1:17" x14ac:dyDescent="0.35">
      <c r="A155" t="s">
        <v>52</v>
      </c>
      <c r="G155" s="18" t="s">
        <v>44</v>
      </c>
      <c r="H155">
        <v>0.05</v>
      </c>
      <c r="L155" s="18" t="s">
        <v>23</v>
      </c>
      <c r="M155" s="27">
        <f>H156*M149</f>
        <v>5.4702915606985023</v>
      </c>
      <c r="N155" t="s">
        <v>47</v>
      </c>
    </row>
    <row r="156" spans="1:17" x14ac:dyDescent="0.35">
      <c r="G156" s="18" t="s">
        <v>21</v>
      </c>
      <c r="H156">
        <v>2.04</v>
      </c>
    </row>
    <row r="158" spans="1:17" x14ac:dyDescent="0.35">
      <c r="A158" s="18" t="s">
        <v>48</v>
      </c>
      <c r="B158" s="18"/>
    </row>
    <row r="159" spans="1:17" x14ac:dyDescent="0.35">
      <c r="A159" t="s">
        <v>49</v>
      </c>
      <c r="B159" s="1" cm="1">
        <f t="array" ref="B159">SUM((C106:C134-$B$145)^2)</f>
        <v>404.33127682758629</v>
      </c>
    </row>
    <row r="160" spans="1:17" x14ac:dyDescent="0.35">
      <c r="A160" t="s">
        <v>50</v>
      </c>
      <c r="B160" s="26" cm="1">
        <f t="array" ref="B160">SUM((G106:G134-$B$145)^2)</f>
        <v>2.6077483818050067</v>
      </c>
    </row>
    <row r="161" spans="1:2" x14ac:dyDescent="0.35">
      <c r="A161" t="s">
        <v>24</v>
      </c>
      <c r="B161">
        <f>B160/B159</f>
        <v>6.4495341598740452E-3</v>
      </c>
    </row>
    <row r="177" spans="1:9" x14ac:dyDescent="0.35">
      <c r="A177" t="s">
        <v>53</v>
      </c>
    </row>
    <row r="178" spans="1:9" x14ac:dyDescent="0.35">
      <c r="A178" s="9" t="s">
        <v>27</v>
      </c>
      <c r="B178" s="9" t="s">
        <v>0</v>
      </c>
      <c r="C178" s="9" t="s">
        <v>1</v>
      </c>
      <c r="D178" s="16" t="s">
        <v>26</v>
      </c>
      <c r="E178" s="16" t="s">
        <v>54</v>
      </c>
      <c r="F178" s="16" t="s">
        <v>55</v>
      </c>
      <c r="G178" s="16" t="s">
        <v>25</v>
      </c>
      <c r="H178" s="16" t="s">
        <v>56</v>
      </c>
      <c r="I178" s="16" t="s">
        <v>60</v>
      </c>
    </row>
    <row r="179" spans="1:9" x14ac:dyDescent="0.35">
      <c r="A179" s="10">
        <v>1</v>
      </c>
      <c r="B179" s="10">
        <v>0.01</v>
      </c>
      <c r="C179" s="1">
        <v>0.9</v>
      </c>
      <c r="D179">
        <f>1/B179</f>
        <v>100</v>
      </c>
      <c r="E179">
        <f>D179^2</f>
        <v>10000</v>
      </c>
      <c r="F179">
        <f>D179*C179</f>
        <v>90</v>
      </c>
      <c r="G179" s="25">
        <f>$D$209+$D$210/B179</f>
        <v>2.7693645059354957</v>
      </c>
      <c r="H179" s="1">
        <f>C179-$B$210</f>
        <v>-118.27199999999999</v>
      </c>
      <c r="I179" s="28">
        <f>G179-$B$214</f>
        <v>-1.3400148044093321</v>
      </c>
    </row>
    <row r="180" spans="1:9" x14ac:dyDescent="0.35">
      <c r="A180" s="10">
        <v>2</v>
      </c>
      <c r="B180" s="10">
        <v>0.01</v>
      </c>
      <c r="C180" s="1">
        <v>0.8</v>
      </c>
      <c r="D180" s="10">
        <f t="shared" ref="D180:D207" si="4">1/B180</f>
        <v>100</v>
      </c>
      <c r="E180" s="10">
        <f t="shared" ref="E180:E207" si="5">D180^2</f>
        <v>10000</v>
      </c>
      <c r="F180" s="10">
        <f t="shared" ref="F180:F207" si="6">D180*C180</f>
        <v>80</v>
      </c>
      <c r="G180" s="25">
        <f>$D$209+$D$210/B180</f>
        <v>2.7693645059354957</v>
      </c>
      <c r="H180" s="1">
        <f t="shared" ref="H180:H207" si="7">C180-$B$210</f>
        <v>-118.372</v>
      </c>
      <c r="I180" s="25">
        <f t="shared" ref="I180:I207" si="8">G180-$B$214</f>
        <v>-1.3400148044093321</v>
      </c>
    </row>
    <row r="181" spans="1:9" x14ac:dyDescent="0.35">
      <c r="A181" s="10">
        <v>3</v>
      </c>
      <c r="B181" s="10">
        <v>1.0999999999999999E-2</v>
      </c>
      <c r="C181" s="1">
        <v>0.65600000000000003</v>
      </c>
      <c r="D181" s="10">
        <f t="shared" si="4"/>
        <v>90.909090909090921</v>
      </c>
      <c r="E181" s="10">
        <f t="shared" si="5"/>
        <v>8264.4628099173569</v>
      </c>
      <c r="F181" s="10">
        <f t="shared" si="6"/>
        <v>59.636363636363647</v>
      </c>
      <c r="G181" s="25">
        <f t="shared" ref="G181:G207" si="9">$D$209+$D$210/B181</f>
        <v>3.1141126325669251</v>
      </c>
      <c r="H181" s="1">
        <f t="shared" si="7"/>
        <v>-118.51599999999999</v>
      </c>
      <c r="I181" s="25">
        <f t="shared" si="8"/>
        <v>-0.99526667777790268</v>
      </c>
    </row>
    <row r="182" spans="1:9" x14ac:dyDescent="0.35">
      <c r="A182" s="10">
        <v>4</v>
      </c>
      <c r="B182" s="10">
        <v>1.0999999999999999E-2</v>
      </c>
      <c r="C182" s="1">
        <v>3.22</v>
      </c>
      <c r="D182" s="10">
        <f t="shared" si="4"/>
        <v>90.909090909090921</v>
      </c>
      <c r="E182" s="10">
        <f t="shared" si="5"/>
        <v>8264.4628099173569</v>
      </c>
      <c r="F182" s="10">
        <f t="shared" si="6"/>
        <v>292.7272727272728</v>
      </c>
      <c r="G182" s="25">
        <f t="shared" si="9"/>
        <v>3.1141126325669251</v>
      </c>
      <c r="H182" s="1">
        <f t="shared" si="7"/>
        <v>-115.952</v>
      </c>
      <c r="I182" s="25">
        <f t="shared" si="8"/>
        <v>-0.99526667777790268</v>
      </c>
    </row>
    <row r="183" spans="1:9" x14ac:dyDescent="0.35">
      <c r="A183" s="10">
        <v>5</v>
      </c>
      <c r="B183" s="10">
        <v>1.2E-2</v>
      </c>
      <c r="C183" s="1">
        <v>1.917</v>
      </c>
      <c r="D183" s="10">
        <f t="shared" si="4"/>
        <v>83.333333333333329</v>
      </c>
      <c r="E183" s="10">
        <f t="shared" si="5"/>
        <v>6944.4444444444434</v>
      </c>
      <c r="F183" s="10">
        <f t="shared" si="6"/>
        <v>159.75</v>
      </c>
      <c r="G183" s="25">
        <f t="shared" si="9"/>
        <v>3.4014027380931169</v>
      </c>
      <c r="H183" s="1">
        <f t="shared" si="7"/>
        <v>-117.255</v>
      </c>
      <c r="I183" s="25">
        <f t="shared" si="8"/>
        <v>-0.70797657225171085</v>
      </c>
    </row>
    <row r="184" spans="1:9" x14ac:dyDescent="0.35">
      <c r="A184" s="10">
        <v>6</v>
      </c>
      <c r="B184" s="10">
        <v>1.2E-2</v>
      </c>
      <c r="C184" s="1">
        <v>1.74</v>
      </c>
      <c r="D184" s="10">
        <f t="shared" si="4"/>
        <v>83.333333333333329</v>
      </c>
      <c r="E184" s="10">
        <f t="shared" si="5"/>
        <v>6944.4444444444434</v>
      </c>
      <c r="F184" s="10">
        <f t="shared" si="6"/>
        <v>145</v>
      </c>
      <c r="G184" s="25">
        <f t="shared" si="9"/>
        <v>3.4014027380931169</v>
      </c>
      <c r="H184" s="1">
        <f t="shared" si="7"/>
        <v>-117.432</v>
      </c>
      <c r="I184" s="25">
        <f t="shared" si="8"/>
        <v>-0.70797657225171085</v>
      </c>
    </row>
    <row r="185" spans="1:9" x14ac:dyDescent="0.35">
      <c r="A185" s="10">
        <v>7</v>
      </c>
      <c r="B185" s="10">
        <v>1.2E-2</v>
      </c>
      <c r="C185" s="1">
        <v>6.67</v>
      </c>
      <c r="D185" s="10">
        <f t="shared" si="4"/>
        <v>83.333333333333329</v>
      </c>
      <c r="E185" s="10">
        <f t="shared" si="5"/>
        <v>6944.4444444444434</v>
      </c>
      <c r="F185" s="10">
        <f t="shared" si="6"/>
        <v>555.83333333333326</v>
      </c>
      <c r="G185" s="25">
        <f t="shared" si="9"/>
        <v>3.4014027380931169</v>
      </c>
      <c r="H185" s="1">
        <f t="shared" si="7"/>
        <v>-112.502</v>
      </c>
      <c r="I185" s="25">
        <f t="shared" si="8"/>
        <v>-0.70797657225171085</v>
      </c>
    </row>
    <row r="186" spans="1:9" x14ac:dyDescent="0.35">
      <c r="A186" s="10">
        <v>8</v>
      </c>
      <c r="B186" s="10">
        <v>1.2999999999999999E-2</v>
      </c>
      <c r="C186" s="1">
        <v>2.8460000000000001</v>
      </c>
      <c r="D186" s="10">
        <f t="shared" si="4"/>
        <v>76.92307692307692</v>
      </c>
      <c r="E186" s="10">
        <f t="shared" si="5"/>
        <v>5917.1597633136089</v>
      </c>
      <c r="F186" s="10">
        <f t="shared" si="6"/>
        <v>218.92307692307693</v>
      </c>
      <c r="G186" s="25">
        <f t="shared" si="9"/>
        <v>3.644494365846048</v>
      </c>
      <c r="H186" s="1">
        <f t="shared" si="7"/>
        <v>-116.32599999999999</v>
      </c>
      <c r="I186" s="25">
        <f t="shared" si="8"/>
        <v>-0.46488494449877971</v>
      </c>
    </row>
    <row r="187" spans="1:9" x14ac:dyDescent="0.35">
      <c r="A187" s="10">
        <v>9</v>
      </c>
      <c r="B187" s="10">
        <v>1.2999999999999999E-2</v>
      </c>
      <c r="C187" s="1">
        <v>11.3</v>
      </c>
      <c r="D187" s="10">
        <f t="shared" si="4"/>
        <v>76.92307692307692</v>
      </c>
      <c r="E187" s="10">
        <f t="shared" si="5"/>
        <v>5917.1597633136089</v>
      </c>
      <c r="F187" s="10">
        <f t="shared" si="6"/>
        <v>869.23076923076928</v>
      </c>
      <c r="G187" s="25">
        <f t="shared" si="9"/>
        <v>3.644494365846048</v>
      </c>
      <c r="H187" s="1">
        <f t="shared" si="7"/>
        <v>-107.872</v>
      </c>
      <c r="I187" s="25">
        <f t="shared" si="8"/>
        <v>-0.46488494449877971</v>
      </c>
    </row>
    <row r="188" spans="1:9" x14ac:dyDescent="0.35">
      <c r="A188" s="10">
        <v>10</v>
      </c>
      <c r="B188" s="10">
        <v>1.2999999999999999E-2</v>
      </c>
      <c r="C188" s="1">
        <v>4.55</v>
      </c>
      <c r="D188" s="10">
        <f t="shared" si="4"/>
        <v>76.92307692307692</v>
      </c>
      <c r="E188" s="10">
        <f t="shared" si="5"/>
        <v>5917.1597633136089</v>
      </c>
      <c r="F188" s="10">
        <f t="shared" si="6"/>
        <v>349.99999999999994</v>
      </c>
      <c r="G188" s="25">
        <f t="shared" si="9"/>
        <v>3.644494365846048</v>
      </c>
      <c r="H188" s="1">
        <f t="shared" si="7"/>
        <v>-114.622</v>
      </c>
      <c r="I188" s="25">
        <f t="shared" si="8"/>
        <v>-0.46488494449877971</v>
      </c>
    </row>
    <row r="189" spans="1:9" x14ac:dyDescent="0.35">
      <c r="A189" s="10">
        <v>11</v>
      </c>
      <c r="B189" s="10">
        <v>1.2999999999999999E-2</v>
      </c>
      <c r="C189" s="1">
        <v>0.05</v>
      </c>
      <c r="D189" s="10">
        <f t="shared" si="4"/>
        <v>76.92307692307692</v>
      </c>
      <c r="E189" s="10">
        <f t="shared" si="5"/>
        <v>5917.1597633136089</v>
      </c>
      <c r="F189" s="10">
        <f t="shared" si="6"/>
        <v>3.8461538461538463</v>
      </c>
      <c r="G189" s="25">
        <f t="shared" si="9"/>
        <v>3.644494365846048</v>
      </c>
      <c r="H189" s="1">
        <f t="shared" si="7"/>
        <v>-119.122</v>
      </c>
      <c r="I189" s="25">
        <f t="shared" si="8"/>
        <v>-0.46488494449877971</v>
      </c>
    </row>
    <row r="190" spans="1:9" x14ac:dyDescent="0.35">
      <c r="A190" s="10">
        <v>12</v>
      </c>
      <c r="B190" s="10">
        <v>1.4E-2</v>
      </c>
      <c r="C190" s="1">
        <v>3.48</v>
      </c>
      <c r="D190" s="10">
        <f t="shared" si="4"/>
        <v>71.428571428571431</v>
      </c>
      <c r="E190" s="10">
        <f t="shared" si="5"/>
        <v>5102.0408163265311</v>
      </c>
      <c r="F190" s="10">
        <f t="shared" si="6"/>
        <v>248.57142857142858</v>
      </c>
      <c r="G190" s="25">
        <f t="shared" si="9"/>
        <v>3.8528586182057034</v>
      </c>
      <c r="H190" s="1">
        <f t="shared" si="7"/>
        <v>-115.69199999999999</v>
      </c>
      <c r="I190" s="25">
        <f t="shared" si="8"/>
        <v>-0.25652069213912432</v>
      </c>
    </row>
    <row r="191" spans="1:9" x14ac:dyDescent="0.35">
      <c r="A191" s="10">
        <v>13</v>
      </c>
      <c r="B191" s="10">
        <v>1.4E-2</v>
      </c>
      <c r="C191" s="1">
        <v>5.33</v>
      </c>
      <c r="D191" s="10">
        <f t="shared" si="4"/>
        <v>71.428571428571431</v>
      </c>
      <c r="E191" s="10">
        <f t="shared" si="5"/>
        <v>5102.0408163265311</v>
      </c>
      <c r="F191" s="10">
        <f t="shared" si="6"/>
        <v>380.71428571428572</v>
      </c>
      <c r="G191" s="25">
        <f t="shared" si="9"/>
        <v>3.8528586182057034</v>
      </c>
      <c r="H191" s="1">
        <f t="shared" si="7"/>
        <v>-113.842</v>
      </c>
      <c r="I191" s="25">
        <f t="shared" si="8"/>
        <v>-0.25652069213912432</v>
      </c>
    </row>
    <row r="192" spans="1:9" x14ac:dyDescent="0.35">
      <c r="A192" s="10">
        <v>14</v>
      </c>
      <c r="B192" s="10">
        <v>1.4999999999999999E-2</v>
      </c>
      <c r="C192" s="1">
        <v>3.77</v>
      </c>
      <c r="D192" s="10">
        <f t="shared" si="4"/>
        <v>66.666666666666671</v>
      </c>
      <c r="E192" s="10">
        <f t="shared" si="5"/>
        <v>4444.4444444444453</v>
      </c>
      <c r="F192" s="10">
        <f t="shared" si="6"/>
        <v>251.33333333333334</v>
      </c>
      <c r="G192" s="25">
        <f t="shared" si="9"/>
        <v>4.0334409702507372</v>
      </c>
      <c r="H192" s="1">
        <f t="shared" si="7"/>
        <v>-115.402</v>
      </c>
      <c r="I192" s="25">
        <f t="shared" si="8"/>
        <v>-7.5938340094090506E-2</v>
      </c>
    </row>
    <row r="193" spans="1:9" x14ac:dyDescent="0.35">
      <c r="A193" s="10">
        <v>15</v>
      </c>
      <c r="B193" s="10">
        <v>1.4999999999999999E-2</v>
      </c>
      <c r="C193" s="1">
        <v>0.185</v>
      </c>
      <c r="D193" s="10">
        <f t="shared" si="4"/>
        <v>66.666666666666671</v>
      </c>
      <c r="E193" s="10">
        <f t="shared" si="5"/>
        <v>4444.4444444444453</v>
      </c>
      <c r="F193" s="10">
        <f t="shared" si="6"/>
        <v>12.333333333333334</v>
      </c>
      <c r="G193" s="25">
        <f t="shared" si="9"/>
        <v>4.0334409702507372</v>
      </c>
      <c r="H193" s="1">
        <f t="shared" si="7"/>
        <v>-118.98699999999999</v>
      </c>
      <c r="I193" s="25">
        <f t="shared" si="8"/>
        <v>-7.5938340094090506E-2</v>
      </c>
    </row>
    <row r="194" spans="1:9" x14ac:dyDescent="0.35">
      <c r="A194" s="10">
        <v>16</v>
      </c>
      <c r="B194" s="10">
        <v>1.4999999999999999E-2</v>
      </c>
      <c r="C194" s="1">
        <v>3.8</v>
      </c>
      <c r="D194" s="10">
        <f t="shared" si="4"/>
        <v>66.666666666666671</v>
      </c>
      <c r="E194" s="10">
        <f t="shared" si="5"/>
        <v>4444.4444444444453</v>
      </c>
      <c r="F194" s="10">
        <f t="shared" si="6"/>
        <v>253.33333333333334</v>
      </c>
      <c r="G194" s="25">
        <f t="shared" si="9"/>
        <v>4.0334409702507372</v>
      </c>
      <c r="H194" s="1">
        <f t="shared" si="7"/>
        <v>-115.372</v>
      </c>
      <c r="I194" s="25">
        <f t="shared" si="8"/>
        <v>-7.5938340094090506E-2</v>
      </c>
    </row>
    <row r="195" spans="1:9" x14ac:dyDescent="0.35">
      <c r="A195" s="10">
        <v>17</v>
      </c>
      <c r="B195" s="10">
        <v>1.6E-2</v>
      </c>
      <c r="C195" s="1">
        <v>4.2</v>
      </c>
      <c r="D195" s="10">
        <f t="shared" si="4"/>
        <v>62.5</v>
      </c>
      <c r="E195" s="10">
        <f t="shared" si="5"/>
        <v>3906.25</v>
      </c>
      <c r="F195" s="10">
        <f t="shared" si="6"/>
        <v>262.5</v>
      </c>
      <c r="G195" s="25">
        <f t="shared" si="9"/>
        <v>4.1914505282901438</v>
      </c>
      <c r="H195" s="1">
        <f t="shared" si="7"/>
        <v>-114.97199999999999</v>
      </c>
      <c r="I195" s="25">
        <f t="shared" si="8"/>
        <v>8.2071217945316022E-2</v>
      </c>
    </row>
    <row r="196" spans="1:9" x14ac:dyDescent="0.35">
      <c r="A196" s="10">
        <v>18</v>
      </c>
      <c r="B196" s="10">
        <v>1.6E-2</v>
      </c>
      <c r="C196" s="1">
        <v>8.3000000000000007</v>
      </c>
      <c r="D196" s="10">
        <f t="shared" si="4"/>
        <v>62.5</v>
      </c>
      <c r="E196" s="10">
        <f t="shared" si="5"/>
        <v>3906.25</v>
      </c>
      <c r="F196" s="10">
        <f t="shared" si="6"/>
        <v>518.75</v>
      </c>
      <c r="G196" s="25">
        <f t="shared" si="9"/>
        <v>4.1914505282901438</v>
      </c>
      <c r="H196" s="1">
        <f t="shared" si="7"/>
        <v>-110.872</v>
      </c>
      <c r="I196" s="25">
        <f t="shared" si="8"/>
        <v>8.2071217945316022E-2</v>
      </c>
    </row>
    <row r="197" spans="1:9" x14ac:dyDescent="0.35">
      <c r="A197" s="10">
        <v>19</v>
      </c>
      <c r="B197" s="10">
        <v>1.7000000000000001E-2</v>
      </c>
      <c r="C197" s="1">
        <v>15</v>
      </c>
      <c r="D197" s="10">
        <f t="shared" si="4"/>
        <v>58.823529411764703</v>
      </c>
      <c r="E197" s="10">
        <f t="shared" si="5"/>
        <v>3460.207612456747</v>
      </c>
      <c r="F197" s="10">
        <f t="shared" si="6"/>
        <v>882.35294117647049</v>
      </c>
      <c r="G197" s="25">
        <f t="shared" si="9"/>
        <v>4.3308707265602067</v>
      </c>
      <c r="H197" s="1">
        <f t="shared" si="7"/>
        <v>-104.172</v>
      </c>
      <c r="I197" s="25">
        <f t="shared" si="8"/>
        <v>0.22149141621537893</v>
      </c>
    </row>
    <row r="198" spans="1:9" x14ac:dyDescent="0.35">
      <c r="A198" s="10">
        <v>20</v>
      </c>
      <c r="B198" s="10">
        <v>1.7999999999999999E-2</v>
      </c>
      <c r="C198" s="1">
        <v>0.58299999999999996</v>
      </c>
      <c r="D198" s="10">
        <f t="shared" si="4"/>
        <v>55.555555555555557</v>
      </c>
      <c r="E198" s="10">
        <f t="shared" si="5"/>
        <v>3086.4197530864199</v>
      </c>
      <c r="F198" s="10">
        <f t="shared" si="6"/>
        <v>32.388888888888886</v>
      </c>
      <c r="G198" s="25">
        <f t="shared" si="9"/>
        <v>4.454799791689152</v>
      </c>
      <c r="H198" s="1">
        <f t="shared" si="7"/>
        <v>-118.589</v>
      </c>
      <c r="I198" s="25">
        <f t="shared" si="8"/>
        <v>0.34542048134432424</v>
      </c>
    </row>
    <row r="199" spans="1:9" x14ac:dyDescent="0.35">
      <c r="A199" s="10">
        <v>21</v>
      </c>
      <c r="B199" s="10">
        <v>1.7999999999999999E-2</v>
      </c>
      <c r="C199" s="1">
        <v>0.89</v>
      </c>
      <c r="D199" s="10">
        <f t="shared" si="4"/>
        <v>55.555555555555557</v>
      </c>
      <c r="E199" s="10">
        <f t="shared" si="5"/>
        <v>3086.4197530864199</v>
      </c>
      <c r="F199" s="10">
        <f t="shared" si="6"/>
        <v>49.44444444444445</v>
      </c>
      <c r="G199" s="25">
        <f t="shared" si="9"/>
        <v>4.454799791689152</v>
      </c>
      <c r="H199" s="1">
        <f t="shared" si="7"/>
        <v>-118.282</v>
      </c>
      <c r="I199" s="25">
        <f t="shared" si="8"/>
        <v>0.34542048134432424</v>
      </c>
    </row>
    <row r="200" spans="1:9" x14ac:dyDescent="0.35">
      <c r="A200" s="10">
        <v>22</v>
      </c>
      <c r="B200" s="10">
        <v>1.9E-2</v>
      </c>
      <c r="C200" s="1">
        <v>0.122</v>
      </c>
      <c r="D200" s="10">
        <f t="shared" si="4"/>
        <v>52.631578947368425</v>
      </c>
      <c r="E200" s="10">
        <f t="shared" si="5"/>
        <v>2770.0831024930753</v>
      </c>
      <c r="F200" s="10">
        <f t="shared" si="6"/>
        <v>6.4210526315789478</v>
      </c>
      <c r="G200" s="25">
        <f t="shared" si="9"/>
        <v>4.5656836920676822</v>
      </c>
      <c r="H200" s="1">
        <f t="shared" si="7"/>
        <v>-119.05</v>
      </c>
      <c r="I200" s="25">
        <f t="shared" si="8"/>
        <v>0.45630438172285448</v>
      </c>
    </row>
    <row r="201" spans="1:9" x14ac:dyDescent="0.35">
      <c r="A201" s="10">
        <v>23</v>
      </c>
      <c r="B201" s="10">
        <v>0.02</v>
      </c>
      <c r="C201" s="1">
        <v>12.3</v>
      </c>
      <c r="D201" s="10">
        <f t="shared" si="4"/>
        <v>50</v>
      </c>
      <c r="E201" s="10">
        <f t="shared" si="5"/>
        <v>2500</v>
      </c>
      <c r="F201" s="10">
        <f t="shared" si="6"/>
        <v>615</v>
      </c>
      <c r="G201" s="25">
        <f t="shared" si="9"/>
        <v>4.6654792024083589</v>
      </c>
      <c r="H201" s="1">
        <f t="shared" si="7"/>
        <v>-106.872</v>
      </c>
      <c r="I201" s="25">
        <f t="shared" si="8"/>
        <v>0.55609989206353116</v>
      </c>
    </row>
    <row r="202" spans="1:9" x14ac:dyDescent="0.35">
      <c r="A202" s="10">
        <v>24</v>
      </c>
      <c r="B202" s="10">
        <v>2.1000000000000001E-2</v>
      </c>
      <c r="C202" s="1">
        <v>2.33</v>
      </c>
      <c r="D202" s="10">
        <f t="shared" si="4"/>
        <v>47.619047619047613</v>
      </c>
      <c r="E202" s="10">
        <f t="shared" si="5"/>
        <v>2267.5736961451244</v>
      </c>
      <c r="F202" s="10">
        <f t="shared" si="6"/>
        <v>110.95238095238095</v>
      </c>
      <c r="G202" s="25">
        <f t="shared" si="9"/>
        <v>4.755770378430876</v>
      </c>
      <c r="H202" s="1">
        <f t="shared" si="7"/>
        <v>-116.842</v>
      </c>
      <c r="I202" s="25">
        <f t="shared" si="8"/>
        <v>0.64639106808604829</v>
      </c>
    </row>
    <row r="203" spans="1:9" x14ac:dyDescent="0.35">
      <c r="A203" s="10">
        <v>25</v>
      </c>
      <c r="B203" s="10">
        <v>2.3E-2</v>
      </c>
      <c r="C203" s="1">
        <v>6.43</v>
      </c>
      <c r="D203" s="10">
        <f t="shared" si="4"/>
        <v>43.478260869565219</v>
      </c>
      <c r="E203" s="10">
        <f t="shared" si="5"/>
        <v>1890.359168241966</v>
      </c>
      <c r="F203" s="10">
        <f t="shared" si="6"/>
        <v>279.56521739130432</v>
      </c>
      <c r="G203" s="25">
        <f t="shared" si="9"/>
        <v>4.9127985106439498</v>
      </c>
      <c r="H203" s="1">
        <f t="shared" si="7"/>
        <v>-112.74199999999999</v>
      </c>
      <c r="I203" s="25">
        <f t="shared" si="8"/>
        <v>0.80341920029912206</v>
      </c>
    </row>
    <row r="204" spans="1:9" x14ac:dyDescent="0.35">
      <c r="A204" s="10">
        <v>26</v>
      </c>
      <c r="B204" s="10">
        <v>3.2000000000000001E-2</v>
      </c>
      <c r="C204" s="1">
        <v>3.2829999999999999</v>
      </c>
      <c r="D204" s="10">
        <f t="shared" si="4"/>
        <v>31.25</v>
      </c>
      <c r="E204" s="10">
        <f t="shared" si="5"/>
        <v>976.5625</v>
      </c>
      <c r="F204" s="10">
        <f t="shared" si="6"/>
        <v>102.59375</v>
      </c>
      <c r="G204" s="25">
        <f t="shared" si="9"/>
        <v>5.3765222135856829</v>
      </c>
      <c r="H204" s="1">
        <f t="shared" si="7"/>
        <v>-115.889</v>
      </c>
      <c r="I204" s="25">
        <f t="shared" si="8"/>
        <v>1.2671429032408552</v>
      </c>
    </row>
    <row r="205" spans="1:9" x14ac:dyDescent="0.35">
      <c r="A205" s="10">
        <v>27</v>
      </c>
      <c r="B205" s="10">
        <v>3.3000000000000002E-2</v>
      </c>
      <c r="C205" s="1">
        <v>7.22</v>
      </c>
      <c r="D205" s="10">
        <f t="shared" si="4"/>
        <v>30.303030303030301</v>
      </c>
      <c r="E205" s="10">
        <f t="shared" si="5"/>
        <v>918.27364554637268</v>
      </c>
      <c r="F205" s="10">
        <f t="shared" si="6"/>
        <v>218.78787878787875</v>
      </c>
      <c r="G205" s="25">
        <f t="shared" si="9"/>
        <v>5.4124334767764566</v>
      </c>
      <c r="H205" s="1">
        <f t="shared" si="7"/>
        <v>-111.952</v>
      </c>
      <c r="I205" s="25">
        <f t="shared" si="8"/>
        <v>1.3030541664316289</v>
      </c>
    </row>
    <row r="206" spans="1:9" x14ac:dyDescent="0.35">
      <c r="A206" s="10">
        <v>28</v>
      </c>
      <c r="B206" s="10">
        <v>4.2000000000000003E-2</v>
      </c>
      <c r="C206" s="1">
        <v>5.17</v>
      </c>
      <c r="D206" s="10">
        <f t="shared" si="4"/>
        <v>23.809523809523807</v>
      </c>
      <c r="E206" s="10">
        <f t="shared" si="5"/>
        <v>566.89342403628109</v>
      </c>
      <c r="F206" s="10">
        <f t="shared" si="6"/>
        <v>123.09523809523807</v>
      </c>
      <c r="G206" s="25">
        <f t="shared" si="9"/>
        <v>5.6586821386560491</v>
      </c>
      <c r="H206" s="1">
        <f t="shared" si="7"/>
        <v>-114.002</v>
      </c>
      <c r="I206" s="25">
        <f t="shared" si="8"/>
        <v>1.5493028283112213</v>
      </c>
    </row>
    <row r="207" spans="1:9" x14ac:dyDescent="0.35">
      <c r="A207" s="10">
        <v>29</v>
      </c>
      <c r="B207" s="10">
        <v>5.2999999999999999E-2</v>
      </c>
      <c r="C207" s="1">
        <v>2.13</v>
      </c>
      <c r="D207" s="10">
        <f t="shared" si="4"/>
        <v>18.867924528301888</v>
      </c>
      <c r="E207" s="10">
        <f t="shared" si="5"/>
        <v>355.99857600569601</v>
      </c>
      <c r="F207" s="10">
        <f t="shared" si="6"/>
        <v>40.188679245283019</v>
      </c>
      <c r="G207" s="25">
        <f t="shared" si="9"/>
        <v>5.8460789190801421</v>
      </c>
      <c r="H207" s="1">
        <f t="shared" si="7"/>
        <v>-117.042</v>
      </c>
      <c r="I207" s="25">
        <f t="shared" si="8"/>
        <v>1.7366996087353144</v>
      </c>
    </row>
    <row r="209" spans="1:4" x14ac:dyDescent="0.35">
      <c r="A209" s="15" t="s">
        <v>57</v>
      </c>
      <c r="B209">
        <f>SUM(D179:D207)</f>
        <v>1875.2616389673458</v>
      </c>
      <c r="C209" s="15" t="s">
        <v>11</v>
      </c>
      <c r="D209">
        <f>1/B213*(B210-D210*B209)</f>
        <v>6.5615938988812221</v>
      </c>
    </row>
    <row r="210" spans="1:4" x14ac:dyDescent="0.35">
      <c r="A210" s="16" t="s">
        <v>29</v>
      </c>
      <c r="B210" s="1">
        <f>SUM(C179:C207)</f>
        <v>119.172</v>
      </c>
      <c r="C210" s="17" t="s">
        <v>12</v>
      </c>
      <c r="D210">
        <f>(B213*B212-B210*B209)/(B213*B211-B209^2)</f>
        <v>-3.7922293929457264E-2</v>
      </c>
    </row>
    <row r="211" spans="1:4" x14ac:dyDescent="0.35">
      <c r="A211" s="16" t="s">
        <v>58</v>
      </c>
      <c r="B211">
        <f>SUM(E179:E207)</f>
        <v>134259.60420350695</v>
      </c>
      <c r="C211" s="18" t="s">
        <v>49</v>
      </c>
      <c r="D211" s="1" cm="1">
        <f t="array" ref="D211">SUM((C179:C207-$B$214)^2)</f>
        <v>404.33127682758641</v>
      </c>
    </row>
    <row r="212" spans="1:4" x14ac:dyDescent="0.35">
      <c r="A212" s="16" t="s">
        <v>59</v>
      </c>
      <c r="B212">
        <f>SUM(F179:F207)</f>
        <v>7213.2731555961518</v>
      </c>
      <c r="C212" s="18" t="s">
        <v>50</v>
      </c>
      <c r="D212" s="25" cm="1">
        <f t="array" ref="D212">SUM((G179:G207-$B$214)^2)</f>
        <v>18.691452145078394</v>
      </c>
    </row>
    <row r="213" spans="1:4" x14ac:dyDescent="0.35">
      <c r="A213" s="16" t="s">
        <v>33</v>
      </c>
      <c r="B213">
        <v>29</v>
      </c>
      <c r="C213" s="22" t="s">
        <v>24</v>
      </c>
      <c r="D213">
        <f>D212/D211</f>
        <v>4.6228064006655467E-2</v>
      </c>
    </row>
    <row r="214" spans="1:4" x14ac:dyDescent="0.35">
      <c r="A214" s="16"/>
      <c r="B214">
        <f>B210/B213</f>
        <v>4.1093793103448277</v>
      </c>
    </row>
    <row r="215" spans="1:4" x14ac:dyDescent="0.35">
      <c r="A215" s="17"/>
      <c r="B215">
        <f>B209/B213</f>
        <v>64.664194447149853</v>
      </c>
    </row>
    <row r="230" spans="1:14" x14ac:dyDescent="0.35">
      <c r="A230" t="s">
        <v>61</v>
      </c>
    </row>
    <row r="232" spans="1:14" x14ac:dyDescent="0.35">
      <c r="A232" s="9" t="s">
        <v>27</v>
      </c>
      <c r="B232" s="9" t="s">
        <v>0</v>
      </c>
      <c r="C232" s="9" t="s">
        <v>1</v>
      </c>
      <c r="D232" s="16" t="s">
        <v>62</v>
      </c>
      <c r="E232" s="16" t="s">
        <v>63</v>
      </c>
      <c r="F232" s="16" t="s">
        <v>69</v>
      </c>
      <c r="G232" s="16" t="s">
        <v>64</v>
      </c>
      <c r="H232" s="16" t="s">
        <v>65</v>
      </c>
      <c r="I232" s="16" t="s">
        <v>66</v>
      </c>
      <c r="J232" s="16" t="s">
        <v>25</v>
      </c>
      <c r="K232" s="16"/>
      <c r="L232" s="16"/>
      <c r="M232" s="16"/>
      <c r="N232" s="16"/>
    </row>
    <row r="233" spans="1:14" x14ac:dyDescent="0.35">
      <c r="A233" s="10">
        <v>1</v>
      </c>
      <c r="B233" s="10">
        <v>0.01</v>
      </c>
      <c r="C233" s="1">
        <v>0.9</v>
      </c>
      <c r="D233" s="10">
        <f>B233^2</f>
        <v>1E-4</v>
      </c>
      <c r="E233" s="10">
        <f>LN(C233)</f>
        <v>-0.10536051565782628</v>
      </c>
      <c r="F233">
        <f>E233*B233</f>
        <v>-1.0536051565782629E-3</v>
      </c>
      <c r="G233" s="10">
        <f>$F$264*EXP($F$263*B233)</f>
        <v>1.8665461785712987</v>
      </c>
      <c r="H233" s="25">
        <f>G233-$B$268</f>
        <v>1.0497418683388813</v>
      </c>
      <c r="I233" s="1">
        <f>C233-$B$268</f>
        <v>8.3195689767582737E-2</v>
      </c>
      <c r="J233" s="33">
        <f>EXP(G233)</f>
        <v>6.4659256366948759</v>
      </c>
    </row>
    <row r="234" spans="1:14" x14ac:dyDescent="0.35">
      <c r="A234" s="10">
        <v>2</v>
      </c>
      <c r="B234" s="10">
        <v>0.01</v>
      </c>
      <c r="C234" s="1">
        <v>0.8</v>
      </c>
      <c r="D234" s="10">
        <f t="shared" ref="D234:D261" si="10">B234^2</f>
        <v>1E-4</v>
      </c>
      <c r="E234" s="10">
        <f t="shared" ref="E234:E261" si="11">LN(C234)</f>
        <v>-0.22314355131420971</v>
      </c>
      <c r="F234" s="10">
        <f t="shared" ref="F234:F261" si="12">E234*B234</f>
        <v>-2.2314355131420973E-3</v>
      </c>
      <c r="G234" s="10">
        <f t="shared" ref="G234:G261" si="13">$F$264*EXP($F$263*B234)</f>
        <v>1.8665461785712987</v>
      </c>
      <c r="H234" s="25">
        <f t="shared" ref="H234:H261" si="14">G234-$B$268</f>
        <v>1.0497418683388813</v>
      </c>
      <c r="I234" s="1">
        <f t="shared" ref="I234:I261" si="15">C234-$B$268</f>
        <v>-1.6804310232417241E-2</v>
      </c>
      <c r="J234" s="33">
        <f t="shared" ref="J234:J261" si="16">EXP(G234)</f>
        <v>6.4659256366948759</v>
      </c>
      <c r="K234" s="10"/>
      <c r="L234" s="10"/>
      <c r="M234" s="10"/>
      <c r="N234" s="10"/>
    </row>
    <row r="235" spans="1:14" x14ac:dyDescent="0.35">
      <c r="A235" s="10">
        <v>3</v>
      </c>
      <c r="B235" s="10">
        <v>1.0999999999999999E-2</v>
      </c>
      <c r="C235" s="1">
        <v>0.65600000000000003</v>
      </c>
      <c r="D235" s="10">
        <f t="shared" si="10"/>
        <v>1.2099999999999999E-4</v>
      </c>
      <c r="E235" s="10">
        <f t="shared" si="11"/>
        <v>-0.42159449003804794</v>
      </c>
      <c r="F235" s="10">
        <f t="shared" si="12"/>
        <v>-4.6375393904185269E-3</v>
      </c>
      <c r="G235" s="10">
        <f t="shared" si="13"/>
        <v>1.9103366393240855</v>
      </c>
      <c r="H235" s="25">
        <f t="shared" si="14"/>
        <v>1.0935323290916683</v>
      </c>
      <c r="I235" s="1">
        <f t="shared" si="15"/>
        <v>-0.16080431023241726</v>
      </c>
      <c r="J235" s="33">
        <f t="shared" si="16"/>
        <v>6.7553625364732426</v>
      </c>
      <c r="K235" s="10"/>
      <c r="L235" s="10"/>
      <c r="M235" s="10"/>
      <c r="N235" s="10"/>
    </row>
    <row r="236" spans="1:14" x14ac:dyDescent="0.35">
      <c r="A236" s="10">
        <v>4</v>
      </c>
      <c r="B236" s="10">
        <v>1.0999999999999999E-2</v>
      </c>
      <c r="C236" s="1">
        <v>3.22</v>
      </c>
      <c r="D236" s="10">
        <f t="shared" si="10"/>
        <v>1.2099999999999999E-4</v>
      </c>
      <c r="E236" s="10">
        <f t="shared" si="11"/>
        <v>1.1693813595563169</v>
      </c>
      <c r="F236" s="10">
        <f t="shared" si="12"/>
        <v>1.2863194955119485E-2</v>
      </c>
      <c r="G236" s="10">
        <f t="shared" si="13"/>
        <v>1.9103366393240855</v>
      </c>
      <c r="H236" s="25">
        <f t="shared" si="14"/>
        <v>1.0935323290916683</v>
      </c>
      <c r="I236" s="1">
        <f t="shared" si="15"/>
        <v>2.4031956897675828</v>
      </c>
      <c r="J236" s="33">
        <f t="shared" si="16"/>
        <v>6.7553625364732426</v>
      </c>
      <c r="K236" s="10"/>
      <c r="L236" s="10"/>
      <c r="M236" s="10"/>
      <c r="N236" s="10"/>
    </row>
    <row r="237" spans="1:14" x14ac:dyDescent="0.35">
      <c r="A237" s="10">
        <v>5</v>
      </c>
      <c r="B237" s="10">
        <v>1.2E-2</v>
      </c>
      <c r="C237" s="1">
        <v>1.917</v>
      </c>
      <c r="D237" s="10">
        <f t="shared" si="10"/>
        <v>1.44E-4</v>
      </c>
      <c r="E237" s="10">
        <f t="shared" si="11"/>
        <v>0.65076146406350743</v>
      </c>
      <c r="F237" s="10">
        <f t="shared" si="12"/>
        <v>7.8091375687620894E-3</v>
      </c>
      <c r="G237" s="10">
        <f t="shared" si="13"/>
        <v>1.955154454489507</v>
      </c>
      <c r="H237" s="25">
        <f t="shared" si="14"/>
        <v>1.1383501442570898</v>
      </c>
      <c r="I237" s="1">
        <f t="shared" si="15"/>
        <v>1.1001956897675829</v>
      </c>
      <c r="J237" s="33">
        <f t="shared" si="16"/>
        <v>7.0650101619713679</v>
      </c>
      <c r="K237" s="10"/>
      <c r="L237" s="10"/>
      <c r="M237" s="10"/>
      <c r="N237" s="10"/>
    </row>
    <row r="238" spans="1:14" x14ac:dyDescent="0.35">
      <c r="A238" s="10">
        <v>6</v>
      </c>
      <c r="B238" s="10">
        <v>1.2E-2</v>
      </c>
      <c r="C238" s="1">
        <v>1.74</v>
      </c>
      <c r="D238" s="10">
        <f t="shared" si="10"/>
        <v>1.44E-4</v>
      </c>
      <c r="E238" s="10">
        <f t="shared" si="11"/>
        <v>0.55388511322643763</v>
      </c>
      <c r="F238" s="10">
        <f t="shared" si="12"/>
        <v>6.6466213587172513E-3</v>
      </c>
      <c r="G238" s="10">
        <f t="shared" si="13"/>
        <v>1.955154454489507</v>
      </c>
      <c r="H238" s="25">
        <f t="shared" si="14"/>
        <v>1.1383501442570898</v>
      </c>
      <c r="I238" s="1">
        <f t="shared" si="15"/>
        <v>0.92319568976758271</v>
      </c>
      <c r="J238" s="33">
        <f t="shared" si="16"/>
        <v>7.0650101619713679</v>
      </c>
      <c r="K238" s="10"/>
      <c r="L238" s="10"/>
      <c r="M238" s="10"/>
      <c r="N238" s="10"/>
    </row>
    <row r="239" spans="1:14" x14ac:dyDescent="0.35">
      <c r="A239" s="10">
        <v>7</v>
      </c>
      <c r="B239" s="10">
        <v>1.2E-2</v>
      </c>
      <c r="C239" s="1">
        <v>6.67</v>
      </c>
      <c r="D239" s="10">
        <f t="shared" si="10"/>
        <v>1.44E-4</v>
      </c>
      <c r="E239" s="10">
        <f t="shared" si="11"/>
        <v>1.8976198599275322</v>
      </c>
      <c r="F239" s="10">
        <f t="shared" si="12"/>
        <v>2.2771438319130387E-2</v>
      </c>
      <c r="G239" s="10">
        <f t="shared" si="13"/>
        <v>1.955154454489507</v>
      </c>
      <c r="H239" s="25">
        <f t="shared" si="14"/>
        <v>1.1383501442570898</v>
      </c>
      <c r="I239" s="1">
        <f t="shared" si="15"/>
        <v>5.853195689767583</v>
      </c>
      <c r="J239" s="33">
        <f t="shared" si="16"/>
        <v>7.0650101619713679</v>
      </c>
      <c r="K239" s="10"/>
      <c r="L239" s="10"/>
      <c r="M239" s="10"/>
      <c r="N239" s="10"/>
    </row>
    <row r="240" spans="1:14" x14ac:dyDescent="0.35">
      <c r="A240" s="10">
        <v>8</v>
      </c>
      <c r="B240" s="10">
        <v>1.2999999999999999E-2</v>
      </c>
      <c r="C240" s="1">
        <v>2.8460000000000001</v>
      </c>
      <c r="D240" s="10">
        <f t="shared" si="10"/>
        <v>1.6899999999999999E-4</v>
      </c>
      <c r="E240" s="10">
        <f t="shared" si="11"/>
        <v>1.0459144996676606</v>
      </c>
      <c r="F240" s="10">
        <f t="shared" si="12"/>
        <v>1.3596888495679587E-2</v>
      </c>
      <c r="G240" s="10">
        <f t="shared" si="13"/>
        <v>2.0010237265106752</v>
      </c>
      <c r="H240" s="25">
        <f t="shared" si="14"/>
        <v>1.1842194162782578</v>
      </c>
      <c r="I240" s="1">
        <f t="shared" si="15"/>
        <v>2.0291956897675827</v>
      </c>
      <c r="J240" s="33">
        <f t="shared" si="16"/>
        <v>7.3966243447939863</v>
      </c>
      <c r="K240" s="10"/>
      <c r="L240" s="10"/>
      <c r="M240" s="10"/>
      <c r="N240" s="10"/>
    </row>
    <row r="241" spans="1:14" x14ac:dyDescent="0.35">
      <c r="A241" s="10">
        <v>9</v>
      </c>
      <c r="B241" s="10">
        <v>1.2999999999999999E-2</v>
      </c>
      <c r="C241" s="1">
        <v>11.3</v>
      </c>
      <c r="D241" s="10">
        <f t="shared" si="10"/>
        <v>1.6899999999999999E-4</v>
      </c>
      <c r="E241" s="10">
        <f t="shared" si="11"/>
        <v>2.4248027257182949</v>
      </c>
      <c r="F241" s="10">
        <f t="shared" si="12"/>
        <v>3.1522435434337831E-2</v>
      </c>
      <c r="G241" s="10">
        <f t="shared" si="13"/>
        <v>2.0010237265106752</v>
      </c>
      <c r="H241" s="25">
        <f t="shared" si="14"/>
        <v>1.1842194162782578</v>
      </c>
      <c r="I241" s="1">
        <f t="shared" si="15"/>
        <v>10.483195689767584</v>
      </c>
      <c r="J241" s="33">
        <f t="shared" si="16"/>
        <v>7.3966243447939863</v>
      </c>
      <c r="K241" s="10"/>
      <c r="L241" s="10"/>
      <c r="M241" s="10"/>
      <c r="N241" s="10"/>
    </row>
    <row r="242" spans="1:14" x14ac:dyDescent="0.35">
      <c r="A242" s="10">
        <v>10</v>
      </c>
      <c r="B242" s="10">
        <v>1.2999999999999999E-2</v>
      </c>
      <c r="C242" s="1">
        <v>4.55</v>
      </c>
      <c r="D242" s="10">
        <f t="shared" si="10"/>
        <v>1.6899999999999999E-4</v>
      </c>
      <c r="E242" s="10">
        <f t="shared" si="11"/>
        <v>1.5151272329628591</v>
      </c>
      <c r="F242" s="10">
        <f t="shared" si="12"/>
        <v>1.9696654028517169E-2</v>
      </c>
      <c r="G242" s="10">
        <f t="shared" si="13"/>
        <v>2.0010237265106752</v>
      </c>
      <c r="H242" s="25">
        <f t="shared" si="14"/>
        <v>1.1842194162782578</v>
      </c>
      <c r="I242" s="1">
        <f t="shared" si="15"/>
        <v>3.7331956897675824</v>
      </c>
      <c r="J242" s="33">
        <f t="shared" si="16"/>
        <v>7.3966243447939863</v>
      </c>
      <c r="K242" s="10"/>
      <c r="L242" s="10"/>
      <c r="M242" s="10"/>
      <c r="N242" s="10"/>
    </row>
    <row r="243" spans="1:14" x14ac:dyDescent="0.35">
      <c r="A243" s="10">
        <v>11</v>
      </c>
      <c r="B243" s="10">
        <v>1.2999999999999999E-2</v>
      </c>
      <c r="C243" s="1">
        <v>0.05</v>
      </c>
      <c r="D243" s="10">
        <f t="shared" si="10"/>
        <v>1.6899999999999999E-4</v>
      </c>
      <c r="E243" s="10">
        <f t="shared" si="11"/>
        <v>-2.9957322735539909</v>
      </c>
      <c r="F243" s="10">
        <f t="shared" si="12"/>
        <v>-3.894451955620188E-2</v>
      </c>
      <c r="G243" s="10">
        <f t="shared" si="13"/>
        <v>2.0010237265106752</v>
      </c>
      <c r="H243" s="25">
        <f t="shared" si="14"/>
        <v>1.1842194162782578</v>
      </c>
      <c r="I243" s="1">
        <f t="shared" si="15"/>
        <v>-0.76680431023241724</v>
      </c>
      <c r="J243" s="33">
        <f t="shared" si="16"/>
        <v>7.3966243447939863</v>
      </c>
      <c r="K243" s="10"/>
      <c r="L243" s="10"/>
      <c r="M243" s="10"/>
      <c r="N243" s="10"/>
    </row>
    <row r="244" spans="1:14" x14ac:dyDescent="0.35">
      <c r="A244" s="10">
        <v>12</v>
      </c>
      <c r="B244" s="10">
        <v>1.4E-2</v>
      </c>
      <c r="C244" s="1">
        <v>3.48</v>
      </c>
      <c r="D244" s="10">
        <f t="shared" si="10"/>
        <v>1.9600000000000002E-4</v>
      </c>
      <c r="E244" s="10">
        <f t="shared" si="11"/>
        <v>1.2470322937863829</v>
      </c>
      <c r="F244" s="10">
        <f t="shared" si="12"/>
        <v>1.7458452113009362E-2</v>
      </c>
      <c r="G244" s="10">
        <f t="shared" si="13"/>
        <v>2.0479691232906423</v>
      </c>
      <c r="H244" s="25">
        <f t="shared" si="14"/>
        <v>1.2311648130582249</v>
      </c>
      <c r="I244" s="1">
        <f t="shared" si="15"/>
        <v>2.6631956897675826</v>
      </c>
      <c r="J244" s="33">
        <f t="shared" si="16"/>
        <v>7.7521414652300518</v>
      </c>
      <c r="K244" s="10"/>
      <c r="L244" s="10"/>
      <c r="M244" s="10"/>
      <c r="N244" s="10"/>
    </row>
    <row r="245" spans="1:14" x14ac:dyDescent="0.35">
      <c r="A245" s="10">
        <v>13</v>
      </c>
      <c r="B245" s="10">
        <v>1.4E-2</v>
      </c>
      <c r="C245" s="1">
        <v>5.33</v>
      </c>
      <c r="D245" s="10">
        <f t="shared" si="10"/>
        <v>1.9600000000000002E-4</v>
      </c>
      <c r="E245" s="10">
        <f t="shared" si="11"/>
        <v>1.6733512381777531</v>
      </c>
      <c r="F245" s="10">
        <f t="shared" si="12"/>
        <v>2.3426917334488543E-2</v>
      </c>
      <c r="G245" s="10">
        <f t="shared" si="13"/>
        <v>2.0479691232906423</v>
      </c>
      <c r="H245" s="25">
        <f t="shared" si="14"/>
        <v>1.2311648130582249</v>
      </c>
      <c r="I245" s="1">
        <f t="shared" si="15"/>
        <v>4.5131956897675831</v>
      </c>
      <c r="J245" s="33">
        <f t="shared" si="16"/>
        <v>7.7521414652300518</v>
      </c>
      <c r="K245" s="10"/>
      <c r="L245" s="10"/>
      <c r="M245" s="10"/>
      <c r="N245" s="10"/>
    </row>
    <row r="246" spans="1:14" x14ac:dyDescent="0.35">
      <c r="A246" s="10">
        <v>14</v>
      </c>
      <c r="B246" s="10">
        <v>1.4999999999999999E-2</v>
      </c>
      <c r="C246" s="1">
        <v>3.77</v>
      </c>
      <c r="D246" s="10">
        <f t="shared" si="10"/>
        <v>2.2499999999999999E-4</v>
      </c>
      <c r="E246" s="10">
        <f t="shared" si="11"/>
        <v>1.3270750014599193</v>
      </c>
      <c r="F246" s="10">
        <f t="shared" si="12"/>
        <v>1.9906125021898789E-2</v>
      </c>
      <c r="G246" s="10">
        <f t="shared" si="13"/>
        <v>2.0960158914584794</v>
      </c>
      <c r="H246" s="25">
        <f t="shared" si="14"/>
        <v>1.279211581226062</v>
      </c>
      <c r="I246" s="1">
        <f t="shared" si="15"/>
        <v>2.9531956897675826</v>
      </c>
      <c r="J246" s="33">
        <f t="shared" si="16"/>
        <v>8.1336997305824266</v>
      </c>
      <c r="K246" s="10"/>
      <c r="L246" s="10"/>
      <c r="M246" s="10"/>
      <c r="N246" s="10"/>
    </row>
    <row r="247" spans="1:14" x14ac:dyDescent="0.35">
      <c r="A247" s="10">
        <v>15</v>
      </c>
      <c r="B247" s="10">
        <v>1.4999999999999999E-2</v>
      </c>
      <c r="C247" s="1">
        <v>0.185</v>
      </c>
      <c r="D247" s="10">
        <f t="shared" si="10"/>
        <v>2.2499999999999999E-4</v>
      </c>
      <c r="E247" s="10">
        <f t="shared" si="11"/>
        <v>-1.6873994539038122</v>
      </c>
      <c r="F247" s="10">
        <f t="shared" si="12"/>
        <v>-2.5310991808557181E-2</v>
      </c>
      <c r="G247" s="10">
        <f t="shared" si="13"/>
        <v>2.0960158914584794</v>
      </c>
      <c r="H247" s="25">
        <f t="shared" si="14"/>
        <v>1.279211581226062</v>
      </c>
      <c r="I247" s="1">
        <f t="shared" si="15"/>
        <v>-0.63180431023241734</v>
      </c>
      <c r="J247" s="33">
        <f t="shared" si="16"/>
        <v>8.1336997305824266</v>
      </c>
      <c r="K247" s="10"/>
      <c r="L247" s="10"/>
      <c r="M247" s="10"/>
      <c r="N247" s="10"/>
    </row>
    <row r="248" spans="1:14" x14ac:dyDescent="0.35">
      <c r="A248" s="10">
        <v>16</v>
      </c>
      <c r="B248" s="10">
        <v>1.4999999999999999E-2</v>
      </c>
      <c r="C248" s="1">
        <v>3.8</v>
      </c>
      <c r="D248" s="10">
        <f t="shared" si="10"/>
        <v>2.2499999999999999E-4</v>
      </c>
      <c r="E248" s="10">
        <f t="shared" si="11"/>
        <v>1.33500106673234</v>
      </c>
      <c r="F248" s="10">
        <f t="shared" si="12"/>
        <v>2.0025016000985101E-2</v>
      </c>
      <c r="G248" s="10">
        <f t="shared" si="13"/>
        <v>2.0960158914584794</v>
      </c>
      <c r="H248" s="25">
        <f t="shared" si="14"/>
        <v>1.279211581226062</v>
      </c>
      <c r="I248" s="1">
        <f t="shared" si="15"/>
        <v>2.9831956897675824</v>
      </c>
      <c r="J248" s="33">
        <f t="shared" si="16"/>
        <v>8.1336997305824266</v>
      </c>
      <c r="K248" s="10"/>
      <c r="L248" s="10"/>
      <c r="M248" s="10"/>
      <c r="N248" s="10"/>
    </row>
    <row r="249" spans="1:14" x14ac:dyDescent="0.35">
      <c r="A249" s="10">
        <v>17</v>
      </c>
      <c r="B249" s="10">
        <v>1.6E-2</v>
      </c>
      <c r="C249" s="1">
        <v>4.2</v>
      </c>
      <c r="D249" s="10">
        <f t="shared" si="10"/>
        <v>2.5599999999999999E-4</v>
      </c>
      <c r="E249" s="10">
        <f t="shared" si="11"/>
        <v>1.4350845252893227</v>
      </c>
      <c r="F249" s="10">
        <f t="shared" si="12"/>
        <v>2.2961352404629164E-2</v>
      </c>
      <c r="G249" s="10">
        <f t="shared" si="13"/>
        <v>2.1451898699465901</v>
      </c>
      <c r="H249" s="25">
        <f t="shared" si="14"/>
        <v>1.3283855597141727</v>
      </c>
      <c r="I249" s="1">
        <f t="shared" si="15"/>
        <v>3.3831956897675828</v>
      </c>
      <c r="J249" s="33">
        <f t="shared" si="16"/>
        <v>8.5436632681901763</v>
      </c>
      <c r="K249" s="10"/>
      <c r="L249" s="10"/>
      <c r="M249" s="10"/>
      <c r="N249" s="10"/>
    </row>
    <row r="250" spans="1:14" x14ac:dyDescent="0.35">
      <c r="A250" s="10">
        <v>18</v>
      </c>
      <c r="B250" s="10">
        <v>1.6E-2</v>
      </c>
      <c r="C250" s="1">
        <v>8.3000000000000007</v>
      </c>
      <c r="D250" s="10">
        <f t="shared" si="10"/>
        <v>2.5599999999999999E-4</v>
      </c>
      <c r="E250" s="10">
        <f t="shared" si="11"/>
        <v>2.1162555148025524</v>
      </c>
      <c r="F250" s="10">
        <f t="shared" si="12"/>
        <v>3.3860088236840835E-2</v>
      </c>
      <c r="G250" s="10">
        <f t="shared" si="13"/>
        <v>2.1451898699465901</v>
      </c>
      <c r="H250" s="25">
        <f t="shared" si="14"/>
        <v>1.3283855597141727</v>
      </c>
      <c r="I250" s="1">
        <f t="shared" si="15"/>
        <v>7.4831956897675838</v>
      </c>
      <c r="J250" s="33">
        <f t="shared" si="16"/>
        <v>8.5436632681901763</v>
      </c>
      <c r="K250" s="10"/>
      <c r="L250" s="10"/>
      <c r="M250" s="10"/>
      <c r="N250" s="10"/>
    </row>
    <row r="251" spans="1:14" x14ac:dyDescent="0.35">
      <c r="A251" s="10">
        <v>19</v>
      </c>
      <c r="B251" s="10">
        <v>1.7000000000000001E-2</v>
      </c>
      <c r="C251" s="1">
        <v>15</v>
      </c>
      <c r="D251" s="10">
        <f t="shared" si="10"/>
        <v>2.8900000000000003E-4</v>
      </c>
      <c r="E251" s="10">
        <f t="shared" si="11"/>
        <v>2.7080502011022101</v>
      </c>
      <c r="F251" s="10">
        <f t="shared" si="12"/>
        <v>4.6036853418737575E-2</v>
      </c>
      <c r="G251" s="10">
        <f t="shared" si="13"/>
        <v>2.1955175038865522</v>
      </c>
      <c r="H251" s="25">
        <f t="shared" si="14"/>
        <v>1.3787131936541348</v>
      </c>
      <c r="I251" s="1">
        <f t="shared" si="15"/>
        <v>14.183195689767583</v>
      </c>
      <c r="J251" s="33">
        <f t="shared" si="16"/>
        <v>8.984649444943237</v>
      </c>
      <c r="K251" s="10"/>
      <c r="L251" s="10"/>
      <c r="M251" s="10"/>
      <c r="N251" s="10"/>
    </row>
    <row r="252" spans="1:14" x14ac:dyDescent="0.35">
      <c r="A252" s="10">
        <v>20</v>
      </c>
      <c r="B252" s="10">
        <v>1.7999999999999999E-2</v>
      </c>
      <c r="C252" s="1">
        <v>0.58299999999999996</v>
      </c>
      <c r="D252" s="10">
        <f t="shared" si="10"/>
        <v>3.2399999999999996E-4</v>
      </c>
      <c r="E252" s="10">
        <f t="shared" si="11"/>
        <v>-0.53956809263164474</v>
      </c>
      <c r="F252" s="10">
        <f t="shared" si="12"/>
        <v>-9.7122256673696037E-3</v>
      </c>
      <c r="G252" s="10">
        <f t="shared" si="13"/>
        <v>2.2470258588309719</v>
      </c>
      <c r="H252" s="25">
        <f t="shared" si="14"/>
        <v>1.4302215485985545</v>
      </c>
      <c r="I252" s="1">
        <f t="shared" si="15"/>
        <v>-0.23380431023241732</v>
      </c>
      <c r="J252" s="33">
        <f t="shared" si="16"/>
        <v>9.4595598909955161</v>
      </c>
      <c r="K252" s="10"/>
      <c r="L252" s="10"/>
      <c r="M252" s="10"/>
      <c r="N252" s="10"/>
    </row>
    <row r="253" spans="1:14" x14ac:dyDescent="0.35">
      <c r="A253" s="10">
        <v>21</v>
      </c>
      <c r="B253" s="10">
        <v>1.7999999999999999E-2</v>
      </c>
      <c r="C253" s="1">
        <v>0.89</v>
      </c>
      <c r="D253" s="10">
        <f t="shared" si="10"/>
        <v>3.2399999999999996E-4</v>
      </c>
      <c r="E253" s="10">
        <f t="shared" si="11"/>
        <v>-0.11653381625595151</v>
      </c>
      <c r="F253" s="10">
        <f t="shared" si="12"/>
        <v>-2.097608692607127E-3</v>
      </c>
      <c r="G253" s="10">
        <f t="shared" si="13"/>
        <v>2.2470258588309719</v>
      </c>
      <c r="H253" s="25">
        <f t="shared" si="14"/>
        <v>1.4302215485985545</v>
      </c>
      <c r="I253" s="1">
        <f t="shared" si="15"/>
        <v>7.3195689767582728E-2</v>
      </c>
      <c r="J253" s="33">
        <f t="shared" si="16"/>
        <v>9.4595598909955161</v>
      </c>
      <c r="K253" s="10"/>
      <c r="L253" s="10"/>
      <c r="M253" s="10"/>
      <c r="N253" s="10"/>
    </row>
    <row r="254" spans="1:14" x14ac:dyDescent="0.35">
      <c r="A254" s="10">
        <v>22</v>
      </c>
      <c r="B254" s="10">
        <v>1.9E-2</v>
      </c>
      <c r="C254" s="1">
        <v>0.122</v>
      </c>
      <c r="D254" s="10">
        <f t="shared" si="10"/>
        <v>3.6099999999999999E-4</v>
      </c>
      <c r="E254" s="10">
        <f t="shared" si="11"/>
        <v>-2.1037342342488805</v>
      </c>
      <c r="F254" s="10">
        <f t="shared" si="12"/>
        <v>-3.997095045072873E-2</v>
      </c>
      <c r="G254" s="10">
        <f t="shared" si="13"/>
        <v>2.299742635308986</v>
      </c>
      <c r="H254" s="25">
        <f t="shared" si="14"/>
        <v>1.4829383250765686</v>
      </c>
      <c r="I254" s="1">
        <f t="shared" si="15"/>
        <v>-0.69480431023241729</v>
      </c>
      <c r="J254" s="33">
        <f t="shared" si="16"/>
        <v>9.9716157827286711</v>
      </c>
      <c r="K254" s="10"/>
      <c r="L254" s="10"/>
      <c r="M254" s="10"/>
      <c r="N254" s="10"/>
    </row>
    <row r="255" spans="1:14" x14ac:dyDescent="0.35">
      <c r="A255" s="10">
        <v>23</v>
      </c>
      <c r="B255" s="10">
        <v>0.02</v>
      </c>
      <c r="C255" s="1">
        <v>12.3</v>
      </c>
      <c r="D255" s="10">
        <f t="shared" si="10"/>
        <v>4.0000000000000002E-4</v>
      </c>
      <c r="E255" s="10">
        <f t="shared" si="11"/>
        <v>2.5095992623783721</v>
      </c>
      <c r="F255" s="10">
        <f t="shared" si="12"/>
        <v>5.019198524756744E-2</v>
      </c>
      <c r="G255" s="10">
        <f t="shared" si="13"/>
        <v>2.3536961837232515</v>
      </c>
      <c r="H255" s="25">
        <f t="shared" si="14"/>
        <v>1.5368918734908341</v>
      </c>
      <c r="I255" s="1">
        <f t="shared" si="15"/>
        <v>11.483195689767584</v>
      </c>
      <c r="J255" s="33">
        <f t="shared" si="16"/>
        <v>10.524398030944566</v>
      </c>
      <c r="K255" s="10"/>
      <c r="L255" s="10"/>
      <c r="M255" s="10"/>
      <c r="N255" s="10"/>
    </row>
    <row r="256" spans="1:14" x14ac:dyDescent="0.35">
      <c r="A256" s="10">
        <v>24</v>
      </c>
      <c r="B256" s="10">
        <v>2.1000000000000001E-2</v>
      </c>
      <c r="C256" s="1">
        <v>2.33</v>
      </c>
      <c r="D256" s="10">
        <f t="shared" si="10"/>
        <v>4.4100000000000004E-4</v>
      </c>
      <c r="E256" s="10">
        <f t="shared" si="11"/>
        <v>0.84586826757760925</v>
      </c>
      <c r="F256" s="10">
        <f t="shared" si="12"/>
        <v>1.7763233619129796E-2</v>
      </c>
      <c r="G256" s="10">
        <f t="shared" si="13"/>
        <v>2.4089155195964254</v>
      </c>
      <c r="H256" s="25">
        <f t="shared" si="14"/>
        <v>1.592111209364008</v>
      </c>
      <c r="I256" s="1">
        <f t="shared" si="15"/>
        <v>1.5131956897675827</v>
      </c>
      <c r="J256" s="33">
        <f t="shared" si="16"/>
        <v>11.121893127336453</v>
      </c>
      <c r="K256" s="10"/>
      <c r="L256" s="10"/>
      <c r="M256" s="10"/>
      <c r="N256" s="10"/>
    </row>
    <row r="257" spans="1:14" x14ac:dyDescent="0.35">
      <c r="A257" s="10">
        <v>25</v>
      </c>
      <c r="B257" s="10">
        <v>2.3E-2</v>
      </c>
      <c r="C257" s="1">
        <v>6.43</v>
      </c>
      <c r="D257" s="10">
        <f t="shared" si="10"/>
        <v>5.2899999999999996E-4</v>
      </c>
      <c r="E257" s="10">
        <f t="shared" si="11"/>
        <v>1.860974538249528</v>
      </c>
      <c r="F257" s="10">
        <f t="shared" si="12"/>
        <v>4.280241437973914E-2</v>
      </c>
      <c r="G257" s="10">
        <f t="shared" si="13"/>
        <v>2.5232710354012542</v>
      </c>
      <c r="H257" s="25">
        <f t="shared" si="14"/>
        <v>1.7064667251688368</v>
      </c>
      <c r="I257" s="1">
        <f t="shared" si="15"/>
        <v>5.6131956897675828</v>
      </c>
      <c r="J257" s="33">
        <f t="shared" si="16"/>
        <v>12.469317606766998</v>
      </c>
      <c r="K257" s="10"/>
      <c r="L257" s="10"/>
      <c r="M257" s="10"/>
      <c r="N257" s="10"/>
    </row>
    <row r="258" spans="1:14" x14ac:dyDescent="0.35">
      <c r="A258" s="10">
        <v>26</v>
      </c>
      <c r="B258" s="10">
        <v>3.2000000000000001E-2</v>
      </c>
      <c r="C258" s="1">
        <v>3.2829999999999999</v>
      </c>
      <c r="D258" s="10">
        <f t="shared" si="10"/>
        <v>1.024E-3</v>
      </c>
      <c r="E258" s="10">
        <f t="shared" si="11"/>
        <v>1.1887576385194556</v>
      </c>
      <c r="F258" s="10">
        <f t="shared" si="12"/>
        <v>3.8040244432622577E-2</v>
      </c>
      <c r="G258" s="10">
        <f t="shared" si="13"/>
        <v>3.1088831592659436</v>
      </c>
      <c r="H258" s="25">
        <f t="shared" si="14"/>
        <v>2.2920788490335262</v>
      </c>
      <c r="I258" s="1">
        <f t="shared" si="15"/>
        <v>2.4661956897675825</v>
      </c>
      <c r="J258" s="33">
        <f t="shared" si="16"/>
        <v>22.396017643112078</v>
      </c>
      <c r="K258" s="10"/>
      <c r="L258" s="10"/>
      <c r="M258" s="10"/>
      <c r="N258" s="10"/>
    </row>
    <row r="259" spans="1:14" x14ac:dyDescent="0.35">
      <c r="A259" s="10">
        <v>27</v>
      </c>
      <c r="B259" s="10">
        <v>3.3000000000000002E-2</v>
      </c>
      <c r="C259" s="1">
        <v>7.22</v>
      </c>
      <c r="D259" s="10">
        <f t="shared" si="10"/>
        <v>1.0890000000000001E-3</v>
      </c>
      <c r="E259" s="10">
        <f t="shared" si="11"/>
        <v>1.9768549529047348</v>
      </c>
      <c r="F259" s="10">
        <f t="shared" si="12"/>
        <v>6.5236213445856256E-2</v>
      </c>
      <c r="G259" s="10">
        <f t="shared" si="13"/>
        <v>3.1818197024566626</v>
      </c>
      <c r="H259" s="25">
        <f t="shared" si="14"/>
        <v>2.3650153922242452</v>
      </c>
      <c r="I259" s="1">
        <f t="shared" si="15"/>
        <v>6.4031956897675828</v>
      </c>
      <c r="J259" s="33">
        <f t="shared" si="16"/>
        <v>24.090551325950624</v>
      </c>
      <c r="K259" s="10"/>
      <c r="L259" s="10"/>
      <c r="M259" s="10"/>
      <c r="N259" s="10"/>
    </row>
    <row r="260" spans="1:14" x14ac:dyDescent="0.35">
      <c r="A260" s="10">
        <v>28</v>
      </c>
      <c r="B260" s="10">
        <v>4.2000000000000003E-2</v>
      </c>
      <c r="C260" s="1">
        <v>5.17</v>
      </c>
      <c r="D260" s="10">
        <f t="shared" si="10"/>
        <v>1.7640000000000002E-3</v>
      </c>
      <c r="E260" s="10">
        <f t="shared" si="11"/>
        <v>1.6428726885203377</v>
      </c>
      <c r="F260" s="10">
        <f t="shared" si="12"/>
        <v>6.9000652917854191E-2</v>
      </c>
      <c r="G260" s="10">
        <f t="shared" si="13"/>
        <v>3.9202707715523193</v>
      </c>
      <c r="H260" s="25">
        <f t="shared" si="14"/>
        <v>3.1034664613199019</v>
      </c>
      <c r="I260" s="1">
        <f t="shared" si="15"/>
        <v>4.353195689767583</v>
      </c>
      <c r="J260" s="33">
        <f t="shared" si="16"/>
        <v>50.414093632512987</v>
      </c>
      <c r="K260" s="10"/>
      <c r="L260" s="10"/>
      <c r="M260" s="10"/>
      <c r="N260" s="10"/>
    </row>
    <row r="261" spans="1:14" x14ac:dyDescent="0.35">
      <c r="A261" s="10">
        <v>29</v>
      </c>
      <c r="B261" s="10">
        <v>5.2999999999999999E-2</v>
      </c>
      <c r="C261" s="1">
        <v>2.13</v>
      </c>
      <c r="D261" s="10">
        <f t="shared" si="10"/>
        <v>2.8089999999999999E-3</v>
      </c>
      <c r="E261" s="10">
        <f t="shared" si="11"/>
        <v>0.75612197972133366</v>
      </c>
      <c r="F261" s="10">
        <f t="shared" si="12"/>
        <v>4.0074464925230681E-2</v>
      </c>
      <c r="G261" s="10">
        <f t="shared" si="13"/>
        <v>5.0593985892387634</v>
      </c>
      <c r="H261" s="25">
        <f t="shared" si="14"/>
        <v>4.2425942790063464</v>
      </c>
      <c r="I261" s="1">
        <f t="shared" si="15"/>
        <v>1.3131956897675825</v>
      </c>
      <c r="J261" s="33">
        <f t="shared" si="16"/>
        <v>157.49576818511204</v>
      </c>
      <c r="K261" s="10"/>
      <c r="L261" s="10"/>
      <c r="M261" s="10"/>
      <c r="N261" s="10"/>
    </row>
    <row r="262" spans="1:14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M262" s="10"/>
      <c r="N262" s="10"/>
    </row>
    <row r="263" spans="1:14" x14ac:dyDescent="0.35">
      <c r="A263" s="15" t="s">
        <v>28</v>
      </c>
      <c r="B263" s="10">
        <f>SUM(B233:B261)</f>
        <v>0.53100000000000014</v>
      </c>
      <c r="C263" s="15" t="s">
        <v>14</v>
      </c>
      <c r="D263" s="10">
        <f>(B267*B266-B264*B263)/(B267*B265-B263^2)</f>
        <v>23.189717687395341</v>
      </c>
      <c r="E263" s="18" t="s">
        <v>12</v>
      </c>
      <c r="F263" s="10">
        <f>D263</f>
        <v>23.189717687395341</v>
      </c>
      <c r="G263" s="18" t="s">
        <v>71</v>
      </c>
      <c r="H263" s="18"/>
      <c r="I263" s="10"/>
      <c r="J263" s="18" t="s">
        <v>73</v>
      </c>
      <c r="K263" s="18"/>
      <c r="L263" s="18"/>
    </row>
    <row r="264" spans="1:14" x14ac:dyDescent="0.35">
      <c r="A264" s="16" t="s">
        <v>67</v>
      </c>
      <c r="B264" s="1">
        <f>SUM(E233:E261)</f>
        <v>23.687324996740102</v>
      </c>
      <c r="C264" s="17" t="s">
        <v>13</v>
      </c>
      <c r="D264" s="1">
        <f>1/B267*(B264-D263*B263)</f>
        <v>0.39219258292183357</v>
      </c>
      <c r="E264" s="18" t="s">
        <v>11</v>
      </c>
      <c r="F264" s="10">
        <f>EXP(D264)</f>
        <v>1.4802227495767433</v>
      </c>
      <c r="G264" s="10" t="s">
        <v>72</v>
      </c>
      <c r="H264" s="10"/>
      <c r="I264" s="10"/>
      <c r="J264" t="s">
        <v>74</v>
      </c>
    </row>
    <row r="265" spans="1:14" x14ac:dyDescent="0.35">
      <c r="A265" s="16" t="s">
        <v>30</v>
      </c>
      <c r="B265" s="10">
        <f>SUM(D233:D261)</f>
        <v>1.2483000000000001E-2</v>
      </c>
      <c r="C265" s="18" t="s">
        <v>76</v>
      </c>
      <c r="D265" s="32">
        <v>53.16</v>
      </c>
      <c r="E265" s="10"/>
      <c r="F265" s="10"/>
      <c r="G265" s="10"/>
      <c r="H265" s="10"/>
      <c r="I265" s="10"/>
    </row>
    <row r="266" spans="1:14" x14ac:dyDescent="0.35">
      <c r="A266" s="16" t="s">
        <v>68</v>
      </c>
      <c r="B266" s="10">
        <f>SUM(F233:F261)</f>
        <v>0.49773150742324979</v>
      </c>
      <c r="C266" s="18" t="s">
        <v>77</v>
      </c>
      <c r="D266" s="34">
        <f>D265*D267</f>
        <v>8.5055999999999993E-2</v>
      </c>
      <c r="E266" s="10"/>
      <c r="F266" s="10"/>
      <c r="G266" s="10"/>
      <c r="H266" s="10"/>
      <c r="I266" s="10"/>
    </row>
    <row r="267" spans="1:14" x14ac:dyDescent="0.35">
      <c r="A267" s="16" t="s">
        <v>33</v>
      </c>
      <c r="B267" s="10">
        <v>29</v>
      </c>
      <c r="C267" s="22" t="s">
        <v>24</v>
      </c>
      <c r="D267" s="35">
        <v>1.6000000000000001E-3</v>
      </c>
      <c r="E267" s="10"/>
      <c r="F267" s="10"/>
      <c r="G267" s="10"/>
      <c r="H267" s="10"/>
      <c r="I267" s="10"/>
    </row>
    <row r="268" spans="1:14" x14ac:dyDescent="0.35">
      <c r="A268" s="16" t="s">
        <v>70</v>
      </c>
      <c r="B268" s="10">
        <f>B264/B267</f>
        <v>0.81680431023241729</v>
      </c>
      <c r="C268" s="10"/>
      <c r="D268" s="10"/>
      <c r="E268" s="10"/>
      <c r="F268" s="10"/>
      <c r="G268" s="10"/>
      <c r="H268" s="10"/>
      <c r="I268" s="10"/>
    </row>
    <row r="269" spans="1:14" x14ac:dyDescent="0.35">
      <c r="A269" s="17" t="s">
        <v>75</v>
      </c>
      <c r="B269" s="10">
        <f>SUM(C233:C261)/B267</f>
        <v>4.1093793103448277</v>
      </c>
      <c r="C269" s="10"/>
      <c r="D269" s="10"/>
      <c r="E269" s="10"/>
      <c r="F269" s="10"/>
      <c r="G269" s="10"/>
      <c r="H269" s="10"/>
      <c r="I269" s="10"/>
    </row>
    <row r="282" spans="1:13" x14ac:dyDescent="0.35">
      <c r="A282" t="s">
        <v>78</v>
      </c>
    </row>
    <row r="284" spans="1:13" x14ac:dyDescent="0.35">
      <c r="A284" s="9" t="s">
        <v>27</v>
      </c>
      <c r="B284" s="9" t="s">
        <v>0</v>
      </c>
      <c r="C284" s="9" t="s">
        <v>1</v>
      </c>
      <c r="D284" s="16" t="s">
        <v>4</v>
      </c>
      <c r="E284" s="16" t="s">
        <v>62</v>
      </c>
      <c r="F284" s="16" t="s">
        <v>79</v>
      </c>
      <c r="G284" s="16" t="s">
        <v>80</v>
      </c>
      <c r="H284" s="16" t="s">
        <v>81</v>
      </c>
      <c r="I284" s="16" t="s">
        <v>25</v>
      </c>
      <c r="J284" s="16" t="s">
        <v>82</v>
      </c>
      <c r="K284" s="16" t="s">
        <v>83</v>
      </c>
      <c r="L284" s="16" t="s">
        <v>84</v>
      </c>
      <c r="M284" s="16" t="s">
        <v>85</v>
      </c>
    </row>
    <row r="285" spans="1:13" x14ac:dyDescent="0.35">
      <c r="A285" s="10">
        <v>1</v>
      </c>
      <c r="B285" s="10">
        <v>0.01</v>
      </c>
      <c r="C285" s="1">
        <v>0.9</v>
      </c>
      <c r="D285">
        <f>B285*C285</f>
        <v>9.0000000000000011E-3</v>
      </c>
      <c r="E285">
        <f>B285^2</f>
        <v>1E-4</v>
      </c>
      <c r="F285">
        <f>B285^3</f>
        <v>1.0000000000000002E-6</v>
      </c>
      <c r="G285">
        <f>B285^4</f>
        <v>1E-8</v>
      </c>
      <c r="H285">
        <f>C285*E285</f>
        <v>9.0000000000000006E-5</v>
      </c>
      <c r="I285">
        <f>$H$321+$H$322*B285+$H$323*B285^2</f>
        <v>2.5636047359024698</v>
      </c>
      <c r="J285" s="1">
        <f>C285-$B$323</f>
        <v>-3.2093793103448278</v>
      </c>
      <c r="K285" s="1">
        <f>I285-$B$323</f>
        <v>-1.5457745744423579</v>
      </c>
      <c r="L285" s="1">
        <f>J285^2</f>
        <v>10.300115557669443</v>
      </c>
      <c r="M285" s="1">
        <f>K285^2</f>
        <v>2.3894190349924527</v>
      </c>
    </row>
    <row r="286" spans="1:13" x14ac:dyDescent="0.35">
      <c r="A286" s="10">
        <v>2</v>
      </c>
      <c r="B286" s="10">
        <v>0.01</v>
      </c>
      <c r="C286" s="1">
        <v>0.8</v>
      </c>
      <c r="D286" s="10">
        <f t="shared" ref="D286:D313" si="17">B286*C286</f>
        <v>8.0000000000000002E-3</v>
      </c>
      <c r="E286" s="10">
        <f t="shared" ref="E286:E313" si="18">B286^2</f>
        <v>1E-4</v>
      </c>
      <c r="F286" s="10">
        <f t="shared" ref="F286:F313" si="19">B286^3</f>
        <v>1.0000000000000002E-6</v>
      </c>
      <c r="G286" s="10">
        <f t="shared" ref="G286:G313" si="20">B286^4</f>
        <v>1E-8</v>
      </c>
      <c r="H286" s="10">
        <f t="shared" ref="H286:H313" si="21">C286*E286</f>
        <v>8.0000000000000007E-5</v>
      </c>
      <c r="I286" s="10">
        <f t="shared" ref="I286:I313" si="22">$H$321+$H$322*B286+$H$323*B286^2</f>
        <v>2.5636047359024698</v>
      </c>
      <c r="J286" s="1">
        <f t="shared" ref="J286:J313" si="23">C286-$B$323</f>
        <v>-3.3093793103448279</v>
      </c>
      <c r="K286" s="1">
        <f t="shared" ref="K286:K313" si="24">I286-$B$323</f>
        <v>-1.5457745744423579</v>
      </c>
      <c r="L286" s="1">
        <f t="shared" ref="L286:L313" si="25">J286^2</f>
        <v>10.951991419738409</v>
      </c>
      <c r="M286" s="1">
        <f t="shared" ref="M286:M313" si="26">K286^2</f>
        <v>2.3894190349924527</v>
      </c>
    </row>
    <row r="287" spans="1:13" x14ac:dyDescent="0.35">
      <c r="A287" s="10">
        <v>3</v>
      </c>
      <c r="B287" s="10">
        <v>1.0999999999999999E-2</v>
      </c>
      <c r="C287" s="1">
        <v>0.65600000000000003</v>
      </c>
      <c r="D287" s="10">
        <f t="shared" si="17"/>
        <v>7.2160000000000002E-3</v>
      </c>
      <c r="E287" s="10">
        <f t="shared" si="18"/>
        <v>1.2099999999999999E-4</v>
      </c>
      <c r="F287" s="10">
        <f t="shared" si="19"/>
        <v>1.3309999999999998E-6</v>
      </c>
      <c r="G287" s="10">
        <f t="shared" si="20"/>
        <v>1.4640999999999997E-8</v>
      </c>
      <c r="H287" s="10">
        <f t="shared" si="21"/>
        <v>7.9375999999999994E-5</v>
      </c>
      <c r="I287" s="10">
        <f t="shared" si="22"/>
        <v>2.9149064629107739</v>
      </c>
      <c r="J287" s="1">
        <f t="shared" si="23"/>
        <v>-3.4533793103448276</v>
      </c>
      <c r="K287" s="1">
        <f t="shared" si="24"/>
        <v>-1.1944728474340538</v>
      </c>
      <c r="L287" s="1">
        <f t="shared" si="25"/>
        <v>11.925828661117716</v>
      </c>
      <c r="M287" s="1">
        <f t="shared" si="26"/>
        <v>1.4267653832572165</v>
      </c>
    </row>
    <row r="288" spans="1:13" x14ac:dyDescent="0.35">
      <c r="A288" s="10">
        <v>4</v>
      </c>
      <c r="B288" s="10">
        <v>1.0999999999999999E-2</v>
      </c>
      <c r="C288" s="1">
        <v>3.22</v>
      </c>
      <c r="D288" s="10">
        <f t="shared" si="17"/>
        <v>3.542E-2</v>
      </c>
      <c r="E288" s="10">
        <f t="shared" si="18"/>
        <v>1.2099999999999999E-4</v>
      </c>
      <c r="F288" s="10">
        <f t="shared" si="19"/>
        <v>1.3309999999999998E-6</v>
      </c>
      <c r="G288" s="10">
        <f t="shared" si="20"/>
        <v>1.4640999999999997E-8</v>
      </c>
      <c r="H288" s="10">
        <f t="shared" si="21"/>
        <v>3.8961999999999997E-4</v>
      </c>
      <c r="I288" s="10">
        <f t="shared" si="22"/>
        <v>2.9149064629107739</v>
      </c>
      <c r="J288" s="1">
        <f t="shared" si="23"/>
        <v>-0.88937931034482753</v>
      </c>
      <c r="K288" s="1">
        <f t="shared" si="24"/>
        <v>-1.1944728474340538</v>
      </c>
      <c r="L288" s="1">
        <f t="shared" si="25"/>
        <v>0.79099555766944107</v>
      </c>
      <c r="M288" s="1">
        <f t="shared" si="26"/>
        <v>1.4267653832572165</v>
      </c>
    </row>
    <row r="289" spans="1:13" x14ac:dyDescent="0.35">
      <c r="A289" s="10">
        <v>5</v>
      </c>
      <c r="B289" s="10">
        <v>1.2E-2</v>
      </c>
      <c r="C289" s="1">
        <v>1.917</v>
      </c>
      <c r="D289" s="10">
        <f t="shared" si="17"/>
        <v>2.3004E-2</v>
      </c>
      <c r="E289" s="10">
        <f t="shared" si="18"/>
        <v>1.44E-4</v>
      </c>
      <c r="F289" s="10">
        <f t="shared" si="19"/>
        <v>1.728E-6</v>
      </c>
      <c r="G289" s="10">
        <f t="shared" si="20"/>
        <v>2.0736000000000001E-8</v>
      </c>
      <c r="H289" s="10">
        <f t="shared" si="21"/>
        <v>2.7604800000000004E-4</v>
      </c>
      <c r="I289" s="10">
        <f t="shared" si="22"/>
        <v>3.2485893250140938</v>
      </c>
      <c r="J289" s="1">
        <f t="shared" si="23"/>
        <v>-2.1923793103448279</v>
      </c>
      <c r="K289" s="1">
        <f t="shared" si="24"/>
        <v>-0.86078998533073392</v>
      </c>
      <c r="L289" s="1">
        <f t="shared" si="25"/>
        <v>4.8065270404280636</v>
      </c>
      <c r="M289" s="1">
        <f t="shared" si="26"/>
        <v>0.74095939884568507</v>
      </c>
    </row>
    <row r="290" spans="1:13" x14ac:dyDescent="0.35">
      <c r="A290" s="10">
        <v>6</v>
      </c>
      <c r="B290" s="10">
        <v>1.2E-2</v>
      </c>
      <c r="C290" s="1">
        <v>1.74</v>
      </c>
      <c r="D290" s="10">
        <f t="shared" si="17"/>
        <v>2.0879999999999999E-2</v>
      </c>
      <c r="E290" s="10">
        <f t="shared" si="18"/>
        <v>1.44E-4</v>
      </c>
      <c r="F290" s="10">
        <f t="shared" si="19"/>
        <v>1.728E-6</v>
      </c>
      <c r="G290" s="10">
        <f t="shared" si="20"/>
        <v>2.0736000000000001E-8</v>
      </c>
      <c r="H290" s="10">
        <f t="shared" si="21"/>
        <v>2.5055999999999999E-4</v>
      </c>
      <c r="I290" s="10">
        <f t="shared" si="22"/>
        <v>3.2485893250140938</v>
      </c>
      <c r="J290" s="1">
        <f t="shared" si="23"/>
        <v>-2.3693793103448275</v>
      </c>
      <c r="K290" s="1">
        <f t="shared" si="24"/>
        <v>-0.86078998533073392</v>
      </c>
      <c r="L290" s="1">
        <f t="shared" si="25"/>
        <v>5.6139583162901303</v>
      </c>
      <c r="M290" s="1">
        <f t="shared" si="26"/>
        <v>0.74095939884568507</v>
      </c>
    </row>
    <row r="291" spans="1:13" x14ac:dyDescent="0.35">
      <c r="A291" s="10">
        <v>7</v>
      </c>
      <c r="B291" s="10">
        <v>1.2E-2</v>
      </c>
      <c r="C291" s="1">
        <v>6.67</v>
      </c>
      <c r="D291" s="10">
        <f t="shared" si="17"/>
        <v>8.004E-2</v>
      </c>
      <c r="E291" s="10">
        <f t="shared" si="18"/>
        <v>1.44E-4</v>
      </c>
      <c r="F291" s="10">
        <f t="shared" si="19"/>
        <v>1.728E-6</v>
      </c>
      <c r="G291" s="10">
        <f t="shared" si="20"/>
        <v>2.0736000000000001E-8</v>
      </c>
      <c r="H291" s="10">
        <f t="shared" si="21"/>
        <v>9.6047999999999999E-4</v>
      </c>
      <c r="I291" s="10">
        <f t="shared" si="22"/>
        <v>3.2485893250140938</v>
      </c>
      <c r="J291" s="1">
        <f t="shared" si="23"/>
        <v>2.5606206896551722</v>
      </c>
      <c r="K291" s="1">
        <f t="shared" si="24"/>
        <v>-0.86078998533073392</v>
      </c>
      <c r="L291" s="1">
        <f t="shared" si="25"/>
        <v>6.5567783162901296</v>
      </c>
      <c r="M291" s="1">
        <f t="shared" si="26"/>
        <v>0.74095939884568507</v>
      </c>
    </row>
    <row r="292" spans="1:13" x14ac:dyDescent="0.35">
      <c r="A292" s="10">
        <v>8</v>
      </c>
      <c r="B292" s="10">
        <v>1.2999999999999999E-2</v>
      </c>
      <c r="C292" s="1">
        <v>2.8460000000000001</v>
      </c>
      <c r="D292" s="10">
        <f t="shared" si="17"/>
        <v>3.6997999999999996E-2</v>
      </c>
      <c r="E292" s="10">
        <f t="shared" si="18"/>
        <v>1.6899999999999999E-4</v>
      </c>
      <c r="F292" s="10">
        <f t="shared" si="19"/>
        <v>2.1969999999999999E-6</v>
      </c>
      <c r="G292" s="10">
        <f t="shared" si="20"/>
        <v>2.8560999999999997E-8</v>
      </c>
      <c r="H292" s="10">
        <f t="shared" si="21"/>
        <v>4.8097400000000001E-4</v>
      </c>
      <c r="I292" s="10">
        <f t="shared" si="22"/>
        <v>3.5646533222124273</v>
      </c>
      <c r="J292" s="1">
        <f t="shared" si="23"/>
        <v>-1.2633793103448276</v>
      </c>
      <c r="K292" s="1">
        <f t="shared" si="24"/>
        <v>-0.54472598813240047</v>
      </c>
      <c r="L292" s="1">
        <f t="shared" si="25"/>
        <v>1.5961272818073724</v>
      </c>
      <c r="M292" s="1">
        <f t="shared" si="26"/>
        <v>0.29672640214682011</v>
      </c>
    </row>
    <row r="293" spans="1:13" x14ac:dyDescent="0.35">
      <c r="A293" s="10">
        <v>9</v>
      </c>
      <c r="B293" s="10">
        <v>1.2999999999999999E-2</v>
      </c>
      <c r="C293" s="1">
        <v>11.3</v>
      </c>
      <c r="D293" s="10">
        <f t="shared" si="17"/>
        <v>0.1469</v>
      </c>
      <c r="E293" s="10">
        <f t="shared" si="18"/>
        <v>1.6899999999999999E-4</v>
      </c>
      <c r="F293" s="10">
        <f t="shared" si="19"/>
        <v>2.1969999999999999E-6</v>
      </c>
      <c r="G293" s="10">
        <f t="shared" si="20"/>
        <v>2.8560999999999997E-8</v>
      </c>
      <c r="H293" s="10">
        <f t="shared" si="21"/>
        <v>1.9097000000000001E-3</v>
      </c>
      <c r="I293" s="10">
        <f t="shared" si="22"/>
        <v>3.5646533222124273</v>
      </c>
      <c r="J293" s="1">
        <f t="shared" si="23"/>
        <v>7.190620689655173</v>
      </c>
      <c r="K293" s="1">
        <f t="shared" si="24"/>
        <v>-0.54472598813240047</v>
      </c>
      <c r="L293" s="1">
        <f t="shared" si="25"/>
        <v>51.705025902497034</v>
      </c>
      <c r="M293" s="1">
        <f t="shared" si="26"/>
        <v>0.29672640214682011</v>
      </c>
    </row>
    <row r="294" spans="1:13" x14ac:dyDescent="0.35">
      <c r="A294" s="10">
        <v>10</v>
      </c>
      <c r="B294" s="10">
        <v>1.2999999999999999E-2</v>
      </c>
      <c r="C294" s="1">
        <v>4.55</v>
      </c>
      <c r="D294" s="10">
        <f t="shared" si="17"/>
        <v>5.9149999999999994E-2</v>
      </c>
      <c r="E294" s="10">
        <f t="shared" si="18"/>
        <v>1.6899999999999999E-4</v>
      </c>
      <c r="F294" s="10">
        <f t="shared" si="19"/>
        <v>2.1969999999999999E-6</v>
      </c>
      <c r="G294" s="10">
        <f t="shared" si="20"/>
        <v>2.8560999999999997E-8</v>
      </c>
      <c r="H294" s="10">
        <f t="shared" si="21"/>
        <v>7.6894999999999991E-4</v>
      </c>
      <c r="I294" s="10">
        <f t="shared" si="22"/>
        <v>3.5646533222124273</v>
      </c>
      <c r="J294" s="1">
        <f t="shared" si="23"/>
        <v>0.44062068965517209</v>
      </c>
      <c r="K294" s="1">
        <f t="shared" si="24"/>
        <v>-0.54472598813240047</v>
      </c>
      <c r="L294" s="1">
        <f t="shared" si="25"/>
        <v>0.19414659215219948</v>
      </c>
      <c r="M294" s="1">
        <f t="shared" si="26"/>
        <v>0.29672640214682011</v>
      </c>
    </row>
    <row r="295" spans="1:13" x14ac:dyDescent="0.35">
      <c r="A295" s="10">
        <v>11</v>
      </c>
      <c r="B295" s="10">
        <v>1.2999999999999999E-2</v>
      </c>
      <c r="C295" s="1">
        <v>0.05</v>
      </c>
      <c r="D295" s="10">
        <f t="shared" si="17"/>
        <v>6.4999999999999997E-4</v>
      </c>
      <c r="E295" s="10">
        <f t="shared" si="18"/>
        <v>1.6899999999999999E-4</v>
      </c>
      <c r="F295" s="10">
        <f t="shared" si="19"/>
        <v>2.1969999999999999E-6</v>
      </c>
      <c r="G295" s="10">
        <f t="shared" si="20"/>
        <v>2.8560999999999997E-8</v>
      </c>
      <c r="H295" s="10">
        <f t="shared" si="21"/>
        <v>8.4500000000000004E-6</v>
      </c>
      <c r="I295" s="10">
        <f t="shared" si="22"/>
        <v>3.5646533222124273</v>
      </c>
      <c r="J295" s="1">
        <f t="shared" si="23"/>
        <v>-4.0593793103448279</v>
      </c>
      <c r="K295" s="1">
        <f t="shared" si="24"/>
        <v>-0.54472598813240047</v>
      </c>
      <c r="L295" s="1">
        <f t="shared" si="25"/>
        <v>16.478560385255651</v>
      </c>
      <c r="M295" s="1">
        <f t="shared" si="26"/>
        <v>0.29672640214682011</v>
      </c>
    </row>
    <row r="296" spans="1:13" x14ac:dyDescent="0.35">
      <c r="A296" s="10">
        <v>12</v>
      </c>
      <c r="B296" s="10">
        <v>1.4E-2</v>
      </c>
      <c r="C296" s="1">
        <v>3.48</v>
      </c>
      <c r="D296" s="10">
        <f t="shared" si="17"/>
        <v>4.8719999999999999E-2</v>
      </c>
      <c r="E296" s="10">
        <f t="shared" si="18"/>
        <v>1.9600000000000002E-4</v>
      </c>
      <c r="F296" s="10">
        <f t="shared" si="19"/>
        <v>2.7440000000000003E-6</v>
      </c>
      <c r="G296" s="10">
        <f t="shared" si="20"/>
        <v>3.8416000000000011E-8</v>
      </c>
      <c r="H296" s="10">
        <f t="shared" si="21"/>
        <v>6.8208000000000006E-4</v>
      </c>
      <c r="I296" s="10">
        <f t="shared" si="22"/>
        <v>3.8630984545057769</v>
      </c>
      <c r="J296" s="1">
        <f t="shared" si="23"/>
        <v>-0.62937931034482775</v>
      </c>
      <c r="K296" s="1">
        <f t="shared" si="24"/>
        <v>-0.24628085583905079</v>
      </c>
      <c r="L296" s="1">
        <f t="shared" si="25"/>
        <v>0.396118316290131</v>
      </c>
      <c r="M296" s="1">
        <f t="shared" si="26"/>
        <v>6.0654259952815322E-2</v>
      </c>
    </row>
    <row r="297" spans="1:13" x14ac:dyDescent="0.35">
      <c r="A297" s="10">
        <v>13</v>
      </c>
      <c r="B297" s="10">
        <v>1.4E-2</v>
      </c>
      <c r="C297" s="1">
        <v>5.33</v>
      </c>
      <c r="D297" s="10">
        <f t="shared" si="17"/>
        <v>7.4620000000000006E-2</v>
      </c>
      <c r="E297" s="10">
        <f t="shared" si="18"/>
        <v>1.9600000000000002E-4</v>
      </c>
      <c r="F297" s="10">
        <f t="shared" si="19"/>
        <v>2.7440000000000003E-6</v>
      </c>
      <c r="G297" s="10">
        <f t="shared" si="20"/>
        <v>3.8416000000000011E-8</v>
      </c>
      <c r="H297" s="10">
        <f t="shared" si="21"/>
        <v>1.0446800000000001E-3</v>
      </c>
      <c r="I297" s="10">
        <f t="shared" si="22"/>
        <v>3.8630984545057769</v>
      </c>
      <c r="J297" s="1">
        <f t="shared" si="23"/>
        <v>1.2206206896551723</v>
      </c>
      <c r="K297" s="1">
        <f t="shared" si="24"/>
        <v>-0.24628085583905079</v>
      </c>
      <c r="L297" s="1">
        <f t="shared" si="25"/>
        <v>1.4899148680142686</v>
      </c>
      <c r="M297" s="1">
        <f t="shared" si="26"/>
        <v>6.0654259952815322E-2</v>
      </c>
    </row>
    <row r="298" spans="1:13" x14ac:dyDescent="0.35">
      <c r="A298" s="10">
        <v>14</v>
      </c>
      <c r="B298" s="10">
        <v>1.4999999999999999E-2</v>
      </c>
      <c r="C298" s="1">
        <v>3.77</v>
      </c>
      <c r="D298" s="10">
        <f t="shared" si="17"/>
        <v>5.6549999999999996E-2</v>
      </c>
      <c r="E298" s="10">
        <f t="shared" si="18"/>
        <v>2.2499999999999999E-4</v>
      </c>
      <c r="F298" s="10">
        <f t="shared" si="19"/>
        <v>3.3749999999999999E-6</v>
      </c>
      <c r="G298" s="10">
        <f t="shared" si="20"/>
        <v>5.0624999999999998E-8</v>
      </c>
      <c r="H298" s="10">
        <f t="shared" si="21"/>
        <v>8.4824999999999994E-4</v>
      </c>
      <c r="I298" s="10">
        <f t="shared" si="22"/>
        <v>4.1439247218941402</v>
      </c>
      <c r="J298" s="1">
        <f t="shared" si="23"/>
        <v>-0.33937931034482771</v>
      </c>
      <c r="K298" s="1">
        <f t="shared" si="24"/>
        <v>3.4545411549312455E-2</v>
      </c>
      <c r="L298" s="1">
        <f t="shared" si="25"/>
        <v>0.11517831629013088</v>
      </c>
      <c r="M298" s="1">
        <f t="shared" si="26"/>
        <v>1.1933854591113704E-3</v>
      </c>
    </row>
    <row r="299" spans="1:13" x14ac:dyDescent="0.35">
      <c r="A299" s="10">
        <v>15</v>
      </c>
      <c r="B299" s="10">
        <v>1.4999999999999999E-2</v>
      </c>
      <c r="C299" s="1">
        <v>0.185</v>
      </c>
      <c r="D299" s="10">
        <f t="shared" si="17"/>
        <v>2.7749999999999997E-3</v>
      </c>
      <c r="E299" s="10">
        <f t="shared" si="18"/>
        <v>2.2499999999999999E-4</v>
      </c>
      <c r="F299" s="10">
        <f t="shared" si="19"/>
        <v>3.3749999999999999E-6</v>
      </c>
      <c r="G299" s="10">
        <f t="shared" si="20"/>
        <v>5.0624999999999998E-8</v>
      </c>
      <c r="H299" s="10">
        <f t="shared" si="21"/>
        <v>4.1624999999999995E-5</v>
      </c>
      <c r="I299" s="10">
        <f t="shared" si="22"/>
        <v>4.1439247218941402</v>
      </c>
      <c r="J299" s="1">
        <f t="shared" si="23"/>
        <v>-3.9243793103448277</v>
      </c>
      <c r="K299" s="1">
        <f t="shared" si="24"/>
        <v>3.4545411549312455E-2</v>
      </c>
      <c r="L299" s="1">
        <f t="shared" si="25"/>
        <v>15.400752971462545</v>
      </c>
      <c r="M299" s="1">
        <f t="shared" si="26"/>
        <v>1.1933854591113704E-3</v>
      </c>
    </row>
    <row r="300" spans="1:13" x14ac:dyDescent="0.35">
      <c r="A300" s="10">
        <v>16</v>
      </c>
      <c r="B300" s="10">
        <v>1.4999999999999999E-2</v>
      </c>
      <c r="C300" s="1">
        <v>3.8</v>
      </c>
      <c r="D300" s="10">
        <f t="shared" si="17"/>
        <v>5.6999999999999995E-2</v>
      </c>
      <c r="E300" s="10">
        <f t="shared" si="18"/>
        <v>2.2499999999999999E-4</v>
      </c>
      <c r="F300" s="10">
        <f t="shared" si="19"/>
        <v>3.3749999999999999E-6</v>
      </c>
      <c r="G300" s="10">
        <f t="shared" si="20"/>
        <v>5.0624999999999998E-8</v>
      </c>
      <c r="H300" s="10">
        <f t="shared" si="21"/>
        <v>8.5499999999999997E-4</v>
      </c>
      <c r="I300" s="10">
        <f t="shared" si="22"/>
        <v>4.1439247218941402</v>
      </c>
      <c r="J300" s="1">
        <f t="shared" si="23"/>
        <v>-0.30937931034482791</v>
      </c>
      <c r="K300" s="1">
        <f t="shared" si="24"/>
        <v>3.4545411549312455E-2</v>
      </c>
      <c r="L300" s="1">
        <f t="shared" si="25"/>
        <v>9.5715557669441342E-2</v>
      </c>
      <c r="M300" s="1">
        <f t="shared" si="26"/>
        <v>1.1933854591113704E-3</v>
      </c>
    </row>
    <row r="301" spans="1:13" x14ac:dyDescent="0.35">
      <c r="A301" s="10">
        <v>17</v>
      </c>
      <c r="B301" s="10">
        <v>1.6E-2</v>
      </c>
      <c r="C301" s="1">
        <v>4.2</v>
      </c>
      <c r="D301" s="10">
        <f t="shared" si="17"/>
        <v>6.720000000000001E-2</v>
      </c>
      <c r="E301" s="10">
        <f t="shared" si="18"/>
        <v>2.5599999999999999E-4</v>
      </c>
      <c r="F301" s="10">
        <f t="shared" si="19"/>
        <v>4.0960000000000003E-6</v>
      </c>
      <c r="G301" s="10">
        <f t="shared" si="20"/>
        <v>6.5535999999999999E-8</v>
      </c>
      <c r="H301" s="10">
        <f t="shared" si="21"/>
        <v>1.0751999999999999E-3</v>
      </c>
      <c r="I301" s="10">
        <f t="shared" si="22"/>
        <v>4.4071321243775188</v>
      </c>
      <c r="J301" s="1">
        <f t="shared" si="23"/>
        <v>9.0620689655172448E-2</v>
      </c>
      <c r="K301" s="1">
        <f t="shared" si="24"/>
        <v>0.29775281403269105</v>
      </c>
      <c r="L301" s="1">
        <f t="shared" si="25"/>
        <v>8.2121093935790795E-3</v>
      </c>
      <c r="M301" s="1">
        <f t="shared" si="26"/>
        <v>8.8656738264386303E-2</v>
      </c>
    </row>
    <row r="302" spans="1:13" x14ac:dyDescent="0.35">
      <c r="A302" s="10">
        <v>18</v>
      </c>
      <c r="B302" s="10">
        <v>1.6E-2</v>
      </c>
      <c r="C302" s="1">
        <v>8.3000000000000007</v>
      </c>
      <c r="D302" s="10">
        <f t="shared" si="17"/>
        <v>0.1328</v>
      </c>
      <c r="E302" s="10">
        <f t="shared" si="18"/>
        <v>2.5599999999999999E-4</v>
      </c>
      <c r="F302" s="10">
        <f t="shared" si="19"/>
        <v>4.0960000000000003E-6</v>
      </c>
      <c r="G302" s="10">
        <f t="shared" si="20"/>
        <v>6.5535999999999999E-8</v>
      </c>
      <c r="H302" s="10">
        <f t="shared" si="21"/>
        <v>2.1248E-3</v>
      </c>
      <c r="I302" s="10">
        <f t="shared" si="22"/>
        <v>4.4071321243775188</v>
      </c>
      <c r="J302" s="1">
        <f t="shared" si="23"/>
        <v>4.190620689655173</v>
      </c>
      <c r="K302" s="1">
        <f t="shared" si="24"/>
        <v>0.29775281403269105</v>
      </c>
      <c r="L302" s="1">
        <f t="shared" si="25"/>
        <v>17.561301764565997</v>
      </c>
      <c r="M302" s="1">
        <f t="shared" si="26"/>
        <v>8.8656738264386303E-2</v>
      </c>
    </row>
    <row r="303" spans="1:13" x14ac:dyDescent="0.35">
      <c r="A303" s="10">
        <v>19</v>
      </c>
      <c r="B303" s="10">
        <v>1.7000000000000001E-2</v>
      </c>
      <c r="C303" s="1">
        <v>15</v>
      </c>
      <c r="D303" s="10">
        <f t="shared" si="17"/>
        <v>0.255</v>
      </c>
      <c r="E303" s="10">
        <f t="shared" si="18"/>
        <v>2.8900000000000003E-4</v>
      </c>
      <c r="F303" s="10">
        <f t="shared" si="19"/>
        <v>4.9130000000000011E-6</v>
      </c>
      <c r="G303" s="10">
        <f t="shared" si="20"/>
        <v>8.3521000000000024E-8</v>
      </c>
      <c r="H303" s="10">
        <f t="shared" si="21"/>
        <v>4.3350000000000003E-3</v>
      </c>
      <c r="I303" s="10">
        <f t="shared" si="22"/>
        <v>4.6527206619559127</v>
      </c>
      <c r="J303" s="1">
        <f t="shared" si="23"/>
        <v>10.890620689655172</v>
      </c>
      <c r="K303" s="1">
        <f t="shared" si="24"/>
        <v>0.54334135161108499</v>
      </c>
      <c r="L303" s="1">
        <f t="shared" si="25"/>
        <v>118.6056190059453</v>
      </c>
      <c r="M303" s="1">
        <f t="shared" si="26"/>
        <v>0.29521982437056071</v>
      </c>
    </row>
    <row r="304" spans="1:13" x14ac:dyDescent="0.35">
      <c r="A304" s="10">
        <v>20</v>
      </c>
      <c r="B304" s="10">
        <v>1.7999999999999999E-2</v>
      </c>
      <c r="C304" s="1">
        <v>0.58299999999999996</v>
      </c>
      <c r="D304" s="10">
        <f t="shared" si="17"/>
        <v>1.0493999999999998E-2</v>
      </c>
      <c r="E304" s="10">
        <f t="shared" si="18"/>
        <v>3.2399999999999996E-4</v>
      </c>
      <c r="F304" s="10">
        <f t="shared" si="19"/>
        <v>5.8319999999999985E-6</v>
      </c>
      <c r="G304" s="10">
        <f t="shared" si="20"/>
        <v>1.0497599999999997E-7</v>
      </c>
      <c r="H304" s="10">
        <f t="shared" si="21"/>
        <v>1.8889199999999997E-4</v>
      </c>
      <c r="I304" s="10">
        <f t="shared" si="22"/>
        <v>4.8806903346293193</v>
      </c>
      <c r="J304" s="1">
        <f t="shared" si="23"/>
        <v>-3.5263793103448275</v>
      </c>
      <c r="K304" s="1">
        <f t="shared" si="24"/>
        <v>0.77131102428449161</v>
      </c>
      <c r="L304" s="1">
        <f t="shared" si="25"/>
        <v>12.435351040428062</v>
      </c>
      <c r="M304" s="1">
        <f t="shared" si="26"/>
        <v>0.59492069618279164</v>
      </c>
    </row>
    <row r="305" spans="1:13" x14ac:dyDescent="0.35">
      <c r="A305" s="10">
        <v>21</v>
      </c>
      <c r="B305" s="10">
        <v>1.7999999999999999E-2</v>
      </c>
      <c r="C305" s="1">
        <v>0.89</v>
      </c>
      <c r="D305" s="10">
        <f t="shared" si="17"/>
        <v>1.602E-2</v>
      </c>
      <c r="E305" s="10">
        <f t="shared" si="18"/>
        <v>3.2399999999999996E-4</v>
      </c>
      <c r="F305" s="10">
        <f t="shared" si="19"/>
        <v>5.8319999999999985E-6</v>
      </c>
      <c r="G305" s="10">
        <f t="shared" si="20"/>
        <v>1.0497599999999997E-7</v>
      </c>
      <c r="H305" s="10">
        <f t="shared" si="21"/>
        <v>2.8835999999999998E-4</v>
      </c>
      <c r="I305" s="10">
        <f t="shared" si="22"/>
        <v>4.8806903346293193</v>
      </c>
      <c r="J305" s="1">
        <f t="shared" si="23"/>
        <v>-3.2193793103448276</v>
      </c>
      <c r="K305" s="1">
        <f t="shared" si="24"/>
        <v>0.77131102428449161</v>
      </c>
      <c r="L305" s="1">
        <f t="shared" si="25"/>
        <v>10.364403143876338</v>
      </c>
      <c r="M305" s="1">
        <f t="shared" si="26"/>
        <v>0.59492069618279164</v>
      </c>
    </row>
    <row r="306" spans="1:13" x14ac:dyDescent="0.35">
      <c r="A306" s="10">
        <v>22</v>
      </c>
      <c r="B306" s="10">
        <v>1.9E-2</v>
      </c>
      <c r="C306" s="1">
        <v>0.122</v>
      </c>
      <c r="D306" s="10">
        <f t="shared" si="17"/>
        <v>2.3179999999999997E-3</v>
      </c>
      <c r="E306" s="10">
        <f t="shared" si="18"/>
        <v>3.6099999999999999E-4</v>
      </c>
      <c r="F306" s="10">
        <f t="shared" si="19"/>
        <v>6.8589999999999999E-6</v>
      </c>
      <c r="G306" s="10">
        <f t="shared" si="20"/>
        <v>1.3032099999999999E-7</v>
      </c>
      <c r="H306" s="10">
        <f t="shared" si="21"/>
        <v>4.4041999999999996E-5</v>
      </c>
      <c r="I306" s="10">
        <f t="shared" si="22"/>
        <v>5.0910411423977422</v>
      </c>
      <c r="J306" s="1">
        <f t="shared" si="23"/>
        <v>-3.9873793103448278</v>
      </c>
      <c r="K306" s="1">
        <f t="shared" si="24"/>
        <v>0.98166183205291446</v>
      </c>
      <c r="L306" s="1">
        <f t="shared" si="25"/>
        <v>15.899193764565995</v>
      </c>
      <c r="M306" s="1">
        <f t="shared" si="26"/>
        <v>0.96365995250948444</v>
      </c>
    </row>
    <row r="307" spans="1:13" x14ac:dyDescent="0.35">
      <c r="A307" s="10">
        <v>23</v>
      </c>
      <c r="B307" s="10">
        <v>0.02</v>
      </c>
      <c r="C307" s="1">
        <v>12.3</v>
      </c>
      <c r="D307" s="10">
        <f t="shared" si="17"/>
        <v>0.24600000000000002</v>
      </c>
      <c r="E307" s="10">
        <f t="shared" si="18"/>
        <v>4.0000000000000002E-4</v>
      </c>
      <c r="F307" s="10">
        <f t="shared" si="19"/>
        <v>8.0000000000000013E-6</v>
      </c>
      <c r="G307" s="10">
        <f t="shared" si="20"/>
        <v>1.6E-7</v>
      </c>
      <c r="H307" s="10">
        <f t="shared" si="21"/>
        <v>4.9200000000000008E-3</v>
      </c>
      <c r="I307" s="10">
        <f t="shared" si="22"/>
        <v>5.2837730852611813</v>
      </c>
      <c r="J307" s="1">
        <f t="shared" si="23"/>
        <v>8.190620689655173</v>
      </c>
      <c r="K307" s="1">
        <f t="shared" si="24"/>
        <v>1.1743937749163535</v>
      </c>
      <c r="L307" s="1">
        <f t="shared" si="25"/>
        <v>67.08626728180738</v>
      </c>
      <c r="M307" s="1">
        <f t="shared" si="26"/>
        <v>1.3792007385622829</v>
      </c>
    </row>
    <row r="308" spans="1:13" x14ac:dyDescent="0.35">
      <c r="A308" s="10">
        <v>24</v>
      </c>
      <c r="B308" s="10">
        <v>2.1000000000000001E-2</v>
      </c>
      <c r="C308" s="1">
        <v>2.33</v>
      </c>
      <c r="D308" s="10">
        <f t="shared" si="17"/>
        <v>4.8930000000000001E-2</v>
      </c>
      <c r="E308" s="10">
        <f t="shared" si="18"/>
        <v>4.4100000000000004E-4</v>
      </c>
      <c r="F308" s="10">
        <f t="shared" si="19"/>
        <v>9.2610000000000016E-6</v>
      </c>
      <c r="G308" s="10">
        <f t="shared" si="20"/>
        <v>1.9448100000000003E-7</v>
      </c>
      <c r="H308" s="10">
        <f t="shared" si="21"/>
        <v>1.02753E-3</v>
      </c>
      <c r="I308" s="10">
        <f t="shared" si="22"/>
        <v>5.458886163219633</v>
      </c>
      <c r="J308" s="1">
        <f t="shared" si="23"/>
        <v>-1.7793793103448277</v>
      </c>
      <c r="K308" s="1">
        <f t="shared" si="24"/>
        <v>1.3495068528748053</v>
      </c>
      <c r="L308" s="1">
        <f t="shared" si="25"/>
        <v>3.1661907300832346</v>
      </c>
      <c r="M308" s="1">
        <f t="shared" si="26"/>
        <v>1.8211687459560615</v>
      </c>
    </row>
    <row r="309" spans="1:13" x14ac:dyDescent="0.35">
      <c r="A309" s="10">
        <v>25</v>
      </c>
      <c r="B309" s="10">
        <v>2.3E-2</v>
      </c>
      <c r="C309" s="1">
        <v>6.43</v>
      </c>
      <c r="D309" s="10">
        <f t="shared" si="17"/>
        <v>0.14788999999999999</v>
      </c>
      <c r="E309" s="10">
        <f t="shared" si="18"/>
        <v>5.2899999999999996E-4</v>
      </c>
      <c r="F309" s="10">
        <f t="shared" si="19"/>
        <v>1.2166999999999999E-5</v>
      </c>
      <c r="G309" s="10">
        <f t="shared" si="20"/>
        <v>2.7984099999999997E-7</v>
      </c>
      <c r="H309" s="10">
        <f t="shared" si="21"/>
        <v>3.4014699999999998E-3</v>
      </c>
      <c r="I309" s="10">
        <f t="shared" si="22"/>
        <v>5.75625572442158</v>
      </c>
      <c r="J309" s="1">
        <f t="shared" si="23"/>
        <v>2.320620689655172</v>
      </c>
      <c r="K309" s="1">
        <f t="shared" si="24"/>
        <v>1.6468764140767522</v>
      </c>
      <c r="L309" s="1">
        <f t="shared" si="25"/>
        <v>5.3852803852556459</v>
      </c>
      <c r="M309" s="1">
        <f t="shared" si="26"/>
        <v>2.7122019232423025</v>
      </c>
    </row>
    <row r="310" spans="1:13" x14ac:dyDescent="0.35">
      <c r="A310" s="10">
        <v>26</v>
      </c>
      <c r="B310" s="10">
        <v>3.2000000000000001E-2</v>
      </c>
      <c r="C310" s="1">
        <v>3.2829999999999999</v>
      </c>
      <c r="D310" s="10">
        <f t="shared" si="17"/>
        <v>0.105056</v>
      </c>
      <c r="E310" s="10">
        <f t="shared" si="18"/>
        <v>1.024E-3</v>
      </c>
      <c r="F310" s="10">
        <f t="shared" si="19"/>
        <v>3.2768000000000002E-5</v>
      </c>
      <c r="G310" s="10">
        <f t="shared" si="20"/>
        <v>1.048576E-6</v>
      </c>
      <c r="H310" s="10">
        <f t="shared" si="21"/>
        <v>3.3617919999999997E-3</v>
      </c>
      <c r="I310" s="10">
        <f t="shared" si="22"/>
        <v>6.2222849370335762</v>
      </c>
      <c r="J310" s="1">
        <f t="shared" si="23"/>
        <v>-0.82637931034482781</v>
      </c>
      <c r="K310" s="1">
        <f t="shared" si="24"/>
        <v>2.1129056266887485</v>
      </c>
      <c r="L310" s="1">
        <f t="shared" si="25"/>
        <v>0.68290276456599319</v>
      </c>
      <c r="M310" s="1">
        <f t="shared" si="26"/>
        <v>4.4643701872929729</v>
      </c>
    </row>
    <row r="311" spans="1:13" x14ac:dyDescent="0.35">
      <c r="A311" s="10">
        <v>27</v>
      </c>
      <c r="B311" s="10">
        <v>3.3000000000000002E-2</v>
      </c>
      <c r="C311" s="1">
        <v>7.22</v>
      </c>
      <c r="D311" s="10">
        <f t="shared" si="17"/>
        <v>0.23826</v>
      </c>
      <c r="E311" s="10">
        <f t="shared" si="18"/>
        <v>1.0890000000000001E-3</v>
      </c>
      <c r="F311" s="10">
        <f t="shared" si="19"/>
        <v>3.5937000000000005E-5</v>
      </c>
      <c r="G311" s="10">
        <f t="shared" si="20"/>
        <v>1.1859210000000003E-6</v>
      </c>
      <c r="H311" s="10">
        <f t="shared" si="21"/>
        <v>7.862580000000001E-3</v>
      </c>
      <c r="I311" s="10">
        <f t="shared" si="22"/>
        <v>6.1859716361322068</v>
      </c>
      <c r="J311" s="1">
        <f t="shared" si="23"/>
        <v>3.110620689655172</v>
      </c>
      <c r="K311" s="1">
        <f t="shared" si="24"/>
        <v>2.0765923257873791</v>
      </c>
      <c r="L311" s="1">
        <f t="shared" si="25"/>
        <v>9.675961074910818</v>
      </c>
      <c r="M311" s="1">
        <f t="shared" si="26"/>
        <v>4.3122356875190366</v>
      </c>
    </row>
    <row r="312" spans="1:13" x14ac:dyDescent="0.35">
      <c r="A312" s="10">
        <v>28</v>
      </c>
      <c r="B312" s="10">
        <v>4.2000000000000003E-2</v>
      </c>
      <c r="C312" s="1">
        <v>5.17</v>
      </c>
      <c r="D312" s="10">
        <f t="shared" si="17"/>
        <v>0.21714</v>
      </c>
      <c r="E312" s="10">
        <f t="shared" si="18"/>
        <v>1.7640000000000002E-3</v>
      </c>
      <c r="F312" s="10">
        <f t="shared" si="19"/>
        <v>7.4088000000000013E-5</v>
      </c>
      <c r="G312" s="10">
        <f t="shared" si="20"/>
        <v>3.1116960000000005E-6</v>
      </c>
      <c r="H312" s="10">
        <f t="shared" si="21"/>
        <v>9.1198800000000003E-3</v>
      </c>
      <c r="I312" s="10">
        <f t="shared" si="22"/>
        <v>5.0663030072955291</v>
      </c>
      <c r="J312" s="1">
        <f t="shared" si="23"/>
        <v>1.0606206896551722</v>
      </c>
      <c r="K312" s="1">
        <f t="shared" si="24"/>
        <v>0.95692369695070134</v>
      </c>
      <c r="L312" s="1">
        <f t="shared" si="25"/>
        <v>1.124916247324613</v>
      </c>
      <c r="M312" s="1">
        <f t="shared" si="26"/>
        <v>0.91570296178579769</v>
      </c>
    </row>
    <row r="313" spans="1:13" x14ac:dyDescent="0.35">
      <c r="A313" s="10">
        <v>29</v>
      </c>
      <c r="B313" s="10">
        <v>5.2999999999999999E-2</v>
      </c>
      <c r="C313" s="1">
        <v>2.13</v>
      </c>
      <c r="D313" s="10">
        <f t="shared" si="17"/>
        <v>0.11288999999999999</v>
      </c>
      <c r="E313" s="10">
        <f t="shared" si="18"/>
        <v>2.8089999999999999E-3</v>
      </c>
      <c r="F313" s="10">
        <f t="shared" si="19"/>
        <v>1.4887699999999998E-4</v>
      </c>
      <c r="G313" s="10">
        <f t="shared" si="20"/>
        <v>7.8904809999999998E-6</v>
      </c>
      <c r="H313" s="10">
        <f t="shared" si="21"/>
        <v>5.9831699999999995E-3</v>
      </c>
      <c r="I313" s="10">
        <f t="shared" si="22"/>
        <v>1.7597439880578776</v>
      </c>
      <c r="J313" s="1">
        <f t="shared" si="23"/>
        <v>-1.9793793103448278</v>
      </c>
      <c r="K313" s="1">
        <f t="shared" si="24"/>
        <v>-2.3496353222869502</v>
      </c>
      <c r="L313" s="1">
        <f t="shared" si="25"/>
        <v>3.917942454221166</v>
      </c>
      <c r="M313" s="1">
        <f t="shared" si="26"/>
        <v>5.5207861477384998</v>
      </c>
    </row>
    <row r="315" spans="1:13" x14ac:dyDescent="0.35">
      <c r="A315" s="36" t="s">
        <v>86</v>
      </c>
      <c r="B315">
        <f>SUM(B285:B313)</f>
        <v>0.53100000000000014</v>
      </c>
      <c r="D315" s="37" t="s">
        <v>95</v>
      </c>
      <c r="E315" s="37"/>
      <c r="F315" s="37"/>
      <c r="G315" s="37" t="s">
        <v>96</v>
      </c>
      <c r="H315" s="37"/>
      <c r="K315" s="18" t="s">
        <v>49</v>
      </c>
      <c r="L315" s="1">
        <f>SUM(L285:L313)</f>
        <v>404.33127682758641</v>
      </c>
    </row>
    <row r="316" spans="1:13" x14ac:dyDescent="0.35">
      <c r="A316" s="36" t="s">
        <v>87</v>
      </c>
      <c r="B316">
        <f>SUM(E285:E313)</f>
        <v>1.2483000000000001E-2</v>
      </c>
      <c r="D316">
        <f>B322</f>
        <v>29</v>
      </c>
      <c r="E316">
        <f>B315</f>
        <v>0.53100000000000014</v>
      </c>
      <c r="F316">
        <f>B316</f>
        <v>1.2483000000000001E-2</v>
      </c>
      <c r="G316" s="1">
        <f>B317</f>
        <v>119.172</v>
      </c>
      <c r="H316" s="10"/>
      <c r="K316" s="18" t="s">
        <v>50</v>
      </c>
      <c r="L316" s="1">
        <f>SUM(M285:M313)</f>
        <v>34.918742355777994</v>
      </c>
    </row>
    <row r="317" spans="1:13" x14ac:dyDescent="0.35">
      <c r="A317" s="36" t="s">
        <v>88</v>
      </c>
      <c r="B317" s="1">
        <f>SUM(C285:C313)</f>
        <v>119.172</v>
      </c>
      <c r="D317">
        <f>B315</f>
        <v>0.53100000000000014</v>
      </c>
      <c r="E317">
        <f>B316</f>
        <v>1.2483000000000001E-2</v>
      </c>
      <c r="F317">
        <f>B318</f>
        <v>3.8697299999999998E-4</v>
      </c>
      <c r="G317" s="10">
        <f>B319</f>
        <v>2.266921</v>
      </c>
      <c r="H317" s="10"/>
      <c r="K317" s="22" t="s">
        <v>24</v>
      </c>
      <c r="L317">
        <f>L316/L315</f>
        <v>8.636171465574731E-2</v>
      </c>
    </row>
    <row r="318" spans="1:13" x14ac:dyDescent="0.35">
      <c r="A318" s="36" t="s">
        <v>89</v>
      </c>
      <c r="B318">
        <f>SUM(F285:F313)</f>
        <v>3.8697299999999998E-4</v>
      </c>
      <c r="D318">
        <f>B316</f>
        <v>1.2483000000000001E-2</v>
      </c>
      <c r="E318">
        <f>B318</f>
        <v>3.8697299999999998E-4</v>
      </c>
      <c r="F318">
        <f>B320</f>
        <v>1.4880303E-5</v>
      </c>
      <c r="G318" s="10">
        <f>B321</f>
        <v>5.2498508999999999E-2</v>
      </c>
      <c r="H318" s="10"/>
    </row>
    <row r="319" spans="1:13" x14ac:dyDescent="0.35">
      <c r="A319" s="36" t="s">
        <v>90</v>
      </c>
      <c r="B319">
        <f>SUM(D285:D313)</f>
        <v>2.266921</v>
      </c>
    </row>
    <row r="320" spans="1:13" x14ac:dyDescent="0.35">
      <c r="A320" s="36" t="s">
        <v>91</v>
      </c>
      <c r="B320">
        <f>SUM(G285:G313)</f>
        <v>1.4880303E-5</v>
      </c>
      <c r="D320" s="38" t="s">
        <v>97</v>
      </c>
      <c r="E320" s="39"/>
      <c r="H320" s="40" t="s">
        <v>98</v>
      </c>
    </row>
    <row r="321" spans="1:8" x14ac:dyDescent="0.35">
      <c r="A321" s="36" t="s">
        <v>92</v>
      </c>
      <c r="B321">
        <f>SUM(H285:H313)</f>
        <v>5.2498508999999999E-2</v>
      </c>
      <c r="D321" cm="1">
        <f t="array" ref="D321:F323">MINVERSE(D316:F318)</f>
        <v>1.0802921374943912</v>
      </c>
      <c r="E321">
        <v>-92.14366681697733</v>
      </c>
      <c r="F321">
        <v>1490.0116232057696</v>
      </c>
      <c r="H321" cm="1">
        <f t="array" ref="H321:H323">MMULT(_xlfn.ANCHORARRAY(D321),G316:G318)</f>
        <v>-1.9184501039547683</v>
      </c>
    </row>
    <row r="322" spans="1:8" x14ac:dyDescent="0.35">
      <c r="A322" s="36" t="s">
        <v>93</v>
      </c>
      <c r="B322">
        <v>29</v>
      </c>
      <c r="D322">
        <v>-92.143666816977301</v>
      </c>
      <c r="E322">
        <v>8272.7172922693899</v>
      </c>
      <c r="F322">
        <v>-137839.18485161455</v>
      </c>
      <c r="H322">
        <v>536.29980851065011</v>
      </c>
    </row>
    <row r="323" spans="1:8" x14ac:dyDescent="0.35">
      <c r="A323" s="36" t="s">
        <v>94</v>
      </c>
      <c r="B323" s="1">
        <f>B317/B322</f>
        <v>4.1093793103448277</v>
      </c>
      <c r="D323">
        <v>1490.0116232057687</v>
      </c>
      <c r="E323">
        <v>-137839.18485161453</v>
      </c>
      <c r="F323">
        <v>2401848.120102542</v>
      </c>
      <c r="H323">
        <v>-8809.4324524926342</v>
      </c>
    </row>
    <row r="325" spans="1:8" x14ac:dyDescent="0.35">
      <c r="A325" s="40" t="s">
        <v>99</v>
      </c>
      <c r="B325" s="39"/>
    </row>
    <row r="326" spans="1:8" x14ac:dyDescent="0.35">
      <c r="A326" s="10" t="s">
        <v>100</v>
      </c>
    </row>
  </sheetData>
  <sortState xmlns:xlrd2="http://schemas.microsoft.com/office/spreadsheetml/2017/richdata2" ref="B179:C207">
    <sortCondition ref="B179:B207"/>
  </sortState>
  <mergeCells count="2">
    <mergeCell ref="D315:F315"/>
    <mergeCell ref="G315:H3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Fanis Nigamadyanov</cp:lastModifiedBy>
  <dcterms:modified xsi:type="dcterms:W3CDTF">2023-11-13T10:40:11Z</dcterms:modified>
</cp:coreProperties>
</file>