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agina web fantasy NFL\OtrasPaginas\"/>
    </mc:Choice>
  </mc:AlternateContent>
  <bookViews>
    <workbookView xWindow="0" yWindow="0" windowWidth="20400" windowHeight="6660" activeTab="1"/>
  </bookViews>
  <sheets>
    <sheet name="partidos regular" sheetId="1" r:id="rId1"/>
    <sheet name="playoffs" sheetId="2" r:id="rId2"/>
    <sheet name="stats" sheetId="3" r:id="rId3"/>
    <sheet name="paternidades" sheetId="4" r:id="rId4"/>
    <sheet name="Rank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4" i="3" l="1"/>
  <c r="B13" i="4" l="1"/>
  <c r="B38" i="4"/>
  <c r="B72" i="3" l="1"/>
  <c r="B62" i="3"/>
  <c r="B52" i="3"/>
  <c r="B42" i="3"/>
  <c r="B32" i="3"/>
  <c r="B22" i="3"/>
  <c r="B12" i="3"/>
  <c r="B74" i="3"/>
  <c r="B75" i="3" s="1"/>
  <c r="B64" i="3"/>
  <c r="B65" i="3" s="1"/>
  <c r="B54" i="3"/>
  <c r="B55" i="3" s="1"/>
  <c r="B44" i="3"/>
  <c r="B45" i="3" s="1"/>
  <c r="B34" i="3"/>
  <c r="B35" i="3" s="1"/>
  <c r="B24" i="3"/>
  <c r="B25" i="3" s="1"/>
  <c r="B14" i="3"/>
  <c r="B15" i="3" s="1"/>
  <c r="B5" i="3"/>
  <c r="B2" i="3"/>
  <c r="B54" i="4"/>
  <c r="B58" i="4"/>
  <c r="B35" i="4"/>
  <c r="B28" i="4"/>
  <c r="B12" i="4"/>
  <c r="B25" i="4"/>
  <c r="B42" i="4"/>
  <c r="B53" i="4"/>
  <c r="B48" i="4"/>
  <c r="B47" i="4"/>
  <c r="B33" i="4"/>
  <c r="B26" i="4"/>
  <c r="B18" i="4"/>
  <c r="B57" i="4"/>
  <c r="B44" i="4"/>
  <c r="B3" i="4"/>
  <c r="B16" i="4"/>
  <c r="B7" i="4"/>
  <c r="B56" i="4"/>
  <c r="B55" i="4"/>
  <c r="B14" i="4"/>
  <c r="B8" i="4"/>
  <c r="B2" i="4"/>
  <c r="B77" i="4"/>
  <c r="B5" i="4"/>
  <c r="B24" i="4"/>
  <c r="B6" i="4"/>
  <c r="B46" i="4"/>
  <c r="B36" i="4"/>
  <c r="B62" i="4"/>
  <c r="B15" i="4"/>
  <c r="B63" i="4"/>
  <c r="B74" i="4"/>
  <c r="B66" i="4"/>
  <c r="B37" i="4"/>
  <c r="B78" i="4"/>
  <c r="B34" i="4"/>
  <c r="B76" i="4"/>
  <c r="B64" i="4"/>
  <c r="B75" i="4"/>
  <c r="B32" i="4"/>
  <c r="B68" i="4"/>
  <c r="B4" i="4"/>
  <c r="B45" i="4"/>
  <c r="B65" i="4"/>
  <c r="B67" i="4"/>
  <c r="B23" i="4"/>
  <c r="B43" i="4"/>
  <c r="B22" i="4"/>
  <c r="B17" i="4"/>
  <c r="B52" i="4"/>
  <c r="B73" i="4"/>
  <c r="B27" i="4"/>
  <c r="B72" i="4"/>
  <c r="B13" i="3" l="1"/>
  <c r="B4" i="5"/>
  <c r="B23" i="3"/>
  <c r="B5" i="5"/>
  <c r="B33" i="3"/>
  <c r="B9" i="5"/>
  <c r="B43" i="3"/>
  <c r="B8" i="5"/>
  <c r="B53" i="3"/>
  <c r="B6" i="5"/>
  <c r="B63" i="3"/>
  <c r="B7" i="5"/>
  <c r="B73" i="3"/>
  <c r="B3" i="3"/>
  <c r="B3" i="5"/>
</calcChain>
</file>

<file path=xl/sharedStrings.xml><?xml version="1.0" encoding="utf-8"?>
<sst xmlns="http://schemas.openxmlformats.org/spreadsheetml/2006/main" count="507" uniqueCount="170">
  <si>
    <t>Temporada</t>
  </si>
  <si>
    <t>Regular</t>
  </si>
  <si>
    <t>AE</t>
  </si>
  <si>
    <t>SJ</t>
  </si>
  <si>
    <t>LP</t>
  </si>
  <si>
    <t>NG</t>
  </si>
  <si>
    <t>ES</t>
  </si>
  <si>
    <t>JL</t>
  </si>
  <si>
    <t>NP</t>
  </si>
  <si>
    <t>GA</t>
  </si>
  <si>
    <t>EJ</t>
  </si>
  <si>
    <t>LN</t>
  </si>
  <si>
    <t>GS</t>
  </si>
  <si>
    <t>GE</t>
  </si>
  <si>
    <t>JN</t>
  </si>
  <si>
    <t>LA</t>
  </si>
  <si>
    <t>JG</t>
  </si>
  <si>
    <t>NA</t>
  </si>
  <si>
    <t>LS</t>
  </si>
  <si>
    <t>EL</t>
  </si>
  <si>
    <t>GP</t>
  </si>
  <si>
    <t>AJ</t>
  </si>
  <si>
    <t>SN</t>
  </si>
  <si>
    <t>NE</t>
  </si>
  <si>
    <t>AS</t>
  </si>
  <si>
    <t>GL</t>
  </si>
  <si>
    <t>EA</t>
  </si>
  <si>
    <t>GN</t>
  </si>
  <si>
    <t>LJ</t>
  </si>
  <si>
    <t>AP</t>
  </si>
  <si>
    <t>EG</t>
  </si>
  <si>
    <t>NJ</t>
  </si>
  <si>
    <t>EP</t>
  </si>
  <si>
    <t>AN</t>
  </si>
  <si>
    <t>SL</t>
  </si>
  <si>
    <t>NS</t>
  </si>
  <si>
    <t>EN</t>
  </si>
  <si>
    <t>JP</t>
  </si>
  <si>
    <t>SA</t>
  </si>
  <si>
    <t>LG</t>
  </si>
  <si>
    <t>JS</t>
  </si>
  <si>
    <t>LC</t>
  </si>
  <si>
    <t>NC</t>
  </si>
  <si>
    <t>NL</t>
  </si>
  <si>
    <t>AC</t>
  </si>
  <si>
    <t>AL</t>
  </si>
  <si>
    <t>SC</t>
  </si>
  <si>
    <t>EC</t>
  </si>
  <si>
    <t>GJ</t>
  </si>
  <si>
    <t>LE</t>
  </si>
  <si>
    <t>CG</t>
  </si>
  <si>
    <t>CJ</t>
  </si>
  <si>
    <t>CL</t>
  </si>
  <si>
    <t>SE</t>
  </si>
  <si>
    <t>JE</t>
  </si>
  <si>
    <t>CE</t>
  </si>
  <si>
    <t>JA</t>
  </si>
  <si>
    <t>JC</t>
  </si>
  <si>
    <t>CN</t>
  </si>
  <si>
    <t>AG</t>
  </si>
  <si>
    <t>SG</t>
  </si>
  <si>
    <t>CS</t>
  </si>
  <si>
    <t>GC</t>
  </si>
  <si>
    <t>CA</t>
  </si>
  <si>
    <t>KE</t>
  </si>
  <si>
    <t>KG</t>
  </si>
  <si>
    <t>KC</t>
  </si>
  <si>
    <t>KL</t>
  </si>
  <si>
    <t>KN</t>
  </si>
  <si>
    <t>JK</t>
  </si>
  <si>
    <t>KS</t>
  </si>
  <si>
    <t>EK</t>
  </si>
  <si>
    <t>GK</t>
  </si>
  <si>
    <t>CK</t>
  </si>
  <si>
    <t>2019-1</t>
  </si>
  <si>
    <t>2020-1</t>
  </si>
  <si>
    <t>2021-1</t>
  </si>
  <si>
    <t>2022-1</t>
  </si>
  <si>
    <t>P</t>
  </si>
  <si>
    <t>1-2</t>
  </si>
  <si>
    <t>3-4</t>
  </si>
  <si>
    <t>7-8</t>
  </si>
  <si>
    <t>F</t>
  </si>
  <si>
    <t>E</t>
  </si>
  <si>
    <t>G</t>
  </si>
  <si>
    <t>S</t>
  </si>
  <si>
    <t>L</t>
  </si>
  <si>
    <t>J</t>
  </si>
  <si>
    <t>N</t>
  </si>
  <si>
    <t>C</t>
  </si>
  <si>
    <t>K</t>
  </si>
  <si>
    <t>Emily</t>
  </si>
  <si>
    <t>Victorias</t>
  </si>
  <si>
    <t>Win Rate</t>
  </si>
  <si>
    <t>Puntos totales</t>
  </si>
  <si>
    <t>Point rate</t>
  </si>
  <si>
    <t>partidos jugados</t>
  </si>
  <si>
    <t>Puntos 2019</t>
  </si>
  <si>
    <t>Puntos 2020</t>
  </si>
  <si>
    <t>Puntos 2021</t>
  </si>
  <si>
    <t>Puntos 2022</t>
  </si>
  <si>
    <t>Juany</t>
  </si>
  <si>
    <t>Latuf</t>
  </si>
  <si>
    <t>Chevito</t>
  </si>
  <si>
    <t>Gaspe</t>
  </si>
  <si>
    <t>Scrava</t>
  </si>
  <si>
    <t>Landa</t>
  </si>
  <si>
    <t>Naki</t>
  </si>
  <si>
    <t>e-g</t>
  </si>
  <si>
    <t>e-s</t>
  </si>
  <si>
    <t>e-l</t>
  </si>
  <si>
    <t>e-n</t>
  </si>
  <si>
    <t>e-c</t>
  </si>
  <si>
    <t>e-k</t>
  </si>
  <si>
    <t>e-j</t>
  </si>
  <si>
    <t>g-e</t>
  </si>
  <si>
    <t>g-s</t>
  </si>
  <si>
    <t>g-l</t>
  </si>
  <si>
    <t>g-n</t>
  </si>
  <si>
    <t>g-c</t>
  </si>
  <si>
    <t>g-k</t>
  </si>
  <si>
    <t>g-j</t>
  </si>
  <si>
    <t>s-e</t>
  </si>
  <si>
    <t>s-g</t>
  </si>
  <si>
    <t>s-n</t>
  </si>
  <si>
    <t>s-l</t>
  </si>
  <si>
    <t>s-c</t>
  </si>
  <si>
    <t>s-k</t>
  </si>
  <si>
    <t>s-j</t>
  </si>
  <si>
    <t>Relleno</t>
  </si>
  <si>
    <t>n-e</t>
  </si>
  <si>
    <t>n-g</t>
  </si>
  <si>
    <t>n-s</t>
  </si>
  <si>
    <t>n-l</t>
  </si>
  <si>
    <t>n-c</t>
  </si>
  <si>
    <t>n-k</t>
  </si>
  <si>
    <t>n-j</t>
  </si>
  <si>
    <t>l-e</t>
  </si>
  <si>
    <t>l-g</t>
  </si>
  <si>
    <t>l-s</t>
  </si>
  <si>
    <t>l-n</t>
  </si>
  <si>
    <t>l-c</t>
  </si>
  <si>
    <t>l-k</t>
  </si>
  <si>
    <t>l-j</t>
  </si>
  <si>
    <t>c-e</t>
  </si>
  <si>
    <t>c-g</t>
  </si>
  <si>
    <t>c-s</t>
  </si>
  <si>
    <t>c-n</t>
  </si>
  <si>
    <t>c-l</t>
  </si>
  <si>
    <t>c-k</t>
  </si>
  <si>
    <t>c-j</t>
  </si>
  <si>
    <t>k-e</t>
  </si>
  <si>
    <t>k-g</t>
  </si>
  <si>
    <t>k-n</t>
  </si>
  <si>
    <t>k-l</t>
  </si>
  <si>
    <t>k-c</t>
  </si>
  <si>
    <t>k-s</t>
  </si>
  <si>
    <t>k-j</t>
  </si>
  <si>
    <t>j-e</t>
  </si>
  <si>
    <t>j-g</t>
  </si>
  <si>
    <t>j-n</t>
  </si>
  <si>
    <t>j-l</t>
  </si>
  <si>
    <t>j-c</t>
  </si>
  <si>
    <t>j-k</t>
  </si>
  <si>
    <t>j-s</t>
  </si>
  <si>
    <t>2023 -1</t>
  </si>
  <si>
    <t>SK</t>
  </si>
  <si>
    <t>Puntos 2023</t>
  </si>
  <si>
    <t>NK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</si>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</sst>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49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202" workbookViewId="0">
      <selection activeCell="A258" sqref="A258:A290"/>
    </sheetView>
  </sheetViews>
  <sheetFormatPr baseColWidth="10" defaultRowHeight="14.35" x14ac:dyDescent="0.5"/>
  <cols>
    <col min="1" max="1" width="13.87890625" style="7" bestFit="1" customWidth="1"/>
  </cols>
  <sheetData>
    <row r="1" spans="1:2" x14ac:dyDescent="0.5">
      <c r="A1" s="7" t="s">
        <v>96</v>
      </c>
      <c r="B1">
        <v>73</v>
      </c>
    </row>
    <row r="2" spans="1:2" x14ac:dyDescent="0.5">
      <c r="A2" s="7" t="s">
        <v>0</v>
      </c>
    </row>
    <row r="3" spans="1:2" x14ac:dyDescent="0.5">
      <c r="A3" s="7" t="s">
        <v>1</v>
      </c>
    </row>
    <row r="6" spans="1:2" x14ac:dyDescent="0.5">
      <c r="A6" s="1" t="s">
        <v>2</v>
      </c>
      <c r="B6" s="7" t="s">
        <v>74</v>
      </c>
    </row>
    <row r="7" spans="1:2" x14ac:dyDescent="0.5">
      <c r="A7" s="2" t="s">
        <v>3</v>
      </c>
    </row>
    <row r="8" spans="1:2" x14ac:dyDescent="0.5">
      <c r="A8" s="2" t="s">
        <v>4</v>
      </c>
    </row>
    <row r="9" spans="1:2" x14ac:dyDescent="0.5">
      <c r="A9" s="3" t="s">
        <v>5</v>
      </c>
    </row>
    <row r="10" spans="1:2" x14ac:dyDescent="0.5">
      <c r="A10" s="3" t="s">
        <v>6</v>
      </c>
      <c r="B10">
        <v>2</v>
      </c>
    </row>
    <row r="11" spans="1:2" x14ac:dyDescent="0.5">
      <c r="A11" s="3" t="s">
        <v>7</v>
      </c>
    </row>
    <row r="12" spans="1:2" x14ac:dyDescent="0.5">
      <c r="A12" s="3" t="s">
        <v>8</v>
      </c>
    </row>
    <row r="13" spans="1:2" x14ac:dyDescent="0.5">
      <c r="A13" s="3" t="s">
        <v>9</v>
      </c>
    </row>
    <row r="14" spans="1:2" x14ac:dyDescent="0.5">
      <c r="A14" s="3" t="s">
        <v>10</v>
      </c>
      <c r="B14">
        <v>3</v>
      </c>
    </row>
    <row r="15" spans="1:2" x14ac:dyDescent="0.5">
      <c r="A15" s="3" t="s">
        <v>11</v>
      </c>
    </row>
    <row r="16" spans="1:2" x14ac:dyDescent="0.5">
      <c r="A16" s="3" t="s">
        <v>12</v>
      </c>
    </row>
    <row r="17" spans="1:2" x14ac:dyDescent="0.5">
      <c r="A17" s="3" t="s">
        <v>13</v>
      </c>
      <c r="B17">
        <v>4</v>
      </c>
    </row>
    <row r="18" spans="1:2" x14ac:dyDescent="0.5">
      <c r="A18" s="3" t="s">
        <v>14</v>
      </c>
    </row>
    <row r="19" spans="1:2" x14ac:dyDescent="0.5">
      <c r="A19" s="3" t="s">
        <v>15</v>
      </c>
    </row>
    <row r="20" spans="1:2" x14ac:dyDescent="0.5">
      <c r="A20" s="3" t="s">
        <v>16</v>
      </c>
      <c r="B20">
        <v>5</v>
      </c>
    </row>
    <row r="21" spans="1:2" x14ac:dyDescent="0.5">
      <c r="A21" s="3" t="s">
        <v>17</v>
      </c>
    </row>
    <row r="22" spans="1:2" x14ac:dyDescent="0.5">
      <c r="A22" s="3" t="s">
        <v>18</v>
      </c>
    </row>
    <row r="23" spans="1:2" x14ac:dyDescent="0.5">
      <c r="A23" s="3" t="s">
        <v>19</v>
      </c>
      <c r="B23">
        <v>6</v>
      </c>
    </row>
    <row r="24" spans="1:2" x14ac:dyDescent="0.5">
      <c r="A24" s="3" t="s">
        <v>20</v>
      </c>
    </row>
    <row r="25" spans="1:2" x14ac:dyDescent="0.5">
      <c r="A25" s="3" t="s">
        <v>21</v>
      </c>
    </row>
    <row r="26" spans="1:2" x14ac:dyDescent="0.5">
      <c r="A26" s="3" t="s">
        <v>22</v>
      </c>
    </row>
    <row r="27" spans="1:2" x14ac:dyDescent="0.5">
      <c r="A27" s="3" t="s">
        <v>23</v>
      </c>
      <c r="B27">
        <v>7</v>
      </c>
    </row>
    <row r="28" spans="1:2" x14ac:dyDescent="0.5">
      <c r="A28" s="3" t="s">
        <v>24</v>
      </c>
    </row>
    <row r="29" spans="1:2" x14ac:dyDescent="0.5">
      <c r="A29" s="3" t="s">
        <v>25</v>
      </c>
    </row>
    <row r="30" spans="1:2" x14ac:dyDescent="0.5">
      <c r="A30" s="3" t="s">
        <v>26</v>
      </c>
      <c r="B30">
        <v>8</v>
      </c>
    </row>
    <row r="31" spans="1:2" x14ac:dyDescent="0.5">
      <c r="A31" s="3" t="s">
        <v>4</v>
      </c>
    </row>
    <row r="32" spans="1:2" x14ac:dyDescent="0.5">
      <c r="A32" s="3" t="s">
        <v>3</v>
      </c>
    </row>
    <row r="33" spans="1:2" x14ac:dyDescent="0.5">
      <c r="A33" s="3" t="s">
        <v>27</v>
      </c>
    </row>
    <row r="34" spans="1:2" x14ac:dyDescent="0.5">
      <c r="A34" s="3" t="s">
        <v>6</v>
      </c>
      <c r="B34">
        <v>9</v>
      </c>
    </row>
    <row r="35" spans="1:2" x14ac:dyDescent="0.5">
      <c r="A35" s="3" t="s">
        <v>28</v>
      </c>
    </row>
    <row r="36" spans="1:2" x14ac:dyDescent="0.5">
      <c r="A36" s="3" t="s">
        <v>9</v>
      </c>
    </row>
    <row r="37" spans="1:2" x14ac:dyDescent="0.5">
      <c r="A37" s="3" t="s">
        <v>10</v>
      </c>
      <c r="B37">
        <v>10</v>
      </c>
    </row>
    <row r="38" spans="1:2" x14ac:dyDescent="0.5">
      <c r="A38" s="3" t="s">
        <v>11</v>
      </c>
    </row>
    <row r="39" spans="1:2" x14ac:dyDescent="0.5">
      <c r="A39" s="3" t="s">
        <v>29</v>
      </c>
    </row>
    <row r="40" spans="1:2" x14ac:dyDescent="0.5">
      <c r="A40" s="3" t="s">
        <v>12</v>
      </c>
    </row>
    <row r="41" spans="1:2" x14ac:dyDescent="0.5">
      <c r="A41" s="3" t="s">
        <v>30</v>
      </c>
      <c r="B41">
        <v>11</v>
      </c>
    </row>
    <row r="42" spans="1:2" x14ac:dyDescent="0.5">
      <c r="A42" s="3" t="s">
        <v>31</v>
      </c>
    </row>
    <row r="43" spans="1:2" x14ac:dyDescent="0.5">
      <c r="A43" s="3" t="s">
        <v>15</v>
      </c>
    </row>
    <row r="44" spans="1:2" x14ac:dyDescent="0.5">
      <c r="A44" s="3" t="s">
        <v>32</v>
      </c>
      <c r="B44">
        <v>12</v>
      </c>
    </row>
    <row r="45" spans="1:2" x14ac:dyDescent="0.5">
      <c r="A45" s="3" t="s">
        <v>16</v>
      </c>
    </row>
    <row r="46" spans="1:2" x14ac:dyDescent="0.5">
      <c r="A46" s="3" t="s">
        <v>33</v>
      </c>
    </row>
    <row r="47" spans="1:2" x14ac:dyDescent="0.5">
      <c r="A47" s="3" t="s">
        <v>34</v>
      </c>
    </row>
    <row r="48" spans="1:2" x14ac:dyDescent="0.5">
      <c r="A48" s="3" t="s">
        <v>19</v>
      </c>
      <c r="B48">
        <v>13</v>
      </c>
    </row>
    <row r="49" spans="1:2" x14ac:dyDescent="0.5">
      <c r="A49" s="3" t="s">
        <v>21</v>
      </c>
    </row>
    <row r="50" spans="1:2" x14ac:dyDescent="0.5">
      <c r="A50" s="3" t="s">
        <v>35</v>
      </c>
    </row>
    <row r="51" spans="1:2" x14ac:dyDescent="0.5">
      <c r="A51" s="3" t="s">
        <v>36</v>
      </c>
      <c r="B51">
        <v>14</v>
      </c>
    </row>
    <row r="52" spans="1:2" x14ac:dyDescent="0.5">
      <c r="A52" s="3" t="s">
        <v>37</v>
      </c>
    </row>
    <row r="53" spans="1:2" x14ac:dyDescent="0.5">
      <c r="A53" s="3" t="s">
        <v>38</v>
      </c>
    </row>
    <row r="54" spans="1:2" x14ac:dyDescent="0.5">
      <c r="A54" s="3" t="s">
        <v>39</v>
      </c>
    </row>
    <row r="55" spans="1:2" x14ac:dyDescent="0.5">
      <c r="A55" s="4" t="s">
        <v>26</v>
      </c>
      <c r="B55" t="s">
        <v>75</v>
      </c>
    </row>
    <row r="56" spans="1:2" x14ac:dyDescent="0.5">
      <c r="A56" s="4" t="s">
        <v>40</v>
      </c>
    </row>
    <row r="57" spans="1:2" x14ac:dyDescent="0.5">
      <c r="A57" s="4" t="s">
        <v>41</v>
      </c>
    </row>
    <row r="58" spans="1:2" x14ac:dyDescent="0.5">
      <c r="A58" s="4" t="s">
        <v>27</v>
      </c>
    </row>
    <row r="59" spans="1:2" x14ac:dyDescent="0.5">
      <c r="A59" s="4" t="s">
        <v>6</v>
      </c>
      <c r="B59">
        <v>2</v>
      </c>
    </row>
    <row r="60" spans="1:2" x14ac:dyDescent="0.5">
      <c r="A60" s="4" t="s">
        <v>28</v>
      </c>
    </row>
    <row r="61" spans="1:2" x14ac:dyDescent="0.5">
      <c r="A61" s="4" t="s">
        <v>42</v>
      </c>
    </row>
    <row r="62" spans="1:2" x14ac:dyDescent="0.5">
      <c r="A62" s="4" t="s">
        <v>9</v>
      </c>
    </row>
    <row r="63" spans="1:2" x14ac:dyDescent="0.5">
      <c r="A63" s="4" t="s">
        <v>10</v>
      </c>
      <c r="B63">
        <v>3</v>
      </c>
    </row>
    <row r="64" spans="1:2" x14ac:dyDescent="0.5">
      <c r="A64" s="4" t="s">
        <v>43</v>
      </c>
    </row>
    <row r="65" spans="1:2" x14ac:dyDescent="0.5">
      <c r="A65" s="4" t="s">
        <v>12</v>
      </c>
    </row>
    <row r="66" spans="1:2" x14ac:dyDescent="0.5">
      <c r="A66" s="4" t="s">
        <v>44</v>
      </c>
    </row>
    <row r="67" spans="1:2" x14ac:dyDescent="0.5">
      <c r="A67" s="4" t="s">
        <v>30</v>
      </c>
      <c r="B67">
        <v>4</v>
      </c>
    </row>
    <row r="68" spans="1:2" x14ac:dyDescent="0.5">
      <c r="A68" s="4" t="s">
        <v>14</v>
      </c>
    </row>
    <row r="69" spans="1:2" x14ac:dyDescent="0.5">
      <c r="A69" s="4" t="s">
        <v>45</v>
      </c>
    </row>
    <row r="70" spans="1:2" x14ac:dyDescent="0.5">
      <c r="A70" s="4" t="s">
        <v>46</v>
      </c>
    </row>
    <row r="71" spans="1:2" x14ac:dyDescent="0.5">
      <c r="A71" s="4" t="s">
        <v>47</v>
      </c>
      <c r="B71">
        <v>5</v>
      </c>
    </row>
    <row r="72" spans="1:2" x14ac:dyDescent="0.5">
      <c r="A72" s="4" t="s">
        <v>48</v>
      </c>
    </row>
    <row r="73" spans="1:2" x14ac:dyDescent="0.5">
      <c r="A73" s="4" t="s">
        <v>17</v>
      </c>
    </row>
    <row r="74" spans="1:2" x14ac:dyDescent="0.5">
      <c r="A74" s="4" t="s">
        <v>18</v>
      </c>
    </row>
    <row r="75" spans="1:2" x14ac:dyDescent="0.5">
      <c r="A75" s="4" t="s">
        <v>49</v>
      </c>
      <c r="B75">
        <v>6</v>
      </c>
    </row>
    <row r="76" spans="1:2" x14ac:dyDescent="0.5">
      <c r="A76" s="4" t="s">
        <v>21</v>
      </c>
    </row>
    <row r="77" spans="1:2" x14ac:dyDescent="0.5">
      <c r="A77" s="4" t="s">
        <v>50</v>
      </c>
    </row>
    <row r="78" spans="1:2" x14ac:dyDescent="0.5">
      <c r="A78" s="4" t="s">
        <v>35</v>
      </c>
    </row>
    <row r="79" spans="1:2" x14ac:dyDescent="0.5">
      <c r="A79" s="4" t="s">
        <v>36</v>
      </c>
      <c r="B79">
        <v>7</v>
      </c>
    </row>
    <row r="80" spans="1:2" x14ac:dyDescent="0.5">
      <c r="A80" s="4" t="s">
        <v>51</v>
      </c>
    </row>
    <row r="81" spans="1:2" x14ac:dyDescent="0.5">
      <c r="A81" s="4" t="s">
        <v>38</v>
      </c>
    </row>
    <row r="82" spans="1:2" x14ac:dyDescent="0.5">
      <c r="A82" s="4" t="s">
        <v>25</v>
      </c>
    </row>
    <row r="83" spans="1:2" x14ac:dyDescent="0.5">
      <c r="A83" s="4" t="s">
        <v>2</v>
      </c>
      <c r="B83">
        <v>8</v>
      </c>
    </row>
    <row r="84" spans="1:2" x14ac:dyDescent="0.5">
      <c r="A84" s="4" t="s">
        <v>40</v>
      </c>
    </row>
    <row r="85" spans="1:2" x14ac:dyDescent="0.5">
      <c r="A85" s="4" t="s">
        <v>52</v>
      </c>
    </row>
    <row r="86" spans="1:2" x14ac:dyDescent="0.5">
      <c r="A86" s="4" t="s">
        <v>27</v>
      </c>
    </row>
    <row r="87" spans="1:2" x14ac:dyDescent="0.5">
      <c r="A87" s="4" t="s">
        <v>53</v>
      </c>
      <c r="B87">
        <v>9</v>
      </c>
    </row>
    <row r="88" spans="1:2" x14ac:dyDescent="0.5">
      <c r="A88" s="4" t="s">
        <v>7</v>
      </c>
    </row>
    <row r="89" spans="1:2" x14ac:dyDescent="0.5">
      <c r="A89" s="4" t="s">
        <v>42</v>
      </c>
    </row>
    <row r="90" spans="1:2" x14ac:dyDescent="0.5">
      <c r="A90" s="4" t="s">
        <v>9</v>
      </c>
    </row>
    <row r="91" spans="1:2" x14ac:dyDescent="0.5">
      <c r="A91" s="4" t="s">
        <v>54</v>
      </c>
      <c r="B91">
        <v>10</v>
      </c>
    </row>
    <row r="92" spans="1:2" x14ac:dyDescent="0.5">
      <c r="A92" s="4" t="s">
        <v>11</v>
      </c>
    </row>
    <row r="93" spans="1:2" x14ac:dyDescent="0.5">
      <c r="A93" s="4" t="s">
        <v>12</v>
      </c>
    </row>
    <row r="94" spans="1:2" x14ac:dyDescent="0.5">
      <c r="A94" s="4" t="s">
        <v>44</v>
      </c>
    </row>
    <row r="95" spans="1:2" x14ac:dyDescent="0.5">
      <c r="A95" s="4" t="s">
        <v>30</v>
      </c>
      <c r="B95">
        <v>11</v>
      </c>
    </row>
    <row r="96" spans="1:2" x14ac:dyDescent="0.5">
      <c r="A96" s="4" t="s">
        <v>14</v>
      </c>
    </row>
    <row r="97" spans="1:2" x14ac:dyDescent="0.5">
      <c r="A97" s="4" t="s">
        <v>15</v>
      </c>
    </row>
    <row r="98" spans="1:2" x14ac:dyDescent="0.5">
      <c r="A98" s="4" t="s">
        <v>46</v>
      </c>
    </row>
    <row r="99" spans="1:2" x14ac:dyDescent="0.5">
      <c r="A99" s="4" t="s">
        <v>55</v>
      </c>
      <c r="B99">
        <v>12</v>
      </c>
    </row>
    <row r="100" spans="1:2" x14ac:dyDescent="0.5">
      <c r="A100" s="4" t="s">
        <v>48</v>
      </c>
    </row>
    <row r="101" spans="1:2" x14ac:dyDescent="0.5">
      <c r="A101" s="4" t="s">
        <v>17</v>
      </c>
    </row>
    <row r="102" spans="1:2" x14ac:dyDescent="0.5">
      <c r="A102" s="4" t="s">
        <v>34</v>
      </c>
    </row>
    <row r="103" spans="1:2" x14ac:dyDescent="0.5">
      <c r="A103" s="4" t="s">
        <v>49</v>
      </c>
      <c r="B103">
        <v>13</v>
      </c>
    </row>
    <row r="104" spans="1:2" x14ac:dyDescent="0.5">
      <c r="A104" s="4" t="s">
        <v>56</v>
      </c>
    </row>
    <row r="105" spans="1:2" x14ac:dyDescent="0.5">
      <c r="A105" s="4" t="s">
        <v>50</v>
      </c>
    </row>
    <row r="106" spans="1:2" x14ac:dyDescent="0.5">
      <c r="A106" s="4" t="s">
        <v>35</v>
      </c>
    </row>
    <row r="107" spans="1:2" x14ac:dyDescent="0.5">
      <c r="A107" s="4" t="s">
        <v>36</v>
      </c>
      <c r="B107">
        <v>14</v>
      </c>
    </row>
    <row r="108" spans="1:2" x14ac:dyDescent="0.5">
      <c r="A108" s="4" t="s">
        <v>57</v>
      </c>
    </row>
    <row r="109" spans="1:2" x14ac:dyDescent="0.5">
      <c r="A109" s="4" t="s">
        <v>24</v>
      </c>
    </row>
    <row r="110" spans="1:2" x14ac:dyDescent="0.5">
      <c r="A110" s="4" t="s">
        <v>25</v>
      </c>
    </row>
    <row r="111" spans="1:2" x14ac:dyDescent="0.5">
      <c r="A111" s="5" t="s">
        <v>26</v>
      </c>
      <c r="B111" t="s">
        <v>76</v>
      </c>
    </row>
    <row r="112" spans="1:2" x14ac:dyDescent="0.5">
      <c r="A112" s="5" t="s">
        <v>3</v>
      </c>
    </row>
    <row r="113" spans="1:2" x14ac:dyDescent="0.5">
      <c r="A113" s="5" t="s">
        <v>52</v>
      </c>
    </row>
    <row r="114" spans="1:2" x14ac:dyDescent="0.5">
      <c r="A114" s="5" t="s">
        <v>5</v>
      </c>
    </row>
    <row r="115" spans="1:2" x14ac:dyDescent="0.5">
      <c r="A115" s="5" t="s">
        <v>53</v>
      </c>
      <c r="B115">
        <v>2</v>
      </c>
    </row>
    <row r="116" spans="1:2" x14ac:dyDescent="0.5">
      <c r="A116" s="5" t="s">
        <v>7</v>
      </c>
    </row>
    <row r="117" spans="1:2" x14ac:dyDescent="0.5">
      <c r="A117" s="5" t="s">
        <v>58</v>
      </c>
    </row>
    <row r="118" spans="1:2" x14ac:dyDescent="0.5">
      <c r="A118" s="5" t="s">
        <v>59</v>
      </c>
    </row>
    <row r="119" spans="1:2" x14ac:dyDescent="0.5">
      <c r="A119" s="5" t="s">
        <v>54</v>
      </c>
      <c r="B119">
        <v>3</v>
      </c>
    </row>
    <row r="120" spans="1:2" x14ac:dyDescent="0.5">
      <c r="A120" s="5" t="s">
        <v>11</v>
      </c>
    </row>
    <row r="121" spans="1:2" x14ac:dyDescent="0.5">
      <c r="A121" s="5" t="s">
        <v>60</v>
      </c>
    </row>
    <row r="122" spans="1:2" x14ac:dyDescent="0.5">
      <c r="A122" s="5" t="s">
        <v>44</v>
      </c>
    </row>
    <row r="123" spans="1:2" x14ac:dyDescent="0.5">
      <c r="A123" s="5" t="s">
        <v>13</v>
      </c>
      <c r="B123">
        <v>4</v>
      </c>
    </row>
    <row r="124" spans="1:2" x14ac:dyDescent="0.5">
      <c r="A124" s="5" t="s">
        <v>14</v>
      </c>
    </row>
    <row r="125" spans="1:2" x14ac:dyDescent="0.5">
      <c r="A125" s="5" t="s">
        <v>15</v>
      </c>
    </row>
    <row r="126" spans="1:2" x14ac:dyDescent="0.5">
      <c r="A126" s="5" t="s">
        <v>61</v>
      </c>
    </row>
    <row r="127" spans="1:2" x14ac:dyDescent="0.5">
      <c r="A127" s="5" t="s">
        <v>47</v>
      </c>
      <c r="B127">
        <v>5</v>
      </c>
    </row>
    <row r="128" spans="1:2" x14ac:dyDescent="0.5">
      <c r="A128" s="5" t="s">
        <v>16</v>
      </c>
    </row>
    <row r="129" spans="1:2" x14ac:dyDescent="0.5">
      <c r="A129" s="5" t="s">
        <v>33</v>
      </c>
    </row>
    <row r="130" spans="1:2" x14ac:dyDescent="0.5">
      <c r="A130" s="5" t="s">
        <v>18</v>
      </c>
    </row>
    <row r="131" spans="1:2" x14ac:dyDescent="0.5">
      <c r="A131" s="5" t="s">
        <v>19</v>
      </c>
      <c r="B131">
        <v>6</v>
      </c>
    </row>
    <row r="132" spans="1:2" x14ac:dyDescent="0.5">
      <c r="A132" s="5" t="s">
        <v>56</v>
      </c>
    </row>
    <row r="133" spans="1:2" x14ac:dyDescent="0.5">
      <c r="A133" s="5" t="s">
        <v>62</v>
      </c>
    </row>
    <row r="134" spans="1:2" x14ac:dyDescent="0.5">
      <c r="A134" s="5" t="s">
        <v>22</v>
      </c>
    </row>
    <row r="135" spans="1:2" x14ac:dyDescent="0.5">
      <c r="A135" s="5" t="s">
        <v>23</v>
      </c>
      <c r="B135">
        <v>7</v>
      </c>
    </row>
    <row r="136" spans="1:2" x14ac:dyDescent="0.5">
      <c r="A136" s="5" t="s">
        <v>57</v>
      </c>
    </row>
    <row r="137" spans="1:2" x14ac:dyDescent="0.5">
      <c r="A137" s="5" t="s">
        <v>38</v>
      </c>
    </row>
    <row r="138" spans="1:2" x14ac:dyDescent="0.5">
      <c r="A138" s="5" t="s">
        <v>39</v>
      </c>
    </row>
    <row r="139" spans="1:2" x14ac:dyDescent="0.5">
      <c r="A139" s="5" t="s">
        <v>26</v>
      </c>
      <c r="B139">
        <v>8</v>
      </c>
    </row>
    <row r="140" spans="1:2" x14ac:dyDescent="0.5">
      <c r="A140" s="5" t="s">
        <v>40</v>
      </c>
    </row>
    <row r="141" spans="1:2" x14ac:dyDescent="0.5">
      <c r="A141" s="5" t="s">
        <v>41</v>
      </c>
    </row>
    <row r="142" spans="1:2" x14ac:dyDescent="0.5">
      <c r="A142" s="5" t="s">
        <v>5</v>
      </c>
    </row>
    <row r="143" spans="1:2" x14ac:dyDescent="0.5">
      <c r="A143" s="5" t="s">
        <v>6</v>
      </c>
      <c r="B143">
        <v>9</v>
      </c>
    </row>
    <row r="144" spans="1:2" x14ac:dyDescent="0.5">
      <c r="A144" s="5" t="s">
        <v>7</v>
      </c>
    </row>
    <row r="145" spans="1:2" x14ac:dyDescent="0.5">
      <c r="A145" s="5" t="s">
        <v>58</v>
      </c>
    </row>
    <row r="146" spans="1:2" x14ac:dyDescent="0.5">
      <c r="A146" s="5" t="s">
        <v>59</v>
      </c>
    </row>
    <row r="147" spans="1:2" x14ac:dyDescent="0.5">
      <c r="A147" s="5" t="s">
        <v>54</v>
      </c>
      <c r="B147">
        <v>10</v>
      </c>
    </row>
    <row r="148" spans="1:2" x14ac:dyDescent="0.5">
      <c r="A148" s="5" t="s">
        <v>43</v>
      </c>
    </row>
    <row r="149" spans="1:2" x14ac:dyDescent="0.5">
      <c r="A149" s="5" t="s">
        <v>60</v>
      </c>
    </row>
    <row r="150" spans="1:2" x14ac:dyDescent="0.5">
      <c r="A150" s="5" t="s">
        <v>63</v>
      </c>
    </row>
    <row r="151" spans="1:2" x14ac:dyDescent="0.5">
      <c r="A151" s="5" t="s">
        <v>30</v>
      </c>
      <c r="B151">
        <v>11</v>
      </c>
    </row>
    <row r="152" spans="1:2" x14ac:dyDescent="0.5">
      <c r="A152" s="5" t="s">
        <v>31</v>
      </c>
    </row>
    <row r="153" spans="1:2" x14ac:dyDescent="0.5">
      <c r="A153" s="5" t="s">
        <v>15</v>
      </c>
    </row>
    <row r="154" spans="1:2" x14ac:dyDescent="0.5">
      <c r="A154" s="5" t="s">
        <v>46</v>
      </c>
    </row>
    <row r="155" spans="1:2" x14ac:dyDescent="0.5">
      <c r="A155" s="5" t="s">
        <v>55</v>
      </c>
      <c r="B155">
        <v>12</v>
      </c>
    </row>
    <row r="156" spans="1:2" x14ac:dyDescent="0.5">
      <c r="A156" s="5" t="s">
        <v>16</v>
      </c>
    </row>
    <row r="157" spans="1:2" x14ac:dyDescent="0.5">
      <c r="A157" s="5" t="s">
        <v>33</v>
      </c>
    </row>
    <row r="158" spans="1:2" x14ac:dyDescent="0.5">
      <c r="A158" s="5" t="s">
        <v>18</v>
      </c>
    </row>
    <row r="159" spans="1:2" x14ac:dyDescent="0.5">
      <c r="A159" s="5" t="s">
        <v>19</v>
      </c>
      <c r="B159">
        <v>13</v>
      </c>
    </row>
    <row r="160" spans="1:2" x14ac:dyDescent="0.5">
      <c r="A160" s="5" t="s">
        <v>21</v>
      </c>
    </row>
    <row r="161" spans="1:2" x14ac:dyDescent="0.5">
      <c r="A161" s="5" t="s">
        <v>50</v>
      </c>
    </row>
    <row r="162" spans="1:2" x14ac:dyDescent="0.5">
      <c r="A162" s="5" t="s">
        <v>22</v>
      </c>
    </row>
    <row r="163" spans="1:2" x14ac:dyDescent="0.5">
      <c r="A163" s="5" t="s">
        <v>36</v>
      </c>
      <c r="B163">
        <v>14</v>
      </c>
    </row>
    <row r="164" spans="1:2" x14ac:dyDescent="0.5">
      <c r="A164" s="5" t="s">
        <v>57</v>
      </c>
    </row>
    <row r="165" spans="1:2" x14ac:dyDescent="0.5">
      <c r="A165" s="5" t="s">
        <v>38</v>
      </c>
    </row>
    <row r="166" spans="1:2" x14ac:dyDescent="0.5">
      <c r="A166" s="5" t="s">
        <v>39</v>
      </c>
    </row>
    <row r="167" spans="1:2" x14ac:dyDescent="0.5">
      <c r="A167" s="5" t="s">
        <v>26</v>
      </c>
      <c r="B167">
        <v>15</v>
      </c>
    </row>
    <row r="168" spans="1:2" x14ac:dyDescent="0.5">
      <c r="A168" s="5" t="s">
        <v>40</v>
      </c>
    </row>
    <row r="169" spans="1:2" x14ac:dyDescent="0.5">
      <c r="A169" s="5" t="s">
        <v>52</v>
      </c>
    </row>
    <row r="170" spans="1:2" x14ac:dyDescent="0.5">
      <c r="A170" s="5" t="s">
        <v>5</v>
      </c>
    </row>
    <row r="171" spans="1:2" x14ac:dyDescent="0.5">
      <c r="A171" s="6" t="s">
        <v>64</v>
      </c>
      <c r="B171" t="s">
        <v>77</v>
      </c>
    </row>
    <row r="172" spans="1:2" x14ac:dyDescent="0.5">
      <c r="A172" s="6" t="s">
        <v>40</v>
      </c>
    </row>
    <row r="173" spans="1:2" x14ac:dyDescent="0.5">
      <c r="A173" s="6" t="s">
        <v>41</v>
      </c>
    </row>
    <row r="174" spans="1:2" x14ac:dyDescent="0.5">
      <c r="A174" s="6" t="s">
        <v>5</v>
      </c>
    </row>
    <row r="175" spans="1:2" x14ac:dyDescent="0.5">
      <c r="A175" s="6" t="s">
        <v>6</v>
      </c>
      <c r="B175">
        <v>2</v>
      </c>
    </row>
    <row r="176" spans="1:2" x14ac:dyDescent="0.5">
      <c r="A176" s="6" t="s">
        <v>28</v>
      </c>
    </row>
    <row r="177" spans="1:2" x14ac:dyDescent="0.5">
      <c r="A177" s="6" t="s">
        <v>58</v>
      </c>
    </row>
    <row r="178" spans="1:2" x14ac:dyDescent="0.5">
      <c r="A178" s="6" t="s">
        <v>65</v>
      </c>
    </row>
    <row r="179" spans="1:2" x14ac:dyDescent="0.5">
      <c r="A179" s="6" t="s">
        <v>54</v>
      </c>
      <c r="B179">
        <v>3</v>
      </c>
    </row>
    <row r="180" spans="1:2" x14ac:dyDescent="0.5">
      <c r="A180" s="6" t="s">
        <v>11</v>
      </c>
    </row>
    <row r="181" spans="1:2" x14ac:dyDescent="0.5">
      <c r="A181" s="6" t="s">
        <v>60</v>
      </c>
    </row>
    <row r="182" spans="1:2" x14ac:dyDescent="0.5">
      <c r="A182" s="6" t="s">
        <v>66</v>
      </c>
    </row>
    <row r="183" spans="1:2" x14ac:dyDescent="0.5">
      <c r="A183" s="6" t="s">
        <v>30</v>
      </c>
      <c r="B183">
        <v>4</v>
      </c>
    </row>
    <row r="184" spans="1:2" x14ac:dyDescent="0.5">
      <c r="A184" s="6" t="s">
        <v>31</v>
      </c>
    </row>
    <row r="185" spans="1:2" x14ac:dyDescent="0.5">
      <c r="A185" s="6" t="s">
        <v>67</v>
      </c>
    </row>
    <row r="186" spans="1:2" x14ac:dyDescent="0.5">
      <c r="A186" s="6" t="s">
        <v>46</v>
      </c>
    </row>
    <row r="187" spans="1:2" x14ac:dyDescent="0.5">
      <c r="A187" s="6" t="s">
        <v>55</v>
      </c>
      <c r="B187">
        <v>5</v>
      </c>
    </row>
    <row r="188" spans="1:2" x14ac:dyDescent="0.5">
      <c r="A188" s="6" t="s">
        <v>16</v>
      </c>
    </row>
    <row r="189" spans="1:2" x14ac:dyDescent="0.5">
      <c r="A189" s="6" t="s">
        <v>68</v>
      </c>
    </row>
    <row r="190" spans="1:2" x14ac:dyDescent="0.5">
      <c r="A190" s="6" t="s">
        <v>34</v>
      </c>
    </row>
    <row r="191" spans="1:2" x14ac:dyDescent="0.5">
      <c r="A191" s="6" t="s">
        <v>19</v>
      </c>
      <c r="B191">
        <v>6</v>
      </c>
    </row>
    <row r="192" spans="1:2" x14ac:dyDescent="0.5">
      <c r="A192" s="6" t="s">
        <v>69</v>
      </c>
    </row>
    <row r="193" spans="1:2" x14ac:dyDescent="0.5">
      <c r="A193" s="6" t="s">
        <v>50</v>
      </c>
    </row>
    <row r="194" spans="1:2" x14ac:dyDescent="0.5">
      <c r="A194" s="6" t="s">
        <v>35</v>
      </c>
    </row>
    <row r="195" spans="1:2" x14ac:dyDescent="0.5">
      <c r="A195" s="6" t="s">
        <v>36</v>
      </c>
      <c r="B195">
        <v>7</v>
      </c>
    </row>
    <row r="196" spans="1:2" x14ac:dyDescent="0.5">
      <c r="A196" s="6" t="s">
        <v>57</v>
      </c>
    </row>
    <row r="197" spans="1:2" x14ac:dyDescent="0.5">
      <c r="A197" s="6" t="s">
        <v>70</v>
      </c>
    </row>
    <row r="198" spans="1:2" x14ac:dyDescent="0.5">
      <c r="A198" s="6" t="s">
        <v>25</v>
      </c>
    </row>
    <row r="199" spans="1:2" x14ac:dyDescent="0.5">
      <c r="A199" s="6" t="s">
        <v>71</v>
      </c>
      <c r="B199">
        <v>8</v>
      </c>
    </row>
    <row r="200" spans="1:2" x14ac:dyDescent="0.5">
      <c r="A200" s="6" t="s">
        <v>40</v>
      </c>
    </row>
    <row r="201" spans="1:2" x14ac:dyDescent="0.5">
      <c r="A201" s="6" t="s">
        <v>52</v>
      </c>
    </row>
    <row r="202" spans="1:2" x14ac:dyDescent="0.5">
      <c r="A202" s="6" t="s">
        <v>5</v>
      </c>
    </row>
    <row r="203" spans="1:2" x14ac:dyDescent="0.5">
      <c r="A203" s="6" t="s">
        <v>53</v>
      </c>
      <c r="B203">
        <v>9</v>
      </c>
    </row>
    <row r="204" spans="1:2" x14ac:dyDescent="0.5">
      <c r="A204" s="6" t="s">
        <v>7</v>
      </c>
    </row>
    <row r="205" spans="1:2" x14ac:dyDescent="0.5">
      <c r="A205" s="6" t="s">
        <v>42</v>
      </c>
    </row>
    <row r="206" spans="1:2" x14ac:dyDescent="0.5">
      <c r="A206" s="6" t="s">
        <v>72</v>
      </c>
    </row>
    <row r="207" spans="1:2" x14ac:dyDescent="0.5">
      <c r="A207" s="6" t="s">
        <v>10</v>
      </c>
      <c r="B207">
        <v>10</v>
      </c>
    </row>
    <row r="208" spans="1:2" x14ac:dyDescent="0.5">
      <c r="A208" s="6" t="s">
        <v>41</v>
      </c>
    </row>
    <row r="209" spans="1:2" x14ac:dyDescent="0.5">
      <c r="A209" s="6" t="s">
        <v>60</v>
      </c>
    </row>
    <row r="210" spans="1:2" x14ac:dyDescent="0.5">
      <c r="A210" s="6" t="s">
        <v>73</v>
      </c>
    </row>
    <row r="211" spans="1:2" x14ac:dyDescent="0.5">
      <c r="A211" s="6" t="s">
        <v>30</v>
      </c>
      <c r="B211">
        <v>11</v>
      </c>
    </row>
    <row r="212" spans="1:2" x14ac:dyDescent="0.5">
      <c r="A212" s="6" t="s">
        <v>31</v>
      </c>
    </row>
    <row r="213" spans="1:2" x14ac:dyDescent="0.5">
      <c r="A213" s="6" t="s">
        <v>67</v>
      </c>
    </row>
    <row r="214" spans="1:2" x14ac:dyDescent="0.5">
      <c r="A214" s="6" t="s">
        <v>46</v>
      </c>
    </row>
    <row r="215" spans="1:2" x14ac:dyDescent="0.5">
      <c r="A215" s="6" t="s">
        <v>55</v>
      </c>
      <c r="B215">
        <v>12</v>
      </c>
    </row>
    <row r="216" spans="1:2" x14ac:dyDescent="0.5">
      <c r="A216" s="6" t="s">
        <v>16</v>
      </c>
    </row>
    <row r="217" spans="1:2" x14ac:dyDescent="0.5">
      <c r="A217" s="6" t="s">
        <v>68</v>
      </c>
    </row>
    <row r="218" spans="1:2" x14ac:dyDescent="0.5">
      <c r="A218" s="6" t="s">
        <v>34</v>
      </c>
    </row>
    <row r="219" spans="1:2" x14ac:dyDescent="0.5">
      <c r="A219" s="6" t="s">
        <v>19</v>
      </c>
      <c r="B219">
        <v>13</v>
      </c>
    </row>
    <row r="220" spans="1:2" x14ac:dyDescent="0.5">
      <c r="A220" s="6" t="s">
        <v>69</v>
      </c>
    </row>
    <row r="221" spans="1:2" x14ac:dyDescent="0.5">
      <c r="A221" s="6" t="s">
        <v>50</v>
      </c>
    </row>
    <row r="222" spans="1:2" x14ac:dyDescent="0.5">
      <c r="A222" s="6" t="s">
        <v>35</v>
      </c>
    </row>
    <row r="223" spans="1:2" x14ac:dyDescent="0.5">
      <c r="A223" s="6" t="s">
        <v>36</v>
      </c>
      <c r="B223">
        <v>14</v>
      </c>
    </row>
    <row r="224" spans="1:2" x14ac:dyDescent="0.5">
      <c r="A224" s="6" t="s">
        <v>57</v>
      </c>
    </row>
    <row r="225" spans="1:2" x14ac:dyDescent="0.5">
      <c r="A225" s="6" t="s">
        <v>70</v>
      </c>
    </row>
    <row r="226" spans="1:2" x14ac:dyDescent="0.5">
      <c r="A226" s="6" t="s">
        <v>25</v>
      </c>
    </row>
    <row r="227" spans="1:2" x14ac:dyDescent="0.5">
      <c r="A227" s="6" t="s">
        <v>64</v>
      </c>
      <c r="B227">
        <v>15</v>
      </c>
    </row>
    <row r="228" spans="1:2" x14ac:dyDescent="0.5">
      <c r="A228" s="6" t="s">
        <v>3</v>
      </c>
    </row>
    <row r="229" spans="1:2" x14ac:dyDescent="0.5">
      <c r="A229" s="6" t="s">
        <v>52</v>
      </c>
    </row>
    <row r="230" spans="1:2" x14ac:dyDescent="0.5">
      <c r="A230" s="6" t="s">
        <v>5</v>
      </c>
    </row>
    <row r="231" spans="1:2" x14ac:dyDescent="0.5">
      <c r="A231" s="17" t="s">
        <v>30</v>
      </c>
      <c r="B231" t="s">
        <v>165</v>
      </c>
    </row>
    <row r="232" spans="1:2" x14ac:dyDescent="0.5">
      <c r="A232" s="17" t="s">
        <v>3</v>
      </c>
    </row>
    <row r="233" spans="1:2" x14ac:dyDescent="0.5">
      <c r="A233" s="17" t="s">
        <v>11</v>
      </c>
    </row>
    <row r="234" spans="1:2" x14ac:dyDescent="0.5">
      <c r="A234" s="17" t="s">
        <v>66</v>
      </c>
    </row>
    <row r="235" spans="1:2" x14ac:dyDescent="0.5">
      <c r="A235" s="18" t="s">
        <v>64</v>
      </c>
      <c r="B235">
        <v>2</v>
      </c>
    </row>
    <row r="236" spans="1:2" x14ac:dyDescent="0.5">
      <c r="A236" s="17" t="s">
        <v>31</v>
      </c>
    </row>
    <row r="237" spans="1:2" x14ac:dyDescent="0.5">
      <c r="A237" s="17" t="s">
        <v>52</v>
      </c>
    </row>
    <row r="238" spans="1:2" x14ac:dyDescent="0.5">
      <c r="A238" s="17" t="s">
        <v>12</v>
      </c>
    </row>
    <row r="239" spans="1:2" x14ac:dyDescent="0.5">
      <c r="A239" s="17" t="s">
        <v>23</v>
      </c>
      <c r="B239">
        <v>3</v>
      </c>
    </row>
    <row r="240" spans="1:2" x14ac:dyDescent="0.5">
      <c r="A240" s="17" t="s">
        <v>25</v>
      </c>
    </row>
    <row r="241" spans="1:2" x14ac:dyDescent="0.5">
      <c r="A241" s="17" t="s">
        <v>57</v>
      </c>
    </row>
    <row r="242" spans="1:2" x14ac:dyDescent="0.5">
      <c r="A242" s="17" t="s">
        <v>166</v>
      </c>
    </row>
    <row r="243" spans="1:2" x14ac:dyDescent="0.5">
      <c r="A243" s="17" t="s">
        <v>47</v>
      </c>
      <c r="B243">
        <v>4</v>
      </c>
    </row>
    <row r="244" spans="1:2" x14ac:dyDescent="0.5">
      <c r="A244" s="17" t="s">
        <v>22</v>
      </c>
    </row>
    <row r="245" spans="1:2" x14ac:dyDescent="0.5">
      <c r="A245" s="17" t="s">
        <v>72</v>
      </c>
    </row>
    <row r="246" spans="1:2" x14ac:dyDescent="0.5">
      <c r="A246" s="17" t="s">
        <v>7</v>
      </c>
    </row>
    <row r="247" spans="1:2" x14ac:dyDescent="0.5">
      <c r="A247" s="17" t="s">
        <v>53</v>
      </c>
      <c r="B247">
        <v>5</v>
      </c>
    </row>
    <row r="248" spans="1:2" x14ac:dyDescent="0.5">
      <c r="A248" s="17" t="s">
        <v>16</v>
      </c>
    </row>
    <row r="249" spans="1:2" x14ac:dyDescent="0.5">
      <c r="A249" s="17" t="s">
        <v>67</v>
      </c>
    </row>
    <row r="250" spans="1:2" x14ac:dyDescent="0.5">
      <c r="A250" s="17" t="s">
        <v>58</v>
      </c>
    </row>
    <row r="251" spans="1:2" x14ac:dyDescent="0.5">
      <c r="A251" s="17" t="s">
        <v>10</v>
      </c>
      <c r="B251">
        <v>6</v>
      </c>
    </row>
    <row r="252" spans="1:2" x14ac:dyDescent="0.5">
      <c r="A252" s="18" t="s">
        <v>34</v>
      </c>
    </row>
    <row r="253" spans="1:2" x14ac:dyDescent="0.5">
      <c r="A253" s="18" t="s">
        <v>50</v>
      </c>
    </row>
    <row r="254" spans="1:2" x14ac:dyDescent="0.5">
      <c r="A254" s="18" t="s">
        <v>168</v>
      </c>
    </row>
    <row r="255" spans="1:2" x14ac:dyDescent="0.5">
      <c r="A255" s="18" t="s">
        <v>49</v>
      </c>
      <c r="B255">
        <v>7</v>
      </c>
    </row>
    <row r="256" spans="1:2" x14ac:dyDescent="0.5">
      <c r="A256" s="18" t="s">
        <v>61</v>
      </c>
    </row>
    <row r="257" spans="1:2" x14ac:dyDescent="0.5">
      <c r="A257" s="18" t="s">
        <v>69</v>
      </c>
    </row>
    <row r="258" spans="1:2" x14ac:dyDescent="0.5">
      <c r="A258" s="18" t="s">
        <v>27</v>
      </c>
    </row>
    <row r="259" spans="1:2" x14ac:dyDescent="0.5">
      <c r="A259" s="18" t="s">
        <v>13</v>
      </c>
      <c r="B259">
        <v>8</v>
      </c>
    </row>
    <row r="260" spans="1:2" x14ac:dyDescent="0.5">
      <c r="A260" s="18" t="s">
        <v>28</v>
      </c>
    </row>
    <row r="261" spans="1:2" x14ac:dyDescent="0.5">
      <c r="A261" s="18" t="s">
        <v>166</v>
      </c>
    </row>
    <row r="262" spans="1:2" x14ac:dyDescent="0.5">
      <c r="A262" s="18" t="s">
        <v>42</v>
      </c>
    </row>
    <row r="263" spans="1:2" x14ac:dyDescent="0.5">
      <c r="A263" s="18" t="s">
        <v>6</v>
      </c>
      <c r="B263">
        <v>9</v>
      </c>
    </row>
    <row r="264" spans="1:2" x14ac:dyDescent="0.5">
      <c r="A264" s="18" t="s">
        <v>31</v>
      </c>
    </row>
    <row r="265" spans="1:2" x14ac:dyDescent="0.5">
      <c r="A265" s="18" t="s">
        <v>169</v>
      </c>
    </row>
    <row r="266" spans="1:2" x14ac:dyDescent="0.5">
      <c r="A266" s="18" t="s">
        <v>62</v>
      </c>
    </row>
    <row r="267" spans="1:2" x14ac:dyDescent="0.5">
      <c r="A267" s="18" t="s">
        <v>23</v>
      </c>
      <c r="B267">
        <v>10</v>
      </c>
    </row>
    <row r="268" spans="1:2" x14ac:dyDescent="0.5">
      <c r="A268" s="18" t="s">
        <v>18</v>
      </c>
    </row>
    <row r="269" spans="1:2" x14ac:dyDescent="0.5">
      <c r="A269" s="18" t="s">
        <v>57</v>
      </c>
    </row>
    <row r="270" spans="1:2" x14ac:dyDescent="0.5">
      <c r="A270" s="18" t="s">
        <v>65</v>
      </c>
    </row>
    <row r="271" spans="1:2" x14ac:dyDescent="0.5">
      <c r="A271" s="18" t="s">
        <v>55</v>
      </c>
      <c r="B271">
        <v>11</v>
      </c>
    </row>
    <row r="272" spans="1:2" x14ac:dyDescent="0.5">
      <c r="A272" s="18" t="s">
        <v>69</v>
      </c>
    </row>
    <row r="273" spans="1:2" x14ac:dyDescent="0.5">
      <c r="A273" s="18" t="s">
        <v>11</v>
      </c>
    </row>
    <row r="274" spans="1:2" x14ac:dyDescent="0.5">
      <c r="A274" s="18" t="s">
        <v>60</v>
      </c>
    </row>
    <row r="275" spans="1:2" x14ac:dyDescent="0.5">
      <c r="A275" s="18" t="s">
        <v>64</v>
      </c>
      <c r="B275">
        <v>12</v>
      </c>
    </row>
    <row r="276" spans="1:2" x14ac:dyDescent="0.5">
      <c r="A276" s="18" t="s">
        <v>52</v>
      </c>
    </row>
    <row r="277" spans="1:2" x14ac:dyDescent="0.5">
      <c r="A277" s="18" t="s">
        <v>40</v>
      </c>
    </row>
    <row r="278" spans="1:2" x14ac:dyDescent="0.5">
      <c r="A278" s="18" t="s">
        <v>5</v>
      </c>
    </row>
    <row r="279" spans="1:2" x14ac:dyDescent="0.5">
      <c r="A279" s="18" t="s">
        <v>10</v>
      </c>
      <c r="B279">
        <v>13</v>
      </c>
    </row>
    <row r="280" spans="1:2" x14ac:dyDescent="0.5">
      <c r="A280" s="18" t="s">
        <v>39</v>
      </c>
    </row>
    <row r="281" spans="1:2" x14ac:dyDescent="0.5">
      <c r="A281" s="18" t="s">
        <v>66</v>
      </c>
    </row>
    <row r="282" spans="1:2" x14ac:dyDescent="0.5">
      <c r="A282" s="18" t="s">
        <v>35</v>
      </c>
    </row>
    <row r="283" spans="1:2" x14ac:dyDescent="0.5">
      <c r="A283" s="18" t="s">
        <v>19</v>
      </c>
      <c r="B283">
        <v>14</v>
      </c>
    </row>
    <row r="284" spans="1:2" x14ac:dyDescent="0.5">
      <c r="A284" s="18" t="s">
        <v>68</v>
      </c>
    </row>
    <row r="285" spans="1:2" x14ac:dyDescent="0.5">
      <c r="A285" s="18" t="s">
        <v>16</v>
      </c>
    </row>
    <row r="286" spans="1:2" x14ac:dyDescent="0.5">
      <c r="A286" s="18" t="s">
        <v>61</v>
      </c>
    </row>
    <row r="287" spans="1:2" x14ac:dyDescent="0.5">
      <c r="A287" s="18" t="s">
        <v>55</v>
      </c>
      <c r="B287">
        <v>15</v>
      </c>
    </row>
    <row r="288" spans="1:2" x14ac:dyDescent="0.5">
      <c r="A288" s="18" t="s">
        <v>5</v>
      </c>
    </row>
    <row r="289" spans="1:1" x14ac:dyDescent="0.5">
      <c r="A289" s="18" t="s">
        <v>69</v>
      </c>
    </row>
    <row r="290" spans="1:1" x14ac:dyDescent="0.5">
      <c r="A290" s="1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6" sqref="A6"/>
    </sheetView>
  </sheetViews>
  <sheetFormatPr baseColWidth="10" defaultRowHeight="14.35" x14ac:dyDescent="0.5"/>
  <sheetData>
    <row r="1" spans="1:5" x14ac:dyDescent="0.5">
      <c r="A1" t="s">
        <v>78</v>
      </c>
      <c r="B1" s="8" t="s">
        <v>79</v>
      </c>
      <c r="C1" s="8" t="s">
        <v>80</v>
      </c>
      <c r="D1" s="8" t="s">
        <v>81</v>
      </c>
      <c r="E1" t="s">
        <v>82</v>
      </c>
    </row>
    <row r="4" spans="1:5" x14ac:dyDescent="0.5">
      <c r="B4" s="9"/>
      <c r="C4" s="9"/>
      <c r="D4" s="9"/>
    </row>
    <row r="5" spans="1:5" x14ac:dyDescent="0.5">
      <c r="A5" s="1" t="s">
        <v>39</v>
      </c>
      <c r="B5" s="10" t="s">
        <v>83</v>
      </c>
      <c r="C5" s="10" t="s">
        <v>84</v>
      </c>
      <c r="D5" s="10" t="s">
        <v>85</v>
      </c>
      <c r="E5" s="1" t="s">
        <v>4</v>
      </c>
    </row>
    <row r="6" spans="1:5" x14ac:dyDescent="0.5">
      <c r="B6" s="10" t="s">
        <v>86</v>
      </c>
      <c r="D6" s="10" t="s">
        <v>87</v>
      </c>
      <c r="E6" s="4" t="s">
        <v>48</v>
      </c>
    </row>
    <row r="7" spans="1:5" x14ac:dyDescent="0.5">
      <c r="A7" s="11" t="s">
        <v>27</v>
      </c>
      <c r="B7" s="12" t="s">
        <v>84</v>
      </c>
      <c r="C7" s="12" t="s">
        <v>87</v>
      </c>
      <c r="D7" s="12" t="s">
        <v>85</v>
      </c>
      <c r="E7" s="13" t="s">
        <v>34</v>
      </c>
    </row>
    <row r="8" spans="1:5" x14ac:dyDescent="0.5">
      <c r="A8" s="4" t="s">
        <v>54</v>
      </c>
      <c r="B8" s="12" t="s">
        <v>83</v>
      </c>
      <c r="C8" s="12" t="s">
        <v>88</v>
      </c>
      <c r="D8" s="12" t="s">
        <v>89</v>
      </c>
      <c r="E8" s="19" t="s">
        <v>71</v>
      </c>
    </row>
    <row r="9" spans="1:5" x14ac:dyDescent="0.5">
      <c r="A9" s="14" t="s">
        <v>28</v>
      </c>
      <c r="B9" s="13" t="s">
        <v>87</v>
      </c>
      <c r="C9" s="13" t="s">
        <v>85</v>
      </c>
      <c r="D9" s="13" t="s">
        <v>88</v>
      </c>
      <c r="E9" s="21" t="s">
        <v>14</v>
      </c>
    </row>
    <row r="10" spans="1:5" x14ac:dyDescent="0.5">
      <c r="A10" s="14" t="s">
        <v>53</v>
      </c>
      <c r="B10" s="13" t="s">
        <v>83</v>
      </c>
      <c r="C10" s="13" t="s">
        <v>86</v>
      </c>
      <c r="D10" s="13" t="s">
        <v>84</v>
      </c>
    </row>
    <row r="11" spans="1:5" x14ac:dyDescent="0.5">
      <c r="A11" s="19" t="s">
        <v>10</v>
      </c>
      <c r="B11" s="20" t="s">
        <v>87</v>
      </c>
      <c r="C11" s="20" t="s">
        <v>88</v>
      </c>
      <c r="D11" s="20" t="s">
        <v>84</v>
      </c>
    </row>
    <row r="12" spans="1:5" x14ac:dyDescent="0.5">
      <c r="A12" s="19" t="s">
        <v>68</v>
      </c>
      <c r="B12" s="20" t="s">
        <v>90</v>
      </c>
      <c r="C12" s="20" t="s">
        <v>83</v>
      </c>
      <c r="D12" s="20" t="s">
        <v>86</v>
      </c>
    </row>
    <row r="13" spans="1:5" x14ac:dyDescent="0.5">
      <c r="A13" s="18" t="s">
        <v>42</v>
      </c>
      <c r="B13" s="22" t="s">
        <v>88</v>
      </c>
      <c r="C13" s="21" t="s">
        <v>87</v>
      </c>
      <c r="D13" s="22" t="s">
        <v>84</v>
      </c>
    </row>
    <row r="14" spans="1:5" x14ac:dyDescent="0.5">
      <c r="A14" s="22" t="s">
        <v>40</v>
      </c>
      <c r="B14" s="22" t="s">
        <v>85</v>
      </c>
      <c r="C14" s="22" t="s">
        <v>89</v>
      </c>
      <c r="D14" s="2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27" workbookViewId="0">
      <selection activeCell="B84" sqref="B84"/>
    </sheetView>
  </sheetViews>
  <sheetFormatPr baseColWidth="10" defaultRowHeight="14.35" x14ac:dyDescent="0.5"/>
  <cols>
    <col min="1" max="1" width="12" bestFit="1" customWidth="1"/>
    <col min="2" max="2" width="11.29296875" bestFit="1" customWidth="1"/>
  </cols>
  <sheetData>
    <row r="1" spans="1:2" x14ac:dyDescent="0.5">
      <c r="A1" t="s">
        <v>91</v>
      </c>
    </row>
    <row r="2" spans="1:2" x14ac:dyDescent="0.5">
      <c r="A2" t="s">
        <v>92</v>
      </c>
      <c r="B2">
        <f>COUNTIF('partidos regular'!A:A,"E*")</f>
        <v>42</v>
      </c>
    </row>
    <row r="3" spans="1:2" x14ac:dyDescent="0.5">
      <c r="A3" t="s">
        <v>93</v>
      </c>
      <c r="B3" s="16">
        <f>(B2/'partidos regular'!$B$1)*100</f>
        <v>57.534246575342465</v>
      </c>
    </row>
    <row r="4" spans="1:2" x14ac:dyDescent="0.5">
      <c r="A4" t="s">
        <v>94</v>
      </c>
      <c r="B4">
        <f>SUM(B6:B10)</f>
        <v>9410.74</v>
      </c>
    </row>
    <row r="5" spans="1:2" x14ac:dyDescent="0.5">
      <c r="A5" t="s">
        <v>95</v>
      </c>
      <c r="B5" s="15">
        <f>B4/'partidos regular'!$B$1</f>
        <v>128.91424657534247</v>
      </c>
    </row>
    <row r="6" spans="1:2" x14ac:dyDescent="0.5">
      <c r="A6" t="s">
        <v>97</v>
      </c>
      <c r="B6">
        <v>1704.78</v>
      </c>
    </row>
    <row r="7" spans="1:2" x14ac:dyDescent="0.5">
      <c r="A7" t="s">
        <v>98</v>
      </c>
      <c r="B7">
        <v>1814.88</v>
      </c>
    </row>
    <row r="8" spans="1:2" x14ac:dyDescent="0.5">
      <c r="A8" t="s">
        <v>99</v>
      </c>
      <c r="B8">
        <v>1970.04</v>
      </c>
    </row>
    <row r="9" spans="1:2" x14ac:dyDescent="0.5">
      <c r="A9" t="s">
        <v>100</v>
      </c>
      <c r="B9">
        <v>2047.52</v>
      </c>
    </row>
    <row r="10" spans="1:2" x14ac:dyDescent="0.5">
      <c r="A10" t="s">
        <v>167</v>
      </c>
      <c r="B10">
        <v>1873.52</v>
      </c>
    </row>
    <row r="11" spans="1:2" x14ac:dyDescent="0.5">
      <c r="A11" t="s">
        <v>101</v>
      </c>
    </row>
    <row r="12" spans="1:2" x14ac:dyDescent="0.5">
      <c r="A12" t="s">
        <v>92</v>
      </c>
      <c r="B12">
        <f>COUNTIF('partidos regular'!A:A,"J*")</f>
        <v>44</v>
      </c>
    </row>
    <row r="13" spans="1:2" x14ac:dyDescent="0.5">
      <c r="A13" t="s">
        <v>93</v>
      </c>
      <c r="B13" s="16">
        <f>(B12/'partidos regular'!$B$1)*100</f>
        <v>60.273972602739725</v>
      </c>
    </row>
    <row r="14" spans="1:2" x14ac:dyDescent="0.5">
      <c r="A14" t="s">
        <v>94</v>
      </c>
      <c r="B14">
        <f>SUM(B16:B20)</f>
        <v>9627.2999999999993</v>
      </c>
    </row>
    <row r="15" spans="1:2" x14ac:dyDescent="0.5">
      <c r="A15" t="s">
        <v>95</v>
      </c>
      <c r="B15" s="15">
        <f>B14/'partidos regular'!$B$1</f>
        <v>131.88082191780822</v>
      </c>
    </row>
    <row r="16" spans="1:2" x14ac:dyDescent="0.5">
      <c r="A16" t="s">
        <v>97</v>
      </c>
      <c r="B16">
        <v>1501.6</v>
      </c>
    </row>
    <row r="17" spans="1:2" x14ac:dyDescent="0.5">
      <c r="A17" t="s">
        <v>98</v>
      </c>
      <c r="B17">
        <v>1769.2</v>
      </c>
    </row>
    <row r="18" spans="1:2" x14ac:dyDescent="0.5">
      <c r="A18" t="s">
        <v>99</v>
      </c>
      <c r="B18">
        <v>2237</v>
      </c>
    </row>
    <row r="19" spans="1:2" x14ac:dyDescent="0.5">
      <c r="A19" t="s">
        <v>100</v>
      </c>
      <c r="B19">
        <v>2036.44</v>
      </c>
    </row>
    <row r="20" spans="1:2" x14ac:dyDescent="0.5">
      <c r="A20" t="s">
        <v>167</v>
      </c>
      <c r="B20">
        <v>2083.06</v>
      </c>
    </row>
    <row r="21" spans="1:2" x14ac:dyDescent="0.5">
      <c r="A21" t="s">
        <v>102</v>
      </c>
    </row>
    <row r="22" spans="1:2" x14ac:dyDescent="0.5">
      <c r="A22" t="s">
        <v>92</v>
      </c>
      <c r="B22">
        <f>COUNTIF('partidos regular'!A:A,"L*")</f>
        <v>35</v>
      </c>
    </row>
    <row r="23" spans="1:2" x14ac:dyDescent="0.5">
      <c r="A23" t="s">
        <v>93</v>
      </c>
      <c r="B23" s="16">
        <f>(B22/'partidos regular'!$B$1)*100</f>
        <v>47.945205479452049</v>
      </c>
    </row>
    <row r="24" spans="1:2" x14ac:dyDescent="0.5">
      <c r="A24" t="s">
        <v>94</v>
      </c>
      <c r="B24">
        <f>SUM(B26:B30)</f>
        <v>9083.34</v>
      </c>
    </row>
    <row r="25" spans="1:2" x14ac:dyDescent="0.5">
      <c r="A25" t="s">
        <v>95</v>
      </c>
      <c r="B25" s="15">
        <f>B24/'partidos regular'!$B$1</f>
        <v>124.42931506849315</v>
      </c>
    </row>
    <row r="26" spans="1:2" x14ac:dyDescent="0.5">
      <c r="A26" t="s">
        <v>97</v>
      </c>
      <c r="B26">
        <v>1757.1</v>
      </c>
    </row>
    <row r="27" spans="1:2" x14ac:dyDescent="0.5">
      <c r="A27" t="s">
        <v>98</v>
      </c>
      <c r="B27">
        <v>1815.4</v>
      </c>
    </row>
    <row r="28" spans="1:2" x14ac:dyDescent="0.5">
      <c r="A28" t="s">
        <v>99</v>
      </c>
      <c r="B28">
        <v>1899.86</v>
      </c>
    </row>
    <row r="29" spans="1:2" x14ac:dyDescent="0.5">
      <c r="A29" t="s">
        <v>100</v>
      </c>
      <c r="B29">
        <v>1750.04</v>
      </c>
    </row>
    <row r="30" spans="1:2" x14ac:dyDescent="0.5">
      <c r="A30" t="s">
        <v>167</v>
      </c>
      <c r="B30">
        <v>1860.94</v>
      </c>
    </row>
    <row r="31" spans="1:2" x14ac:dyDescent="0.5">
      <c r="A31" t="s">
        <v>103</v>
      </c>
    </row>
    <row r="32" spans="1:2" x14ac:dyDescent="0.5">
      <c r="A32" t="s">
        <v>92</v>
      </c>
      <c r="B32">
        <f>COUNTIF('partidos regular'!A:A,"C*")</f>
        <v>29</v>
      </c>
    </row>
    <row r="33" spans="1:2" x14ac:dyDescent="0.5">
      <c r="A33" t="s">
        <v>93</v>
      </c>
      <c r="B33" s="16">
        <f>(B32/('partidos regular'!$B$1-14))*100</f>
        <v>49.152542372881356</v>
      </c>
    </row>
    <row r="34" spans="1:2" x14ac:dyDescent="0.5">
      <c r="A34" t="s">
        <v>94</v>
      </c>
      <c r="B34">
        <f>SUM(B36:B40)</f>
        <v>7353.4</v>
      </c>
    </row>
    <row r="35" spans="1:2" x14ac:dyDescent="0.5">
      <c r="A35" t="s">
        <v>95</v>
      </c>
      <c r="B35" s="15">
        <f>B34/('partidos regular'!$B$1-14)</f>
        <v>124.63389830508474</v>
      </c>
    </row>
    <row r="36" spans="1:2" x14ac:dyDescent="0.5">
      <c r="A36" t="s">
        <v>97</v>
      </c>
      <c r="B36">
        <v>0</v>
      </c>
    </row>
    <row r="37" spans="1:2" x14ac:dyDescent="0.5">
      <c r="A37" t="s">
        <v>98</v>
      </c>
      <c r="B37">
        <v>1662.36</v>
      </c>
    </row>
    <row r="38" spans="1:2" x14ac:dyDescent="0.5">
      <c r="A38" t="s">
        <v>99</v>
      </c>
      <c r="B38">
        <v>1787.3</v>
      </c>
    </row>
    <row r="39" spans="1:2" x14ac:dyDescent="0.5">
      <c r="A39" t="s">
        <v>100</v>
      </c>
      <c r="B39">
        <v>2000.46</v>
      </c>
    </row>
    <row r="40" spans="1:2" x14ac:dyDescent="0.5">
      <c r="A40" t="s">
        <v>167</v>
      </c>
      <c r="B40">
        <v>1903.28</v>
      </c>
    </row>
    <row r="41" spans="1:2" x14ac:dyDescent="0.5">
      <c r="A41" t="s">
        <v>104</v>
      </c>
    </row>
    <row r="42" spans="1:2" x14ac:dyDescent="0.5">
      <c r="A42" t="s">
        <v>92</v>
      </c>
      <c r="B42">
        <f>COUNTIF('partidos regular'!A:A,"G*")</f>
        <v>29</v>
      </c>
    </row>
    <row r="43" spans="1:2" x14ac:dyDescent="0.5">
      <c r="A43" t="s">
        <v>93</v>
      </c>
      <c r="B43" s="16">
        <f>(B42/'partidos regular'!$B$1)*100</f>
        <v>39.726027397260275</v>
      </c>
    </row>
    <row r="44" spans="1:2" x14ac:dyDescent="0.5">
      <c r="A44" t="s">
        <v>94</v>
      </c>
      <c r="B44">
        <f>SUM(B46:B50)</f>
        <v>9169.0400000000009</v>
      </c>
    </row>
    <row r="45" spans="1:2" x14ac:dyDescent="0.5">
      <c r="A45" t="s">
        <v>95</v>
      </c>
      <c r="B45" s="15">
        <f>B44/'partidos regular'!$B$1</f>
        <v>125.60328767123289</v>
      </c>
    </row>
    <row r="46" spans="1:2" x14ac:dyDescent="0.5">
      <c r="A46" t="s">
        <v>97</v>
      </c>
      <c r="B46">
        <v>1535.92</v>
      </c>
    </row>
    <row r="47" spans="1:2" x14ac:dyDescent="0.5">
      <c r="A47" t="s">
        <v>98</v>
      </c>
      <c r="B47">
        <v>2053.06</v>
      </c>
    </row>
    <row r="48" spans="1:2" x14ac:dyDescent="0.5">
      <c r="A48" t="s">
        <v>99</v>
      </c>
      <c r="B48">
        <v>1728.92</v>
      </c>
    </row>
    <row r="49" spans="1:2" x14ac:dyDescent="0.5">
      <c r="A49" t="s">
        <v>100</v>
      </c>
      <c r="B49">
        <v>1896.22</v>
      </c>
    </row>
    <row r="50" spans="1:2" x14ac:dyDescent="0.5">
      <c r="A50" t="s">
        <v>167</v>
      </c>
      <c r="B50">
        <v>1954.92</v>
      </c>
    </row>
    <row r="51" spans="1:2" x14ac:dyDescent="0.5">
      <c r="A51" t="s">
        <v>105</v>
      </c>
    </row>
    <row r="52" spans="1:2" x14ac:dyDescent="0.5">
      <c r="A52" t="s">
        <v>92</v>
      </c>
      <c r="B52">
        <f>COUNTIF('partidos regular'!A:A,"S*")</f>
        <v>35</v>
      </c>
    </row>
    <row r="53" spans="1:2" x14ac:dyDescent="0.5">
      <c r="A53" t="s">
        <v>93</v>
      </c>
      <c r="B53" s="16">
        <f>(B52/'partidos regular'!$B$1)*100</f>
        <v>47.945205479452049</v>
      </c>
    </row>
    <row r="54" spans="1:2" x14ac:dyDescent="0.5">
      <c r="A54" t="s">
        <v>94</v>
      </c>
      <c r="B54">
        <f>SUM(B56:B60)</f>
        <v>9472.7999999999993</v>
      </c>
    </row>
    <row r="55" spans="1:2" x14ac:dyDescent="0.5">
      <c r="A55" t="s">
        <v>95</v>
      </c>
      <c r="B55" s="15">
        <f>B54/'partidos regular'!$B$1</f>
        <v>129.76438356164383</v>
      </c>
    </row>
    <row r="56" spans="1:2" x14ac:dyDescent="0.5">
      <c r="A56" t="s">
        <v>97</v>
      </c>
      <c r="B56">
        <v>1499.98</v>
      </c>
    </row>
    <row r="57" spans="1:2" x14ac:dyDescent="0.5">
      <c r="A57" t="s">
        <v>98</v>
      </c>
      <c r="B57">
        <v>1784.3</v>
      </c>
    </row>
    <row r="58" spans="1:2" x14ac:dyDescent="0.5">
      <c r="A58" t="s">
        <v>99</v>
      </c>
      <c r="B58">
        <v>1937.3</v>
      </c>
    </row>
    <row r="59" spans="1:2" x14ac:dyDescent="0.5">
      <c r="A59" t="s">
        <v>100</v>
      </c>
      <c r="B59">
        <v>2087.1</v>
      </c>
    </row>
    <row r="60" spans="1:2" x14ac:dyDescent="0.5">
      <c r="A60" t="s">
        <v>167</v>
      </c>
      <c r="B60">
        <v>2164.12</v>
      </c>
    </row>
    <row r="61" spans="1:2" x14ac:dyDescent="0.5">
      <c r="A61" t="s">
        <v>106</v>
      </c>
    </row>
    <row r="62" spans="1:2" x14ac:dyDescent="0.5">
      <c r="A62" t="s">
        <v>92</v>
      </c>
      <c r="B62">
        <f>COUNTIF('partidos regular'!A:A,"N*")</f>
        <v>36</v>
      </c>
    </row>
    <row r="63" spans="1:2" x14ac:dyDescent="0.5">
      <c r="A63" t="s">
        <v>93</v>
      </c>
      <c r="B63" s="16">
        <f>(B62/'partidos regular'!$B$1)*100</f>
        <v>49.315068493150683</v>
      </c>
    </row>
    <row r="64" spans="1:2" x14ac:dyDescent="0.5">
      <c r="A64" t="s">
        <v>94</v>
      </c>
      <c r="B64">
        <f>SUM(B66:B70)</f>
        <v>9537.5400000000009</v>
      </c>
    </row>
    <row r="65" spans="1:2" x14ac:dyDescent="0.5">
      <c r="A65" t="s">
        <v>95</v>
      </c>
      <c r="B65" s="15">
        <f>B64/'partidos regular'!$B$1</f>
        <v>130.65123287671233</v>
      </c>
    </row>
    <row r="66" spans="1:2" x14ac:dyDescent="0.5">
      <c r="A66" t="s">
        <v>97</v>
      </c>
      <c r="B66">
        <v>1623.6</v>
      </c>
    </row>
    <row r="67" spans="1:2" x14ac:dyDescent="0.5">
      <c r="A67" t="s">
        <v>98</v>
      </c>
      <c r="B67">
        <v>1888.78</v>
      </c>
    </row>
    <row r="68" spans="1:2" x14ac:dyDescent="0.5">
      <c r="A68" t="s">
        <v>99</v>
      </c>
      <c r="B68">
        <v>1828.58</v>
      </c>
    </row>
    <row r="69" spans="1:2" x14ac:dyDescent="0.5">
      <c r="A69" t="s">
        <v>100</v>
      </c>
      <c r="B69">
        <v>2079.98</v>
      </c>
    </row>
    <row r="70" spans="1:2" x14ac:dyDescent="0.5">
      <c r="A70" t="s">
        <v>167</v>
      </c>
      <c r="B70">
        <v>2116.6</v>
      </c>
    </row>
    <row r="71" spans="1:2" x14ac:dyDescent="0.5">
      <c r="A71" t="s">
        <v>107</v>
      </c>
    </row>
    <row r="72" spans="1:2" x14ac:dyDescent="0.5">
      <c r="A72" t="s">
        <v>92</v>
      </c>
      <c r="B72">
        <f>COUNTIF('partidos regular'!A:A,"K*")</f>
        <v>17</v>
      </c>
    </row>
    <row r="73" spans="1:2" x14ac:dyDescent="0.5">
      <c r="A73" t="s">
        <v>93</v>
      </c>
      <c r="B73" s="16">
        <f>(B72/('partidos regular'!$B$1-43))*100</f>
        <v>56.666666666666664</v>
      </c>
    </row>
    <row r="74" spans="1:2" x14ac:dyDescent="0.5">
      <c r="A74" t="s">
        <v>94</v>
      </c>
      <c r="B74">
        <f>SUM(B76:B80)</f>
        <v>3939.1400000000003</v>
      </c>
    </row>
    <row r="75" spans="1:2" x14ac:dyDescent="0.5">
      <c r="A75" t="s">
        <v>95</v>
      </c>
      <c r="B75" s="15">
        <f>B74/('partidos regular'!$B$1-43)</f>
        <v>131.30466666666669</v>
      </c>
    </row>
    <row r="76" spans="1:2" x14ac:dyDescent="0.5">
      <c r="A76" t="s">
        <v>97</v>
      </c>
      <c r="B76">
        <v>0</v>
      </c>
    </row>
    <row r="77" spans="1:2" x14ac:dyDescent="0.5">
      <c r="A77" t="s">
        <v>98</v>
      </c>
      <c r="B77">
        <v>0</v>
      </c>
    </row>
    <row r="78" spans="1:2" x14ac:dyDescent="0.5">
      <c r="A78" t="s">
        <v>99</v>
      </c>
      <c r="B78">
        <v>0</v>
      </c>
    </row>
    <row r="79" spans="1:2" x14ac:dyDescent="0.5">
      <c r="A79" t="s">
        <v>100</v>
      </c>
      <c r="B79">
        <v>2024</v>
      </c>
    </row>
    <row r="80" spans="1:2" x14ac:dyDescent="0.5">
      <c r="A80" t="s">
        <v>167</v>
      </c>
      <c r="B80">
        <v>1915.14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31" workbookViewId="0">
      <selection activeCell="B42" sqref="B42"/>
    </sheetView>
  </sheetViews>
  <sheetFormatPr baseColWidth="10" defaultRowHeight="14.35" x14ac:dyDescent="0.5"/>
  <sheetData>
    <row r="1" spans="1:2" x14ac:dyDescent="0.5">
      <c r="A1" t="s">
        <v>91</v>
      </c>
    </row>
    <row r="2" spans="1:2" x14ac:dyDescent="0.5">
      <c r="A2" t="s">
        <v>108</v>
      </c>
      <c r="B2" t="str">
        <f xml:space="preserve"> COUNTIF('partidos regular'!A:A,"EG")+COUNTIF(playoffs!A:A,"EG")+COUNTIF(playoffs!E:E,"EG")&amp;"-"&amp;COUNTIF('partidos regular'!A:A,"GE")+COUNTIF(playoffs!A:A,"GE")+COUNTIF(playoffs!E:E,"GE")&amp;" ("&amp;COUNTIF(playoffs!A:A,"EG")+COUNTIF(playoffs!E:E,"EG")&amp;"-"&amp;COUNTIF(playoffs!A:A,"GE")+COUNTIF(playoffs!E:E,"GE")&amp;")"</f>
        <v>7-3 (0-0)</v>
      </c>
    </row>
    <row r="3" spans="1:2" x14ac:dyDescent="0.5">
      <c r="A3" t="s">
        <v>109</v>
      </c>
      <c r="B3" t="str">
        <f xml:space="preserve"> COUNTIF('partidos regular'!A:A,"ES")+COUNTIF(playoffs!A:A,"ES")+COUNTIF(playoffs!E:E,"ES")&amp;"-"&amp;COUNTIF('partidos regular'!A:A,"SE")+COUNTIF(playoffs!A:A,"SE")+COUNTIF(playoffs!E:E,"SE")&amp;" ("&amp;COUNTIF(playoffs!A:A,"ES")+COUNTIF(playoffs!E:E,"ES")&amp;"-"&amp;COUNTIF(playoffs!A:A,"SE")+COUNTIF(playoffs!E:E,"SE")&amp;")"</f>
        <v>6-5 (0-1)</v>
      </c>
    </row>
    <row r="4" spans="1:2" x14ac:dyDescent="0.5">
      <c r="A4" t="s">
        <v>111</v>
      </c>
      <c r="B4" t="str">
        <f xml:space="preserve"> COUNTIF('partidos regular'!A:A,"EN")+COUNTIF(playoffs!A:A,"EN")+COUNTIF(playoffs!E:E,"EN")&amp;"-"&amp;COUNTIF('partidos regular'!A:A,"NE")+COUNTIF(playoffs!A:A,"NE")+COUNTIF(playoffs!E:E,"GE")&amp;" ("&amp;COUNTIF(playoffs!A:A,"EN")+COUNTIF(playoffs!E:E,"EN")&amp;"-"&amp;COUNTIF(playoffs!A:A,"NE")+COUNTIF(playoffs!E:E,"NE")&amp;")"</f>
        <v>6-4 (0-0)</v>
      </c>
    </row>
    <row r="5" spans="1:2" x14ac:dyDescent="0.5">
      <c r="A5" t="s">
        <v>110</v>
      </c>
      <c r="B5" t="str">
        <f xml:space="preserve"> COUNTIF('partidos regular'!A:A,"EL")+COUNTIF(playoffs!A:A,"EL")+COUNTIF(playoffs!E:E,"EL")&amp;"-"&amp;COUNTIF('partidos regular'!A:A,"LE")+COUNTIF(playoffs!A:A,"LE")+COUNTIF(playoffs!E:E,"LE")&amp;" ("&amp;COUNTIF(playoffs!A:A,"EL")+COUNTIF(playoffs!E:E,"EL")&amp;"-"&amp;COUNTIF(playoffs!A:A,"LE")+COUNTIF(playoffs!E:E,"LE")&amp;")"</f>
        <v>7-3 (0-0)</v>
      </c>
    </row>
    <row r="6" spans="1:2" x14ac:dyDescent="0.5">
      <c r="A6" t="s">
        <v>112</v>
      </c>
      <c r="B6" t="str">
        <f xml:space="preserve"> COUNTIF('partidos regular'!A:A,"EC")+COUNTIF(playoffs!A:A,"EC")+COUNTIF(playoffs!E:E,"EC")&amp;"-"&amp;COUNTIF('partidos regular'!A:A,"CE")+COUNTIF(playoffs!A:A,"CE")+COUNTIF(playoffs!E:E,"CE")&amp;" ("&amp;COUNTIF(playoffs!A:A,"EC")+COUNTIF(playoffs!E:E,"EC")&amp;"-"&amp;COUNTIF(playoffs!A:A,"CE")+COUNTIF(playoffs!E:E,"CE")&amp;")"</f>
        <v>3-6 (0-0)</v>
      </c>
    </row>
    <row r="7" spans="1:2" x14ac:dyDescent="0.5">
      <c r="A7" t="s">
        <v>113</v>
      </c>
      <c r="B7" t="str">
        <f xml:space="preserve"> COUNTIF('partidos regular'!A:A,"EK")+COUNTIF(playoffs!A:A,"EK")+COUNTIF(playoffs!E:E,"EK")&amp;"-"&amp;COUNTIF('partidos regular'!A:A,"KE")+COUNTIF(playoffs!A:A,"KE")+COUNTIF(playoffs!E:E,"KE")&amp;" ("&amp;COUNTIF(playoffs!A:A,"EK")+COUNTIF(playoffs!E:E,"EK")&amp;"-"&amp;COUNTIF(playoffs!A:A,"KE")+COUNTIF(playoffs!E:E,"KE")&amp;")"</f>
        <v>2-4 (1-0)</v>
      </c>
    </row>
    <row r="8" spans="1:2" x14ac:dyDescent="0.5">
      <c r="A8" t="s">
        <v>114</v>
      </c>
      <c r="B8" t="str">
        <f xml:space="preserve"> COUNTIF('partidos regular'!A:A,"EJ")+COUNTIF(playoffs!A:A,"EJ")+COUNTIF(playoffs!E:E,"EJ")&amp;"-"&amp;COUNTIF('partidos regular'!A:A,"JE")+COUNTIF(playoffs!A:A,"JE")+COUNTIF(playoffs!E:E,"JE")&amp;" ("&amp;COUNTIF(playoffs!A:A,"EJ")+COUNTIF(playoffs!E:E,"EJ")&amp;"-"&amp;COUNTIF(playoffs!A:A,"JE")+COUNTIF(playoffs!E:E,"JE")&amp;")"</f>
        <v>7-5 (1-1)</v>
      </c>
    </row>
    <row r="9" spans="1:2" x14ac:dyDescent="0.5">
      <c r="A9" t="s">
        <v>129</v>
      </c>
    </row>
    <row r="10" spans="1:2" x14ac:dyDescent="0.5">
      <c r="A10" t="s">
        <v>129</v>
      </c>
    </row>
    <row r="11" spans="1:2" x14ac:dyDescent="0.5">
      <c r="A11" t="s">
        <v>104</v>
      </c>
    </row>
    <row r="12" spans="1:2" x14ac:dyDescent="0.5">
      <c r="A12" t="s">
        <v>115</v>
      </c>
      <c r="B12" t="str">
        <f xml:space="preserve"> COUNTIF('partidos regular'!A:A,"GE")+COUNTIF(playoffs!A:A,"GE")+COUNTIF(playoffs!E:E,"GE")&amp;"-"&amp;COUNTIF('partidos regular'!A:A,"EG")+COUNTIF(playoffs!A:A,"EG")+COUNTIF(playoffs!E:E,"EG")&amp;" ("&amp;COUNTIF(playoffs!A:A,"GE")+COUNTIF(playoffs!E:E,"GE")&amp;"-"&amp;COUNTIF(playoffs!A:A,"EG")+COUNTIF(playoffs!E:E,"EG")&amp;")"</f>
        <v>3-7 (0-0)</v>
      </c>
    </row>
    <row r="13" spans="1:2" x14ac:dyDescent="0.5">
      <c r="A13" t="s">
        <v>116</v>
      </c>
      <c r="B13" t="str">
        <f xml:space="preserve"> COUNTIF('partidos regular'!A:A,"GS")+COUNTIF(playoffs!A:A,"GS")+COUNTIF(playoffs!E:E,"GS")&amp;"-"&amp;COUNTIF('partidos regular'!A:A,"SG")+COUNTIF(playoffs!A:A,"SG")+COUNTIF(playoffs!E:E,"SG")&amp;" ("&amp;COUNTIF(playoffs!A:A,"GS")+COUNTIF(playoffs!E:E,"GS")&amp;"-"&amp;COUNTIF(playoffs!A:A,"SG")+COUNTIF(playoffs!E:E,"SG")&amp;")"</f>
        <v>5-5 (0-0)</v>
      </c>
    </row>
    <row r="14" spans="1:2" x14ac:dyDescent="0.5">
      <c r="A14" t="s">
        <v>118</v>
      </c>
      <c r="B14" t="str">
        <f xml:space="preserve"> COUNTIF('partidos regular'!A:A,"GN")+COUNTIF(playoffs!A:A,"GN")+COUNTIF(playoffs!E:E,"GN")&amp;"-"&amp;COUNTIF('partidos regular'!A:A,"NG")+COUNTIF(playoffs!A:A,"NG")+COUNTIF(playoffs!E:E,"NG")&amp;" ("&amp;COUNTIF(playoffs!A:A,"GN")+COUNTIF(playoffs!E:E,"GN")&amp;"-"&amp;COUNTIF(playoffs!A:A,"NG")+COUNTIF(playoffs!E:E,"NG")&amp;")"</f>
        <v>5-9 (1-0)</v>
      </c>
    </row>
    <row r="15" spans="1:2" x14ac:dyDescent="0.5">
      <c r="A15" t="s">
        <v>117</v>
      </c>
      <c r="B15" t="str">
        <f xml:space="preserve"> COUNTIF('partidos regular'!A:A,"GL")+COUNTIF(playoffs!A:A,"GL")+COUNTIF(playoffs!E:E,"GL")&amp;"-"&amp;COUNTIF('partidos regular'!A:A,"LG")+COUNTIF(playoffs!A:A,"LG")+COUNTIF(playoffs!E:E,"LG")&amp;" ("&amp;COUNTIF(playoffs!A:A,"GL")+COUNTIF(playoffs!E:E,"GL")&amp;"-"&amp;COUNTIF(playoffs!A:A,"LG")+COUNTIF(playoffs!E:E,"LG")&amp;")"</f>
        <v>6-5 (0-1)</v>
      </c>
    </row>
    <row r="16" spans="1:2" x14ac:dyDescent="0.5">
      <c r="A16" t="s">
        <v>119</v>
      </c>
      <c r="B16" t="str">
        <f xml:space="preserve"> COUNTIF('partidos regular'!A:A,"GC")+COUNTIF(playoffs!A:A,"GC")+COUNTIF(playoffs!E:E,"GC")&amp;"-"&amp;COUNTIF('partidos regular'!A:A,"CG")+COUNTIF(playoffs!A:A,"CG")+COUNTIF(playoffs!E:E,"CG")&amp;" ("&amp;COUNTIF(playoffs!A:A,"GC")+COUNTIF(playoffs!E:E,"GC")&amp;"-"&amp;COUNTIF(playoffs!A:A,"CG")+COUNTIF(playoffs!E:E,"CG")&amp;")"</f>
        <v>2-6 (0-0)</v>
      </c>
    </row>
    <row r="17" spans="1:2" x14ac:dyDescent="0.5">
      <c r="A17" t="s">
        <v>120</v>
      </c>
      <c r="B17" t="str">
        <f xml:space="preserve"> COUNTIF('partidos regular'!A:A,"GK")+COUNTIF(playoffs!A:A,"GK")+COUNTIF(playoffs!E:E,"GK")&amp;"-"&amp;COUNTIF('partidos regular'!A:A,"KG")+COUNTIF(playoffs!A:A,"KG")+COUNTIF(playoffs!E:E,"KG")&amp;" ("&amp;COUNTIF(playoffs!A:A,"GK")+COUNTIF(playoffs!E:E,"GK")&amp;"-"&amp;COUNTIF(playoffs!A:A,"KG")+COUNTIF(playoffs!E:E,"KG")&amp;")"</f>
        <v>2-2 (0-0)</v>
      </c>
    </row>
    <row r="18" spans="1:2" x14ac:dyDescent="0.5">
      <c r="A18" t="s">
        <v>121</v>
      </c>
      <c r="B18" t="str">
        <f xml:space="preserve"> COUNTIF('partidos regular'!A:A,"GJ")+COUNTIF(playoffs!A:A,"GJ")+COUNTIF(playoffs!E:E,"GJ")&amp;"-"&amp;COUNTIF('partidos regular'!A:A,"JG")+COUNTIF(playoffs!A:A,"JG")+COUNTIF(playoffs!E:E,"JG")&amp;" ("&amp;COUNTIF(playoffs!A:A,"GJ")+COUNTIF(playoffs!E:E,"GJ")&amp;"-"&amp;COUNTIF(playoffs!A:A,"JG")+COUNTIF(playoffs!E:E,"JG")&amp;")"</f>
        <v>3-8 (1-0)</v>
      </c>
    </row>
    <row r="19" spans="1:2" x14ac:dyDescent="0.5">
      <c r="A19" t="s">
        <v>129</v>
      </c>
    </row>
    <row r="20" spans="1:2" x14ac:dyDescent="0.5">
      <c r="A20" t="s">
        <v>129</v>
      </c>
    </row>
    <row r="21" spans="1:2" x14ac:dyDescent="0.5">
      <c r="A21" t="s">
        <v>105</v>
      </c>
    </row>
    <row r="22" spans="1:2" x14ac:dyDescent="0.5">
      <c r="A22" t="s">
        <v>122</v>
      </c>
      <c r="B22" t="str">
        <f xml:space="preserve"> COUNTIF('partidos regular'!A:A,"SE")+COUNTIF(playoffs!A:A,"SE")+COUNTIF(playoffs!E:E,"SE")&amp;"-"&amp;COUNTIF('partidos regular'!A:A,"ES")+COUNTIF(playoffs!A:A,"ES")+COUNTIF(playoffs!E:E,"ES")&amp;" ("&amp;COUNTIF(playoffs!A:A,"SE")+COUNTIF(playoffs!E:E,"SE")&amp;"-"&amp;COUNTIF(playoffs!A:A,"ES")+COUNTIF(playoffs!E:E,"ES")&amp;")"</f>
        <v>5-6 (1-0)</v>
      </c>
    </row>
    <row r="23" spans="1:2" x14ac:dyDescent="0.5">
      <c r="A23" t="s">
        <v>123</v>
      </c>
      <c r="B23" t="str">
        <f xml:space="preserve"> COUNTIF('partidos regular'!A:A,"SG")+COUNTIF(playoffs!A:A,"SG")+COUNTIF(playoffs!E:E,"SG")&amp;"-"&amp;COUNTIF('partidos regular'!A:A,"GS")+COUNTIF(playoffs!A:A,"GS")+COUNTIF(playoffs!E:E,"GS")&amp;" ("&amp;COUNTIF(playoffs!A:A,"SG")+COUNTIF(playoffs!E:E,"SG")&amp;"-"&amp;COUNTIF(playoffs!A:A,"GS")+COUNTIF(playoffs!E:E,"GS")&amp;")"</f>
        <v>5-5 (0-0)</v>
      </c>
    </row>
    <row r="24" spans="1:2" x14ac:dyDescent="0.5">
      <c r="A24" t="s">
        <v>124</v>
      </c>
      <c r="B24" t="str">
        <f xml:space="preserve"> COUNTIF('partidos regular'!A:A,"SN")+COUNTIF(playoffs!A:A,"SN")+COUNTIF(playoffs!E:E,"SN")&amp;"-"&amp;COUNTIF('partidos regular'!A:A,"NS")+COUNTIF(playoffs!A:A,"NS")+COUNTIF(playoffs!E:E,"NS")&amp;" ("&amp;COUNTIF(playoffs!A:A,"SN")+COUNTIF(playoffs!E:E,"SN")&amp;"-"&amp;COUNTIF(playoffs!A:A,"NS")+COUNTIF(playoffs!E:E,"NS")&amp;")"</f>
        <v>4-6 (0-0)</v>
      </c>
    </row>
    <row r="25" spans="1:2" x14ac:dyDescent="0.5">
      <c r="A25" t="s">
        <v>125</v>
      </c>
      <c r="B25" t="str">
        <f xml:space="preserve"> COUNTIF('partidos regular'!A:A,"SL")+COUNTIF(playoffs!A:A,"SL")+COUNTIF(playoffs!E:E,"SL")&amp;"-"&amp;COUNTIF('partidos regular'!A:A,"LS")+COUNTIF(playoffs!A:A,"LS")+COUNTIF(playoffs!E:E,"LS")&amp;" ("&amp;COUNTIF(playoffs!A:A,"SL")+COUNTIF(playoffs!E:E,"SL")&amp;"-"&amp;COUNTIF(playoffs!A:A,"LS")+COUNTIF(playoffs!E:E,"LS")&amp;")"</f>
        <v>7-5 (1-0)</v>
      </c>
    </row>
    <row r="26" spans="1:2" x14ac:dyDescent="0.5">
      <c r="A26" t="s">
        <v>126</v>
      </c>
      <c r="B26" t="str">
        <f xml:space="preserve"> COUNTIF('partidos regular'!A:A,"SC")+COUNTIF(playoffs!A:A,"SC")+COUNTIF(playoffs!E:E,"SC")&amp;"-"&amp;COUNTIF('partidos regular'!A:A,"CS")+COUNTIF(playoffs!A:A,"CS")+COUNTIF(playoffs!E:E,"CS")&amp;" ("&amp;COUNTIF(playoffs!A:A,"SC")+COUNTIF(playoffs!E:E,"SC")&amp;"-"&amp;COUNTIF(playoffs!A:A,"CS")+COUNTIF(playoffs!E:E,"CS")&amp;")"</f>
        <v>5-3 (0-0)</v>
      </c>
    </row>
    <row r="27" spans="1:2" x14ac:dyDescent="0.5">
      <c r="A27" t="s">
        <v>127</v>
      </c>
      <c r="B27" t="str">
        <f xml:space="preserve"> COUNTIF('partidos regular'!A:A,"SK")+COUNTIF(playoffs!A:A,"SK")+COUNTIF(playoffs!E:E,"SK")&amp;"-"&amp;COUNTIF('partidos regular'!A:A,"KS")+COUNTIF(playoffs!A:A,"KS")+COUNTIF(playoffs!E:E,"KS")&amp;" ("&amp;COUNTIF(playoffs!A:A,"SK")+COUNTIF(playoffs!E:E,"SK")&amp;"-"&amp;COUNTIF(playoffs!A:A,"KS")+COUNTIF(playoffs!E:E,"KS")&amp;")"</f>
        <v>2-2 (0-0)</v>
      </c>
    </row>
    <row r="28" spans="1:2" x14ac:dyDescent="0.5">
      <c r="A28" t="s">
        <v>128</v>
      </c>
      <c r="B28" t="str">
        <f xml:space="preserve"> COUNTIF('partidos regular'!A:A,"SJ")+COUNTIF(playoffs!A:A,"SJ")+COUNTIF(playoffs!E:E,"SJ")&amp;"-"&amp;COUNTIF('partidos regular'!A:A,"JS")+COUNTIF(playoffs!A:A,"JS")+COUNTIF(playoffs!E:E,"JS")&amp;" ("&amp;COUNTIF(playoffs!A:A,"SJ")+COUNTIF(playoffs!E:E,"SJ")&amp;"-"&amp;COUNTIF(playoffs!A:A,"JS")+COUNTIF(playoffs!E:E,"JS")&amp;")"</f>
        <v>5-8 (0-1)</v>
      </c>
    </row>
    <row r="29" spans="1:2" x14ac:dyDescent="0.5">
      <c r="A29" t="s">
        <v>129</v>
      </c>
    </row>
    <row r="30" spans="1:2" x14ac:dyDescent="0.5">
      <c r="A30" t="s">
        <v>129</v>
      </c>
    </row>
    <row r="31" spans="1:2" x14ac:dyDescent="0.5">
      <c r="A31" t="s">
        <v>106</v>
      </c>
    </row>
    <row r="32" spans="1:2" x14ac:dyDescent="0.5">
      <c r="A32" t="s">
        <v>130</v>
      </c>
      <c r="B32" t="str">
        <f xml:space="preserve"> COUNTIF('partidos regular'!A:A,"NE")+COUNTIF(playoffs!A:A,"NE")+COUNTIF(playoffs!E:E,"NE")&amp;"-"&amp;COUNTIF('partidos regular'!A:A,"EN")+COUNTIF(playoffs!A:A,"EN")+COUNTIF(playoffs!E:E,"EN")&amp;" ("&amp;COUNTIF(playoffs!A:A,"NE")+COUNTIF(playoffs!E:E,"NE")&amp;"-"&amp;COUNTIF(playoffs!A:A,"EN")+COUNTIF(playoffs!E:E,"EN")&amp;")"</f>
        <v>4-6 (0-0)</v>
      </c>
    </row>
    <row r="33" spans="1:2" x14ac:dyDescent="0.5">
      <c r="A33" t="s">
        <v>131</v>
      </c>
      <c r="B33" t="str">
        <f xml:space="preserve"> COUNTIF('partidos regular'!A:A,"NG")+COUNTIF(playoffs!A:A,"NG")+COUNTIF(playoffs!E:E,"NG")&amp;"-"&amp;COUNTIF('partidos regular'!A:A,"GN")+COUNTIF(playoffs!A:A,"GN")+COUNTIF(playoffs!E:E,"GN")&amp;" ("&amp;COUNTIF(playoffs!A:A,"NG")+COUNTIF(playoffs!E:E,"NG")&amp;"-"&amp;COUNTIF(playoffs!A:A,"GN")+COUNTIF(playoffs!E:E,"GN")&amp;")"</f>
        <v>9-5 (0-1)</v>
      </c>
    </row>
    <row r="34" spans="1:2" x14ac:dyDescent="0.5">
      <c r="A34" t="s">
        <v>132</v>
      </c>
      <c r="B34" t="str">
        <f xml:space="preserve"> COUNTIF('partidos regular'!A:A,"NS")+COUNTIF(playoffs!A:A,"NS")+COUNTIF(playoffs!E:E,"NS")&amp;"-"&amp;COUNTIF('partidos regular'!A:A,"SN")+COUNTIF(playoffs!A:A,"SN")+COUNTIF(playoffs!E:E,"SN")&amp;" ("&amp;COUNTIF(playoffs!A:A,"NS")+COUNTIF(playoffs!E:E,"NS")&amp;"-"&amp;COUNTIF(playoffs!A:A,"SN")+COUNTIF(playoffs!E:E,"SN")&amp;")"</f>
        <v>6-4 (0-0)</v>
      </c>
    </row>
    <row r="35" spans="1:2" x14ac:dyDescent="0.5">
      <c r="A35" t="s">
        <v>133</v>
      </c>
      <c r="B35" t="str">
        <f xml:space="preserve"> COUNTIF('partidos regular'!A:A,"NL")+COUNTIF(playoffs!A:A,"NL")+COUNTIF(playoffs!E:E,"NL")&amp;"-"&amp;COUNTIF('partidos regular'!A:A,"LN")+COUNTIF(playoffs!A:A,"LN")+COUNTIF(playoffs!E:E,"LN")&amp;" ("&amp;COUNTIF(playoffs!A:A,"NL")+COUNTIF(playoffs!E:E,"NL")&amp;"-"&amp;COUNTIF(playoffs!A:A,"LN")+COUNTIF(playoffs!E:E,"LN")&amp;")"</f>
        <v>2-7 (0-0)</v>
      </c>
    </row>
    <row r="36" spans="1:2" x14ac:dyDescent="0.5">
      <c r="A36" t="s">
        <v>134</v>
      </c>
      <c r="B36" t="str">
        <f xml:space="preserve"> COUNTIF('partidos regular'!A:A,"NC")+COUNTIF(playoffs!A:A,"NC")+COUNTIF(playoffs!E:E,"NC")&amp;"-"&amp;COUNTIF('partidos regular'!A:A,"CN")+COUNTIF(playoffs!A:A,"CN")+COUNTIF(playoffs!E:E,"CN")&amp;" ("&amp;COUNTIF(playoffs!A:A,"NC")+COUNTIF(playoffs!E:E,"NC")&amp;"-"&amp;COUNTIF(playoffs!A:A,"CN")+COUNTIF(playoffs!E:E,"CN")&amp;")"</f>
        <v>5-4 (1-0)</v>
      </c>
    </row>
    <row r="37" spans="1:2" x14ac:dyDescent="0.5">
      <c r="A37" t="s">
        <v>135</v>
      </c>
      <c r="B37" t="str">
        <f xml:space="preserve"> COUNTIF('partidos regular'!A:A,"NK")+COUNTIF(playoffs!A:A,"NK")+COUNTIF(playoffs!E:E,"NK")&amp;"-"&amp;COUNTIF('partidos regular'!A:A,"KN")+COUNTIF(playoffs!A:A,"KN")+COUNTIF(playoffs!E:E,"KN")&amp;" ("&amp;COUNTIF(playoffs!A:A,"NK")+COUNTIF(playoffs!E:E,"NK")&amp;"-"&amp;COUNTIF(playoffs!A:A,"KN")+COUNTIF(playoffs!E:E,"KN")&amp;")"</f>
        <v>1-4 (0-1)</v>
      </c>
    </row>
    <row r="38" spans="1:2" x14ac:dyDescent="0.5">
      <c r="A38" t="s">
        <v>136</v>
      </c>
      <c r="B38" t="str">
        <f xml:space="preserve"> COUNTIF('partidos regular'!A:A,"NJ")+COUNTIF(playoffs!A:A,"NJ")+COUNTIF(playoffs!E:E,"NJ")&amp;"-"&amp;COUNTIF('partidos regular'!A:A,"JN")+COUNTIF(playoffs!A:A,"JN")+COUNTIF(playoffs!E:E,"JN")&amp;" ("&amp;COUNTIF(playoffs!A:A,"NJ")+COUNTIF(playoffs!E:E,"NJ")&amp;"-"&amp;COUNTIF(playoffs!A:A,"JN")+COUNTIF(playoffs!E:E,"JN")&amp;")"</f>
        <v>6-5 (0-1)</v>
      </c>
    </row>
    <row r="39" spans="1:2" x14ac:dyDescent="0.5">
      <c r="A39" t="s">
        <v>129</v>
      </c>
    </row>
    <row r="40" spans="1:2" x14ac:dyDescent="0.5">
      <c r="A40" t="s">
        <v>129</v>
      </c>
    </row>
    <row r="41" spans="1:2" x14ac:dyDescent="0.5">
      <c r="A41" t="s">
        <v>102</v>
      </c>
    </row>
    <row r="42" spans="1:2" x14ac:dyDescent="0.5">
      <c r="A42" t="s">
        <v>137</v>
      </c>
      <c r="B42" t="str">
        <f xml:space="preserve"> COUNTIF('partidos regular'!A:A,"LE")+COUNTIF(playoffs!A:A,"LE")+COUNTIF(playoffs!E:E,"LE")&amp;"-"&amp;COUNTIF('partidos regular'!A:A,"EL")+COUNTIF(playoffs!A:A,"EL")+COUNTIF(playoffs!E:E,"EL")&amp;" ("&amp;COUNTIF(playoffs!A:A,"LE")+COUNTIF(playoffs!E:E,"LE")&amp;"-"&amp;COUNTIF(playoffs!A:A,"EL")+COUNTIF(playoffs!E:E,"EL")&amp;")"</f>
        <v>3-7 (0-0)</v>
      </c>
    </row>
    <row r="43" spans="1:2" x14ac:dyDescent="0.5">
      <c r="A43" t="s">
        <v>138</v>
      </c>
      <c r="B43" t="str">
        <f xml:space="preserve"> COUNTIF('partidos regular'!A:A,"LG")+COUNTIF(playoffs!A:A,"LG")+COUNTIF(playoffs!E:E,"LG")&amp;"-"&amp;COUNTIF('partidos regular'!A:A,"GL")+COUNTIF(playoffs!A:A,"GL")+COUNTIF(playoffs!E:E,"GL")&amp;" ("&amp;COUNTIF(playoffs!A:A,"LG")+COUNTIF(playoffs!E:E,"LG")&amp;"-"&amp;COUNTIF(playoffs!A:A,"GL")+COUNTIF(playoffs!E:E,"GL")&amp;")"</f>
        <v>5-6 (1-0)</v>
      </c>
    </row>
    <row r="44" spans="1:2" x14ac:dyDescent="0.5">
      <c r="A44" t="s">
        <v>139</v>
      </c>
      <c r="B44" t="str">
        <f xml:space="preserve"> COUNTIF('partidos regular'!A:A,"LS")+COUNTIF(playoffs!A:A,"LS")+COUNTIF(playoffs!E:E,"LS")&amp;"-"&amp;COUNTIF('partidos regular'!A:A,"SL")+COUNTIF(playoffs!A:A,"SL")+COUNTIF(playoffs!E:E,"SL")&amp;" ("&amp;COUNTIF(playoffs!A:A,"LS")+COUNTIF(playoffs!E:E,"LS")&amp;"-"&amp;COUNTIF(playoffs!A:A,"SL")+COUNTIF(playoffs!E:E,"SL")&amp;")"</f>
        <v>5-7 (0-1)</v>
      </c>
    </row>
    <row r="45" spans="1:2" x14ac:dyDescent="0.5">
      <c r="A45" t="s">
        <v>140</v>
      </c>
      <c r="B45" t="str">
        <f xml:space="preserve"> COUNTIF('partidos regular'!A:A,"LN")+COUNTIF(playoffs!A:A,"LN")+COUNTIF(playoffs!E:E,"LN")&amp;"-"&amp;COUNTIF('partidos regular'!A:A,"NL")+COUNTIF(playoffs!A:A,"NL")+COUNTIF(playoffs!E:E,"NL")&amp;" ("&amp;COUNTIF(playoffs!A:A,"LN")+COUNTIF(playoffs!E:E,"LN")&amp;"-"&amp;COUNTIF(playoffs!A:A,"NL")+COUNTIF(playoffs!E:E,"NL")&amp;")"</f>
        <v>7-2 (0-0)</v>
      </c>
    </row>
    <row r="46" spans="1:2" x14ac:dyDescent="0.5">
      <c r="A46" t="s">
        <v>141</v>
      </c>
      <c r="B46" t="str">
        <f xml:space="preserve"> COUNTIF('partidos regular'!A:A,"LC")+COUNTIF(playoffs!A:A,"LC")+COUNTIF(playoffs!E:E,"LC")&amp;"-"&amp;COUNTIF('partidos regular'!A:A,"CL")+COUNTIF(playoffs!A:A,"CL")+COUNTIF(playoffs!E:E,"CL")&amp;" ("&amp;COUNTIF(playoffs!A:A,"LC")+COUNTIF(playoffs!E:E,"LC")&amp;"-"&amp;COUNTIF(playoffs!A:A,"CL")+COUNTIF(playoffs!E:E,"CL")&amp;")"</f>
        <v>4-7 (0-0)</v>
      </c>
    </row>
    <row r="47" spans="1:2" x14ac:dyDescent="0.5">
      <c r="A47" t="s">
        <v>142</v>
      </c>
      <c r="B47" t="str">
        <f xml:space="preserve"> COUNTIF('partidos regular'!A:A,"LK")+COUNTIF(playoffs!A:A,"LK")+COUNTIF(playoffs!E:E,"LK")&amp;"-"&amp;COUNTIF('partidos regular'!A:A,"KL")+COUNTIF(playoffs!A:A,"KL")+COUNTIF(playoffs!E:E,"KL")&amp;" ("&amp;COUNTIF(playoffs!A:A,"LK")+COUNTIF(playoffs!E:E,"LK")&amp;"-"&amp;COUNTIF(playoffs!A:A,"KL")+COUNTIF(playoffs!E:E,"KL")&amp;")"</f>
        <v>1-3 (0-0)</v>
      </c>
    </row>
    <row r="48" spans="1:2" x14ac:dyDescent="0.5">
      <c r="A48" t="s">
        <v>143</v>
      </c>
      <c r="B48" t="str">
        <f xml:space="preserve"> COUNTIF('partidos regular'!A:A,"LJ")+COUNTIF(playoffs!A:A,"LJ")+COUNTIF(playoffs!E:E,"LJ")&amp;"-"&amp;COUNTIF('partidos regular'!A:A,"JL")+COUNTIF(playoffs!A:A,"JL")+COUNTIF(playoffs!E:E,"JL")&amp;" ("&amp;COUNTIF(playoffs!A:A,"LJ")+COUNTIF(playoffs!E:E,"LJ")&amp;"-"&amp;COUNTIF(playoffs!A:A,"JL")+COUNTIF(playoffs!E:E,"JL")&amp;")"</f>
        <v>5-6 (1-0)</v>
      </c>
    </row>
    <row r="49" spans="1:2" x14ac:dyDescent="0.5">
      <c r="A49" t="s">
        <v>129</v>
      </c>
    </row>
    <row r="50" spans="1:2" x14ac:dyDescent="0.5">
      <c r="A50" t="s">
        <v>129</v>
      </c>
    </row>
    <row r="51" spans="1:2" x14ac:dyDescent="0.5">
      <c r="A51" t="s">
        <v>103</v>
      </c>
    </row>
    <row r="52" spans="1:2" x14ac:dyDescent="0.5">
      <c r="A52" t="s">
        <v>144</v>
      </c>
      <c r="B52" t="str">
        <f xml:space="preserve"> COUNTIF('partidos regular'!A:A,"CE")+COUNTIF(playoffs!A:A,"CE")+COUNTIF(playoffs!E:E,"CE")&amp;"-"&amp;COUNTIF('partidos regular'!A:A,"EC")+COUNTIF(playoffs!A:A,"EC")+COUNTIF(playoffs!E:E,"EC")&amp;" ("&amp;COUNTIF(playoffs!A:A,"CE")+COUNTIF(playoffs!E:E,"CE")&amp;"-"&amp;COUNTIF(playoffs!A:A,"EC")+COUNTIF(playoffs!E:E,"EC")&amp;")"</f>
        <v>6-3 (0-0)</v>
      </c>
    </row>
    <row r="53" spans="1:2" x14ac:dyDescent="0.5">
      <c r="A53" t="s">
        <v>145</v>
      </c>
      <c r="B53" t="str">
        <f xml:space="preserve"> COUNTIF('partidos regular'!A:A,"CG")+COUNTIF(playoffs!A:A,"CG")+COUNTIF(playoffs!E:E,"CG")&amp;"-"&amp;COUNTIF('partidos regular'!A:A,"GC")+COUNTIF(playoffs!A:A,"GC")+COUNTIF(playoffs!E:E,"GC")&amp;" ("&amp;COUNTIF(playoffs!A:A,"CG")+COUNTIF(playoffs!E:E,"CG")&amp;"-"&amp;COUNTIF(playoffs!A:A,"GC")+COUNTIF(playoffs!E:E,"GC")&amp;")"</f>
        <v>6-2 (0-0)</v>
      </c>
    </row>
    <row r="54" spans="1:2" x14ac:dyDescent="0.5">
      <c r="A54" t="s">
        <v>146</v>
      </c>
      <c r="B54" t="str">
        <f xml:space="preserve"> COUNTIF('partidos regular'!A:A,"CS")+COUNTIF(playoffs!A:A,"CS")+COUNTIF(playoffs!E:E,"CS")&amp;"-"&amp;COUNTIF('partidos regular'!A:A,"SC")+COUNTIF(playoffs!A:A,"SC")+COUNTIF(playoffs!E:E,"SC")&amp;" ("&amp;COUNTIF(playoffs!A:A,"CS")+COUNTIF(playoffs!E:E,"CS")&amp;"-"&amp;COUNTIF(playoffs!A:A,"SC")+COUNTIF(playoffs!E:E,"SC")&amp;")"</f>
        <v>3-5 (0-0)</v>
      </c>
    </row>
    <row r="55" spans="1:2" x14ac:dyDescent="0.5">
      <c r="A55" t="s">
        <v>147</v>
      </c>
      <c r="B55" t="str">
        <f xml:space="preserve"> COUNTIF('partidos regular'!A:A,"CN")+COUNTIF(playoffs!A:A,"CN")+COUNTIF(playoffs!E:E,"CN")&amp;"-"&amp;COUNTIF('partidos regular'!A:A,"NC")+COUNTIF(playoffs!A:A,"NC")+COUNTIF(playoffs!E:E,"NC")&amp;" ("&amp;COUNTIF(playoffs!A:A,"CN")+COUNTIF(playoffs!E:E,"CN")&amp;"-"&amp;COUNTIF(playoffs!A:A,"NC")+COUNTIF(playoffs!E:E,"NC")&amp;")"</f>
        <v>4-5 (0-1)</v>
      </c>
    </row>
    <row r="56" spans="1:2" x14ac:dyDescent="0.5">
      <c r="A56" t="s">
        <v>148</v>
      </c>
      <c r="B56" t="str">
        <f xml:space="preserve"> COUNTIF('partidos regular'!A:A,"CL")+COUNTIF(playoffs!A:A,"CL")+COUNTIF(playoffs!E:E,"CL")&amp;"-"&amp;COUNTIF('partidos regular'!A:A,"LC")+COUNTIF(playoffs!A:A,"LC")+COUNTIF(playoffs!E:E,"LC")&amp;" ("&amp;COUNTIF(playoffs!A:A,"CL")+COUNTIF(playoffs!E:E,"CL")&amp;"-"&amp;COUNTIF(playoffs!A:A,"LC")+COUNTIF(playoffs!E:E,"LC")&amp;")"</f>
        <v>7-4 (0-0)</v>
      </c>
    </row>
    <row r="57" spans="1:2" x14ac:dyDescent="0.5">
      <c r="A57" t="s">
        <v>149</v>
      </c>
      <c r="B57" t="str">
        <f xml:space="preserve"> COUNTIF('partidos regular'!A:A,"CK")+COUNTIF(playoffs!A:A,"CK")+COUNTIF(playoffs!E:E,"CK")&amp;"-"&amp;COUNTIF('partidos regular'!A:A,"KC")+COUNTIF(playoffs!A:A,"KC")+COUNTIF(playoffs!E:E,"KC")&amp;" ("&amp;COUNTIF(playoffs!A:A,"CK")+COUNTIF(playoffs!E:E,"CK")&amp;"-"&amp;COUNTIF(playoffs!A:A,"KC")+COUNTIF(playoffs!E:E,"KC")&amp;")"</f>
        <v>1-3 (0-0)</v>
      </c>
    </row>
    <row r="58" spans="1:2" x14ac:dyDescent="0.5">
      <c r="A58" t="s">
        <v>150</v>
      </c>
      <c r="B58" t="str">
        <f xml:space="preserve"> COUNTIF('partidos regular'!A:A,"CJ")+COUNTIF(playoffs!A:A,"CJ")+COUNTIF(playoffs!E:E,"CJ")&amp;"-"&amp;COUNTIF('partidos regular'!A:A,"JC")+COUNTIF(playoffs!A:A,"JC")+COUNTIF(playoffs!E:E,"JC")&amp;" ("&amp;COUNTIF(playoffs!A:A,"CJ")+COUNTIF(playoffs!E:E,"CJ")&amp;"-"&amp;COUNTIF(playoffs!A:A,"JC")+COUNTIF(playoffs!E:E,"JC")&amp;")"</f>
        <v>1-7 (0-0)</v>
      </c>
    </row>
    <row r="59" spans="1:2" x14ac:dyDescent="0.5">
      <c r="A59" t="s">
        <v>129</v>
      </c>
    </row>
    <row r="60" spans="1:2" x14ac:dyDescent="0.5">
      <c r="A60" t="s">
        <v>129</v>
      </c>
    </row>
    <row r="61" spans="1:2" x14ac:dyDescent="0.5">
      <c r="A61" t="s">
        <v>107</v>
      </c>
    </row>
    <row r="62" spans="1:2" x14ac:dyDescent="0.5">
      <c r="A62" t="s">
        <v>151</v>
      </c>
      <c r="B62" t="str">
        <f xml:space="preserve"> COUNTIF('partidos regular'!A:A,"KE")+COUNTIF(playoffs!A:A,"KE")+COUNTIF(playoffs!E:E,"KE")&amp;"-"&amp;COUNTIF('partidos regular'!A:A,"EK")+COUNTIF(playoffs!A:A,"EK")+COUNTIF(playoffs!E:E,"EK")&amp;" ("&amp;COUNTIF(playoffs!A:A,"KE")+COUNTIF(playoffs!E:E,"KE")&amp;"-"&amp;COUNTIF(playoffs!A:A,"EK")+COUNTIF(playoffs!E:E,"EK")&amp;")"</f>
        <v>4-2 (0-1)</v>
      </c>
    </row>
    <row r="63" spans="1:2" x14ac:dyDescent="0.5">
      <c r="A63" t="s">
        <v>152</v>
      </c>
      <c r="B63" t="str">
        <f xml:space="preserve"> COUNTIF('partidos regular'!A:A,"KG")+COUNTIF(playoffs!A:A,"KG")+COUNTIF(playoffs!E:E,"KG")&amp;"-"&amp;COUNTIF('partidos regular'!A:A,"GK")+COUNTIF(playoffs!A:A,"GK")+COUNTIF(playoffs!E:E,"GK")&amp;" ("&amp;COUNTIF(playoffs!A:A,"KG")+COUNTIF(playoffs!E:E,"KG")&amp;"-"&amp;COUNTIF(playoffs!A:A,"GK")+COUNTIF(playoffs!E:E,"GK")&amp;")"</f>
        <v>2-2 (0-0)</v>
      </c>
    </row>
    <row r="64" spans="1:2" x14ac:dyDescent="0.5">
      <c r="A64" t="s">
        <v>156</v>
      </c>
      <c r="B64" t="str">
        <f xml:space="preserve"> COUNTIF('partidos regular'!A:A,"KS")+COUNTIF(playoffs!A:A,"KS")+COUNTIF(playoffs!E:E,"KS")&amp;"-"&amp;COUNTIF('partidos regular'!A:A,"SK")+COUNTIF(playoffs!A:A,"SK")+COUNTIF(playoffs!E:E,"SK")&amp;" ("&amp;COUNTIF(playoffs!A:A,"KS")+COUNTIF(playoffs!E:E,"KS")&amp;"-"&amp;COUNTIF(playoffs!A:A,"SK")+COUNTIF(playoffs!E:E,"SK")&amp;")"</f>
        <v>2-2 (0-0)</v>
      </c>
    </row>
    <row r="65" spans="1:2" x14ac:dyDescent="0.5">
      <c r="A65" t="s">
        <v>153</v>
      </c>
      <c r="B65" t="str">
        <f xml:space="preserve"> COUNTIF('partidos regular'!A:A,"KN")+COUNTIF(playoffs!A:A,"KN")+COUNTIF(playoffs!E:E,"KN")&amp;"-"&amp;COUNTIF('partidos regular'!A:A,"NK")+COUNTIF(playoffs!A:A,"NK")+COUNTIF(playoffs!E:E,"NK")&amp;" ("&amp;COUNTIF(playoffs!A:A,"KN")+COUNTIF(playoffs!E:E,"KN")&amp;"-"&amp;COUNTIF(playoffs!A:A,"NK")+COUNTIF(playoffs!E:E,"NK")&amp;")"</f>
        <v>4-1 (1-0)</v>
      </c>
    </row>
    <row r="66" spans="1:2" x14ac:dyDescent="0.5">
      <c r="A66" t="s">
        <v>154</v>
      </c>
      <c r="B66" t="str">
        <f xml:space="preserve"> COUNTIF('partidos regular'!A:A,"KL")+COUNTIF(playoffs!A:A,"KL")+COUNTIF(playoffs!E:E,"KL")&amp;"-"&amp;COUNTIF('partidos regular'!A:A,"LK")+COUNTIF(playoffs!A:A,"LK")+COUNTIF(playoffs!E:E,"LK")&amp;" ("&amp;COUNTIF(playoffs!A:A,"KL")+COUNTIF(playoffs!E:E,"KL")&amp;"-"&amp;COUNTIF(playoffs!A:A,"LK")+COUNTIF(playoffs!E:E,"LK")&amp;")"</f>
        <v>3-1 (0-0)</v>
      </c>
    </row>
    <row r="67" spans="1:2" x14ac:dyDescent="0.5">
      <c r="A67" t="s">
        <v>155</v>
      </c>
      <c r="B67" t="str">
        <f xml:space="preserve"> COUNTIF('partidos regular'!A:A,"KC")+COUNTIF(playoffs!A:A,"KC")+COUNTIF(playoffs!E:E,"KC")&amp;"-"&amp;COUNTIF('partidos regular'!A:A,"CK")+COUNTIF(playoffs!A:A,"CK")+COUNTIF(playoffs!E:E,"CK")&amp;" ("&amp;COUNTIF(playoffs!A:A,"KC")+COUNTIF(playoffs!E:E,"KC")&amp;"-"&amp;COUNTIF(playoffs!A:A,"CK")+COUNTIF(playoffs!E:E,"CK")&amp;")"</f>
        <v>3-1 (0-0)</v>
      </c>
    </row>
    <row r="68" spans="1:2" x14ac:dyDescent="0.5">
      <c r="A68" t="s">
        <v>157</v>
      </c>
      <c r="B68" t="str">
        <f xml:space="preserve"> COUNTIF('partidos regular'!A:A,"KJ")+COUNTIF(playoffs!A:A,"KJ")+COUNTIF(playoffs!E:E,"KJ")&amp;"-"&amp;COUNTIF('partidos regular'!A:A,"JK")+COUNTIF(playoffs!A:A,"JK")+COUNTIF(playoffs!E:E,"JK")&amp;" ("&amp;COUNTIF(playoffs!A:A,"KJ")+COUNTIF(playoffs!E:E,"KJ")&amp;"-"&amp;COUNTIF(playoffs!A:A,"JK")+COUNTIF(playoffs!E:E,"JK")&amp;")"</f>
        <v>0-5 (0-0)</v>
      </c>
    </row>
    <row r="69" spans="1:2" x14ac:dyDescent="0.5">
      <c r="A69" t="s">
        <v>129</v>
      </c>
    </row>
    <row r="70" spans="1:2" x14ac:dyDescent="0.5">
      <c r="A70" t="s">
        <v>129</v>
      </c>
    </row>
    <row r="71" spans="1:2" x14ac:dyDescent="0.5">
      <c r="A71" t="s">
        <v>101</v>
      </c>
    </row>
    <row r="72" spans="1:2" x14ac:dyDescent="0.5">
      <c r="A72" t="s">
        <v>158</v>
      </c>
      <c r="B72" t="str">
        <f xml:space="preserve"> COUNTIF('partidos regular'!A:A,"JE")+COUNTIF(playoffs!A:A,"JE")+COUNTIF(playoffs!E:E,"JE")&amp;"-"&amp;COUNTIF('partidos regular'!A:A,"EJ")+COUNTIF(playoffs!A:A,"EJ")+COUNTIF(playoffs!E:E,"EJ")&amp;" ("&amp;COUNTIF(playoffs!A:A,"JE")+COUNTIF(playoffs!E:E,"JE")&amp;"-"&amp;COUNTIF(playoffs!A:A,"EJ")+COUNTIF(playoffs!E:E,"EJ")&amp;")"</f>
        <v>5-7 (1-1)</v>
      </c>
    </row>
    <row r="73" spans="1:2" x14ac:dyDescent="0.5">
      <c r="A73" t="s">
        <v>159</v>
      </c>
      <c r="B73" t="str">
        <f xml:space="preserve"> COUNTIF('partidos regular'!A:A,"JG")+COUNTIF(playoffs!A:A,"JG")+COUNTIF(playoffs!E:E,"JG")&amp;"-"&amp;COUNTIF('partidos regular'!A:A,"GJ")+COUNTIF(playoffs!A:A,"GJ")+COUNTIF(playoffs!E:E,"GJ")&amp;" ("&amp;COUNTIF(playoffs!A:A,"JG")+COUNTIF(playoffs!E:E,"JG")&amp;"-"&amp;COUNTIF(playoffs!A:A,"GJ")+COUNTIF(playoffs!E:E,"GJ")&amp;")"</f>
        <v>8-3 (0-1)</v>
      </c>
    </row>
    <row r="74" spans="1:2" x14ac:dyDescent="0.5">
      <c r="A74" t="s">
        <v>164</v>
      </c>
      <c r="B74" t="str">
        <f xml:space="preserve"> COUNTIF('partidos regular'!A:A,"JS")+COUNTIF(playoffs!A:A,"JS")+COUNTIF(playoffs!E:E,"JS")&amp;"-"&amp;COUNTIF('partidos regular'!A:A,"SJ")+COUNTIF(playoffs!A:A,"SJ")+COUNTIF(playoffs!E:E,"SJ")&amp;" ("&amp;COUNTIF(playoffs!A:A,"JS")+COUNTIF(playoffs!E:E,"JS")&amp;"-"&amp;COUNTIF(playoffs!A:A,"SJ")+COUNTIF(playoffs!E:E,"SJ")&amp;")"</f>
        <v>8-5 (1-0)</v>
      </c>
    </row>
    <row r="75" spans="1:2" x14ac:dyDescent="0.5">
      <c r="A75" t="s">
        <v>160</v>
      </c>
      <c r="B75" t="str">
        <f xml:space="preserve"> COUNTIF('partidos regular'!A:A,"JN")+COUNTIF(playoffs!A:A,"JN")+COUNTIF(playoffs!E:E,"JN")&amp;"-"&amp;COUNTIF('partidos regular'!A:A,"NJ")+COUNTIF(playoffs!A:A,"NJ")+COUNTIF(playoffs!E:E,"NJ")&amp;" ("&amp;COUNTIF(playoffs!A:A,"JN")+COUNTIF(playoffs!E:E,"JN")&amp;"-"&amp;COUNTIF(playoffs!A:A,"NJ")+COUNTIF(playoffs!E:E,"NJ")&amp;")"</f>
        <v>5-6 (1-0)</v>
      </c>
    </row>
    <row r="76" spans="1:2" x14ac:dyDescent="0.5">
      <c r="A76" t="s">
        <v>161</v>
      </c>
      <c r="B76" t="str">
        <f xml:space="preserve"> COUNTIF('partidos regular'!A:A,"JL")+COUNTIF(playoffs!A:A,"JL")+COUNTIF(playoffs!E:E,"JL")&amp;"-"&amp;COUNTIF('partidos regular'!A:A,"LJ")+COUNTIF(playoffs!A:A,"LJ")+COUNTIF(playoffs!E:E,"LJ")&amp;" ("&amp;COUNTIF(playoffs!A:A,"JL")+COUNTIF(playoffs!E:E,"JL")&amp;"-"&amp;COUNTIF(playoffs!A:A,"LJ")+COUNTIF(playoffs!E:E,"LJ")&amp;")"</f>
        <v>6-5 (0-1)</v>
      </c>
    </row>
    <row r="77" spans="1:2" x14ac:dyDescent="0.5">
      <c r="A77" t="s">
        <v>162</v>
      </c>
      <c r="B77" t="str">
        <f xml:space="preserve"> COUNTIF('partidos regular'!A:A,"JC")+COUNTIF(playoffs!A:A,"JC")+COUNTIF(playoffs!E:E,"JC")&amp;"-"&amp;COUNTIF('partidos regular'!A:A,"CJ")+COUNTIF(playoffs!A:A,"CJ")+COUNTIF(playoffs!E:E,"CJ")&amp;" ("&amp;COUNTIF(playoffs!A:A,"JC")+COUNTIF(playoffs!E:E,"JC")&amp;"-"&amp;COUNTIF(playoffs!A:A,"CJ")+COUNTIF(playoffs!E:E,"CJ")&amp;")"</f>
        <v>7-1 (0-0)</v>
      </c>
    </row>
    <row r="78" spans="1:2" x14ac:dyDescent="0.5">
      <c r="A78" t="s">
        <v>163</v>
      </c>
      <c r="B78" t="str">
        <f xml:space="preserve"> COUNTIF('partidos regular'!A:A,"JK")+COUNTIF(playoffs!A:A,"JK")+COUNTIF(playoffs!E:E,"JK")&amp;"-"&amp;COUNTIF('partidos regular'!A:A,"KJ")+COUNTIF(playoffs!A:A,"KJ")+COUNTIF(playoffs!E:E,"KJ")&amp;" ("&amp;COUNTIF(playoffs!A:A,"JK")+COUNTIF(playoffs!E:E,"JK")&amp;"-"&amp;COUNTIF(playoffs!A:A,"KJ")+COUNTIF(playoffs!E:E,"KJ")&amp;")"</f>
        <v>5-0 (0-0)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2" sqref="B2"/>
    </sheetView>
  </sheetViews>
  <sheetFormatPr baseColWidth="10" defaultRowHeight="14.35" x14ac:dyDescent="0.5"/>
  <cols>
    <col min="1" max="1" width="11.234375" bestFit="1" customWidth="1"/>
  </cols>
  <sheetData>
    <row r="2" spans="1:2" x14ac:dyDescent="0.5">
      <c r="A2" t="s">
        <v>107</v>
      </c>
      <c r="B2" s="15">
        <f>(stats!$B$72*10+COUNTIF(playoffs!E:E,"*K*")*10+COUNTIF(playoffs!B:B,"K")*25+COUNTIF(playoffs!C:C,"K")*20+COUNTIF(playoffs!E:E,"K*")*30+(stats!$B$74/250)-COUNTIF(playoffs!D:D,"K")*15)/('partidos regular'!$B$1-43)</f>
        <v>7.3585520000000004</v>
      </c>
    </row>
    <row r="3" spans="1:2" x14ac:dyDescent="0.5">
      <c r="A3" t="s">
        <v>91</v>
      </c>
      <c r="B3" s="15">
        <f>(stats!$B$2*10+COUNTIF(playoffs!E:E,"*E*")*10+COUNTIF(playoffs!B:B,"E")*25+COUNTIF(playoffs!C:C,"E")*20+COUNTIF(playoffs!E:E,"E*")*30+(stats!$B$4/250)-COUNTIF(playoffs!D:D,"E")*15)/('partidos regular'!$B$1)</f>
        <v>7.9129172602739732</v>
      </c>
    </row>
    <row r="4" spans="1:2" x14ac:dyDescent="0.5">
      <c r="A4" t="s">
        <v>101</v>
      </c>
      <c r="B4" s="15">
        <f>(stats!$B$12*10+COUNTIF(playoffs!E:E,"*J*")*10+COUNTIF(playoffs!B:B,"J")*25+COUNTIF(playoffs!C:C,"J")*20+COUNTIF(playoffs!E:E,"J*")*30+(stats!B14/250)-COUNTIF(playoffs!D:D,"J")*15)/('partidos regular'!$B$1)</f>
        <v>8.2672493150684918</v>
      </c>
    </row>
    <row r="5" spans="1:2" x14ac:dyDescent="0.5">
      <c r="A5" t="s">
        <v>102</v>
      </c>
      <c r="B5" s="15">
        <f>(stats!$B$22*10+COUNTIF(playoffs!E:E,"*L*")*10+COUNTIF(playoffs!B:B,"L")*25+COUNTIF(playoffs!C:C,"L")*20+COUNTIF(playoffs!E:E,"L*")*30+(stats!$B$24/250)-COUNTIF(playoffs!D:D,"L")*15)/('partidos regular'!$B$1)</f>
        <v>6.3881282191780819</v>
      </c>
    </row>
    <row r="6" spans="1:2" x14ac:dyDescent="0.5">
      <c r="A6" t="s">
        <v>105</v>
      </c>
      <c r="B6" s="15">
        <f>(stats!$B$52*10+COUNTIF(playoffs!E:E,"*S*")*10+COUNTIF(playoffs!B:B,"S")*25+COUNTIF(playoffs!C:C,"S")*20+COUNTIF(playoffs!E:E,"S*")*30+(stats!B54/250)-COUNTIF(playoffs!D:D,"S")*15)/('partidos regular'!$B$1)</f>
        <v>6.0670027397260275</v>
      </c>
    </row>
    <row r="7" spans="1:2" x14ac:dyDescent="0.5">
      <c r="A7" t="s">
        <v>106</v>
      </c>
      <c r="B7" s="15">
        <f>(stats!$B$62*10+COUNTIF(playoffs!E:E,"*N*")*10+COUNTIF(playoffs!B:B,"N")*25+COUNTIF(playoffs!C:C,"N")*20+COUNTIF(playoffs!E:E,"N*")*30+(stats!B64/250)-COUNTIF(playoffs!D:D,"N")*15)/('partidos regular'!$B$1)</f>
        <v>6.2760295890410962</v>
      </c>
    </row>
    <row r="8" spans="1:2" x14ac:dyDescent="0.5">
      <c r="A8" t="s">
        <v>104</v>
      </c>
      <c r="B8" s="15">
        <f>(stats!$B$42*10+COUNTIF(playoffs!E:E,"*G*")*10+COUNTIF(playoffs!B:B,"G")*25+COUNTIF(playoffs!C:C,"G")*20+COUNTIF(playoffs!E:E,"G*")*30+(stats!B44/250)-COUNTIF(playoffs!D:D,"G")*15)/('partidos regular'!$B$1)</f>
        <v>5.0229610958904107</v>
      </c>
    </row>
    <row r="9" spans="1:2" x14ac:dyDescent="0.5">
      <c r="A9" t="s">
        <v>103</v>
      </c>
      <c r="B9" s="15">
        <f>(stats!$B$32*10+COUNTIF(playoffs!E:E,"*C*")*10+COUNTIF(playoffs!B:B,"C")*25+COUNTIF(playoffs!C:C,"C")*20+COUNTIF(playoffs!E:E,"C*")*30+(stats!B34/250)-COUNTIF(playoffs!D:D,"C")*15)/(('partidos regular'!$B$1)-14)</f>
        <v>5.4985355932203381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partidos regular</vt:lpstr>
      <vt:lpstr>playoffs</vt:lpstr>
      <vt:lpstr>stats</vt:lpstr>
      <vt:lpstr>paternidades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2023-08-05T01:16:57Z</dcterms:created>
  <dcterms:modified xsi:type="dcterms:W3CDTF">2024-01-07T00:56:55Z</dcterms:modified>
</cp:coreProperties>
</file>