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hatra_3" sheetId="1" state="visible" r:id="rId2"/>
    <sheet name="taruana" sheetId="2" state="visible" r:id="rId3"/>
    <sheet name="khatra" sheetId="3" state="visible" r:id="rId4"/>
    <sheet name="khatra_2" sheetId="4" state="visible" r:id="rId5"/>
    <sheet name="Sheet2" sheetId="5" state="visible" r:id="rId6"/>
    <sheet name="Sheet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<sst xmlns="http://schemas.openxmlformats.org/spreadsheetml/2006/main" count="1281" uniqueCount="342">
  <si>
    <t xml:space="preserve">Khewat</t>
  </si>
  <si>
    <t xml:space="preserve">Marla</t>
  </si>
  <si>
    <t xml:space="preserve">kh No.</t>
  </si>
  <si>
    <t xml:space="preserve">Kila</t>
  </si>
  <si>
    <t xml:space="preserve">k</t>
  </si>
  <si>
    <t xml:space="preserve">m</t>
  </si>
  <si>
    <t xml:space="preserve">Mortgager</t>
  </si>
  <si>
    <t xml:space="preserve">share</t>
  </si>
  <si>
    <t xml:space="preserve"> </t>
  </si>
  <si>
    <t xml:space="preserve">Satpal</t>
  </si>
  <si>
    <t xml:space="preserve">136/1347</t>
  </si>
  <si>
    <t xml:space="preserve">Ram Singh</t>
  </si>
  <si>
    <t xml:space="preserve">97/819</t>
  </si>
  <si>
    <t xml:space="preserve">Satpal, sukhpal and Jasvir</t>
  </si>
  <si>
    <t xml:space="preserve">ram Singh</t>
  </si>
  <si>
    <t xml:space="preserve">27/346</t>
  </si>
  <si>
    <t xml:space="preserve">106/1347</t>
  </si>
  <si>
    <t xml:space="preserve">Satpal, sukhpal </t>
  </si>
  <si>
    <t xml:space="preserve">5/1</t>
  </si>
  <si>
    <t xml:space="preserve">sukhpal</t>
  </si>
  <si>
    <t xml:space="preserve">Baldev kaur</t>
  </si>
  <si>
    <t xml:space="preserve">38/819</t>
  </si>
  <si>
    <t xml:space="preserve">Jagsir</t>
  </si>
  <si>
    <t xml:space="preserve">25/346</t>
  </si>
  <si>
    <t xml:space="preserve">5/2</t>
  </si>
  <si>
    <t xml:space="preserve">jasvir</t>
  </si>
  <si>
    <t xml:space="preserve">Simerjit Kaur</t>
  </si>
  <si>
    <t xml:space="preserve">43/546</t>
  </si>
  <si>
    <t xml:space="preserve">Sukh Sat</t>
  </si>
  <si>
    <t xml:space="preserve">149/346</t>
  </si>
  <si>
    <t xml:space="preserve">Satpal Singh</t>
  </si>
  <si>
    <t xml:space="preserve">11/449</t>
  </si>
  <si>
    <t xml:space="preserve">6/1</t>
  </si>
  <si>
    <t xml:space="preserve">baljeet</t>
  </si>
  <si>
    <t xml:space="preserve">137/1347</t>
  </si>
  <si>
    <t xml:space="preserve">Ajaib Singh</t>
  </si>
  <si>
    <t xml:space="preserve">32/819</t>
  </si>
  <si>
    <t xml:space="preserve"> jass baljeet</t>
  </si>
  <si>
    <t xml:space="preserve">46/173</t>
  </si>
  <si>
    <t xml:space="preserve">8/1</t>
  </si>
  <si>
    <t xml:space="preserve">73/1347</t>
  </si>
  <si>
    <t xml:space="preserve">6/2</t>
  </si>
  <si>
    <t xml:space="preserve">sukh jass baljeet</t>
  </si>
  <si>
    <t xml:space="preserve">1175/2184</t>
  </si>
  <si>
    <t xml:space="preserve">jaskaran</t>
  </si>
  <si>
    <t xml:space="preserve">8/2</t>
  </si>
  <si>
    <t xml:space="preserve">jass baljeet</t>
  </si>
  <si>
    <t xml:space="preserve">358/1347</t>
  </si>
  <si>
    <t xml:space="preserve">7 min</t>
  </si>
  <si>
    <t xml:space="preserve">695/6552</t>
  </si>
  <si>
    <t xml:space="preserve">9/173</t>
  </si>
  <si>
    <t xml:space="preserve">290/1347</t>
  </si>
  <si>
    <t xml:space="preserve">14/1</t>
  </si>
  <si>
    <t xml:space="preserve">Paramjit Kaur</t>
  </si>
  <si>
    <t xml:space="preserve">10/273</t>
  </si>
  <si>
    <t xml:space="preserve">5/173</t>
  </si>
  <si>
    <t xml:space="preserve">14/2</t>
  </si>
  <si>
    <t xml:space="preserve">Shinder Kaur</t>
  </si>
  <si>
    <t xml:space="preserve">98/1347</t>
  </si>
  <si>
    <t xml:space="preserve">Morgagee</t>
  </si>
  <si>
    <t xml:space="preserve">sukhpal singh</t>
  </si>
  <si>
    <t xml:space="preserve">283/1347</t>
  </si>
  <si>
    <t xml:space="preserve">Chanann Singh</t>
  </si>
  <si>
    <t xml:space="preserve">224/1347</t>
  </si>
  <si>
    <t xml:space="preserve">maha kaur</t>
  </si>
  <si>
    <t xml:space="preserve">321/1347</t>
  </si>
  <si>
    <t xml:space="preserve">Baisakha</t>
  </si>
  <si>
    <t xml:space="preserve">545/1347</t>
  </si>
  <si>
    <t xml:space="preserve">21 min</t>
  </si>
  <si>
    <t xml:space="preserve">4/2</t>
  </si>
  <si>
    <t xml:space="preserve">35/297</t>
  </si>
  <si>
    <t xml:space="preserve">Baldev Kaur</t>
  </si>
  <si>
    <t xml:space="preserve">8/735</t>
  </si>
  <si>
    <t xml:space="preserve">Jasvir</t>
  </si>
  <si>
    <t xml:space="preserve">122/297</t>
  </si>
  <si>
    <t xml:space="preserve">4/1</t>
  </si>
  <si>
    <t xml:space="preserve">Mithu</t>
  </si>
  <si>
    <t xml:space="preserve">8/2205</t>
  </si>
  <si>
    <t xml:space="preserve">23/297</t>
  </si>
  <si>
    <t xml:space="preserve">1/6</t>
  </si>
  <si>
    <t xml:space="preserve">4/99</t>
  </si>
  <si>
    <t xml:space="preserve">Ajain n Balraj</t>
  </si>
  <si>
    <t xml:space="preserve">Malkit Singh</t>
  </si>
  <si>
    <t xml:space="preserve">satpal</t>
  </si>
  <si>
    <t xml:space="preserve">Sat sukh jass baljeet</t>
  </si>
  <si>
    <t xml:space="preserve">35/99</t>
  </si>
  <si>
    <t xml:space="preserve">Jagseer singh</t>
  </si>
  <si>
    <t xml:space="preserve">32/441</t>
  </si>
  <si>
    <t xml:space="preserve">19/1</t>
  </si>
  <si>
    <t xml:space="preserve">malkit</t>
  </si>
  <si>
    <t xml:space="preserve">19/2</t>
  </si>
  <si>
    <t xml:space="preserve">shinder</t>
  </si>
  <si>
    <t xml:space="preserve">sat sukh</t>
  </si>
  <si>
    <t xml:space="preserve">1469/4410</t>
  </si>
  <si>
    <t xml:space="preserve">16/2205</t>
  </si>
  <si>
    <t xml:space="preserve">2007-08</t>
  </si>
  <si>
    <t xml:space="preserve">2012-13</t>
  </si>
  <si>
    <t xml:space="preserve">2017-18</t>
  </si>
  <si>
    <t xml:space="preserve">Total</t>
  </si>
  <si>
    <t xml:space="preserve">1 Min</t>
  </si>
  <si>
    <t xml:space="preserve">2 Min</t>
  </si>
  <si>
    <t xml:space="preserve">Jasvir Singh</t>
  </si>
  <si>
    <t xml:space="preserve">97/1440</t>
  </si>
  <si>
    <t xml:space="preserve">100/1251</t>
  </si>
  <si>
    <t xml:space="preserve">2/69</t>
  </si>
  <si>
    <t xml:space="preserve">Surjeet Singh</t>
  </si>
  <si>
    <t xml:space="preserve">405/7784</t>
  </si>
  <si>
    <t xml:space="preserve">Jagdev Singh</t>
  </si>
  <si>
    <t xml:space="preserve">689/7784</t>
  </si>
  <si>
    <t xml:space="preserve">Gurmeet Singh</t>
  </si>
  <si>
    <t xml:space="preserve">jaskirat</t>
  </si>
  <si>
    <t xml:space="preserve">979/5760</t>
  </si>
  <si>
    <t xml:space="preserve">250/1251</t>
  </si>
  <si>
    <t xml:space="preserve">Jaskirat</t>
  </si>
  <si>
    <t xml:space="preserve">5/69</t>
  </si>
  <si>
    <t xml:space="preserve">15/2</t>
  </si>
  <si>
    <t xml:space="preserve">281/3892</t>
  </si>
  <si>
    <t xml:space="preserve">gurmeet</t>
  </si>
  <si>
    <t xml:space="preserve">81/640</t>
  </si>
  <si>
    <t xml:space="preserve">41/278</t>
  </si>
  <si>
    <t xml:space="preserve">1/46</t>
  </si>
  <si>
    <t xml:space="preserve">Surjeet Kaur Avtar Sinngh  &amp; Ram Singh</t>
  </si>
  <si>
    <t xml:space="preserve">365/3892</t>
  </si>
  <si>
    <t xml:space="preserve">ram</t>
  </si>
  <si>
    <t xml:space="preserve">43/480</t>
  </si>
  <si>
    <t xml:space="preserve">43/417</t>
  </si>
  <si>
    <t xml:space="preserve">Kartar Kaur Sahmsher Singh &amp; Kehar singh</t>
  </si>
  <si>
    <t xml:space="preserve">95/556</t>
  </si>
  <si>
    <t xml:space="preserve">jagsir</t>
  </si>
  <si>
    <t xml:space="preserve">1/40</t>
  </si>
  <si>
    <t xml:space="preserve">9/278</t>
  </si>
  <si>
    <t xml:space="preserve">Basakha Singh &amp; Bhjnna Singh</t>
  </si>
  <si>
    <t xml:space="preserve">36/973</t>
  </si>
  <si>
    <t xml:space="preserve">Bhajan Singh</t>
  </si>
  <si>
    <t xml:space="preserve">37/640</t>
  </si>
  <si>
    <t xml:space="preserve">7/139</t>
  </si>
  <si>
    <t xml:space="preserve">Harpal Singh &amp; Lakhbir Singh</t>
  </si>
  <si>
    <t xml:space="preserve">18/973</t>
  </si>
  <si>
    <t xml:space="preserve">gurcharan</t>
  </si>
  <si>
    <t xml:space="preserve">89/640</t>
  </si>
  <si>
    <t xml:space="preserve">23/139</t>
  </si>
  <si>
    <t xml:space="preserve">3/46</t>
  </si>
  <si>
    <t xml:space="preserve">Gurcharan</t>
  </si>
  <si>
    <t xml:space="preserve">96/973</t>
  </si>
  <si>
    <t xml:space="preserve">bansi Lal</t>
  </si>
  <si>
    <t xml:space="preserve">9/64</t>
  </si>
  <si>
    <t xml:space="preserve">11/23</t>
  </si>
  <si>
    <t xml:space="preserve">Gurbachan Singh</t>
  </si>
  <si>
    <t xml:space="preserve">557/3892</t>
  </si>
  <si>
    <t xml:space="preserve">Satpal Sukhpal Jasvir &amp; baljeet</t>
  </si>
  <si>
    <t xml:space="preserve">parminder</t>
  </si>
  <si>
    <t xml:space="preserve">31/384</t>
  </si>
  <si>
    <t xml:space="preserve">161/1668</t>
  </si>
  <si>
    <t xml:space="preserve">5/138</t>
  </si>
  <si>
    <t xml:space="preserve">Om Parkash</t>
  </si>
  <si>
    <t xml:space="preserve">887/3892</t>
  </si>
  <si>
    <t xml:space="preserve">Maheswari</t>
  </si>
  <si>
    <t xml:space="preserve">877/3892</t>
  </si>
  <si>
    <t xml:space="preserve">inderjeet</t>
  </si>
  <si>
    <t xml:space="preserve">23/640</t>
  </si>
  <si>
    <t xml:space="preserve">25/556</t>
  </si>
  <si>
    <t xml:space="preserve">15 Min</t>
  </si>
  <si>
    <t xml:space="preserve">4/23</t>
  </si>
  <si>
    <t xml:space="preserve">1755/5760</t>
  </si>
  <si>
    <t xml:space="preserve">838/3892</t>
  </si>
  <si>
    <t xml:space="preserve">13/1</t>
  </si>
  <si>
    <t xml:space="preserve">84-03</t>
  </si>
  <si>
    <t xml:space="preserve">0//304</t>
  </si>
  <si>
    <t xml:space="preserve">गढडे</t>
  </si>
  <si>
    <t xml:space="preserve">1-0</t>
  </si>
  <si>
    <t xml:space="preserve">1/12</t>
  </si>
  <si>
    <t xml:space="preserve">353/19170</t>
  </si>
  <si>
    <t xml:space="preserve">7/198</t>
  </si>
  <si>
    <t xml:space="preserve">13-14</t>
  </si>
  <si>
    <t xml:space="preserve">0//493</t>
  </si>
  <si>
    <t xml:space="preserve">0-3</t>
  </si>
  <si>
    <t xml:space="preserve">21/2</t>
  </si>
  <si>
    <t xml:space="preserve">Amadeep Singh</t>
  </si>
  <si>
    <t xml:space="preserve">29//1/1</t>
  </si>
  <si>
    <t xml:space="preserve">खाली/अन्य कुछ</t>
  </si>
  <si>
    <t xml:space="preserve">नहरी</t>
  </si>
  <si>
    <t xml:space="preserve">0-5</t>
  </si>
  <si>
    <t xml:space="preserve">1/48</t>
  </si>
  <si>
    <t xml:space="preserve">79/1980</t>
  </si>
  <si>
    <t xml:space="preserve">01-03</t>
  </si>
  <si>
    <t xml:space="preserve">29//2/1</t>
  </si>
  <si>
    <t xml:space="preserve">6-0</t>
  </si>
  <si>
    <t xml:space="preserve">Satpal singh</t>
  </si>
  <si>
    <t xml:space="preserve">1/16</t>
  </si>
  <si>
    <t xml:space="preserve">19/220</t>
  </si>
  <si>
    <t xml:space="preserve">99-00</t>
  </si>
  <si>
    <t xml:space="preserve">72//16</t>
  </si>
  <si>
    <t xml:space="preserve">1-15</t>
  </si>
  <si>
    <t xml:space="preserve">Surjit Kaur</t>
  </si>
  <si>
    <t xml:space="preserve">1/4</t>
  </si>
  <si>
    <t xml:space="preserve">3/99</t>
  </si>
  <si>
    <t xml:space="preserve">72//24/2</t>
  </si>
  <si>
    <t xml:space="preserve">0-8</t>
  </si>
  <si>
    <t xml:space="preserve">3/8</t>
  </si>
  <si>
    <t xml:space="preserve">??</t>
  </si>
  <si>
    <t xml:space="preserve">1/297</t>
  </si>
  <si>
    <t xml:space="preserve">72//25/2</t>
  </si>
  <si>
    <t xml:space="preserve">नहर</t>
  </si>
  <si>
    <t xml:space="preserve">3-18</t>
  </si>
  <si>
    <t xml:space="preserve">1/8</t>
  </si>
  <si>
    <t xml:space="preserve">85//4/2</t>
  </si>
  <si>
    <t xml:space="preserve">2-18</t>
  </si>
  <si>
    <t xml:space="preserve">85//5</t>
  </si>
  <si>
    <t xml:space="preserve">1-14</t>
  </si>
  <si>
    <t xml:space="preserve">5/66</t>
  </si>
  <si>
    <t xml:space="preserve">24//21/2</t>
  </si>
  <si>
    <t xml:space="preserve">बारानी</t>
  </si>
  <si>
    <t xml:space="preserve">3-6</t>
  </si>
  <si>
    <t xml:space="preserve">24//22/2</t>
  </si>
  <si>
    <t xml:space="preserve">3-16</t>
  </si>
  <si>
    <t xml:space="preserve">5-17</t>
  </si>
  <si>
    <t xml:space="preserve">85//6/1</t>
  </si>
  <si>
    <t xml:space="preserve">4-9</t>
  </si>
  <si>
    <t xml:space="preserve">24//23</t>
  </si>
  <si>
    <t xml:space="preserve">7-7</t>
  </si>
  <si>
    <t xml:space="preserve">24//24</t>
  </si>
  <si>
    <t xml:space="preserve">29//11</t>
  </si>
  <si>
    <t xml:space="preserve">6-12</t>
  </si>
  <si>
    <t xml:space="preserve">29//20/1</t>
  </si>
  <si>
    <t xml:space="preserve">0-4</t>
  </si>
  <si>
    <t xml:space="preserve">72//15</t>
  </si>
  <si>
    <t xml:space="preserve">1-11</t>
  </si>
  <si>
    <t xml:space="preserve">4-19</t>
  </si>
  <si>
    <t xml:space="preserve">24//25/2</t>
  </si>
  <si>
    <t xml:space="preserve">110</t>
  </si>
  <si>
    <t xml:space="preserve">29//10/2</t>
  </si>
  <si>
    <t xml:space="preserve">3-10</t>
  </si>
  <si>
    <t xml:space="preserve">0-19</t>
  </si>
  <si>
    <t xml:space="preserve">29//9/2</t>
  </si>
  <si>
    <t xml:space="preserve">4-0</t>
  </si>
  <si>
    <t xml:space="preserve">24//25/1</t>
  </si>
  <si>
    <t xml:space="preserve">29//1/2</t>
  </si>
  <si>
    <t xml:space="preserve">29//10/1</t>
  </si>
  <si>
    <t xml:space="preserve">29//2/2</t>
  </si>
  <si>
    <t xml:space="preserve">2-0</t>
  </si>
  <si>
    <t xml:space="preserve">29//9/1</t>
  </si>
  <si>
    <t xml:space="preserve">72//25/1</t>
  </si>
  <si>
    <t xml:space="preserve">Amandeep</t>
  </si>
  <si>
    <t xml:space="preserve">149/692</t>
  </si>
  <si>
    <t xml:space="preserve">Sukhpal</t>
  </si>
  <si>
    <t xml:space="preserve">355/2076</t>
  </si>
  <si>
    <t xml:space="preserve">23/519</t>
  </si>
  <si>
    <t xml:space="preserve">121/898</t>
  </si>
  <si>
    <t xml:space="preserve">23/173</t>
  </si>
  <si>
    <t xml:space="preserve">Sukhpal Singh</t>
  </si>
  <si>
    <t xml:space="preserve">1175/4914</t>
  </si>
  <si>
    <t xml:space="preserve">182/1347</t>
  </si>
  <si>
    <t xml:space="preserve">163/983</t>
  </si>
  <si>
    <t xml:space="preserve">Amandee Singh</t>
  </si>
  <si>
    <t xml:space="preserve">91/2694</t>
  </si>
  <si>
    <t xml:space="preserve">1009/8082</t>
  </si>
  <si>
    <t xml:space="preserve">Amandeep Singh</t>
  </si>
  <si>
    <t xml:space="preserve">1175/19656</t>
  </si>
  <si>
    <t xml:space="preserve">49/449</t>
  </si>
  <si>
    <t xml:space="preserve">1175/6552</t>
  </si>
  <si>
    <t xml:space="preserve">170/4041</t>
  </si>
  <si>
    <t xml:space="preserve">85/8082</t>
  </si>
  <si>
    <t xml:space="preserve">70/594</t>
  </si>
  <si>
    <t xml:space="preserve">35/396</t>
  </si>
  <si>
    <t xml:space="preserve">857/4410</t>
  </si>
  <si>
    <t xml:space="preserve">35/1188</t>
  </si>
  <si>
    <t xml:space="preserve">1469/8820</t>
  </si>
  <si>
    <t xml:space="preserve">1/9</t>
  </si>
  <si>
    <t xml:space="preserve">1/36</t>
  </si>
  <si>
    <t xml:space="preserve">TSC रपट न. 2976</t>
  </si>
  <si>
    <t xml:space="preserve">21,00,000 /- 􀅝. मे</t>
  </si>
  <si>
    <t xml:space="preserve">ितथी 13/03/2018 के</t>
  </si>
  <si>
    <t xml:space="preserve">वाहक HDFC Bank</t>
  </si>
  <si>
    <t xml:space="preserve">अनुसार िमन जािनम</t>
  </si>
  <si>
    <t xml:space="preserve">Ltd.</t>
  </si>
  <si>
    <t xml:space="preserve">हरपाल िसंह &amp; लखवीर</t>
  </si>
  <si>
    <t xml:space="preserve">कालांवाली के पास ता</t>
  </si>
  <si>
    <t xml:space="preserve">िसंह पु􀅩ान &amp;</t>
  </si>
  <si>
    <t xml:space="preserve">अदायगी रकम रकबा</t>
  </si>
  <si>
    <t xml:space="preserve">िश􀈾 कौर प􀈉ी</t>
  </si>
  <si>
    <t xml:space="preserve">आड</t>
  </si>
  <si>
    <t xml:space="preserve">जगसीर िसंह का िकला</t>
  </si>
  <si>
    <t xml:space="preserve">रहन रहेगा</t>
  </si>
  <si>
    <t xml:space="preserve">Basakha Singh</t>
  </si>
  <si>
    <t xml:space="preserve">रकबा</t>
  </si>
  <si>
    <t xml:space="preserve">76-18 का 761/1538</t>
  </si>
  <si>
    <t xml:space="preserve">भाग बकदर रकबा 38-0</t>
  </si>
  <si>
    <t xml:space="preserve">कु ल बकदर रकबा 88-7</t>
  </si>
  <si>
    <t xml:space="preserve">बदले मु. 34,88,000/-</t>
  </si>
  <si>
    <t xml:space="preserve">􀅝. मे वाहक</t>
  </si>
  <si>
    <t xml:space="preserve">HDFC Bank Ltd.</t>
  </si>
  <si>
    <t xml:space="preserve">Bhajan N Sons</t>
  </si>
  <si>
    <t xml:space="preserve">Detail</t>
  </si>
  <si>
    <t xml:space="preserve">Khatoni</t>
  </si>
  <si>
    <t xml:space="preserve">Name</t>
  </si>
  <si>
    <t xml:space="preserve">Father's name</t>
  </si>
  <si>
    <t xml:space="preserve">GrandFather's name</t>
  </si>
  <si>
    <t xml:space="preserve">Hissa</t>
  </si>
  <si>
    <t xml:space="preserve">जसकीरत सिह</t>
  </si>
  <si>
    <t xml:space="preserve">बलजिन्द्र सिह</t>
  </si>
  <si>
    <t xml:space="preserve">सतपाल सिह</t>
  </si>
  <si>
    <t xml:space="preserve">391/23196</t>
  </si>
  <si>
    <t xml:space="preserve">391/7732 </t>
  </si>
  <si>
    <t xml:space="preserve">1/2</t>
  </si>
  <si>
    <t xml:space="preserve">7/12</t>
  </si>
  <si>
    <t xml:space="preserve">2/769</t>
  </si>
  <si>
    <t xml:space="preserve">80/283</t>
  </si>
  <si>
    <t xml:space="preserve">1829/19170</t>
  </si>
  <si>
    <t xml:space="preserve">1/3</t>
  </si>
  <si>
    <t xml:space="preserve">67/306</t>
  </si>
  <si>
    <t xml:space="preserve">5/14</t>
  </si>
  <si>
    <t xml:space="preserve">46/981</t>
  </si>
  <si>
    <t xml:space="preserve">211/5811</t>
  </si>
  <si>
    <t xml:space="preserve">जसबीर सिंह</t>
  </si>
  <si>
    <t xml:space="preserve">गुरबचन सिंह</t>
  </si>
  <si>
    <t xml:space="preserve">विशन सिंह</t>
  </si>
  <si>
    <t xml:space="preserve">जसवीर सिहं</t>
  </si>
  <si>
    <t xml:space="preserve">1</t>
  </si>
  <si>
    <t xml:space="preserve">जसवीर सिंह</t>
  </si>
  <si>
    <t xml:space="preserve">बिशन सिंह</t>
  </si>
  <si>
    <t xml:space="preserve">852/1703</t>
  </si>
  <si>
    <t xml:space="preserve">69/367</t>
  </si>
  <si>
    <t xml:space="preserve">जसवीर सिह</t>
  </si>
  <si>
    <t xml:space="preserve">गुरबचन सिह</t>
  </si>
  <si>
    <t xml:space="preserve">बिशन सिह</t>
  </si>
  <si>
    <t xml:space="preserve">6/96</t>
  </si>
  <si>
    <t xml:space="preserve">अमनदीप सिंह</t>
  </si>
  <si>
    <t xml:space="preserve">सुखपाल सिंह</t>
  </si>
  <si>
    <t xml:space="preserve">12/925</t>
  </si>
  <si>
    <t xml:space="preserve">अमनदीप सिह</t>
  </si>
  <si>
    <t xml:space="preserve">सुखपाल सिह</t>
  </si>
  <si>
    <t xml:space="preserve">589/92784</t>
  </si>
  <si>
    <t xml:space="preserve">गुरमीत सिंह</t>
  </si>
  <si>
    <t xml:space="preserve">4/72</t>
  </si>
  <si>
    <t xml:space="preserve">34/4129</t>
  </si>
  <si>
    <t xml:space="preserve">गुरमीत सिह</t>
  </si>
  <si>
    <t xml:space="preserve">7/89</t>
  </si>
  <si>
    <t xml:space="preserve">31-3</t>
  </si>
  <si>
    <t xml:space="preserve">584/4392</t>
  </si>
  <si>
    <t xml:space="preserve">बलजिन्द्र सिंह</t>
  </si>
  <si>
    <t xml:space="preserve">सतपाल सिंह</t>
  </si>
  <si>
    <t xml:space="preserve">Nakal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</si>
</sst>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General"/>
    <numFmt numFmtId="168" formatCode="d\-mm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C9211E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sz val="8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EAEAEA"/>
      </patternFill>
    </fill>
    <fill>
      <patternFill patternType="solid">
        <fgColor rgb="FFDEEBF7"/>
        <bgColor rgb="FFEAEAEA"/>
      </patternFill>
    </fill>
    <fill>
      <patternFill patternType="solid">
        <fgColor rgb="FFE2F0D9"/>
        <bgColor rgb="FFEAEAEA"/>
      </patternFill>
    </fill>
    <fill>
      <patternFill patternType="solid">
        <fgColor rgb="FFF2F2F2"/>
        <bgColor rgb="FFF5F5F5"/>
      </patternFill>
    </fill>
    <fill>
      <patternFill patternType="solid">
        <fgColor rgb="FFFFF2CC"/>
        <bgColor rgb="FFFBE5D6"/>
      </patternFill>
    </fill>
    <fill>
      <patternFill patternType="solid">
        <fgColor rgb="FFD6DCE5"/>
        <bgColor rgb="FFDDDDDD"/>
      </patternFill>
    </fill>
    <fill>
      <patternFill patternType="solid">
        <fgColor rgb="FFFBE5D6"/>
        <bgColor rgb="FFFFF2CC"/>
      </patternFill>
    </fill>
    <fill>
      <patternFill patternType="solid">
        <fgColor rgb="FFF5F5F5"/>
        <bgColor rgb="FFF2F2F2"/>
      </patternFill>
    </fill>
    <fill>
      <patternFill patternType="solid">
        <fgColor rgb="FFF9F9F9"/>
        <bgColor rgb="FFF5F5F5"/>
      </patternFill>
    </fill>
    <fill>
      <patternFill patternType="solid">
        <fgColor rgb="FFFFFFFF"/>
        <bgColor rgb="FFF9F9F9"/>
      </patternFill>
    </fill>
    <fill>
      <patternFill patternType="solid">
        <fgColor rgb="FFCCCCCC"/>
        <bgColor rgb="FFD6DCE5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999999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999999"/>
      </right>
      <top style="medium">
        <color rgb="FF999999"/>
      </top>
      <bottom style="medium">
        <color rgb="FFDDDDDD"/>
      </bottom>
      <diagonal/>
    </border>
    <border diagonalUp="false" diagonalDown="false">
      <left style="medium">
        <color rgb="FF999999"/>
      </left>
      <right style="medium">
        <color rgb="FFDDDDDD"/>
      </right>
      <top style="medium">
        <color rgb="FFDDDDDD"/>
      </top>
      <bottom style="medium">
        <color rgb="FF999999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999999"/>
      </bottom>
      <diagonal/>
    </border>
    <border diagonalUp="false" diagonalDown="false">
      <left style="medium">
        <color rgb="FFDDDDDD"/>
      </left>
      <right style="medium">
        <color rgb="FF999999"/>
      </right>
      <top style="medium">
        <color rgb="FFDDDDDD"/>
      </top>
      <bottom style="medium">
        <color rgb="FF999999"/>
      </bottom>
      <diagonal/>
    </border>
    <border diagonalUp="false" diagonalDown="false">
      <left style="medium">
        <color rgb="FF99999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>
        <color rgb="FFDDDDDD"/>
      </left>
      <right style="medium">
        <color rgb="FF999999"/>
      </right>
      <top style="medium">
        <color rgb="FFDDDDDD"/>
      </top>
      <bottom style="medium">
        <color rgb="FFDDDDDD"/>
      </bottom>
      <diagonal/>
    </border>
    <border diagonalUp="false" diagonalDown="false">
      <left style="medium">
        <color rgb="FF999999"/>
      </left>
      <right style="medium">
        <color rgb="FFDDDDDD"/>
      </right>
      <top style="medium">
        <color rgb="FF999999"/>
      </top>
      <bottom style="medium">
        <color rgb="FF999999"/>
      </bottom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999999"/>
      </top>
      <bottom style="medium">
        <color rgb="FF999999"/>
      </bottom>
      <diagonal/>
    </border>
    <border diagonalUp="false" diagonalDown="false">
      <left style="medium">
        <color rgb="FFDDDDDD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>
        <color rgb="FFDDDDDD"/>
      </left>
      <right/>
      <top/>
      <bottom/>
      <diagonal/>
    </border>
    <border diagonalUp="false" diagonalDown="false">
      <left style="medium">
        <color rgb="FF999999"/>
      </left>
      <right style="medium">
        <color rgb="FFEAEAEA"/>
      </right>
      <top style="medium">
        <color rgb="FF999999"/>
      </top>
      <bottom style="medium">
        <color rgb="FFEAEAEA"/>
      </bottom>
      <diagonal/>
    </border>
    <border diagonalUp="false" diagonalDown="false">
      <left style="medium">
        <color rgb="FFEAEAEA"/>
      </left>
      <right style="medium">
        <color rgb="FFEAEAEA"/>
      </right>
      <top style="medium">
        <color rgb="FF999999"/>
      </top>
      <bottom style="medium">
        <color rgb="FFEAEAEA"/>
      </bottom>
      <diagonal/>
    </border>
    <border diagonalUp="false" diagonalDown="false">
      <left style="medium">
        <color rgb="FF999999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 diagonalUp="false" diagonalDown="false"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 diagonalUp="false" diagonalDown="false">
      <left style="medium">
        <color rgb="FFEAEAEA"/>
      </left>
      <right style="medium">
        <color rgb="FF999999"/>
      </right>
      <top style="medium">
        <color rgb="FFEAEAEA"/>
      </top>
      <bottom style="medium">
        <color rgb="FFEAEAEA"/>
      </bottom>
      <diagonal/>
    </border>
    <border diagonalUp="false" diagonalDown="false">
      <left style="medium">
        <color rgb="FF999999"/>
      </left>
      <right style="medium">
        <color rgb="FFEAEAEA"/>
      </right>
      <top style="medium">
        <color rgb="FFEAEAEA"/>
      </top>
      <bottom style="medium">
        <color rgb="FF999999"/>
      </bottom>
      <diagonal/>
    </border>
    <border diagonalUp="false" diagonalDown="false">
      <left style="medium">
        <color rgb="FFEAEAEA"/>
      </left>
      <right style="medium">
        <color rgb="FFEAEAEA"/>
      </right>
      <top style="medium">
        <color rgb="FFEAEAEA"/>
      </top>
      <bottom style="medium">
        <color rgb="FF999999"/>
      </bottom>
      <diagonal/>
    </border>
    <border diagonalUp="false" diagonalDown="false">
      <left style="medium">
        <color rgb="FFEAEAEA"/>
      </left>
      <right style="medium">
        <color rgb="FF999999"/>
      </right>
      <top style="medium">
        <color rgb="FFEAEAEA"/>
      </top>
      <bottom style="medium">
        <color rgb="FF999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4" fillId="9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1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4" fillId="1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1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10" borderId="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1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9" borderId="5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1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1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10" borderId="5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9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9" borderId="1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4" fillId="9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9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10" borderId="1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12" borderId="1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10" borderId="18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2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10" borderId="2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9F9F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5F5F5"/>
      <rgbColor rgb="FFDDDDDD"/>
      <rgbColor rgb="FFE7E6E6"/>
      <rgbColor rgb="FFEAEAEA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__doPostBack(&apos;ctl00$ContentPlaceHolder1$GridView1$ctl02$LinkButton1&apos;,&apos;&apos;)" TargetMode="External"/><Relationship Id="rId2" Type="http://schemas.openxmlformats.org/officeDocument/2006/relationships/hyperlink" Target="javascript:__doPostBack(&apos;ctl00$ContentPlaceHolder1$GridView1$ctl03$LinkButton1&apos;,&apos;&apos;)" TargetMode="External"/><Relationship Id="rId3" Type="http://schemas.openxmlformats.org/officeDocument/2006/relationships/hyperlink" Target="javascript:__doPostBack(&apos;ctl00$ContentPlaceHolder1$GridView1$ctl04$LinkButton1&apos;,&apos;&apos;)" TargetMode="External"/><Relationship Id="rId4" Type="http://schemas.openxmlformats.org/officeDocument/2006/relationships/hyperlink" Target="javascript:__doPostBack(&apos;ctl00$ContentPlaceHolder1$GridView1$ctl05$LinkButton1&apos;,&apos;&apos;)" TargetMode="External"/><Relationship Id="rId5" Type="http://schemas.openxmlformats.org/officeDocument/2006/relationships/hyperlink" Target="javascript:__doPostBack(&apos;ctl00$ContentPlaceHolder1$GridView1$ctl06$LinkButton1&apos;,&apos;&apos;)" TargetMode="External"/><Relationship Id="rId6" Type="http://schemas.openxmlformats.org/officeDocument/2006/relationships/hyperlink" Target="javascript:__doPostBack(&apos;ctl00$ContentPlaceHolder1$GridView1$ctl07$LinkButton1&apos;,&apos;&apos;)" TargetMode="External"/><Relationship Id="rId7" Type="http://schemas.openxmlformats.org/officeDocument/2006/relationships/hyperlink" Target="javascript:__doPostBack(&apos;ctl00$ContentPlaceHolder1$GridView1$ctl08$LinkButton1&apos;,&apos;&apos;)" TargetMode="External"/><Relationship Id="rId8" Type="http://schemas.openxmlformats.org/officeDocument/2006/relationships/hyperlink" Target="javascript:__doPostBack(&apos;ctl00$ContentPlaceHolder1$GridView1$ctl02$LinkButton1&apos;,&apos;&apos;)" TargetMode="External"/><Relationship Id="rId9" Type="http://schemas.openxmlformats.org/officeDocument/2006/relationships/hyperlink" Target="javascript:__doPostBack(&apos;ctl00$ContentPlaceHolder1$GridView1$ctl03$LinkButton1&apos;,&apos;&apos;)" TargetMode="External"/><Relationship Id="rId10" Type="http://schemas.openxmlformats.org/officeDocument/2006/relationships/hyperlink" Target="javascript:__doPostBack(&apos;ctl00$ContentPlaceHolder1$GridView1$ctl04$LinkButton1&apos;,&apos;&apos;)" TargetMode="External"/><Relationship Id="rId11" Type="http://schemas.openxmlformats.org/officeDocument/2006/relationships/hyperlink" Target="javascript:__doPostBack(&apos;ctl00$ContentPlaceHolder1$GridView1$ctl05$LinkButton1&apos;,&apos;&apos;)" TargetMode="External"/><Relationship Id="rId12" Type="http://schemas.openxmlformats.org/officeDocument/2006/relationships/hyperlink" Target="javascript:__doPostBack(&apos;ctl00$ContentPlaceHolder1$GridView1$ctl06$LinkButton1&apos;,&apos;&apos;)" TargetMode="External"/><Relationship Id="rId13" Type="http://schemas.openxmlformats.org/officeDocument/2006/relationships/hyperlink" Target="javascript:__doPostBack(&apos;ctl00$ContentPlaceHolder1$GridView1$ctl07$LinkButton1&apos;,&apos;&apos;)" TargetMode="External"/><Relationship Id="rId14" Type="http://schemas.openxmlformats.org/officeDocument/2006/relationships/hyperlink" Target="javascript:__doPostBack(&apos;ctl00$ContentPlaceHolder1$GridView1$ctl08$LinkButton1&apos;,&apos;&apos;)" TargetMode="External"/><Relationship Id="rId15" Type="http://schemas.openxmlformats.org/officeDocument/2006/relationships/hyperlink" Target="javascript:__doPostBack(&apos;ctl00$ContentPlaceHolder1$GridView1$ctl02$LinkButton1&apos;,&apos;&apos;)" TargetMode="External"/><Relationship Id="rId16" Type="http://schemas.openxmlformats.org/officeDocument/2006/relationships/hyperlink" Target="javascript:__doPostBack(&apos;ctl00$ContentPlaceHolder1$GridView1$ctl03$LinkButton1&apos;,&apos;&apos;)" TargetMode="External"/><Relationship Id="rId17" Type="http://schemas.openxmlformats.org/officeDocument/2006/relationships/hyperlink" Target="javascript:__doPostBack(&apos;ctl00$ContentPlaceHolder1$GridView1$ctl04$LinkButton1&apos;,&apos;&apos;)" TargetMode="External"/><Relationship Id="rId18" Type="http://schemas.openxmlformats.org/officeDocument/2006/relationships/hyperlink" Target="javascript:__doPostBack(&apos;ctl00$ContentPlaceHolder1$GridView1$ctl05$LinkButton1&apos;,&apos;&apos;)" TargetMode="External"/><Relationship Id="rId19" Type="http://schemas.openxmlformats.org/officeDocument/2006/relationships/hyperlink" Target="javascript:__doPostBack(&apos;ctl00$ContentPlaceHolder1$GridView1$ctl02$LinkButton1&apos;,&apos;&apos;)" TargetMode="External"/><Relationship Id="rId20" Type="http://schemas.openxmlformats.org/officeDocument/2006/relationships/hyperlink" Target="javascript:__doPostBack(&apos;ctl00$ContentPlaceHolder1$GridView1$ctl03$LinkButton1&apos;,&apos;&apos;)" TargetMode="External"/><Relationship Id="rId21" Type="http://schemas.openxmlformats.org/officeDocument/2006/relationships/hyperlink" Target="javascript:__doPostBack(&apos;ctl00$ContentPlaceHolder1$GridView1$ctl02$LinkButton1&apos;,&apos;&apos;)" TargetMode="External"/><Relationship Id="rId22" Type="http://schemas.openxmlformats.org/officeDocument/2006/relationships/hyperlink" Target="javascript:__doPostBack(&apos;ctl00$ContentPlaceHolder1$GridView1$ctl03$LinkButton1&apos;,&apos;&apos;)" TargetMode="External"/><Relationship Id="rId23" Type="http://schemas.openxmlformats.org/officeDocument/2006/relationships/hyperlink" Target="javascript:__doPostBack(&apos;ctl00$ContentPlaceHolder1$GridView1$ctl04$LinkButton1&apos;,&apos;&apos;)" TargetMode="External"/><Relationship Id="rId24" Type="http://schemas.openxmlformats.org/officeDocument/2006/relationships/hyperlink" Target="javascript:__doPostBack(&apos;ctl00$ContentPlaceHolder1$GridView1$ctl04$LinkButton1&apos;,&apos;&apos;)" TargetMode="External"/><Relationship Id="rId25" Type="http://schemas.openxmlformats.org/officeDocument/2006/relationships/hyperlink" Target="javascript:__doPostBack(&apos;ctl00$ContentPlaceHolder1$GridView1$ctl03$LinkButton1&apos;,&apos;&apos;)" TargetMode="External"/><Relationship Id="rId26" Type="http://schemas.openxmlformats.org/officeDocument/2006/relationships/hyperlink" Target="javascript:__doPostBack(&apos;ctl00$ContentPlaceHolder1$GridView1$ctl04$LinkButton1&apos;,&apos;&apos;)" TargetMode="External"/><Relationship Id="rId27" Type="http://schemas.openxmlformats.org/officeDocument/2006/relationships/hyperlink" Target="javascript:__doPostBack(&apos;ctl00$ContentPlaceHolder1$GridView1$ctl05$LinkButton1&apos;,&apos;&apos;)" TargetMode="External"/><Relationship Id="rId28" Type="http://schemas.openxmlformats.org/officeDocument/2006/relationships/hyperlink" Target="javascript:__doPostBack(&apos;ctl00$ContentPlaceHolder1$GridView1$ctl02$LinkButton1&apos;,&apos;&apos;)" TargetMode="External"/><Relationship Id="rId29" Type="http://schemas.openxmlformats.org/officeDocument/2006/relationships/hyperlink" Target="javascript:__doPostBack(&apos;ctl00$ContentPlaceHolder1$GridView1$ctl03$LinkButton1&apos;,&apos;&apos;)" TargetMode="External"/><Relationship Id="rId30" Type="http://schemas.openxmlformats.org/officeDocument/2006/relationships/hyperlink" Target="javascript:__doPostBack(&apos;ctl00$ContentPlaceHolder1$GridView1$ctl04$LinkButton1&apos;,&apos;&apos;)" TargetMode="External"/><Relationship Id="rId31" Type="http://schemas.openxmlformats.org/officeDocument/2006/relationships/hyperlink" Target="javascript:__doPostBack(&apos;ctl00$ContentPlaceHolder1$GridView1$ctl05$LinkButton1&apos;,&apos;&apos;)" TargetMode="External"/><Relationship Id="rId32" Type="http://schemas.openxmlformats.org/officeDocument/2006/relationships/hyperlink" Target="javascript:__doPostBack(&apos;ctl00$ContentPlaceHolder1$GridView1$ctl06$LinkButton1&apos;,&apos;&apos;)" TargetMode="External"/><Relationship Id="rId33" Type="http://schemas.openxmlformats.org/officeDocument/2006/relationships/hyperlink" Target="javascript:__doPostBack(&apos;ctl00$ContentPlaceHolder1$GridView1$ctl07$LinkButton1&apos;,&apos;&apos;)" TargetMode="External"/><Relationship Id="rId34" Type="http://schemas.openxmlformats.org/officeDocument/2006/relationships/hyperlink" Target="javascript:__doPostBack(&apos;ctl00$ContentPlaceHolder1$GridView1$ctl08$LinkButton1&apos;,&apos;&apos;)" TargetMode="External"/><Relationship Id="rId35" Type="http://schemas.openxmlformats.org/officeDocument/2006/relationships/hyperlink" Target="javascript:__doPostBack(&apos;ctl00$ContentPlaceHolder1$GridView1$ctl02$LinkButton1&apos;,&apos;&apos;)" TargetMode="External"/><Relationship Id="rId36" Type="http://schemas.openxmlformats.org/officeDocument/2006/relationships/hyperlink" Target="javascript:__doPostBack(&apos;ctl00$ContentPlaceHolder1$GridView1$ctl05$LinkButton1&apos;,&apos;&apos;)" TargetMode="External"/><Relationship Id="rId37" Type="http://schemas.openxmlformats.org/officeDocument/2006/relationships/hyperlink" Target="javascript:__doPostBack(&apos;ctl00$ContentPlaceHolder1$GridView1$ctl02$LinkButton1&apos;,&apos;&apos;)" TargetMode="External"/><Relationship Id="rId38" Type="http://schemas.openxmlformats.org/officeDocument/2006/relationships/hyperlink" Target="javascript:__doPostBack(&apos;ctl00$ContentPlaceHolder1$GridView1$ctl03$LinkButton1&apos;,&apos;&apos;)" TargetMode="External"/><Relationship Id="rId39" Type="http://schemas.openxmlformats.org/officeDocument/2006/relationships/hyperlink" Target="javascript:__doPostBack(&apos;ctl00$ContentPlaceHolder1$GridView1$ctl04$LinkButton1&apos;,&apos;&apos;)" TargetMode="External"/><Relationship Id="rId40" Type="http://schemas.openxmlformats.org/officeDocument/2006/relationships/hyperlink" Target="javascript:__doPostBack(&apos;ctl00$ContentPlaceHolder1$GridView1$ctl05$LinkButton1&apos;,&apos;&apos;)" TargetMode="External"/><Relationship Id="rId41" Type="http://schemas.openxmlformats.org/officeDocument/2006/relationships/hyperlink" Target="javascript:__doPostBack(&apos;ctl00$ContentPlaceHolder1$GridView1$ctl04$LinkButton1&apos;,&apos;&apos;)" TargetMode="External"/><Relationship Id="rId42" Type="http://schemas.openxmlformats.org/officeDocument/2006/relationships/hyperlink" Target="javascript:__doPostBack(&apos;ctl00$ContentPlaceHolder1$GridView1$ctl05$LinkButton1&apos;,&apos;&apos;)" TargetMode="External"/><Relationship Id="rId43" Type="http://schemas.openxmlformats.org/officeDocument/2006/relationships/hyperlink" Target="javascript:__doPostBack(&apos;ctl00$ContentPlaceHolder1$GridView1$ctl06$LinkButton1&apos;,&apos;&apos;)" TargetMode="External"/><Relationship Id="rId44" Type="http://schemas.openxmlformats.org/officeDocument/2006/relationships/hyperlink" Target="javascript:__doPostBack(&apos;ctl00$ContentPlaceHolder1$GridView1$ctl08$LinkButton1&apos;,&apos;&apos;)" TargetMode="External"/><Relationship Id="rId45" Type="http://schemas.openxmlformats.org/officeDocument/2006/relationships/hyperlink" Target="javascript:__doPostBack(&apos;ctl00$ContentPlaceHolder1$GridView1$ctl08$LinkButton1&apos;,&apos;&apos;)" TargetMode="External"/><Relationship Id="rId46" Type="http://schemas.openxmlformats.org/officeDocument/2006/relationships/hyperlink" Target="javascript:__doPostBack(&apos;ctl00$ContentPlaceHolder1$GridView1$ctl02$LinkButton1&apos;,&apos;&apos;)" TargetMode="External"/><Relationship Id="rId47" Type="http://schemas.openxmlformats.org/officeDocument/2006/relationships/hyperlink" Target="javascript:__doPostBack(&apos;ctl00$ContentPlaceHolder1$GridView1$ctl03$LinkButton1&apos;,&apos;&apos;)" TargetMode="External"/><Relationship Id="rId48" Type="http://schemas.openxmlformats.org/officeDocument/2006/relationships/hyperlink" Target="javascript:__doPostBack(&apos;ctl00$ContentPlaceHolder1$GridView1$ctl04$LinkButton1&apos;,&apos;&apos;)" TargetMode="External"/><Relationship Id="rId49" Type="http://schemas.openxmlformats.org/officeDocument/2006/relationships/hyperlink" Target="javascript:__doPostBack(&apos;ctl00$ContentPlaceHolder1$GridView1$ctl02$LinkButton1&apos;,&apos;&apos;)" TargetMode="External"/><Relationship Id="rId50" Type="http://schemas.openxmlformats.org/officeDocument/2006/relationships/hyperlink" Target="javascript:__doPostBack(&apos;ctl00$ContentPlaceHolder1$GridView1$ctl03$LinkButton1&apos;,&apos;&apos;)" TargetMode="External"/><Relationship Id="rId51" Type="http://schemas.openxmlformats.org/officeDocument/2006/relationships/hyperlink" Target="javascript:__doPostBack(&apos;ctl00$ContentPlaceHolder1$GridView1$ctl03$LinkButton1&apos;,&apos;&apos;)" TargetMode="External"/><Relationship Id="rId52" Type="http://schemas.openxmlformats.org/officeDocument/2006/relationships/hyperlink" Target="javascript:__doPostBack(&apos;ctl00$ContentPlaceHolder1$GridView1&apos;,&apos;Select$0&apos;)" TargetMode="External"/><Relationship Id="rId53" Type="http://schemas.openxmlformats.org/officeDocument/2006/relationships/hyperlink" Target="javascript:__doPostBack(&apos;ctl00$ContentPlaceHolder1$GridView1$ctl02$LinkButton1&apos;,&apos;&apos;)" TargetMode="External"/><Relationship Id="rId54" Type="http://schemas.openxmlformats.org/officeDocument/2006/relationships/hyperlink" Target="javascript:__doPostBack(&apos;ctl00$ContentPlaceHolder1$GridView1&apos;,&apos;Select$3&apos;)" TargetMode="External"/><Relationship Id="rId55" Type="http://schemas.openxmlformats.org/officeDocument/2006/relationships/hyperlink" Target="javascript:__doPostBack(&apos;ctl00$ContentPlaceHolder1$GridView1$ctl03$LinkButton1&apos;,&apos;&apos;)" TargetMode="External"/><Relationship Id="rId56" Type="http://schemas.openxmlformats.org/officeDocument/2006/relationships/hyperlink" Target="javascript:__doPostBack(&apos;ctl00$ContentPlaceHolder1$GridView1&apos;,&apos;Select$4&apos;)" TargetMode="External"/><Relationship Id="rId57" Type="http://schemas.openxmlformats.org/officeDocument/2006/relationships/hyperlink" Target="javascript:__doPostBack(&apos;ctl00$ContentPlaceHolder1$GridView1$ctl02$LinkButton1&apos;,&apos;&apos;)" TargetMode="External"/><Relationship Id="rId58" Type="http://schemas.openxmlformats.org/officeDocument/2006/relationships/hyperlink" Target="javascript:__doPostBack(&apos;ctl00$ContentPlaceHolder1$GridView1$ctl03$LinkButton1&apos;,&apos;&apos;)" TargetMode="External"/><Relationship Id="rId59" Type="http://schemas.openxmlformats.org/officeDocument/2006/relationships/hyperlink" Target="javascript:__doPostBack(&apos;ctl00$ContentPlaceHolder1$GridView1$ctl04$LinkButton1&apos;,&apos;&apos;)" TargetMode="External"/><Relationship Id="rId60" Type="http://schemas.openxmlformats.org/officeDocument/2006/relationships/hyperlink" Target="javascript:__doPostBack(&apos;ctl00$ContentPlaceHolder1$GridView1$ctl05$LinkButton1&apos;,&apos;&apos;)" TargetMode="External"/><Relationship Id="rId61" Type="http://schemas.openxmlformats.org/officeDocument/2006/relationships/hyperlink" Target="javascript:__doPostBack(&apos;ctl00$ContentPlaceHolder1$GridView1$ctl06$LinkButton1&apos;,&apos;&apos;)" TargetMode="External"/><Relationship Id="rId62" Type="http://schemas.openxmlformats.org/officeDocument/2006/relationships/hyperlink" Target="javascript:__doPostBack(&apos;ctl00$ContentPlaceHolder1$GridView1$ctl07$LinkButton1&apos;,&apos;&apos;)" TargetMode="External"/><Relationship Id="rId63" Type="http://schemas.openxmlformats.org/officeDocument/2006/relationships/hyperlink" Target="javascript:__doPostBack(&apos;ctl00$ContentPlaceHolder1$GridView1$ctl08$LinkButton1&apos;,&apos;&apos;)" TargetMode="External"/><Relationship Id="rId64" Type="http://schemas.openxmlformats.org/officeDocument/2006/relationships/hyperlink" Target="javascript:__doPostBack(&apos;ctl00$ContentPlaceHolder1$GridView1$ctl02$LinkButton1&apos;,&apos;&apos;)" TargetMode="External"/><Relationship Id="rId65" Type="http://schemas.openxmlformats.org/officeDocument/2006/relationships/hyperlink" Target="javascript:__doPostBack(&apos;ctl00$ContentPlaceHolder1$GridView1$ctl03$LinkButton1&apos;,&apos;&apos;)" TargetMode="External"/><Relationship Id="rId66" Type="http://schemas.openxmlformats.org/officeDocument/2006/relationships/hyperlink" Target="javascript:__doPostBack(&apos;ctl00$ContentPlaceHolder1$GridView1$ctl05$LinkButton1&apos;,&apos;&apos;)" TargetMode="External"/><Relationship Id="rId67" Type="http://schemas.openxmlformats.org/officeDocument/2006/relationships/hyperlink" Target="javascript:__doPostBack(&apos;ctl00$ContentPlaceHolder1$GridView1$ctl06$LinkButton1&apos;,&apos;&apos;)" TargetMode="External"/><Relationship Id="rId68" Type="http://schemas.openxmlformats.org/officeDocument/2006/relationships/hyperlink" Target="javascript:__doPostBack(&apos;ctl00$ContentPlaceHolder1$GridView1$ctl07$LinkButton1&apos;,&apos;&apos;)" TargetMode="External"/><Relationship Id="rId69" Type="http://schemas.openxmlformats.org/officeDocument/2006/relationships/hyperlink" Target="javascript:__doPostBack(&apos;ctl00$ContentPlaceHolder1$GridView1$ctl08$LinkButton1&apos;,&apos;&apos;)" TargetMode="External"/><Relationship Id="rId70" Type="http://schemas.openxmlformats.org/officeDocument/2006/relationships/hyperlink" Target="javascript:__doPostBack(&apos;ctl00$ContentPlaceHolder1$GridView1$ctl02$LinkButton1&apos;,&apos;&apos;)" TargetMode="External"/><Relationship Id="rId71" Type="http://schemas.openxmlformats.org/officeDocument/2006/relationships/hyperlink" Target="javascript:__doPostBack(&apos;ctl00$ContentPlaceHolder1$GridView1$ctl03$LinkButton1&apos;,&apos;&apos;)" TargetMode="External"/><Relationship Id="rId72" Type="http://schemas.openxmlformats.org/officeDocument/2006/relationships/hyperlink" Target="javascript:__doPostBack(&apos;ctl00$ContentPlaceHolder1$GridView1$ctl04$LinkButton1&apos;,&apos;&apos;)" TargetMode="External"/><Relationship Id="rId73" Type="http://schemas.openxmlformats.org/officeDocument/2006/relationships/hyperlink" Target="javascript:__doPostBack(&apos;ctl00$ContentPlaceHolder1$GridView1$ctl05$LinkButton1&apos;,&apos;&apos;)" TargetMode="External"/><Relationship Id="rId74" Type="http://schemas.openxmlformats.org/officeDocument/2006/relationships/hyperlink" Target="javascript:__doPostBack(&apos;ctl00$ContentPlaceHolder1$GridView1$ctl06$LinkButton1&apos;,&apos;&apos;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52"/>
  <sheetViews>
    <sheetView showFormulas="false" showGridLines="true" showRowColHeaders="true" showZeros="true" rightToLeft="false" tabSelected="false" showOutlineSymbols="true" defaultGridColor="true" view="normal" topLeftCell="Q13" colorId="64" zoomScale="100" zoomScaleNormal="100" zoomScalePageLayoutView="100" workbookViewId="0">
      <selection pane="topLeft" activeCell="AA37" activeCellId="0" sqref="AA3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1.33"/>
    <col collapsed="false" customWidth="true" hidden="false" outlineLevel="0" max="6" min="6" style="1" width="20.66"/>
    <col collapsed="false" customWidth="true" hidden="false" outlineLevel="0" max="7" min="7" style="1" width="7.56"/>
    <col collapsed="false" customWidth="true" hidden="false" outlineLevel="0" max="10" min="9" style="1" width="4.79"/>
    <col collapsed="false" customWidth="true" hidden="false" outlineLevel="0" max="11" min="11" style="1" width="15.56"/>
    <col collapsed="false" customWidth="true" hidden="false" outlineLevel="0" max="12" min="12" style="1" width="17.11"/>
    <col collapsed="false" customWidth="true" hidden="false" outlineLevel="0" max="16" min="16" style="1" width="23.88"/>
    <col collapsed="false" customWidth="true" hidden="false" outlineLevel="0" max="20" min="19" style="1" width="6.67"/>
    <col collapsed="false" customWidth="true" hidden="false" outlineLevel="0" max="21" min="21" style="1" width="13.44"/>
    <col collapsed="false" customWidth="true" hidden="false" outlineLevel="0" max="22" min="22" style="1" width="11.56"/>
    <col collapsed="false" customWidth="true" hidden="false" outlineLevel="0" max="23" min="23" style="2" width="8.88"/>
    <col collapsed="false" customWidth="true" hidden="false" outlineLevel="0" max="25" min="25" style="1" width="6.77"/>
    <col collapsed="false" customWidth="true" hidden="false" outlineLevel="0" max="26" min="26" style="1" width="20"/>
    <col collapsed="false" customWidth="true" hidden="false" outlineLevel="0" max="27" min="27" style="1" width="10.88"/>
    <col collapsed="false" customWidth="true" hidden="false" outlineLevel="0" max="31" min="31" style="1" width="24.21"/>
    <col collapsed="false" customWidth="true" hidden="false" outlineLevel="0" max="33" min="33" style="1" width="9.56"/>
  </cols>
  <sheetData>
    <row r="1" customFormat="false" ht="21" hidden="false" customHeight="false" outlineLevel="0" collapsed="false">
      <c r="A1" s="3" t="s">
        <v>0</v>
      </c>
      <c r="B1" s="3"/>
      <c r="C1" s="4" t="n">
        <v>100</v>
      </c>
      <c r="D1" s="3" t="s">
        <v>1</v>
      </c>
      <c r="E1" s="3" t="s">
        <v>2</v>
      </c>
      <c r="F1" s="3"/>
      <c r="G1" s="3" t="s">
        <v>3</v>
      </c>
      <c r="H1" s="3" t="s">
        <v>4</v>
      </c>
      <c r="I1" s="3" t="s">
        <v>5</v>
      </c>
      <c r="J1" s="3"/>
      <c r="K1" s="3" t="s">
        <v>0</v>
      </c>
      <c r="L1" s="3"/>
      <c r="M1" s="4" t="n">
        <v>101</v>
      </c>
      <c r="N1" s="3" t="s">
        <v>1</v>
      </c>
      <c r="O1" s="3" t="s">
        <v>2</v>
      </c>
      <c r="P1" s="3"/>
      <c r="Q1" s="3" t="s">
        <v>3</v>
      </c>
      <c r="R1" s="3" t="s">
        <v>4</v>
      </c>
      <c r="S1" s="3" t="s">
        <v>5</v>
      </c>
      <c r="T1" s="3"/>
      <c r="U1" s="3" t="s">
        <v>0</v>
      </c>
      <c r="V1" s="3"/>
      <c r="W1" s="4" t="n">
        <v>102</v>
      </c>
      <c r="X1" s="3" t="s">
        <v>1</v>
      </c>
      <c r="Y1" s="3" t="s">
        <v>2</v>
      </c>
      <c r="Z1" s="3"/>
      <c r="AA1" s="3" t="s">
        <v>3</v>
      </c>
      <c r="AB1" s="3" t="s">
        <v>4</v>
      </c>
      <c r="AC1" s="3" t="s">
        <v>5</v>
      </c>
      <c r="AE1" s="3" t="s">
        <v>6</v>
      </c>
      <c r="AF1" s="3" t="s">
        <v>7</v>
      </c>
    </row>
    <row r="2" customFormat="false" ht="21" hidden="false" customHeight="false" outlineLevel="0" collapsed="false">
      <c r="D2" s="3" t="n">
        <f aca="false">81*20+18</f>
        <v>1638</v>
      </c>
      <c r="E2" s="3" t="n">
        <v>172</v>
      </c>
      <c r="F2" s="3"/>
      <c r="G2" s="4" t="n">
        <v>9</v>
      </c>
      <c r="N2" s="3" t="n">
        <f aca="false">17*20+6</f>
        <v>346</v>
      </c>
      <c r="O2" s="3" t="s">
        <v>8</v>
      </c>
      <c r="Q2" s="4" t="n">
        <v>1</v>
      </c>
      <c r="X2" s="3" t="n">
        <f aca="false">67*20+7</f>
        <v>1347</v>
      </c>
      <c r="Y2" s="3" t="s">
        <v>8</v>
      </c>
      <c r="Z2" s="4"/>
      <c r="AA2" s="4" t="n">
        <v>10</v>
      </c>
      <c r="AE2" s="1" t="s">
        <v>9</v>
      </c>
      <c r="AF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f aca="false">97/819</f>
        <v>0.118437118437118</v>
      </c>
      <c r="D3" s="2" t="n">
        <f aca="false">D$2*C3</f>
        <v>194</v>
      </c>
      <c r="F3" s="1" t="s">
        <v>13</v>
      </c>
      <c r="G3" s="1" t="n">
        <v>11</v>
      </c>
      <c r="H3" s="1" t="n">
        <v>8</v>
      </c>
      <c r="I3" s="1" t="n">
        <v>0</v>
      </c>
      <c r="K3" s="1" t="s">
        <v>14</v>
      </c>
      <c r="L3" s="1" t="s">
        <v>15</v>
      </c>
      <c r="M3" s="1" t="n">
        <f aca="false">27/346</f>
        <v>0.0780346820809249</v>
      </c>
      <c r="N3" s="2" t="n">
        <f aca="false">N$2*M3</f>
        <v>27</v>
      </c>
      <c r="O3" s="3" t="n">
        <v>174</v>
      </c>
      <c r="P3" s="1" t="s">
        <v>13</v>
      </c>
      <c r="Q3" s="1" t="n">
        <v>25</v>
      </c>
      <c r="R3" s="1" t="n">
        <v>2</v>
      </c>
      <c r="S3" s="1" t="n">
        <v>18</v>
      </c>
      <c r="U3" s="1" t="s">
        <v>14</v>
      </c>
      <c r="V3" s="2" t="s">
        <v>16</v>
      </c>
      <c r="W3" s="2" t="n">
        <f aca="false">106/1347</f>
        <v>0.0786933927245731</v>
      </c>
      <c r="X3" s="2" t="n">
        <f aca="false">X$2*W3</f>
        <v>106</v>
      </c>
      <c r="Y3" s="3" t="n">
        <v>177</v>
      </c>
      <c r="Z3" s="1" t="s">
        <v>17</v>
      </c>
      <c r="AA3" s="1" t="s">
        <v>18</v>
      </c>
      <c r="AB3" s="1" t="n">
        <v>5</v>
      </c>
      <c r="AC3" s="1" t="n">
        <v>6</v>
      </c>
      <c r="AE3" s="1" t="s">
        <v>19</v>
      </c>
      <c r="AF3" s="1" t="s">
        <v>10</v>
      </c>
    </row>
    <row r="4" customFormat="false" ht="21" hidden="false" customHeight="false" outlineLevel="0" collapsed="false">
      <c r="A4" s="1" t="s">
        <v>20</v>
      </c>
      <c r="B4" s="1" t="s">
        <v>21</v>
      </c>
      <c r="C4" s="1" t="n">
        <f aca="false">38/819</f>
        <v>0.0463980463980464</v>
      </c>
      <c r="D4" s="2" t="n">
        <f aca="false">D$2*C4</f>
        <v>76</v>
      </c>
      <c r="G4" s="1" t="n">
        <v>20</v>
      </c>
      <c r="H4" s="1" t="n">
        <v>8</v>
      </c>
      <c r="I4" s="1" t="n">
        <v>0</v>
      </c>
      <c r="K4" s="1" t="s">
        <v>22</v>
      </c>
      <c r="L4" s="1" t="s">
        <v>23</v>
      </c>
      <c r="M4" s="1" t="n">
        <f aca="false">25/346</f>
        <v>0.0722543352601156</v>
      </c>
      <c r="N4" s="2" t="n">
        <f aca="false">N$2*M4</f>
        <v>25</v>
      </c>
      <c r="Q4" s="4" t="n">
        <v>10</v>
      </c>
      <c r="V4" s="2"/>
      <c r="X4" s="2"/>
      <c r="AA4" s="1" t="s">
        <v>24</v>
      </c>
      <c r="AB4" s="1" t="n">
        <v>2</v>
      </c>
      <c r="AC4" s="1" t="n">
        <v>6</v>
      </c>
      <c r="AE4" s="1" t="s">
        <v>25</v>
      </c>
      <c r="AF4" s="1" t="s">
        <v>10</v>
      </c>
    </row>
    <row r="5" customFormat="false" ht="14.25" hidden="false" customHeight="false" outlineLevel="0" collapsed="false">
      <c r="A5" s="1" t="s">
        <v>26</v>
      </c>
      <c r="B5" s="1" t="s">
        <v>27</v>
      </c>
      <c r="C5" s="1" t="n">
        <f aca="false">43/546</f>
        <v>0.0787545787545788</v>
      </c>
      <c r="D5" s="2" t="n">
        <f aca="false">D$2*C5</f>
        <v>129</v>
      </c>
      <c r="G5" s="1" t="n">
        <v>21</v>
      </c>
      <c r="H5" s="1" t="n">
        <v>8</v>
      </c>
      <c r="I5" s="1" t="n">
        <v>0</v>
      </c>
      <c r="K5" s="1" t="s">
        <v>28</v>
      </c>
      <c r="L5" s="1" t="s">
        <v>29</v>
      </c>
      <c r="M5" s="1" t="n">
        <f aca="false">149/346</f>
        <v>0.430635838150289</v>
      </c>
      <c r="N5" s="5" t="n">
        <f aca="false">N$2*M5</f>
        <v>149</v>
      </c>
      <c r="O5" s="3" t="n">
        <v>175</v>
      </c>
      <c r="P5" s="1" t="s">
        <v>30</v>
      </c>
      <c r="Q5" s="1" t="n">
        <v>4</v>
      </c>
      <c r="R5" s="1" t="n">
        <v>5</v>
      </c>
      <c r="S5" s="1" t="n">
        <v>14</v>
      </c>
      <c r="U5" s="1" t="s">
        <v>26</v>
      </c>
      <c r="V5" s="2" t="s">
        <v>31</v>
      </c>
      <c r="W5" s="2" t="n">
        <f aca="false">11/449</f>
        <v>0.0244988864142539</v>
      </c>
      <c r="X5" s="2" t="n">
        <f aca="false">X$2*W5</f>
        <v>33</v>
      </c>
      <c r="AA5" s="1" t="s">
        <v>32</v>
      </c>
      <c r="AB5" s="1" t="n">
        <v>3</v>
      </c>
      <c r="AC5" s="1" t="n">
        <v>12</v>
      </c>
      <c r="AE5" s="1" t="s">
        <v>33</v>
      </c>
      <c r="AF5" s="1" t="s">
        <v>34</v>
      </c>
    </row>
    <row r="6" customFormat="false" ht="14.25" hidden="false" customHeight="false" outlineLevel="0" collapsed="false">
      <c r="A6" s="1" t="s">
        <v>35</v>
      </c>
      <c r="B6" s="1" t="s">
        <v>36</v>
      </c>
      <c r="C6" s="1" t="n">
        <f aca="false">32/819</f>
        <v>0.0390720390720391</v>
      </c>
      <c r="D6" s="2" t="n">
        <f aca="false">D$2*C6</f>
        <v>64</v>
      </c>
      <c r="G6" s="1" t="n">
        <v>22</v>
      </c>
      <c r="H6" s="1" t="n">
        <v>8</v>
      </c>
      <c r="I6" s="1" t="n">
        <v>0</v>
      </c>
      <c r="K6" s="1" t="s">
        <v>37</v>
      </c>
      <c r="L6" s="1" t="s">
        <v>38</v>
      </c>
      <c r="M6" s="1" t="n">
        <f aca="false">46/173</f>
        <v>0.265895953757225</v>
      </c>
      <c r="N6" s="5" t="n">
        <f aca="false">N$2*M6</f>
        <v>92</v>
      </c>
      <c r="O6" s="1" t="s">
        <v>8</v>
      </c>
      <c r="Q6" s="1" t="s">
        <v>39</v>
      </c>
      <c r="R6" s="1" t="n">
        <v>5</v>
      </c>
      <c r="S6" s="1" t="n">
        <v>2</v>
      </c>
      <c r="U6" s="1" t="s">
        <v>35</v>
      </c>
      <c r="V6" s="2" t="s">
        <v>40</v>
      </c>
      <c r="W6" s="2" t="n">
        <f aca="false">73/1347</f>
        <v>0.0541945063103192</v>
      </c>
      <c r="X6" s="2" t="n">
        <f aca="false">X$2*W6</f>
        <v>73</v>
      </c>
      <c r="AA6" s="1" t="s">
        <v>41</v>
      </c>
      <c r="AB6" s="1" t="n">
        <v>4</v>
      </c>
      <c r="AC6" s="1" t="n">
        <v>0</v>
      </c>
      <c r="AG6" s="1" t="n">
        <f aca="false">273-136</f>
        <v>137</v>
      </c>
    </row>
    <row r="7" customFormat="false" ht="21" hidden="false" customHeight="false" outlineLevel="0" collapsed="false">
      <c r="A7" s="1" t="s">
        <v>42</v>
      </c>
      <c r="B7" s="1" t="s">
        <v>43</v>
      </c>
      <c r="C7" s="1" t="n">
        <f aca="false">1175/2184</f>
        <v>0.538003663003663</v>
      </c>
      <c r="D7" s="2" t="n">
        <f aca="false">D$2*C7</f>
        <v>881.25</v>
      </c>
      <c r="E7" s="6" t="n">
        <f aca="false">D7/20</f>
        <v>44.0625</v>
      </c>
      <c r="F7" s="6"/>
      <c r="G7" s="4" t="n">
        <v>10</v>
      </c>
      <c r="K7" s="1" t="s">
        <v>44</v>
      </c>
      <c r="L7" s="1" t="s">
        <v>23</v>
      </c>
      <c r="M7" s="1" t="n">
        <f aca="false">25/346</f>
        <v>0.0722543352601156</v>
      </c>
      <c r="N7" s="2" t="n">
        <f aca="false">N$2*M7</f>
        <v>25</v>
      </c>
      <c r="Q7" s="1" t="s">
        <v>45</v>
      </c>
      <c r="R7" s="1" t="n">
        <v>0</v>
      </c>
      <c r="S7" s="1" t="n">
        <v>12</v>
      </c>
      <c r="U7" s="1" t="s">
        <v>46</v>
      </c>
      <c r="V7" s="2" t="s">
        <v>47</v>
      </c>
      <c r="W7" s="2" t="n">
        <f aca="false">358/1347</f>
        <v>0.265775798069785</v>
      </c>
      <c r="X7" s="2" t="n">
        <f aca="false">X$2*W7</f>
        <v>358</v>
      </c>
      <c r="AA7" s="1" t="s">
        <v>48</v>
      </c>
      <c r="AB7" s="1" t="n">
        <v>5</v>
      </c>
      <c r="AC7" s="1" t="n">
        <v>0</v>
      </c>
      <c r="AF7" s="3" t="n">
        <f aca="false">136+136+273</f>
        <v>545</v>
      </c>
      <c r="AG7" s="2" t="n">
        <f aca="false">AF7/3</f>
        <v>181.666666666667</v>
      </c>
    </row>
    <row r="8" customFormat="false" ht="14.25" hidden="false" customHeight="false" outlineLevel="0" collapsed="false">
      <c r="A8" s="1" t="s">
        <v>9</v>
      </c>
      <c r="B8" s="1" t="s">
        <v>49</v>
      </c>
      <c r="C8" s="1" t="n">
        <f aca="false">695/6552</f>
        <v>0.106074481074481</v>
      </c>
      <c r="D8" s="2" t="n">
        <f aca="false">D$2*C8</f>
        <v>173.75</v>
      </c>
      <c r="E8" s="6" t="n">
        <f aca="false">D8/20</f>
        <v>8.6875</v>
      </c>
      <c r="G8" s="1" t="n">
        <v>16</v>
      </c>
      <c r="H8" s="1" t="n">
        <v>7</v>
      </c>
      <c r="I8" s="1" t="n">
        <v>12</v>
      </c>
      <c r="K8" s="1" t="s">
        <v>26</v>
      </c>
      <c r="L8" s="1" t="s">
        <v>50</v>
      </c>
      <c r="M8" s="1" t="n">
        <f aca="false">9/173</f>
        <v>0.0520231213872832</v>
      </c>
      <c r="N8" s="2" t="n">
        <f aca="false">N$2*M8</f>
        <v>18</v>
      </c>
      <c r="O8" s="3" t="n">
        <v>176</v>
      </c>
      <c r="P8" s="1" t="s">
        <v>11</v>
      </c>
      <c r="Q8" s="1" t="n">
        <v>12</v>
      </c>
      <c r="R8" s="1" t="n">
        <v>3</v>
      </c>
      <c r="S8" s="1" t="n">
        <v>0</v>
      </c>
      <c r="U8" s="1" t="s">
        <v>9</v>
      </c>
      <c r="V8" s="2" t="s">
        <v>51</v>
      </c>
      <c r="W8" s="2" t="n">
        <f aca="false">290/1347</f>
        <v>0.215293244246474</v>
      </c>
      <c r="X8" s="2" t="n">
        <f aca="false">X$2*W8</f>
        <v>290</v>
      </c>
      <c r="AA8" s="1" t="s">
        <v>52</v>
      </c>
      <c r="AB8" s="1" t="n">
        <v>4</v>
      </c>
      <c r="AC8" s="1" t="n">
        <v>5</v>
      </c>
      <c r="AG8" s="2" t="n">
        <f aca="false">AG7/20</f>
        <v>9.08333333333333</v>
      </c>
    </row>
    <row r="9" customFormat="false" ht="14.25" hidden="false" customHeight="false" outlineLevel="0" collapsed="false">
      <c r="A9" s="1" t="s">
        <v>53</v>
      </c>
      <c r="B9" s="1" t="s">
        <v>54</v>
      </c>
      <c r="C9" s="1" t="n">
        <f aca="false">10/273</f>
        <v>0.0366300366300366</v>
      </c>
      <c r="D9" s="2" t="n">
        <f aca="false">D$2*C9</f>
        <v>60</v>
      </c>
      <c r="G9" s="1" t="n">
        <v>24</v>
      </c>
      <c r="H9" s="1" t="n">
        <v>7</v>
      </c>
      <c r="I9" s="1" t="n">
        <v>11</v>
      </c>
      <c r="K9" s="1" t="s">
        <v>35</v>
      </c>
      <c r="L9" s="1" t="s">
        <v>55</v>
      </c>
      <c r="M9" s="1" t="n">
        <f aca="false">5/173</f>
        <v>0.0289017341040462</v>
      </c>
      <c r="N9" s="2" t="n">
        <f aca="false">N$2*M9</f>
        <v>10</v>
      </c>
      <c r="U9" s="1" t="s">
        <v>44</v>
      </c>
      <c r="V9" s="2" t="s">
        <v>16</v>
      </c>
      <c r="W9" s="2" t="n">
        <f aca="false">106/1347</f>
        <v>0.0786933927245731</v>
      </c>
      <c r="X9" s="2" t="n">
        <f aca="false">X$2*W9</f>
        <v>106</v>
      </c>
      <c r="AA9" s="1" t="s">
        <v>56</v>
      </c>
      <c r="AB9" s="1" t="n">
        <v>3</v>
      </c>
      <c r="AC9" s="1" t="n">
        <v>15</v>
      </c>
    </row>
    <row r="10" customFormat="false" ht="14.25" hidden="false" customHeight="false" outlineLevel="0" collapsed="false">
      <c r="A10" s="1" t="s">
        <v>57</v>
      </c>
      <c r="B10" s="1" t="s">
        <v>54</v>
      </c>
      <c r="C10" s="1" t="n">
        <f aca="false">10/273</f>
        <v>0.0366300366300366</v>
      </c>
      <c r="D10" s="2" t="n">
        <f aca="false">D$2*C10</f>
        <v>60</v>
      </c>
      <c r="G10" s="1" t="n">
        <v>25</v>
      </c>
      <c r="H10" s="1" t="n">
        <v>7</v>
      </c>
      <c r="I10" s="1" t="n">
        <v>4</v>
      </c>
      <c r="N10" s="2" t="n">
        <f aca="false">N$2*M10</f>
        <v>0</v>
      </c>
      <c r="U10" s="1" t="s">
        <v>57</v>
      </c>
      <c r="V10" s="2" t="s">
        <v>58</v>
      </c>
      <c r="W10" s="2" t="n">
        <f aca="false">98/1347</f>
        <v>0.0727542687453601</v>
      </c>
      <c r="X10" s="2" t="n">
        <f aca="false">X$2*W10</f>
        <v>98</v>
      </c>
      <c r="AA10" s="1" t="n">
        <v>15</v>
      </c>
      <c r="AB10" s="1" t="n">
        <v>7</v>
      </c>
      <c r="AC10" s="1" t="n">
        <v>12</v>
      </c>
      <c r="AE10" s="3" t="s">
        <v>59</v>
      </c>
    </row>
    <row r="11" customFormat="false" ht="21" hidden="false" customHeight="false" outlineLevel="0" collapsed="false">
      <c r="D11" s="2" t="n">
        <f aca="false">D$2*C11</f>
        <v>0</v>
      </c>
      <c r="G11" s="4" t="n">
        <v>12</v>
      </c>
      <c r="N11" s="2" t="n">
        <f aca="false">N$2*M11</f>
        <v>0</v>
      </c>
      <c r="U11" s="1" t="s">
        <v>60</v>
      </c>
      <c r="V11" s="2" t="s">
        <v>61</v>
      </c>
      <c r="W11" s="2" t="n">
        <f aca="false">283/1347</f>
        <v>0.210096510764662</v>
      </c>
      <c r="X11" s="2" t="n">
        <f aca="false">X$2*W11</f>
        <v>283</v>
      </c>
      <c r="Y11" s="1" t="n">
        <f aca="false">X7+X8+X11</f>
        <v>931</v>
      </c>
      <c r="AA11" s="1" t="n">
        <v>17</v>
      </c>
      <c r="AB11" s="1" t="n">
        <v>8</v>
      </c>
      <c r="AC11" s="1" t="n">
        <v>0</v>
      </c>
      <c r="AE11" s="1" t="s">
        <v>62</v>
      </c>
      <c r="AF11" s="1" t="s">
        <v>63</v>
      </c>
    </row>
    <row r="12" customFormat="false" ht="14.25" hidden="false" customHeight="false" outlineLevel="0" collapsed="false">
      <c r="D12" s="2" t="n">
        <f aca="false">D$2*C12</f>
        <v>0</v>
      </c>
      <c r="G12" s="1" t="n">
        <v>5</v>
      </c>
      <c r="H12" s="1" t="n">
        <v>7</v>
      </c>
      <c r="I12" s="1" t="n">
        <v>12</v>
      </c>
      <c r="N12" s="2" t="n">
        <f aca="false">N$2*M12</f>
        <v>0</v>
      </c>
      <c r="R12" s="1" t="n">
        <f aca="false">SUM(R3:R11)</f>
        <v>15</v>
      </c>
      <c r="S12" s="1" t="n">
        <f aca="false">SUM(S3:S11)</f>
        <v>46</v>
      </c>
      <c r="V12" s="2"/>
      <c r="X12" s="2" t="n">
        <f aca="false">X$2*W12</f>
        <v>0</v>
      </c>
      <c r="AA12" s="1" t="n">
        <v>18</v>
      </c>
      <c r="AB12" s="1" t="n">
        <v>8</v>
      </c>
      <c r="AC12" s="1" t="n">
        <v>0</v>
      </c>
      <c r="AE12" s="1" t="s">
        <v>64</v>
      </c>
      <c r="AF12" s="1" t="s">
        <v>65</v>
      </c>
    </row>
    <row r="13" customFormat="false" ht="21" hidden="false" customHeight="false" outlineLevel="0" collapsed="false">
      <c r="D13" s="2" t="n">
        <f aca="false">D$2*C13</f>
        <v>0</v>
      </c>
      <c r="G13" s="4" t="n">
        <v>13</v>
      </c>
      <c r="N13" s="2" t="n">
        <f aca="false">N$2*M13</f>
        <v>0</v>
      </c>
      <c r="R13" s="1" t="n">
        <v>17</v>
      </c>
      <c r="S13" s="1" t="n">
        <v>6</v>
      </c>
      <c r="V13" s="2"/>
      <c r="X13" s="2" t="n">
        <f aca="false">X$2*W13</f>
        <v>0</v>
      </c>
      <c r="AB13" s="3" t="n">
        <f aca="false">SUM(AB3:AB12)</f>
        <v>49</v>
      </c>
      <c r="AC13" s="3" t="n">
        <f aca="false">SUM(AC3:AC12)</f>
        <v>56</v>
      </c>
    </row>
    <row r="14" customFormat="false" ht="14.25" hidden="false" customHeight="false" outlineLevel="0" collapsed="false">
      <c r="C14" s="7" t="n">
        <f aca="false">SUM(C3:C13)</f>
        <v>1</v>
      </c>
      <c r="D14" s="7" t="n">
        <f aca="false">SUM(D3:D13)</f>
        <v>1638</v>
      </c>
      <c r="G14" s="1" t="n">
        <v>1</v>
      </c>
      <c r="H14" s="1" t="n">
        <v>8</v>
      </c>
      <c r="I14" s="1" t="n">
        <v>0</v>
      </c>
      <c r="M14" s="7" t="n">
        <f aca="false">SUM(M3:M13)</f>
        <v>1</v>
      </c>
      <c r="N14" s="7" t="n">
        <f aca="false">SUM(N3:N13)</f>
        <v>346</v>
      </c>
      <c r="O14" s="1" t="n">
        <f aca="false">N14/20</f>
        <v>17.3</v>
      </c>
      <c r="R14" s="1" t="s">
        <v>8</v>
      </c>
      <c r="V14" s="2"/>
      <c r="X14" s="2" t="n">
        <f aca="false">X$2*W14</f>
        <v>0</v>
      </c>
      <c r="Y14" s="3" t="n">
        <v>178</v>
      </c>
      <c r="Z14" s="1" t="s">
        <v>66</v>
      </c>
      <c r="AA14" s="1" t="s">
        <v>48</v>
      </c>
      <c r="AB14" s="1" t="n">
        <v>3</v>
      </c>
      <c r="AF14" s="3" t="s">
        <v>67</v>
      </c>
    </row>
    <row r="15" customFormat="false" ht="14.25" hidden="false" customHeight="false" outlineLevel="0" collapsed="false">
      <c r="E15" s="2"/>
      <c r="F15" s="2"/>
      <c r="G15" s="8" t="n">
        <v>2</v>
      </c>
      <c r="H15" s="9" t="n">
        <v>8</v>
      </c>
      <c r="I15" s="1" t="n">
        <v>0</v>
      </c>
      <c r="W15" s="7" t="n">
        <f aca="false">SUM(W3:W14)</f>
        <v>1</v>
      </c>
      <c r="X15" s="7" t="n">
        <f aca="false">SUM(X3:X14)</f>
        <v>1347</v>
      </c>
      <c r="AA15" s="1" t="n">
        <v>13</v>
      </c>
      <c r="AB15" s="1" t="n">
        <v>8</v>
      </c>
      <c r="AC15" s="1" t="n">
        <v>0</v>
      </c>
      <c r="AF15" s="1" t="s">
        <v>8</v>
      </c>
    </row>
    <row r="16" customFormat="false" ht="14.25" hidden="false" customHeight="false" outlineLevel="0" collapsed="false">
      <c r="H16" s="3" t="n">
        <f aca="false">SUM(H3:H15)</f>
        <v>76</v>
      </c>
      <c r="I16" s="3" t="n">
        <f aca="false">SUM(I3:I15)</f>
        <v>39</v>
      </c>
      <c r="J16" s="3"/>
      <c r="Y16" s="3" t="n">
        <v>179</v>
      </c>
      <c r="Z16" s="1" t="s">
        <v>11</v>
      </c>
      <c r="AA16" s="1" t="s">
        <v>68</v>
      </c>
      <c r="AB16" s="1" t="n">
        <v>1</v>
      </c>
      <c r="AC16" s="1" t="n">
        <v>19</v>
      </c>
      <c r="AF16" s="1" t="n">
        <f aca="false">545/20</f>
        <v>27.25</v>
      </c>
    </row>
    <row r="17" customFormat="false" ht="21" hidden="false" customHeight="false" outlineLevel="0" collapsed="false">
      <c r="E17" s="3" t="n">
        <v>173</v>
      </c>
      <c r="F17" s="1" t="s">
        <v>20</v>
      </c>
      <c r="G17" s="4" t="n">
        <v>12</v>
      </c>
      <c r="H17" s="8"/>
      <c r="I17" s="8"/>
      <c r="J17" s="8"/>
      <c r="Y17" s="3"/>
      <c r="AF17" s="7" t="n">
        <f aca="false">AF16/3</f>
        <v>9.08333333333333</v>
      </c>
    </row>
    <row r="18" customFormat="false" ht="14.25" hidden="false" customHeight="false" outlineLevel="0" collapsed="false">
      <c r="G18" s="8" t="s">
        <v>69</v>
      </c>
      <c r="H18" s="8" t="n">
        <v>3</v>
      </c>
      <c r="I18" s="8" t="n">
        <v>16</v>
      </c>
      <c r="J18" s="8"/>
      <c r="N18" s="1" t="n">
        <v>80</v>
      </c>
      <c r="O18" s="1" t="n">
        <f aca="false">S3+I16</f>
        <v>57</v>
      </c>
      <c r="Y18" s="3" t="n">
        <v>180</v>
      </c>
      <c r="Z18" s="1" t="s">
        <v>35</v>
      </c>
      <c r="AA18" s="1" t="s">
        <v>68</v>
      </c>
      <c r="AB18" s="1" t="n">
        <v>2</v>
      </c>
      <c r="AC18" s="1" t="n">
        <v>12</v>
      </c>
    </row>
    <row r="19" customFormat="false" ht="14.25" hidden="false" customHeight="false" outlineLevel="0" collapsed="false">
      <c r="H19" s="3"/>
      <c r="I19" s="3"/>
      <c r="J19" s="3"/>
      <c r="N19" s="1" t="n">
        <f aca="false">81/3</f>
        <v>27</v>
      </c>
      <c r="AF19" s="1" t="n">
        <f aca="false">107*3</f>
        <v>321</v>
      </c>
    </row>
    <row r="20" customFormat="false" ht="14.25" hidden="false" customHeight="false" outlineLevel="0" collapsed="false">
      <c r="G20" s="1" t="n">
        <v>342</v>
      </c>
      <c r="H20" s="8" t="n">
        <v>0</v>
      </c>
      <c r="I20" s="8" t="n">
        <v>3</v>
      </c>
      <c r="J20" s="8"/>
      <c r="AB20" s="3" t="n">
        <f aca="false">SUM(AB13:AB19)</f>
        <v>63</v>
      </c>
      <c r="AC20" s="3" t="n">
        <f aca="false">SUM(AC13:AC19)</f>
        <v>87</v>
      </c>
    </row>
    <row r="21" customFormat="false" ht="14.25" hidden="false" customHeight="false" outlineLevel="0" collapsed="false">
      <c r="H21" s="3"/>
      <c r="I21" s="3"/>
      <c r="J21" s="3"/>
    </row>
    <row r="22" customFormat="false" ht="14.25" hidden="false" customHeight="false" outlineLevel="0" collapsed="false">
      <c r="H22" s="3" t="n">
        <f aca="false">SUM(H16:H20)</f>
        <v>79</v>
      </c>
      <c r="I22" s="3" t="n">
        <f aca="false">SUM(I16:I20)</f>
        <v>58</v>
      </c>
      <c r="J22" s="3"/>
    </row>
    <row r="23" customFormat="false" ht="14.25" hidden="false" customHeight="false" outlineLevel="0" collapsed="false">
      <c r="H23" s="3" t="n">
        <v>81</v>
      </c>
      <c r="I23" s="3" t="n">
        <v>18</v>
      </c>
      <c r="J23" s="3"/>
    </row>
    <row r="24" customFormat="false" ht="14.25" hidden="false" customHeight="false" outlineLevel="0" collapsed="false">
      <c r="H24" s="3"/>
      <c r="I24" s="3"/>
      <c r="J24" s="3"/>
    </row>
    <row r="25" customFormat="false" ht="21" hidden="false" customHeight="false" outlineLevel="0" collapsed="false">
      <c r="A25" s="3" t="s">
        <v>0</v>
      </c>
      <c r="B25" s="3"/>
      <c r="C25" s="4" t="n">
        <v>215</v>
      </c>
      <c r="D25" s="3" t="s">
        <v>1</v>
      </c>
      <c r="E25" s="3" t="s">
        <v>2</v>
      </c>
      <c r="F25" s="3"/>
      <c r="G25" s="3" t="s">
        <v>3</v>
      </c>
      <c r="H25" s="3" t="s">
        <v>4</v>
      </c>
      <c r="I25" s="3" t="s">
        <v>5</v>
      </c>
      <c r="K25" s="3" t="s">
        <v>0</v>
      </c>
      <c r="L25" s="3"/>
      <c r="M25" s="4" t="n">
        <v>216</v>
      </c>
      <c r="N25" s="3" t="s">
        <v>1</v>
      </c>
      <c r="O25" s="3" t="s">
        <v>2</v>
      </c>
      <c r="P25" s="3"/>
      <c r="Q25" s="3" t="s">
        <v>3</v>
      </c>
      <c r="R25" s="3" t="s">
        <v>4</v>
      </c>
      <c r="S25" s="3" t="s">
        <v>5</v>
      </c>
      <c r="V25" s="2"/>
      <c r="X25" s="2"/>
      <c r="AA25" s="2"/>
      <c r="AC25" s="2"/>
    </row>
    <row r="26" customFormat="false" ht="21" hidden="false" customHeight="false" outlineLevel="0" collapsed="false">
      <c r="D26" s="3" t="n">
        <f aca="false">29*20+14</f>
        <v>594</v>
      </c>
      <c r="E26" s="3" t="s">
        <v>8</v>
      </c>
      <c r="F26" s="3"/>
      <c r="G26" s="4" t="n">
        <v>12</v>
      </c>
      <c r="H26" s="4" t="s">
        <v>8</v>
      </c>
      <c r="M26" s="2"/>
      <c r="N26" s="3" t="n">
        <f aca="false">25*20+14</f>
        <v>514</v>
      </c>
      <c r="O26" s="3" t="n">
        <v>373</v>
      </c>
      <c r="P26" s="4"/>
      <c r="Q26" s="1" t="n">
        <v>142</v>
      </c>
      <c r="R26" s="1" t="n">
        <v>0</v>
      </c>
      <c r="S26" s="1" t="n">
        <v>9</v>
      </c>
      <c r="V26" s="3" t="n">
        <v>100</v>
      </c>
      <c r="W26" s="10" t="n">
        <v>101</v>
      </c>
      <c r="X26" s="10" t="n">
        <v>102</v>
      </c>
      <c r="Y26" s="3" t="n">
        <v>215</v>
      </c>
      <c r="Z26" s="3" t="n">
        <v>216</v>
      </c>
      <c r="AA26" s="2"/>
    </row>
    <row r="27" customFormat="false" ht="14.25" hidden="false" customHeight="false" outlineLevel="0" collapsed="false">
      <c r="A27" s="1" t="s">
        <v>14</v>
      </c>
      <c r="B27" s="1" t="s">
        <v>70</v>
      </c>
      <c r="C27" s="1" t="n">
        <f aca="false">35/297</f>
        <v>0.117845117845118</v>
      </c>
      <c r="D27" s="2" t="n">
        <f aca="false">D$26*C27</f>
        <v>70</v>
      </c>
      <c r="E27" s="1" t="n">
        <v>371</v>
      </c>
      <c r="F27" s="1" t="s">
        <v>71</v>
      </c>
      <c r="G27" s="1" t="n">
        <v>3</v>
      </c>
      <c r="H27" s="9" t="n">
        <v>8</v>
      </c>
      <c r="I27" s="1" t="n">
        <v>0</v>
      </c>
      <c r="K27" s="1" t="s">
        <v>14</v>
      </c>
      <c r="L27" s="2" t="s">
        <v>72</v>
      </c>
      <c r="M27" s="2" t="n">
        <f aca="false">8/735</f>
        <v>0.0108843537414966</v>
      </c>
      <c r="N27" s="2" t="n">
        <f aca="false">N$26*M27</f>
        <v>5.59455782312925</v>
      </c>
      <c r="Q27" s="1" t="n">
        <v>247</v>
      </c>
      <c r="R27" s="1" t="n">
        <v>1</v>
      </c>
      <c r="S27" s="1" t="n">
        <v>16</v>
      </c>
      <c r="U27" s="1" t="s">
        <v>73</v>
      </c>
      <c r="V27" s="1" t="n">
        <f aca="false">D7/3</f>
        <v>293.75</v>
      </c>
      <c r="W27" s="2" t="n">
        <f aca="false">92/2</f>
        <v>46</v>
      </c>
      <c r="X27" s="2" t="n">
        <f aca="false">358/2</f>
        <v>179</v>
      </c>
      <c r="Y27" s="1" t="n">
        <f aca="false">210/4</f>
        <v>52.5</v>
      </c>
      <c r="Z27" s="2" t="n">
        <f aca="false">85.67/2</f>
        <v>42.835</v>
      </c>
      <c r="AA27" s="7" t="n">
        <f aca="false">SUM(V27:Z27)</f>
        <v>614.085</v>
      </c>
      <c r="AB27" s="2" t="n">
        <f aca="false">AA27+AB28</f>
        <v>818.78</v>
      </c>
      <c r="AC27" s="1" t="n">
        <f aca="false">160*5</f>
        <v>800</v>
      </c>
      <c r="AE27" s="1" t="n">
        <f aca="false">851-818</f>
        <v>33</v>
      </c>
    </row>
    <row r="28" customFormat="false" ht="14.25" hidden="false" customHeight="false" outlineLevel="0" collapsed="false">
      <c r="A28" s="1" t="s">
        <v>20</v>
      </c>
      <c r="B28" s="1" t="s">
        <v>74</v>
      </c>
      <c r="C28" s="1" t="n">
        <f aca="false">122/297</f>
        <v>0.410774410774411</v>
      </c>
      <c r="D28" s="2" t="n">
        <f aca="false">D$26*C28</f>
        <v>244</v>
      </c>
      <c r="G28" s="1" t="s">
        <v>75</v>
      </c>
      <c r="H28" s="1" t="n">
        <v>4</v>
      </c>
      <c r="I28" s="1" t="n">
        <v>4</v>
      </c>
      <c r="K28" s="1" t="s">
        <v>76</v>
      </c>
      <c r="L28" s="2" t="s">
        <v>77</v>
      </c>
      <c r="M28" s="2" t="n">
        <v>0.0036281179138322</v>
      </c>
      <c r="N28" s="2" t="n">
        <f aca="false">N$26*M28</f>
        <v>1.86485260770975</v>
      </c>
      <c r="Q28" s="1" t="n">
        <v>343</v>
      </c>
      <c r="R28" s="1" t="n">
        <v>0</v>
      </c>
      <c r="S28" s="1" t="n">
        <v>5</v>
      </c>
      <c r="U28" s="1" t="s">
        <v>33</v>
      </c>
      <c r="V28" s="1" t="n">
        <v>293.75</v>
      </c>
      <c r="W28" s="2" t="n">
        <f aca="false">92/2</f>
        <v>46</v>
      </c>
      <c r="X28" s="2" t="n">
        <f aca="false">358/2</f>
        <v>179</v>
      </c>
      <c r="Y28" s="1" t="n">
        <f aca="false">210/4</f>
        <v>52.5</v>
      </c>
      <c r="Z28" s="2" t="n">
        <f aca="false">85.67/2</f>
        <v>42.835</v>
      </c>
      <c r="AA28" s="7" t="n">
        <f aca="false">SUM(V28:Z28)</f>
        <v>614.085</v>
      </c>
      <c r="AB28" s="1" t="n">
        <f aca="false">AA28/3</f>
        <v>204.695</v>
      </c>
      <c r="AC28" s="1" t="n">
        <f aca="false">AB28/20</f>
        <v>10.23475</v>
      </c>
    </row>
    <row r="29" customFormat="false" ht="21" hidden="false" customHeight="false" outlineLevel="0" collapsed="false">
      <c r="A29" s="1" t="s">
        <v>26</v>
      </c>
      <c r="B29" s="1" t="s">
        <v>78</v>
      </c>
      <c r="C29" s="1" t="n">
        <f aca="false">23/297</f>
        <v>0.0774410774410774</v>
      </c>
      <c r="D29" s="2" t="n">
        <f aca="false">D$26*C29</f>
        <v>46</v>
      </c>
      <c r="H29" s="1" t="s">
        <v>8</v>
      </c>
      <c r="K29" s="1" t="s">
        <v>57</v>
      </c>
      <c r="L29" s="2" t="s">
        <v>79</v>
      </c>
      <c r="M29" s="2" t="n">
        <f aca="false">1/6</f>
        <v>0.166666666666667</v>
      </c>
      <c r="N29" s="2" t="n">
        <f aca="false">N$26*M29</f>
        <v>85.6666666666667</v>
      </c>
      <c r="O29" s="3" t="n">
        <v>374</v>
      </c>
      <c r="P29" s="1" t="s">
        <v>13</v>
      </c>
      <c r="Q29" s="4" t="n">
        <v>10</v>
      </c>
      <c r="U29" s="1" t="s">
        <v>19</v>
      </c>
      <c r="V29" s="1" t="n">
        <v>293.75</v>
      </c>
      <c r="W29" s="2" t="n">
        <f aca="false">149/2</f>
        <v>74.5</v>
      </c>
      <c r="X29" s="2" t="n">
        <v>283</v>
      </c>
      <c r="Y29" s="1" t="n">
        <f aca="false">210/4</f>
        <v>52.5</v>
      </c>
      <c r="Z29" s="11" t="n">
        <f aca="false">171.22/2</f>
        <v>85.61</v>
      </c>
      <c r="AA29" s="7" t="n">
        <f aca="false">SUM(V29:Z29)</f>
        <v>789.36</v>
      </c>
    </row>
    <row r="30" customFormat="false" ht="21" hidden="false" customHeight="false" outlineLevel="0" collapsed="false">
      <c r="A30" s="1" t="s">
        <v>35</v>
      </c>
      <c r="B30" s="1" t="s">
        <v>80</v>
      </c>
      <c r="C30" s="1" t="n">
        <f aca="false">4/99</f>
        <v>0.0404040404040404</v>
      </c>
      <c r="D30" s="2" t="n">
        <f aca="false">D$26*C30</f>
        <v>24</v>
      </c>
      <c r="E30" s="1" t="n">
        <v>372</v>
      </c>
      <c r="F30" s="1" t="s">
        <v>81</v>
      </c>
      <c r="G30" s="4" t="n">
        <v>11</v>
      </c>
      <c r="H30" s="1" t="s">
        <v>8</v>
      </c>
      <c r="K30" s="1" t="s">
        <v>82</v>
      </c>
      <c r="L30" s="2" t="s">
        <v>79</v>
      </c>
      <c r="M30" s="2" t="n">
        <f aca="false">1/6</f>
        <v>0.166666666666667</v>
      </c>
      <c r="N30" s="2" t="n">
        <f aca="false">N$26*M30</f>
        <v>85.6666666666667</v>
      </c>
      <c r="Q30" s="1" t="n">
        <v>23</v>
      </c>
      <c r="R30" s="1" t="n">
        <v>7</v>
      </c>
      <c r="S30" s="1" t="n">
        <v>11</v>
      </c>
      <c r="U30" s="1" t="s">
        <v>83</v>
      </c>
      <c r="V30" s="2" t="n">
        <f aca="false">D8</f>
        <v>173.75</v>
      </c>
      <c r="W30" s="2" t="n">
        <f aca="false">149/2</f>
        <v>74.5</v>
      </c>
      <c r="X30" s="2" t="n">
        <v>290</v>
      </c>
      <c r="Y30" s="1" t="n">
        <f aca="false">210/4</f>
        <v>52.5</v>
      </c>
      <c r="Z30" s="11" t="n">
        <f aca="false">171.22/2</f>
        <v>85.61</v>
      </c>
      <c r="AA30" s="7" t="n">
        <f aca="false">SUM(V30:Z30)</f>
        <v>676.36</v>
      </c>
    </row>
    <row r="31" customFormat="false" ht="14.25" hidden="false" customHeight="false" outlineLevel="0" collapsed="false">
      <c r="A31" s="1" t="s">
        <v>84</v>
      </c>
      <c r="B31" s="1" t="s">
        <v>85</v>
      </c>
      <c r="C31" s="1" t="n">
        <f aca="false">35/99</f>
        <v>0.353535353535354</v>
      </c>
      <c r="D31" s="2" t="n">
        <f aca="false">D$26*C31</f>
        <v>210</v>
      </c>
      <c r="G31" s="1" t="n">
        <v>5</v>
      </c>
      <c r="H31" s="1" t="n">
        <v>1</v>
      </c>
      <c r="I31" s="1" t="n">
        <v>12</v>
      </c>
      <c r="K31" s="1" t="s">
        <v>86</v>
      </c>
      <c r="L31" s="2" t="s">
        <v>87</v>
      </c>
      <c r="M31" s="2" t="n">
        <f aca="false">32/441</f>
        <v>0.072562358276644</v>
      </c>
      <c r="N31" s="2" t="n">
        <f aca="false">N$26*M31</f>
        <v>37.297052154195</v>
      </c>
      <c r="O31" s="3" t="n">
        <v>375</v>
      </c>
      <c r="P31" s="1" t="s">
        <v>11</v>
      </c>
      <c r="Q31" s="1" t="s">
        <v>88</v>
      </c>
      <c r="R31" s="1" t="n">
        <v>3</v>
      </c>
      <c r="S31" s="1" t="n">
        <v>18</v>
      </c>
      <c r="U31" s="1" t="s">
        <v>89</v>
      </c>
      <c r="X31" s="2"/>
      <c r="Z31" s="1" t="n">
        <v>85.67</v>
      </c>
      <c r="AA31" s="7" t="n">
        <f aca="false">SUM(V31:Z31)</f>
        <v>85.67</v>
      </c>
    </row>
    <row r="32" customFormat="false" ht="21" hidden="false" customHeight="false" outlineLevel="0" collapsed="false">
      <c r="D32" s="2" t="n">
        <f aca="false">D$2*C32</f>
        <v>0</v>
      </c>
      <c r="G32" s="4" t="n">
        <v>12</v>
      </c>
      <c r="K32" s="1" t="s">
        <v>37</v>
      </c>
      <c r="L32" s="2" t="s">
        <v>79</v>
      </c>
      <c r="M32" s="2" t="n">
        <f aca="false">1/6</f>
        <v>0.166666666666667</v>
      </c>
      <c r="N32" s="2" t="n">
        <f aca="false">N$26*M32</f>
        <v>85.6666666666667</v>
      </c>
      <c r="Q32" s="1" t="s">
        <v>90</v>
      </c>
      <c r="R32" s="1" t="n">
        <v>4</v>
      </c>
      <c r="S32" s="1" t="n">
        <v>4</v>
      </c>
      <c r="U32" s="1" t="s">
        <v>91</v>
      </c>
      <c r="X32" s="2"/>
      <c r="Z32" s="1" t="n">
        <v>85.67</v>
      </c>
      <c r="AA32" s="7" t="n">
        <f aca="false">SUM(V32:Z32)</f>
        <v>85.67</v>
      </c>
      <c r="AB32" s="7" t="n">
        <f aca="false">SUM(AA27:AA32)</f>
        <v>2865.23</v>
      </c>
    </row>
    <row r="33" customFormat="false" ht="14.25" hidden="false" customHeight="false" outlineLevel="0" collapsed="false">
      <c r="D33" s="2" t="n">
        <f aca="false">D$2*C33</f>
        <v>0</v>
      </c>
      <c r="G33" s="1" t="n">
        <v>1</v>
      </c>
      <c r="H33" s="1" t="n">
        <v>7</v>
      </c>
      <c r="I33" s="1" t="n">
        <v>18</v>
      </c>
      <c r="K33" s="1" t="s">
        <v>92</v>
      </c>
      <c r="L33" s="2" t="s">
        <v>93</v>
      </c>
      <c r="M33" s="2" t="n">
        <f aca="false">1469/4410</f>
        <v>0.333106575963719</v>
      </c>
      <c r="N33" s="2" t="n">
        <f aca="false">N$26*M33</f>
        <v>171.216780045352</v>
      </c>
      <c r="Q33" s="1" t="n">
        <v>22</v>
      </c>
      <c r="R33" s="1" t="n">
        <v>7</v>
      </c>
      <c r="S33" s="1" t="n">
        <v>11</v>
      </c>
      <c r="X33" s="2"/>
      <c r="AA33" s="2"/>
    </row>
    <row r="34" customFormat="false" ht="14.25" hidden="false" customHeight="false" outlineLevel="0" collapsed="false">
      <c r="D34" s="2" t="n">
        <f aca="false">D$2*C34</f>
        <v>0</v>
      </c>
      <c r="G34" s="11" t="n">
        <v>2</v>
      </c>
      <c r="H34" s="1" t="n">
        <v>8</v>
      </c>
      <c r="I34" s="1" t="n">
        <v>0</v>
      </c>
      <c r="K34" s="1" t="s">
        <v>44</v>
      </c>
      <c r="L34" s="2" t="s">
        <v>87</v>
      </c>
      <c r="M34" s="2" t="n">
        <f aca="false">32/441</f>
        <v>0.072562358276644</v>
      </c>
      <c r="N34" s="2" t="n">
        <f aca="false">N$26*M34</f>
        <v>37.297052154195</v>
      </c>
      <c r="R34" s="3" t="n">
        <f aca="false">SUM(R26:R33)</f>
        <v>22</v>
      </c>
      <c r="S34" s="3" t="n">
        <f aca="false">SUM(S26:S33)</f>
        <v>74</v>
      </c>
      <c r="X34" s="2"/>
    </row>
    <row r="35" customFormat="false" ht="14.25" hidden="false" customHeight="false" outlineLevel="0" collapsed="false">
      <c r="D35" s="2" t="n">
        <f aca="false">D$2*C35</f>
        <v>0</v>
      </c>
      <c r="K35" s="1" t="s">
        <v>35</v>
      </c>
      <c r="L35" s="2" t="s">
        <v>94</v>
      </c>
      <c r="M35" s="2" t="n">
        <f aca="false">16/2205</f>
        <v>0.0072562358276644</v>
      </c>
      <c r="N35" s="2" t="n">
        <f aca="false">N$26*M35</f>
        <v>3.7297052154195</v>
      </c>
      <c r="R35" s="1" t="n">
        <v>25</v>
      </c>
      <c r="S35" s="1" t="n">
        <v>14</v>
      </c>
      <c r="X35" s="2"/>
    </row>
    <row r="36" customFormat="false" ht="14.25" hidden="false" customHeight="false" outlineLevel="0" collapsed="false">
      <c r="D36" s="2" t="n">
        <f aca="false">D$2*C36</f>
        <v>0</v>
      </c>
      <c r="H36" s="3" t="n">
        <f aca="false">SUM(H27:H34)</f>
        <v>28</v>
      </c>
      <c r="I36" s="3" t="n">
        <f aca="false">SUM(I27:I34)</f>
        <v>34</v>
      </c>
      <c r="L36" s="2"/>
      <c r="M36" s="2"/>
      <c r="N36" s="2"/>
      <c r="R36" s="2"/>
      <c r="S36" s="2"/>
      <c r="V36" s="7" t="n">
        <f aca="false">SUM(V27:V35)</f>
        <v>1055</v>
      </c>
      <c r="W36" s="7" t="n">
        <f aca="false">SUM(W27:W35)</f>
        <v>241</v>
      </c>
      <c r="X36" s="7" t="n">
        <f aca="false">SUM(X27:X35)</f>
        <v>931</v>
      </c>
      <c r="Y36" s="7" t="n">
        <f aca="false">SUM(Y27:Y35)</f>
        <v>210</v>
      </c>
      <c r="Z36" s="7" t="n">
        <f aca="false">SUM(Z27:Z35)</f>
        <v>428.23</v>
      </c>
      <c r="AA36" s="7" t="n">
        <f aca="false">SUM(V36:Z36)</f>
        <v>2865.23</v>
      </c>
    </row>
    <row r="37" customFormat="false" ht="13.8" hidden="false" customHeight="false" outlineLevel="0" collapsed="false">
      <c r="D37" s="2" t="n">
        <f aca="false">D$2*C37</f>
        <v>0</v>
      </c>
      <c r="H37" s="3" t="n">
        <v>29</v>
      </c>
      <c r="I37" s="3" t="n">
        <v>14</v>
      </c>
      <c r="M37" s="2"/>
      <c r="N37" s="2"/>
      <c r="O37" s="2"/>
      <c r="X37" s="7"/>
      <c r="AA37" s="2" t="n">
        <f aca="false">AA36/20</f>
        <v>143.2615</v>
      </c>
    </row>
    <row r="38" customFormat="false" ht="13.8" hidden="false" customHeight="false" outlineLevel="0" collapsed="false">
      <c r="C38" s="7" t="n">
        <f aca="false">SUM(C27:C37)</f>
        <v>1</v>
      </c>
      <c r="D38" s="7" t="n">
        <f aca="false">SUM(D27:D37)</f>
        <v>594</v>
      </c>
      <c r="E38" s="1" t="n">
        <f aca="false">D38/20</f>
        <v>29.7</v>
      </c>
      <c r="M38" s="2"/>
      <c r="N38" s="2"/>
      <c r="O38" s="2"/>
      <c r="P38" s="1" t="n">
        <f aca="false">O38/20</f>
        <v>0</v>
      </c>
      <c r="U38" s="3"/>
      <c r="V38" s="3"/>
      <c r="W38" s="6"/>
      <c r="AA38" s="2" t="n">
        <f aca="false">AA37/8</f>
        <v>17.9076875</v>
      </c>
    </row>
    <row r="39" customFormat="false" ht="21" hidden="false" customHeight="false" outlineLevel="0" collapsed="false">
      <c r="N39" s="7"/>
      <c r="O39" s="7"/>
      <c r="X39" s="3"/>
      <c r="Y39" s="3"/>
      <c r="Z39" s="4"/>
    </row>
    <row r="40" customFormat="false" ht="14.25" hidden="false" customHeight="false" outlineLevel="0" collapsed="false">
      <c r="B40" s="3" t="n">
        <v>100</v>
      </c>
      <c r="C40" s="10" t="n">
        <v>101</v>
      </c>
      <c r="D40" s="10" t="n">
        <v>102</v>
      </c>
      <c r="E40" s="3" t="n">
        <v>215</v>
      </c>
      <c r="F40" s="3"/>
      <c r="G40" s="3" t="n">
        <v>216</v>
      </c>
      <c r="H40" s="2"/>
      <c r="N40" s="2"/>
      <c r="S40" s="9"/>
      <c r="T40" s="9"/>
      <c r="X40" s="2"/>
      <c r="AA40" s="2" t="s">
        <v>8</v>
      </c>
    </row>
    <row r="41" customFormat="false" ht="21" hidden="false" customHeight="false" outlineLevel="0" collapsed="false">
      <c r="A41" s="1" t="s">
        <v>73</v>
      </c>
      <c r="B41" s="1" t="n">
        <v>293.75</v>
      </c>
      <c r="C41" s="2" t="n">
        <f aca="false">92/2</f>
        <v>46</v>
      </c>
      <c r="D41" s="2" t="n">
        <f aca="false">358/2</f>
        <v>179</v>
      </c>
      <c r="E41" s="1" t="n">
        <f aca="false">210/4</f>
        <v>52.5</v>
      </c>
      <c r="G41" s="2" t="n">
        <f aca="false">85.67/2</f>
        <v>42.835</v>
      </c>
      <c r="H41" s="7" t="n">
        <f aca="false">SUM(B41:G41)+204.7</f>
        <v>818.785</v>
      </c>
      <c r="I41" s="2"/>
      <c r="J41" s="2"/>
      <c r="K41" s="1" t="n">
        <f aca="false">H41/20</f>
        <v>40.93925</v>
      </c>
      <c r="N41" s="2"/>
      <c r="R41" s="9"/>
      <c r="S41" s="9"/>
      <c r="T41" s="9"/>
      <c r="X41" s="2"/>
      <c r="Z41" s="4"/>
      <c r="AA41" s="2" t="s">
        <v>8</v>
      </c>
    </row>
    <row r="42" customFormat="false" ht="14.25" hidden="false" customHeight="false" outlineLevel="0" collapsed="false">
      <c r="A42" s="1" t="s">
        <v>33</v>
      </c>
      <c r="B42" s="12" t="n">
        <v>293.75</v>
      </c>
      <c r="C42" s="13" t="n">
        <f aca="false">92/2</f>
        <v>46</v>
      </c>
      <c r="D42" s="2" t="n">
        <f aca="false">358/2</f>
        <v>179</v>
      </c>
      <c r="E42" s="12" t="n">
        <f aca="false">210/4</f>
        <v>52.5</v>
      </c>
      <c r="F42" s="12"/>
      <c r="G42" s="13" t="n">
        <f aca="false">85.67/2</f>
        <v>42.835</v>
      </c>
      <c r="H42" s="6" t="n">
        <f aca="false">SUM(B42:G42)</f>
        <v>614.085</v>
      </c>
      <c r="I42" s="2"/>
      <c r="J42" s="2"/>
      <c r="K42" s="1" t="n">
        <f aca="false">H42/3</f>
        <v>204.695</v>
      </c>
      <c r="N42" s="2"/>
      <c r="R42" s="9"/>
      <c r="S42" s="9"/>
      <c r="T42" s="9"/>
      <c r="X42" s="2"/>
      <c r="AA42" s="2" t="n">
        <v>5.12</v>
      </c>
    </row>
    <row r="43" customFormat="false" ht="14.25" hidden="false" customHeight="false" outlineLevel="0" collapsed="false">
      <c r="A43" s="1" t="s">
        <v>19</v>
      </c>
      <c r="B43" s="1" t="n">
        <v>293.75</v>
      </c>
      <c r="C43" s="2" t="n">
        <f aca="false">149/2</f>
        <v>74.5</v>
      </c>
      <c r="D43" s="2" t="n">
        <f aca="false">283/3</f>
        <v>94.3333333333333</v>
      </c>
      <c r="E43" s="1" t="n">
        <f aca="false">210/4</f>
        <v>52.5</v>
      </c>
      <c r="G43" s="11" t="n">
        <f aca="false">171.22/2</f>
        <v>85.61</v>
      </c>
      <c r="H43" s="7" t="n">
        <f aca="false">SUM(B43:G43)+204.7</f>
        <v>805.393333333333</v>
      </c>
      <c r="I43" s="2"/>
      <c r="J43" s="2"/>
      <c r="L43" s="2" t="n">
        <f aca="false">H43+H45+H46</f>
        <v>976.733333333333</v>
      </c>
      <c r="N43" s="2"/>
      <c r="R43" s="9"/>
      <c r="S43" s="9"/>
      <c r="T43" s="9"/>
      <c r="X43" s="2"/>
      <c r="AA43" s="2"/>
    </row>
    <row r="44" customFormat="false" ht="21" hidden="false" customHeight="false" outlineLevel="0" collapsed="false">
      <c r="A44" s="1" t="s">
        <v>83</v>
      </c>
      <c r="B44" s="2" t="n">
        <v>173.75</v>
      </c>
      <c r="C44" s="2" t="n">
        <f aca="false">149/2</f>
        <v>74.5</v>
      </c>
      <c r="D44" s="2" t="n">
        <v>290</v>
      </c>
      <c r="E44" s="1" t="n">
        <f aca="false">210/4</f>
        <v>52.5</v>
      </c>
      <c r="G44" s="11" t="n">
        <f aca="false">171.22/2</f>
        <v>85.61</v>
      </c>
      <c r="H44" s="7" t="n">
        <f aca="false">SUM(B44:G44)+204.7</f>
        <v>881.06</v>
      </c>
      <c r="I44" s="2"/>
      <c r="J44" s="2"/>
      <c r="L44" s="1" t="n">
        <f aca="false">L43/20</f>
        <v>48.8366666666667</v>
      </c>
      <c r="N44" s="2"/>
      <c r="Q44" s="4"/>
      <c r="R44" s="9"/>
      <c r="S44" s="9"/>
      <c r="T44" s="9"/>
      <c r="X44" s="2"/>
      <c r="Z44" s="4"/>
      <c r="AA44" s="2"/>
    </row>
    <row r="45" customFormat="false" ht="14.25" hidden="false" customHeight="false" outlineLevel="0" collapsed="false">
      <c r="A45" s="1" t="s">
        <v>89</v>
      </c>
      <c r="C45" s="2"/>
      <c r="D45" s="2"/>
      <c r="G45" s="1" t="n">
        <v>85.67</v>
      </c>
      <c r="H45" s="7" t="n">
        <f aca="false">SUM(B45:G45)</f>
        <v>85.67</v>
      </c>
      <c r="I45" s="2"/>
      <c r="J45" s="2"/>
      <c r="N45" s="2"/>
      <c r="R45" s="9"/>
      <c r="S45" s="9"/>
      <c r="T45" s="9"/>
      <c r="X45" s="2"/>
      <c r="AA45" s="2"/>
    </row>
    <row r="46" customFormat="false" ht="14.25" hidden="false" customHeight="false" outlineLevel="0" collapsed="false">
      <c r="A46" s="1" t="s">
        <v>91</v>
      </c>
      <c r="C46" s="2"/>
      <c r="D46" s="2"/>
      <c r="G46" s="1" t="n">
        <v>85.67</v>
      </c>
      <c r="H46" s="7" t="n">
        <f aca="false">SUM(B46:G46)</f>
        <v>85.67</v>
      </c>
      <c r="I46" s="2"/>
      <c r="J46" s="2"/>
      <c r="K46" s="2" t="n">
        <f aca="false">SUM(H41:H46)-H42</f>
        <v>2676.57833333333</v>
      </c>
      <c r="N46" s="2"/>
      <c r="R46" s="9"/>
      <c r="S46" s="9"/>
      <c r="T46" s="9"/>
      <c r="X46" s="2"/>
      <c r="AA46" s="2"/>
    </row>
    <row r="47" customFormat="false" ht="14.25" hidden="false" customHeight="false" outlineLevel="0" collapsed="false">
      <c r="C47" s="2"/>
      <c r="D47" s="2"/>
      <c r="H47" s="2"/>
      <c r="I47" s="7"/>
      <c r="J47" s="7"/>
      <c r="N47" s="2"/>
      <c r="R47" s="7"/>
      <c r="S47" s="7"/>
      <c r="T47" s="7"/>
      <c r="X47" s="2"/>
      <c r="AA47" s="7" t="n">
        <f aca="false">SUM(AA40:AA46)</f>
        <v>5.12</v>
      </c>
    </row>
    <row r="48" customFormat="false" ht="14.25" hidden="false" customHeight="false" outlineLevel="0" collapsed="false">
      <c r="C48" s="2"/>
      <c r="D48" s="2"/>
      <c r="I48" s="2"/>
      <c r="J48" s="2"/>
      <c r="N48" s="2"/>
      <c r="R48" s="2"/>
      <c r="X48" s="2"/>
      <c r="AA48" s="2" t="n">
        <f aca="false">12</f>
        <v>12</v>
      </c>
    </row>
    <row r="49" customFormat="false" ht="14.25" hidden="false" customHeight="false" outlineLevel="0" collapsed="false">
      <c r="C49" s="2"/>
      <c r="D49" s="2"/>
      <c r="N49" s="2"/>
      <c r="X49" s="2"/>
    </row>
    <row r="50" customFormat="false" ht="14.25" hidden="false" customHeight="false" outlineLevel="0" collapsed="false">
      <c r="B50" s="7" t="n">
        <f aca="false">SUM(B41:B49)</f>
        <v>1055</v>
      </c>
      <c r="C50" s="7" t="n">
        <f aca="false">SUM(C41:C49)</f>
        <v>241</v>
      </c>
      <c r="D50" s="7" t="n">
        <f aca="false">SUM(D41:D49)</f>
        <v>742.333333333333</v>
      </c>
      <c r="E50" s="7" t="n">
        <f aca="false">SUM(E41:E49)</f>
        <v>210</v>
      </c>
      <c r="F50" s="7"/>
      <c r="G50" s="7" t="n">
        <f aca="false">SUM(G41:G49)</f>
        <v>428.23</v>
      </c>
      <c r="H50" s="7" t="n">
        <f aca="false">SUM(B50:G50)</f>
        <v>2676.56333333333</v>
      </c>
      <c r="N50" s="2"/>
      <c r="X50" s="2"/>
    </row>
    <row r="51" customFormat="false" ht="14.25" hidden="false" customHeight="false" outlineLevel="0" collapsed="false">
      <c r="C51" s="2"/>
      <c r="D51" s="7"/>
      <c r="H51" s="1" t="n">
        <f aca="false">H50/20</f>
        <v>133.828166666667</v>
      </c>
      <c r="N51" s="2"/>
      <c r="X51" s="2"/>
    </row>
    <row r="52" customFormat="false" ht="14.25" hidden="false" customHeight="false" outlineLevel="0" collapsed="false">
      <c r="A52" s="3"/>
      <c r="B52" s="3"/>
      <c r="C52" s="6"/>
      <c r="H52" s="1" t="n">
        <f aca="false">H51/8</f>
        <v>16.7285208333333</v>
      </c>
      <c r="N52" s="7"/>
      <c r="X5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5.44"/>
    <col collapsed="false" customWidth="true" hidden="false" outlineLevel="0" max="6" min="6" style="1" width="8"/>
    <col collapsed="false" customWidth="true" hidden="false" outlineLevel="0" max="7" min="7" style="1" width="5.44"/>
    <col collapsed="false" customWidth="true" hidden="false" outlineLevel="0" max="8" min="8" style="1" width="26.11"/>
    <col collapsed="false" customWidth="true" hidden="false" outlineLevel="0" max="16" min="15" style="1" width="11.33"/>
    <col collapsed="false" customWidth="true" hidden="false" outlineLevel="0" max="20" min="20" style="1" width="10"/>
    <col collapsed="false" customWidth="true" hidden="false" outlineLevel="0" max="21" min="21" style="1" width="7.11"/>
    <col collapsed="false" customWidth="true" hidden="false" outlineLevel="0" max="22" min="22" style="1" width="4.79"/>
    <col collapsed="false" customWidth="true" hidden="false" outlineLevel="0" max="23" min="23" style="1" width="15.56"/>
    <col collapsed="false" customWidth="true" hidden="false" outlineLevel="0" max="24" min="24" style="1" width="17.11"/>
    <col collapsed="false" customWidth="true" hidden="false" outlineLevel="0" max="28" min="28" style="1" width="7.11"/>
    <col collapsed="false" customWidth="true" hidden="false" outlineLevel="0" max="29" min="29" style="1" width="17.67"/>
    <col collapsed="false" customWidth="true" hidden="false" outlineLevel="0" max="31" min="31" style="1" width="6.67"/>
    <col collapsed="false" customWidth="true" hidden="false" outlineLevel="0" max="32" min="32" style="1" width="13.44"/>
    <col collapsed="false" customWidth="true" hidden="false" outlineLevel="0" max="34" min="34" style="2" width="8.88"/>
  </cols>
  <sheetData>
    <row r="1" s="21" customFormat="true" ht="21" hidden="false" customHeight="false" outlineLevel="0" collapsed="false">
      <c r="A1" s="14"/>
      <c r="B1" s="14"/>
      <c r="C1" s="15" t="s">
        <v>95</v>
      </c>
      <c r="D1" s="14"/>
      <c r="E1" s="14"/>
      <c r="F1" s="14"/>
      <c r="G1" s="14"/>
      <c r="H1" s="16"/>
      <c r="I1" s="17" t="s">
        <v>96</v>
      </c>
      <c r="J1" s="16"/>
      <c r="K1" s="16"/>
      <c r="L1" s="16"/>
      <c r="M1" s="16"/>
      <c r="N1" s="16"/>
      <c r="O1" s="18"/>
      <c r="P1" s="18"/>
      <c r="Q1" s="18"/>
      <c r="R1" s="18"/>
      <c r="S1" s="19" t="s">
        <v>97</v>
      </c>
      <c r="T1" s="18"/>
      <c r="U1" s="18"/>
      <c r="V1" s="18"/>
      <c r="W1" s="20"/>
      <c r="X1" s="20"/>
      <c r="Y1" s="20"/>
      <c r="Z1" s="20"/>
      <c r="AA1" s="20"/>
      <c r="AB1" s="20"/>
      <c r="AF1" s="22"/>
      <c r="AG1" s="22"/>
      <c r="AH1" s="23"/>
      <c r="AI1" s="22"/>
      <c r="AJ1" s="22"/>
      <c r="AK1" s="22"/>
    </row>
    <row r="2" customFormat="false" ht="23.25" hidden="false" customHeight="false" outlineLevel="0" collapsed="false">
      <c r="A2" s="24"/>
      <c r="B2" s="24"/>
      <c r="C2" s="24"/>
      <c r="D2" s="24"/>
      <c r="E2" s="25" t="n">
        <v>77</v>
      </c>
      <c r="F2" s="24"/>
      <c r="G2" s="24"/>
      <c r="H2" s="26"/>
      <c r="I2" s="26"/>
      <c r="J2" s="26"/>
      <c r="K2" s="26"/>
      <c r="L2" s="27" t="n">
        <v>77</v>
      </c>
      <c r="M2" s="26"/>
      <c r="N2" s="26"/>
      <c r="O2" s="28" t="s">
        <v>0</v>
      </c>
      <c r="P2" s="28"/>
      <c r="Q2" s="29" t="n">
        <v>483</v>
      </c>
      <c r="R2" s="30"/>
      <c r="S2" s="30"/>
      <c r="T2" s="30"/>
      <c r="U2" s="30"/>
      <c r="V2" s="30"/>
      <c r="W2" s="31" t="s">
        <v>0</v>
      </c>
      <c r="X2" s="31"/>
      <c r="Y2" s="32" t="n">
        <v>482</v>
      </c>
      <c r="Z2" s="33"/>
      <c r="AA2" s="33"/>
      <c r="AB2" s="33"/>
      <c r="AC2" s="3" t="s">
        <v>98</v>
      </c>
      <c r="AF2" s="34" t="s">
        <v>0</v>
      </c>
      <c r="AG2" s="34"/>
      <c r="AH2" s="29" t="n">
        <v>484</v>
      </c>
      <c r="AI2" s="35"/>
      <c r="AJ2" s="35"/>
      <c r="AK2" s="35"/>
    </row>
    <row r="3" customFormat="false" ht="21" hidden="false" customHeight="false" outlineLevel="0" collapsed="false">
      <c r="A3" s="36" t="s">
        <v>0</v>
      </c>
      <c r="B3" s="36"/>
      <c r="C3" s="29" t="n">
        <v>339</v>
      </c>
      <c r="D3" s="36" t="n">
        <v>1385</v>
      </c>
      <c r="E3" s="24" t="s">
        <v>99</v>
      </c>
      <c r="F3" s="24" t="n">
        <v>5</v>
      </c>
      <c r="G3" s="24" t="n">
        <v>0</v>
      </c>
      <c r="H3" s="37" t="s">
        <v>0</v>
      </c>
      <c r="I3" s="37"/>
      <c r="J3" s="29" t="n">
        <v>402</v>
      </c>
      <c r="K3" s="37" t="n">
        <v>1385</v>
      </c>
      <c r="L3" s="26" t="s">
        <v>99</v>
      </c>
      <c r="M3" s="26" t="n">
        <v>5</v>
      </c>
      <c r="N3" s="26" t="n">
        <v>0</v>
      </c>
      <c r="O3" s="30"/>
      <c r="P3" s="30"/>
      <c r="Q3" s="30"/>
      <c r="R3" s="28" t="n">
        <v>640</v>
      </c>
      <c r="S3" s="19" t="n">
        <f aca="false">129</f>
        <v>129</v>
      </c>
      <c r="T3" s="30"/>
      <c r="U3" s="30"/>
      <c r="V3" s="30"/>
      <c r="W3" s="33"/>
      <c r="X3" s="33"/>
      <c r="Y3" s="33"/>
      <c r="Z3" s="31" t="n">
        <v>278</v>
      </c>
      <c r="AA3" s="38" t="n">
        <v>77</v>
      </c>
      <c r="AB3" s="33"/>
      <c r="AF3" s="35"/>
      <c r="AG3" s="35"/>
      <c r="AH3" s="39"/>
      <c r="AI3" s="34" t="n">
        <v>23</v>
      </c>
      <c r="AJ3" s="40" t="n">
        <v>78</v>
      </c>
      <c r="AK3" s="35"/>
    </row>
    <row r="4" customFormat="false" ht="14.25" hidden="false" customHeight="false" outlineLevel="0" collapsed="false">
      <c r="A4" s="24"/>
      <c r="B4" s="24"/>
      <c r="C4" s="24"/>
      <c r="D4" s="36"/>
      <c r="E4" s="24" t="s">
        <v>100</v>
      </c>
      <c r="F4" s="24" t="n">
        <v>4</v>
      </c>
      <c r="G4" s="24" t="n">
        <v>12</v>
      </c>
      <c r="H4" s="26"/>
      <c r="I4" s="26"/>
      <c r="J4" s="26"/>
      <c r="K4" s="37"/>
      <c r="L4" s="26" t="s">
        <v>100</v>
      </c>
      <c r="M4" s="26" t="n">
        <v>4</v>
      </c>
      <c r="N4" s="26" t="n">
        <v>12</v>
      </c>
      <c r="O4" s="30" t="s">
        <v>101</v>
      </c>
      <c r="P4" s="30" t="s">
        <v>102</v>
      </c>
      <c r="Q4" s="30" t="n">
        <f aca="false">97/1440</f>
        <v>0.0673611111111111</v>
      </c>
      <c r="R4" s="41" t="n">
        <f aca="false">R$3*Q4</f>
        <v>43.1111111111111</v>
      </c>
      <c r="S4" s="30" t="n">
        <v>17</v>
      </c>
      <c r="T4" s="30" t="n">
        <v>8</v>
      </c>
      <c r="U4" s="30" t="n">
        <v>0</v>
      </c>
      <c r="V4" s="30"/>
      <c r="W4" s="33" t="s">
        <v>101</v>
      </c>
      <c r="X4" s="33" t="s">
        <v>103</v>
      </c>
      <c r="Y4" s="33" t="n">
        <f aca="false">100/1251</f>
        <v>0.0799360511590727</v>
      </c>
      <c r="Z4" s="42" t="n">
        <f aca="false">Z$3*Y4</f>
        <v>22.2222222222222</v>
      </c>
      <c r="AA4" s="33" t="n">
        <v>1</v>
      </c>
      <c r="AB4" s="33" t="n">
        <v>6.19</v>
      </c>
      <c r="AC4" s="2" t="n">
        <f aca="false">R4+Z4</f>
        <v>65.3333333333333</v>
      </c>
      <c r="AF4" s="35" t="s">
        <v>101</v>
      </c>
      <c r="AG4" s="39" t="s">
        <v>104</v>
      </c>
      <c r="AH4" s="39" t="n">
        <f aca="false">2/69</f>
        <v>0.0289855072463768</v>
      </c>
      <c r="AI4" s="39" t="n">
        <f aca="false">AI$3*AH4</f>
        <v>0.666666666666667</v>
      </c>
      <c r="AJ4" s="35" t="s">
        <v>24</v>
      </c>
      <c r="AK4" s="35" t="n">
        <v>0.7</v>
      </c>
    </row>
    <row r="5" customFormat="false" ht="14.25" hidden="false" customHeight="false" outlineLevel="0" collapsed="false">
      <c r="A5" s="24" t="s">
        <v>105</v>
      </c>
      <c r="B5" s="24" t="s">
        <v>106</v>
      </c>
      <c r="C5" s="24" t="n">
        <f aca="false">405/7784</f>
        <v>0.0520298047276465</v>
      </c>
      <c r="D5" s="43" t="n">
        <f aca="false">D$3*C5</f>
        <v>72.0612795477903</v>
      </c>
      <c r="E5" s="24" t="s">
        <v>100</v>
      </c>
      <c r="F5" s="24" t="n">
        <v>2</v>
      </c>
      <c r="G5" s="24" t="n">
        <v>7</v>
      </c>
      <c r="H5" s="26" t="s">
        <v>105</v>
      </c>
      <c r="I5" s="26" t="s">
        <v>106</v>
      </c>
      <c r="J5" s="26" t="n">
        <f aca="false">405/7784</f>
        <v>0.0520298047276465</v>
      </c>
      <c r="K5" s="44" t="n">
        <f aca="false">K$3*J5</f>
        <v>72.0612795477903</v>
      </c>
      <c r="L5" s="26" t="s">
        <v>100</v>
      </c>
      <c r="M5" s="26" t="n">
        <v>2</v>
      </c>
      <c r="N5" s="26" t="n">
        <v>7</v>
      </c>
      <c r="O5" s="30" t="s">
        <v>19</v>
      </c>
      <c r="P5" s="30" t="s">
        <v>102</v>
      </c>
      <c r="Q5" s="30" t="n">
        <f aca="false">97/1440</f>
        <v>0.0673611111111111</v>
      </c>
      <c r="R5" s="41" t="n">
        <f aca="false">R$3*Q5</f>
        <v>43.1111111111111</v>
      </c>
      <c r="S5" s="30" t="n">
        <v>18</v>
      </c>
      <c r="T5" s="30" t="n">
        <v>8</v>
      </c>
      <c r="U5" s="30" t="n">
        <v>0</v>
      </c>
      <c r="V5" s="30"/>
      <c r="W5" s="33" t="s">
        <v>19</v>
      </c>
      <c r="X5" s="33" t="s">
        <v>103</v>
      </c>
      <c r="Y5" s="33" t="n">
        <f aca="false">100/1251</f>
        <v>0.0799360511590727</v>
      </c>
      <c r="Z5" s="42" t="n">
        <f aca="false">Z$3*Y5</f>
        <v>22.2222222222222</v>
      </c>
      <c r="AA5" s="33" t="n">
        <v>2</v>
      </c>
      <c r="AB5" s="33" t="n">
        <v>6.19</v>
      </c>
      <c r="AC5" s="2" t="n">
        <f aca="false">R5+Z5</f>
        <v>65.3333333333333</v>
      </c>
      <c r="AF5" s="35" t="s">
        <v>19</v>
      </c>
      <c r="AG5" s="39" t="s">
        <v>104</v>
      </c>
      <c r="AH5" s="39" t="n">
        <f aca="false">2/69</f>
        <v>0.0289855072463768</v>
      </c>
      <c r="AI5" s="39" t="n">
        <f aca="false">AI$3*AH5</f>
        <v>0.666666666666667</v>
      </c>
      <c r="AJ5" s="35" t="s">
        <v>32</v>
      </c>
      <c r="AK5" s="35" t="n">
        <v>0.8</v>
      </c>
    </row>
    <row r="6" customFormat="false" ht="14.25" hidden="false" customHeight="false" outlineLevel="0" collapsed="false">
      <c r="A6" s="24" t="s">
        <v>107</v>
      </c>
      <c r="B6" s="24" t="s">
        <v>108</v>
      </c>
      <c r="C6" s="24" t="n">
        <f aca="false">689/7784</f>
        <v>0.0885149023638232</v>
      </c>
      <c r="D6" s="43" t="n">
        <f aca="false">D$3*C6</f>
        <v>122.593139773895</v>
      </c>
      <c r="E6" s="24" t="s">
        <v>99</v>
      </c>
      <c r="F6" s="24" t="n">
        <v>1</v>
      </c>
      <c r="G6" s="24" t="n">
        <v>19</v>
      </c>
      <c r="H6" s="26" t="s">
        <v>109</v>
      </c>
      <c r="I6" s="26" t="s">
        <v>108</v>
      </c>
      <c r="J6" s="26" t="n">
        <f aca="false">689/7784</f>
        <v>0.0885149023638232</v>
      </c>
      <c r="K6" s="44" t="n">
        <f aca="false">K$3*J6</f>
        <v>122.593139773895</v>
      </c>
      <c r="L6" s="26" t="s">
        <v>99</v>
      </c>
      <c r="M6" s="26" t="n">
        <v>1</v>
      </c>
      <c r="N6" s="26" t="n">
        <v>19</v>
      </c>
      <c r="O6" s="30" t="s">
        <v>110</v>
      </c>
      <c r="P6" s="30" t="s">
        <v>111</v>
      </c>
      <c r="Q6" s="30" t="n">
        <f aca="false">979/5760</f>
        <v>0.169965277777778</v>
      </c>
      <c r="R6" s="41" t="n">
        <f aca="false">R$3*Q6</f>
        <v>108.777777777778</v>
      </c>
      <c r="S6" s="30" t="n">
        <v>23</v>
      </c>
      <c r="T6" s="30" t="n">
        <v>8</v>
      </c>
      <c r="U6" s="30" t="n">
        <v>0</v>
      </c>
      <c r="V6" s="30"/>
      <c r="W6" s="33" t="s">
        <v>110</v>
      </c>
      <c r="X6" s="33" t="s">
        <v>112</v>
      </c>
      <c r="Y6" s="33" t="n">
        <f aca="false">250/1251</f>
        <v>0.199840127897682</v>
      </c>
      <c r="Z6" s="42" t="n">
        <f aca="false">Z$3*Y6</f>
        <v>55.5555555555556</v>
      </c>
      <c r="AA6" s="33" t="s">
        <v>8</v>
      </c>
      <c r="AB6" s="33" t="n">
        <f aca="false">SUM(AB4:AB5)</f>
        <v>12.38</v>
      </c>
      <c r="AC6" s="2" t="n">
        <f aca="false">R6+Z6</f>
        <v>164.333333333333</v>
      </c>
      <c r="AF6" s="35" t="s">
        <v>113</v>
      </c>
      <c r="AG6" s="39" t="s">
        <v>114</v>
      </c>
      <c r="AH6" s="39" t="n">
        <f aca="false">5/69</f>
        <v>0.072463768115942</v>
      </c>
      <c r="AI6" s="39" t="n">
        <f aca="false">AI$3*AH6</f>
        <v>1.66666666666667</v>
      </c>
      <c r="AJ6" s="35" t="s">
        <v>115</v>
      </c>
      <c r="AK6" s="35" t="n">
        <v>0.8</v>
      </c>
    </row>
    <row r="7" customFormat="false" ht="21" hidden="false" customHeight="false" outlineLevel="0" collapsed="false">
      <c r="A7" s="24" t="s">
        <v>30</v>
      </c>
      <c r="B7" s="24" t="s">
        <v>116</v>
      </c>
      <c r="C7" s="24" t="n">
        <f aca="false">281/3892</f>
        <v>0.0721993833504625</v>
      </c>
      <c r="D7" s="43" t="n">
        <f aca="false">D$3*C7</f>
        <v>99.9961459403905</v>
      </c>
      <c r="E7" s="15" t="n">
        <f aca="false">129</f>
        <v>129</v>
      </c>
      <c r="F7" s="24"/>
      <c r="G7" s="24"/>
      <c r="H7" s="26" t="s">
        <v>30</v>
      </c>
      <c r="I7" s="26" t="s">
        <v>116</v>
      </c>
      <c r="J7" s="26" t="n">
        <f aca="false">281/3892</f>
        <v>0.0721993833504625</v>
      </c>
      <c r="K7" s="44" t="n">
        <f aca="false">K$3*J7</f>
        <v>99.9961459403905</v>
      </c>
      <c r="L7" s="17" t="n">
        <f aca="false">129</f>
        <v>129</v>
      </c>
      <c r="M7" s="26"/>
      <c r="N7" s="26"/>
      <c r="O7" s="30" t="s">
        <v>117</v>
      </c>
      <c r="P7" s="30" t="s">
        <v>118</v>
      </c>
      <c r="Q7" s="30" t="n">
        <f aca="false">81/640</f>
        <v>0.1265625</v>
      </c>
      <c r="R7" s="41" t="n">
        <f aca="false">R$3*Q7</f>
        <v>81</v>
      </c>
      <c r="S7" s="30" t="n">
        <v>24</v>
      </c>
      <c r="T7" s="30" t="n">
        <v>8</v>
      </c>
      <c r="U7" s="30" t="n">
        <v>0</v>
      </c>
      <c r="V7" s="30"/>
      <c r="W7" s="33" t="s">
        <v>117</v>
      </c>
      <c r="X7" s="33" t="s">
        <v>119</v>
      </c>
      <c r="Y7" s="33" t="n">
        <f aca="false">41/278</f>
        <v>0.147482014388489</v>
      </c>
      <c r="Z7" s="42" t="n">
        <f aca="false">Z$3*Y7</f>
        <v>41</v>
      </c>
      <c r="AA7" s="33" t="s">
        <v>8</v>
      </c>
      <c r="AB7" s="33" t="n">
        <v>13.18</v>
      </c>
      <c r="AC7" s="7" t="n">
        <f aca="false">SUM(AC4:AC6)</f>
        <v>295</v>
      </c>
      <c r="AF7" s="35" t="s">
        <v>117</v>
      </c>
      <c r="AG7" s="39" t="s">
        <v>120</v>
      </c>
      <c r="AH7" s="39" t="n">
        <f aca="false">1/46</f>
        <v>0.0217391304347826</v>
      </c>
      <c r="AI7" s="39" t="n">
        <f aca="false">AI$3*AH7</f>
        <v>0.5</v>
      </c>
      <c r="AJ7" s="35" t="s">
        <v>8</v>
      </c>
      <c r="AK7" s="35" t="n">
        <f aca="false">SUM(AK4:AK6)</f>
        <v>2.3</v>
      </c>
    </row>
    <row r="8" customFormat="false" ht="14.25" hidden="false" customHeight="false" outlineLevel="0" collapsed="false">
      <c r="A8" s="24" t="s">
        <v>121</v>
      </c>
      <c r="B8" s="24" t="s">
        <v>122</v>
      </c>
      <c r="C8" s="24" t="n">
        <f aca="false">365/3892</f>
        <v>0.0937821171634121</v>
      </c>
      <c r="D8" s="43" t="n">
        <f aca="false">D$3*C8</f>
        <v>129.888232271326</v>
      </c>
      <c r="E8" s="24" t="n">
        <v>17</v>
      </c>
      <c r="F8" s="24" t="n">
        <v>8</v>
      </c>
      <c r="G8" s="24" t="n">
        <v>0</v>
      </c>
      <c r="H8" s="26" t="s">
        <v>121</v>
      </c>
      <c r="I8" s="26" t="s">
        <v>122</v>
      </c>
      <c r="J8" s="26" t="n">
        <f aca="false">365/3892</f>
        <v>0.0937821171634121</v>
      </c>
      <c r="K8" s="44" t="n">
        <f aca="false">K$3*J8</f>
        <v>129.888232271326</v>
      </c>
      <c r="L8" s="26" t="n">
        <v>17</v>
      </c>
      <c r="M8" s="26" t="n">
        <v>8</v>
      </c>
      <c r="N8" s="26" t="n">
        <v>0</v>
      </c>
      <c r="O8" s="30" t="s">
        <v>123</v>
      </c>
      <c r="P8" s="30" t="s">
        <v>124</v>
      </c>
      <c r="Q8" s="30" t="n">
        <f aca="false">43/480</f>
        <v>0.0895833333333333</v>
      </c>
      <c r="R8" s="41" t="n">
        <f aca="false">R$3*Q8</f>
        <v>57.3333333333333</v>
      </c>
      <c r="S8" s="30"/>
      <c r="T8" s="30"/>
      <c r="U8" s="30"/>
      <c r="V8" s="30"/>
      <c r="W8" s="33" t="s">
        <v>123</v>
      </c>
      <c r="X8" s="33" t="s">
        <v>125</v>
      </c>
      <c r="Y8" s="33" t="n">
        <f aca="false">43/417</f>
        <v>0.103117505995204</v>
      </c>
      <c r="Z8" s="42" t="n">
        <f aca="false">Z$3*Y8</f>
        <v>28.6666666666667</v>
      </c>
      <c r="AA8" s="33"/>
      <c r="AB8" s="33" t="n">
        <f aca="false">260+18</f>
        <v>278</v>
      </c>
      <c r="AF8" s="35" t="s">
        <v>123</v>
      </c>
      <c r="AG8" s="39" t="s">
        <v>104</v>
      </c>
      <c r="AH8" s="39" t="n">
        <f aca="false">2/69</f>
        <v>0.0289855072463768</v>
      </c>
      <c r="AI8" s="39" t="n">
        <f aca="false">AI$3*AH8</f>
        <v>0.666666666666667</v>
      </c>
      <c r="AJ8" s="35"/>
      <c r="AK8" s="35" t="n">
        <v>23</v>
      </c>
    </row>
    <row r="9" customFormat="false" ht="14.25" hidden="false" customHeight="false" outlineLevel="0" collapsed="false">
      <c r="A9" s="24" t="s">
        <v>126</v>
      </c>
      <c r="B9" s="24" t="s">
        <v>127</v>
      </c>
      <c r="C9" s="24" t="n">
        <f aca="false">95/556</f>
        <v>0.170863309352518</v>
      </c>
      <c r="D9" s="43" t="n">
        <f aca="false">D$3*C9</f>
        <v>236.645683453237</v>
      </c>
      <c r="E9" s="24" t="n">
        <v>18</v>
      </c>
      <c r="F9" s="24" t="n">
        <v>8</v>
      </c>
      <c r="G9" s="24" t="n">
        <v>0</v>
      </c>
      <c r="H9" s="26" t="s">
        <v>126</v>
      </c>
      <c r="I9" s="26" t="s">
        <v>127</v>
      </c>
      <c r="J9" s="26" t="n">
        <f aca="false">95/556</f>
        <v>0.170863309352518</v>
      </c>
      <c r="K9" s="44" t="n">
        <f aca="false">K$3*J9</f>
        <v>236.645683453237</v>
      </c>
      <c r="L9" s="26" t="n">
        <v>18</v>
      </c>
      <c r="M9" s="26" t="n">
        <v>8</v>
      </c>
      <c r="N9" s="26" t="n">
        <v>0</v>
      </c>
      <c r="O9" s="30" t="s">
        <v>128</v>
      </c>
      <c r="P9" s="30" t="s">
        <v>129</v>
      </c>
      <c r="Q9" s="30" t="n">
        <f aca="false">1/40</f>
        <v>0.025</v>
      </c>
      <c r="R9" s="41" t="n">
        <f aca="false">R$3*Q9</f>
        <v>16</v>
      </c>
      <c r="S9" s="30"/>
      <c r="T9" s="30"/>
      <c r="U9" s="30"/>
      <c r="V9" s="30"/>
      <c r="W9" s="33" t="s">
        <v>128</v>
      </c>
      <c r="X9" s="33" t="s">
        <v>130</v>
      </c>
      <c r="Y9" s="33" t="n">
        <f aca="false">9/278</f>
        <v>0.0323741007194245</v>
      </c>
      <c r="Z9" s="42" t="n">
        <f aca="false">Z$3*Y9</f>
        <v>9</v>
      </c>
      <c r="AA9" s="33"/>
      <c r="AB9" s="33"/>
      <c r="AC9" s="7" t="n">
        <f aca="false">K7+K13</f>
        <v>298.20914696814</v>
      </c>
      <c r="AF9" s="35" t="s">
        <v>128</v>
      </c>
      <c r="AG9" s="39" t="s">
        <v>120</v>
      </c>
      <c r="AH9" s="39" t="n">
        <f aca="false">1/46</f>
        <v>0.0217391304347826</v>
      </c>
      <c r="AI9" s="39" t="n">
        <f aca="false">AI$3*AH9</f>
        <v>0.5</v>
      </c>
      <c r="AJ9" s="35"/>
      <c r="AK9" s="35"/>
    </row>
    <row r="10" customFormat="false" ht="14.25" hidden="false" customHeight="false" outlineLevel="0" collapsed="false">
      <c r="A10" s="24" t="s">
        <v>131</v>
      </c>
      <c r="B10" s="24" t="s">
        <v>132</v>
      </c>
      <c r="C10" s="24" t="n">
        <f aca="false">36/973</f>
        <v>0.0369989722507708</v>
      </c>
      <c r="D10" s="43" t="n">
        <f aca="false">D$3*C10</f>
        <v>51.2435765673176</v>
      </c>
      <c r="E10" s="24" t="n">
        <v>23</v>
      </c>
      <c r="F10" s="24" t="n">
        <v>8</v>
      </c>
      <c r="G10" s="24" t="n">
        <v>0</v>
      </c>
      <c r="H10" s="26" t="s">
        <v>131</v>
      </c>
      <c r="I10" s="26" t="s">
        <v>132</v>
      </c>
      <c r="J10" s="26" t="n">
        <f aca="false">36/973</f>
        <v>0.0369989722507708</v>
      </c>
      <c r="K10" s="44" t="n">
        <f aca="false">K$3*J10</f>
        <v>51.2435765673176</v>
      </c>
      <c r="L10" s="26" t="n">
        <v>23</v>
      </c>
      <c r="M10" s="26" t="n">
        <v>8</v>
      </c>
      <c r="N10" s="26" t="n">
        <v>0</v>
      </c>
      <c r="O10" s="30" t="s">
        <v>133</v>
      </c>
      <c r="P10" s="30" t="s">
        <v>134</v>
      </c>
      <c r="Q10" s="30" t="n">
        <f aca="false">37/640</f>
        <v>0.0578125</v>
      </c>
      <c r="R10" s="41" t="n">
        <f aca="false">R$3*Q10</f>
        <v>37</v>
      </c>
      <c r="S10" s="30"/>
      <c r="T10" s="30"/>
      <c r="U10" s="30"/>
      <c r="V10" s="30"/>
      <c r="W10" s="33" t="s">
        <v>133</v>
      </c>
      <c r="X10" s="33" t="s">
        <v>135</v>
      </c>
      <c r="Y10" s="33" t="n">
        <f aca="false">7/139</f>
        <v>0.0503597122302158</v>
      </c>
      <c r="Z10" s="42" t="n">
        <f aca="false">Z$3*Y10</f>
        <v>14</v>
      </c>
      <c r="AA10" s="33"/>
      <c r="AB10" s="33"/>
      <c r="AC10" s="2" t="n">
        <f aca="false">AC9-AC7</f>
        <v>3.20914696813975</v>
      </c>
      <c r="AF10" s="35" t="s">
        <v>133</v>
      </c>
      <c r="AG10" s="39" t="s">
        <v>120</v>
      </c>
      <c r="AH10" s="39" t="n">
        <f aca="false">1/46</f>
        <v>0.0217391304347826</v>
      </c>
      <c r="AI10" s="39" t="n">
        <f aca="false">AI$3*AH10</f>
        <v>0.5</v>
      </c>
      <c r="AJ10" s="35"/>
      <c r="AK10" s="35"/>
    </row>
    <row r="11" customFormat="false" ht="14.25" hidden="false" customHeight="false" outlineLevel="0" collapsed="false">
      <c r="A11" s="24" t="s">
        <v>136</v>
      </c>
      <c r="B11" s="24" t="s">
        <v>137</v>
      </c>
      <c r="C11" s="24" t="n">
        <f aca="false">18/973</f>
        <v>0.0184994861253854</v>
      </c>
      <c r="D11" s="43" t="n">
        <f aca="false">D$3*C11</f>
        <v>25.6217882836588</v>
      </c>
      <c r="E11" s="24" t="n">
        <v>24</v>
      </c>
      <c r="F11" s="24" t="n">
        <v>8</v>
      </c>
      <c r="G11" s="24" t="n">
        <v>0</v>
      </c>
      <c r="H11" s="26" t="s">
        <v>136</v>
      </c>
      <c r="I11" s="26" t="s">
        <v>137</v>
      </c>
      <c r="J11" s="26" t="n">
        <f aca="false">18/973</f>
        <v>0.0184994861253854</v>
      </c>
      <c r="K11" s="44" t="n">
        <f aca="false">K$3*J11</f>
        <v>25.6217882836588</v>
      </c>
      <c r="L11" s="26" t="n">
        <v>24</v>
      </c>
      <c r="M11" s="26" t="n">
        <v>8</v>
      </c>
      <c r="N11" s="26" t="n">
        <v>0</v>
      </c>
      <c r="O11" s="30" t="s">
        <v>138</v>
      </c>
      <c r="P11" s="30" t="s">
        <v>139</v>
      </c>
      <c r="Q11" s="30" t="n">
        <f aca="false">89/640</f>
        <v>0.1390625</v>
      </c>
      <c r="R11" s="41" t="n">
        <f aca="false">R$3*Q11</f>
        <v>89</v>
      </c>
      <c r="S11" s="30"/>
      <c r="T11" s="30"/>
      <c r="U11" s="30"/>
      <c r="V11" s="30"/>
      <c r="W11" s="33" t="s">
        <v>138</v>
      </c>
      <c r="X11" s="33" t="s">
        <v>140</v>
      </c>
      <c r="Y11" s="33" t="n">
        <f aca="false">23/139</f>
        <v>0.165467625899281</v>
      </c>
      <c r="Z11" s="42" t="n">
        <f aca="false">Z$3*Y11</f>
        <v>46</v>
      </c>
      <c r="AA11" s="33"/>
      <c r="AB11" s="33"/>
      <c r="AF11" s="35" t="s">
        <v>138</v>
      </c>
      <c r="AG11" s="39" t="s">
        <v>141</v>
      </c>
      <c r="AH11" s="39" t="n">
        <f aca="false">3/46</f>
        <v>0.0652173913043478</v>
      </c>
      <c r="AI11" s="39" t="n">
        <f aca="false">AI$3*AH11</f>
        <v>1.5</v>
      </c>
      <c r="AJ11" s="35"/>
      <c r="AK11" s="35"/>
    </row>
    <row r="12" customFormat="false" ht="23.25" hidden="false" customHeight="false" outlineLevel="0" collapsed="false">
      <c r="A12" s="24" t="s">
        <v>142</v>
      </c>
      <c r="B12" s="24" t="s">
        <v>143</v>
      </c>
      <c r="C12" s="24" t="n">
        <f aca="false">96/973</f>
        <v>0.0986639260020555</v>
      </c>
      <c r="D12" s="43" t="n">
        <f aca="false">D$3*C12</f>
        <v>136.649537512847</v>
      </c>
      <c r="E12" s="25" t="n">
        <v>78</v>
      </c>
      <c r="F12" s="24"/>
      <c r="G12" s="24"/>
      <c r="H12" s="26" t="s">
        <v>138</v>
      </c>
      <c r="I12" s="26" t="s">
        <v>143</v>
      </c>
      <c r="J12" s="26" t="n">
        <f aca="false">96/973</f>
        <v>0.0986639260020555</v>
      </c>
      <c r="K12" s="44" t="n">
        <f aca="false">K$3*J12</f>
        <v>136.649537512847</v>
      </c>
      <c r="L12" s="27" t="n">
        <v>78</v>
      </c>
      <c r="M12" s="26"/>
      <c r="N12" s="26"/>
      <c r="O12" s="30" t="s">
        <v>144</v>
      </c>
      <c r="P12" s="30" t="s">
        <v>145</v>
      </c>
      <c r="Q12" s="30" t="n">
        <f aca="false">9/64</f>
        <v>0.140625</v>
      </c>
      <c r="R12" s="41" t="n">
        <f aca="false">R$3*Q12</f>
        <v>90</v>
      </c>
      <c r="S12" s="30"/>
      <c r="T12" s="30"/>
      <c r="U12" s="30"/>
      <c r="V12" s="30"/>
      <c r="W12" s="33" t="s">
        <v>144</v>
      </c>
      <c r="X12" s="33" t="n">
        <v>0</v>
      </c>
      <c r="Y12" s="33" t="n">
        <v>0</v>
      </c>
      <c r="Z12" s="42" t="n">
        <f aca="false">Z$3*Y12</f>
        <v>0</v>
      </c>
      <c r="AA12" s="33"/>
      <c r="AB12" s="33"/>
      <c r="AC12" s="2" t="n">
        <f aca="false">R11+Z11</f>
        <v>135</v>
      </c>
      <c r="AF12" s="35" t="s">
        <v>144</v>
      </c>
      <c r="AG12" s="39" t="s">
        <v>146</v>
      </c>
      <c r="AH12" s="39" t="n">
        <f aca="false">11/23</f>
        <v>0.478260869565217</v>
      </c>
      <c r="AI12" s="39" t="n">
        <f aca="false">AI$3*AH12</f>
        <v>11</v>
      </c>
      <c r="AJ12" s="35"/>
      <c r="AK12" s="35"/>
    </row>
    <row r="13" customFormat="false" ht="14.25" hidden="false" customHeight="false" outlineLevel="0" collapsed="false">
      <c r="A13" s="24" t="s">
        <v>147</v>
      </c>
      <c r="B13" s="24" t="s">
        <v>148</v>
      </c>
      <c r="C13" s="24" t="n">
        <f aca="false">557/3892</f>
        <v>0.14311408016444</v>
      </c>
      <c r="D13" s="43" t="n">
        <f aca="false">D$3*C13</f>
        <v>198.213001027749</v>
      </c>
      <c r="E13" s="24" t="n">
        <v>5</v>
      </c>
      <c r="F13" s="24" t="n">
        <v>7</v>
      </c>
      <c r="G13" s="24" t="n">
        <v>7</v>
      </c>
      <c r="H13" s="26" t="s">
        <v>149</v>
      </c>
      <c r="I13" s="26" t="s">
        <v>148</v>
      </c>
      <c r="J13" s="26" t="n">
        <f aca="false">557/3892</f>
        <v>0.14311408016444</v>
      </c>
      <c r="K13" s="44" t="n">
        <f aca="false">K$3*J13</f>
        <v>198.213001027749</v>
      </c>
      <c r="L13" s="26" t="n">
        <v>5</v>
      </c>
      <c r="M13" s="26" t="n">
        <v>7</v>
      </c>
      <c r="N13" s="26" t="n">
        <v>7</v>
      </c>
      <c r="O13" s="30" t="s">
        <v>150</v>
      </c>
      <c r="P13" s="30" t="s">
        <v>151</v>
      </c>
      <c r="Q13" s="30" t="n">
        <f aca="false">31/384</f>
        <v>0.0807291666666667</v>
      </c>
      <c r="R13" s="41" t="n">
        <f aca="false">R$3*Q13</f>
        <v>51.6666666666667</v>
      </c>
      <c r="S13" s="30"/>
      <c r="T13" s="30"/>
      <c r="U13" s="30"/>
      <c r="V13" s="30"/>
      <c r="W13" s="33" t="s">
        <v>150</v>
      </c>
      <c r="X13" s="33" t="s">
        <v>152</v>
      </c>
      <c r="Y13" s="33" t="n">
        <f aca="false">161/1668</f>
        <v>0.0965227817745803</v>
      </c>
      <c r="Z13" s="42" t="n">
        <f aca="false">Z$3*Y13</f>
        <v>26.8333333333333</v>
      </c>
      <c r="AA13" s="33"/>
      <c r="AB13" s="33"/>
      <c r="AC13" s="1" t="n">
        <v>136.65</v>
      </c>
      <c r="AF13" s="35" t="s">
        <v>150</v>
      </c>
      <c r="AG13" s="39" t="s">
        <v>153</v>
      </c>
      <c r="AH13" s="39" t="n">
        <f aca="false">5/138</f>
        <v>0.036231884057971</v>
      </c>
      <c r="AI13" s="39" t="n">
        <f aca="false">AI$3*AH13</f>
        <v>0.833333333333333</v>
      </c>
      <c r="AJ13" s="35"/>
      <c r="AK13" s="35"/>
    </row>
    <row r="14" customFormat="false" ht="14.25" hidden="false" customHeight="false" outlineLevel="0" collapsed="false">
      <c r="A14" s="24" t="s">
        <v>154</v>
      </c>
      <c r="B14" s="24" t="s">
        <v>155</v>
      </c>
      <c r="C14" s="24" t="n">
        <f aca="false">877/3892</f>
        <v>0.225334018499486</v>
      </c>
      <c r="D14" s="43" t="n">
        <f aca="false">D$3*C14</f>
        <v>312.087615621788</v>
      </c>
      <c r="E14" s="24" t="n">
        <v>6</v>
      </c>
      <c r="F14" s="24" t="n">
        <v>8</v>
      </c>
      <c r="G14" s="24" t="n">
        <v>0</v>
      </c>
      <c r="H14" s="26" t="s">
        <v>156</v>
      </c>
      <c r="I14" s="26" t="s">
        <v>157</v>
      </c>
      <c r="J14" s="26" t="n">
        <f aca="false">877/3892</f>
        <v>0.225334018499486</v>
      </c>
      <c r="K14" s="44" t="n">
        <f aca="false">K$3*J14</f>
        <v>312.087615621788</v>
      </c>
      <c r="L14" s="26" t="n">
        <v>6</v>
      </c>
      <c r="M14" s="26" t="n">
        <v>8</v>
      </c>
      <c r="N14" s="26" t="n">
        <v>0</v>
      </c>
      <c r="O14" s="30" t="s">
        <v>158</v>
      </c>
      <c r="P14" s="30" t="s">
        <v>159</v>
      </c>
      <c r="Q14" s="30" t="n">
        <f aca="false">23/640</f>
        <v>0.0359375</v>
      </c>
      <c r="R14" s="41" t="n">
        <f aca="false">R$3*Q14</f>
        <v>23</v>
      </c>
      <c r="S14" s="30"/>
      <c r="T14" s="30"/>
      <c r="U14" s="30"/>
      <c r="V14" s="30"/>
      <c r="W14" s="33" t="s">
        <v>158</v>
      </c>
      <c r="X14" s="33" t="s">
        <v>160</v>
      </c>
      <c r="Y14" s="33" t="n">
        <f aca="false">25/556</f>
        <v>0.0449640287769784</v>
      </c>
      <c r="Z14" s="42" t="n">
        <f aca="false">Z$3*Y14</f>
        <v>12.5</v>
      </c>
      <c r="AA14" s="33"/>
      <c r="AB14" s="33"/>
      <c r="AC14" s="2" t="n">
        <f aca="false">AC13-AC12</f>
        <v>1.65000000000001</v>
      </c>
      <c r="AF14" s="35" t="s">
        <v>158</v>
      </c>
      <c r="AG14" s="39" t="s">
        <v>120</v>
      </c>
      <c r="AH14" s="39" t="n">
        <f aca="false">1/46</f>
        <v>0.0217391304347826</v>
      </c>
      <c r="AI14" s="39" t="n">
        <f aca="false">AI$3*AH14</f>
        <v>0.5</v>
      </c>
      <c r="AJ14" s="35"/>
      <c r="AK14" s="35"/>
    </row>
    <row r="15" customFormat="false" ht="14.25" hidden="false" customHeight="false" outlineLevel="0" collapsed="false">
      <c r="A15" s="24"/>
      <c r="B15" s="24"/>
      <c r="C15" s="24"/>
      <c r="D15" s="43"/>
      <c r="E15" s="24" t="s">
        <v>161</v>
      </c>
      <c r="F15" s="24" t="n">
        <v>0</v>
      </c>
      <c r="G15" s="24" t="n">
        <v>5</v>
      </c>
      <c r="H15" s="26" t="s">
        <v>8</v>
      </c>
      <c r="I15" s="26" t="s">
        <v>8</v>
      </c>
      <c r="J15" s="26" t="n">
        <v>0</v>
      </c>
      <c r="K15" s="44" t="n">
        <f aca="false">K$3*J15</f>
        <v>0</v>
      </c>
      <c r="L15" s="26" t="s">
        <v>161</v>
      </c>
      <c r="M15" s="26" t="n">
        <v>0</v>
      </c>
      <c r="N15" s="26" t="n">
        <v>5</v>
      </c>
      <c r="O15" s="30"/>
      <c r="P15" s="30"/>
      <c r="Q15" s="45" t="n">
        <f aca="false">SUM(Q4:Q14)</f>
        <v>1</v>
      </c>
      <c r="R15" s="45" t="n">
        <f aca="false">SUM(R4:R14)</f>
        <v>640</v>
      </c>
      <c r="S15" s="30" t="s">
        <v>8</v>
      </c>
      <c r="T15" s="30" t="n">
        <v>32</v>
      </c>
      <c r="U15" s="30" t="n">
        <v>0</v>
      </c>
      <c r="V15" s="30"/>
      <c r="W15" s="33"/>
      <c r="X15" s="33"/>
      <c r="Y15" s="46" t="n">
        <f aca="false">SUM(Y4:Y14)</f>
        <v>1</v>
      </c>
      <c r="Z15" s="46" t="n">
        <f aca="false">SUM(Z4:Z14)</f>
        <v>278</v>
      </c>
      <c r="AA15" s="33" t="n">
        <f aca="false">Z15/20</f>
        <v>13.9</v>
      </c>
      <c r="AB15" s="33"/>
      <c r="AF15" s="35" t="s">
        <v>156</v>
      </c>
      <c r="AG15" s="39" t="s">
        <v>162</v>
      </c>
      <c r="AH15" s="39" t="n">
        <f aca="false">4/23</f>
        <v>0.173913043478261</v>
      </c>
      <c r="AI15" s="39" t="n">
        <f aca="false">AI$3*AH15</f>
        <v>4</v>
      </c>
      <c r="AJ15" s="35" t="n">
        <f aca="false">AI15/20</f>
        <v>0.2</v>
      </c>
      <c r="AK15" s="35"/>
    </row>
    <row r="16" customFormat="false" ht="14.25" hidden="false" customHeight="false" outlineLevel="0" collapsed="false">
      <c r="A16" s="24"/>
      <c r="B16" s="24"/>
      <c r="C16" s="47" t="n">
        <f aca="false">SUM(C5:C15)</f>
        <v>1</v>
      </c>
      <c r="D16" s="47" t="n">
        <f aca="false">SUM(D5:D15)</f>
        <v>1385</v>
      </c>
      <c r="E16" s="24" t="s">
        <v>161</v>
      </c>
      <c r="F16" s="24" t="n">
        <v>7</v>
      </c>
      <c r="G16" s="24" t="n">
        <v>15</v>
      </c>
      <c r="H16" s="26"/>
      <c r="I16" s="26"/>
      <c r="J16" s="48" t="n">
        <f aca="false">SUM(J5:J15)</f>
        <v>1</v>
      </c>
      <c r="K16" s="48" t="n">
        <f aca="false">SUM(K5:K15)</f>
        <v>1385</v>
      </c>
      <c r="L16" s="26" t="s">
        <v>161</v>
      </c>
      <c r="M16" s="26" t="n">
        <v>7</v>
      </c>
      <c r="N16" s="26" t="n">
        <v>15</v>
      </c>
      <c r="O16" s="30"/>
      <c r="P16" s="30"/>
      <c r="Q16" s="30"/>
      <c r="R16" s="30"/>
      <c r="S16" s="41" t="s">
        <v>8</v>
      </c>
      <c r="T16" s="30"/>
      <c r="U16" s="41" t="n">
        <f aca="false">R6+R5+R4+R13+R14+R8</f>
        <v>327</v>
      </c>
      <c r="V16" s="30" t="n">
        <v>0</v>
      </c>
      <c r="W16" s="33"/>
      <c r="X16" s="33"/>
      <c r="Y16" s="33"/>
      <c r="Z16" s="33"/>
      <c r="AA16" s="33"/>
      <c r="AB16" s="33"/>
      <c r="AC16" s="2" t="n">
        <f aca="false">R7+Z7</f>
        <v>122</v>
      </c>
      <c r="AF16" s="35"/>
      <c r="AG16" s="35"/>
      <c r="AH16" s="49" t="n">
        <f aca="false">SUM(AH4:AH15)</f>
        <v>1</v>
      </c>
      <c r="AI16" s="49" t="n">
        <f aca="false">SUM(AI4:AI15)</f>
        <v>23</v>
      </c>
      <c r="AJ16" s="35"/>
      <c r="AK16" s="35"/>
    </row>
    <row r="17" customFormat="false" ht="14.25" hidden="false" customHeight="false" outlineLevel="0" collapsed="false">
      <c r="A17" s="24"/>
      <c r="B17" s="24"/>
      <c r="C17" s="24"/>
      <c r="D17" s="24"/>
      <c r="E17" s="24"/>
      <c r="F17" s="36" t="n">
        <f aca="false">SUM(F3:F16)</f>
        <v>66</v>
      </c>
      <c r="G17" s="36" t="n">
        <f aca="false">SUM(G3:G16)</f>
        <v>65</v>
      </c>
      <c r="H17" s="26"/>
      <c r="I17" s="26"/>
      <c r="J17" s="26"/>
      <c r="K17" s="26"/>
      <c r="L17" s="26"/>
      <c r="M17" s="37" t="n">
        <f aca="false">SUM(M3:M16)</f>
        <v>66</v>
      </c>
      <c r="N17" s="37" t="n">
        <f aca="false">SUM(N3:N16)</f>
        <v>65</v>
      </c>
      <c r="O17" s="30"/>
      <c r="P17" s="30" t="n">
        <f aca="false">97*4+97*4+979</f>
        <v>1755</v>
      </c>
      <c r="Q17" s="30" t="s">
        <v>163</v>
      </c>
      <c r="R17" s="30" t="n">
        <f aca="false">1755/5760</f>
        <v>0.3046875</v>
      </c>
      <c r="S17" s="30"/>
      <c r="T17" s="30"/>
      <c r="U17" s="30" t="n">
        <f aca="false">U16/20</f>
        <v>16.35</v>
      </c>
      <c r="V17" s="30"/>
      <c r="W17" s="33"/>
      <c r="X17" s="33"/>
      <c r="Y17" s="33"/>
      <c r="Z17" s="33"/>
      <c r="AA17" s="33"/>
      <c r="AB17" s="33"/>
      <c r="AF17" s="35"/>
      <c r="AG17" s="35"/>
      <c r="AH17" s="39"/>
      <c r="AI17" s="35"/>
      <c r="AJ17" s="35"/>
      <c r="AK17" s="35"/>
    </row>
    <row r="18" customFormat="false" ht="14.25" hidden="false" customHeight="false" outlineLevel="0" collapsed="false">
      <c r="A18" s="24"/>
      <c r="B18" s="24" t="n">
        <f aca="false">97*4+97*4+979</f>
        <v>1755</v>
      </c>
      <c r="C18" s="24" t="s">
        <v>163</v>
      </c>
      <c r="D18" s="24" t="n">
        <f aca="false">1755/5760</f>
        <v>0.3046875</v>
      </c>
      <c r="E18" s="24"/>
      <c r="F18" s="36" t="n">
        <v>69</v>
      </c>
      <c r="G18" s="36" t="n">
        <v>5</v>
      </c>
      <c r="H18" s="26"/>
      <c r="I18" s="26" t="n">
        <f aca="false">97*4+97*4+979</f>
        <v>1755</v>
      </c>
      <c r="J18" s="26" t="s">
        <v>163</v>
      </c>
      <c r="K18" s="26" t="n">
        <f aca="false">1755/5760</f>
        <v>0.3046875</v>
      </c>
      <c r="L18" s="26"/>
      <c r="M18" s="37" t="n">
        <v>69</v>
      </c>
      <c r="N18" s="37" t="n">
        <v>5</v>
      </c>
      <c r="O18" s="30"/>
      <c r="P18" s="30"/>
      <c r="Q18" s="30" t="s">
        <v>148</v>
      </c>
      <c r="R18" s="30"/>
      <c r="S18" s="30"/>
      <c r="T18" s="30"/>
      <c r="U18" s="30"/>
      <c r="V18" s="30"/>
      <c r="W18" s="33"/>
      <c r="X18" s="33"/>
      <c r="Y18" s="33"/>
      <c r="Z18" s="33"/>
      <c r="AA18" s="33"/>
      <c r="AB18" s="33"/>
      <c r="AF18" s="35"/>
      <c r="AG18" s="35"/>
      <c r="AH18" s="39" t="n">
        <f aca="false">R4+Z4+AI4</f>
        <v>66</v>
      </c>
      <c r="AI18" s="35"/>
      <c r="AJ18" s="35"/>
      <c r="AK18" s="35"/>
    </row>
    <row r="19" customFormat="false" ht="14.25" hidden="false" customHeight="false" outlineLevel="0" collapsed="false">
      <c r="A19" s="24"/>
      <c r="B19" s="24"/>
      <c r="C19" s="24" t="s">
        <v>148</v>
      </c>
      <c r="D19" s="24"/>
      <c r="E19" s="24"/>
      <c r="F19" s="24"/>
      <c r="G19" s="24"/>
      <c r="H19" s="26"/>
      <c r="I19" s="26"/>
      <c r="J19" s="26" t="s">
        <v>148</v>
      </c>
      <c r="K19" s="26"/>
      <c r="L19" s="26"/>
      <c r="M19" s="26"/>
      <c r="N19" s="26"/>
      <c r="O19" s="28" t="s">
        <v>98</v>
      </c>
      <c r="P19" s="28"/>
      <c r="Q19" s="30" t="s">
        <v>116</v>
      </c>
      <c r="R19" s="30"/>
      <c r="S19" s="41" t="n">
        <f aca="false">R10+R9</f>
        <v>53</v>
      </c>
      <c r="T19" s="30"/>
      <c r="U19" s="30"/>
      <c r="V19" s="30"/>
      <c r="W19" s="31"/>
      <c r="X19" s="31"/>
      <c r="Y19" s="31"/>
      <c r="Z19" s="33"/>
      <c r="AA19" s="33"/>
      <c r="AB19" s="33"/>
      <c r="AF19" s="34"/>
      <c r="AG19" s="34"/>
      <c r="AH19" s="49"/>
      <c r="AI19" s="35"/>
      <c r="AJ19" s="35"/>
      <c r="AK19" s="35"/>
    </row>
    <row r="20" customFormat="false" ht="21" hidden="false" customHeight="false" outlineLevel="0" collapsed="false">
      <c r="A20" s="36" t="s">
        <v>98</v>
      </c>
      <c r="B20" s="36"/>
      <c r="C20" s="24" t="s">
        <v>116</v>
      </c>
      <c r="D20" s="24"/>
      <c r="E20" s="24"/>
      <c r="F20" s="24"/>
      <c r="G20" s="24"/>
      <c r="H20" s="37" t="s">
        <v>98</v>
      </c>
      <c r="I20" s="37"/>
      <c r="J20" s="26" t="s">
        <v>116</v>
      </c>
      <c r="K20" s="26"/>
      <c r="L20" s="26"/>
      <c r="M20" s="26"/>
      <c r="N20" s="26"/>
      <c r="O20" s="30"/>
      <c r="P20" s="30" t="n">
        <f aca="false">557+281</f>
        <v>838</v>
      </c>
      <c r="Q20" s="30" t="s">
        <v>164</v>
      </c>
      <c r="R20" s="30" t="n">
        <f aca="false">838/3892</f>
        <v>0.215313463514902</v>
      </c>
      <c r="S20" s="30"/>
      <c r="T20" s="41" t="n">
        <f aca="false">R6+R5+R4</f>
        <v>195</v>
      </c>
      <c r="U20" s="41" t="n">
        <f aca="false">R8+R14</f>
        <v>80.3333333333333</v>
      </c>
      <c r="V20" s="30"/>
      <c r="W20" s="33"/>
      <c r="X20" s="33"/>
      <c r="Y20" s="33"/>
      <c r="Z20" s="31"/>
      <c r="AA20" s="31"/>
      <c r="AB20" s="33"/>
      <c r="AC20" s="4" t="n">
        <v>78</v>
      </c>
      <c r="AF20" s="35"/>
      <c r="AG20" s="35"/>
      <c r="AH20" s="39"/>
      <c r="AI20" s="34"/>
      <c r="AJ20" s="34"/>
      <c r="AK20" s="40"/>
    </row>
    <row r="21" customFormat="false" ht="14.25" hidden="false" customHeight="false" outlineLevel="0" collapsed="false">
      <c r="R21" s="2"/>
      <c r="S21" s="2"/>
      <c r="Z21" s="2"/>
      <c r="AC21" s="1" t="s">
        <v>165</v>
      </c>
      <c r="AD21" s="2" t="n">
        <v>2.9</v>
      </c>
      <c r="AG21" s="2"/>
      <c r="AI21" s="2"/>
      <c r="AL21" s="2"/>
      <c r="AN21" s="2" t="n">
        <f aca="false">R21+AH21</f>
        <v>0</v>
      </c>
    </row>
    <row r="22" customFormat="false" ht="21" hidden="false" customHeight="false" outlineLevel="0" collapsed="false">
      <c r="A22" s="34" t="s">
        <v>0</v>
      </c>
      <c r="B22" s="34"/>
      <c r="C22" s="50" t="n">
        <v>490</v>
      </c>
      <c r="D22" s="35"/>
      <c r="E22" s="35"/>
      <c r="F22" s="35"/>
      <c r="G22" s="39"/>
      <c r="H22" s="51" t="s">
        <v>0</v>
      </c>
      <c r="I22" s="51"/>
      <c r="J22" s="52" t="n">
        <v>491</v>
      </c>
      <c r="K22" s="53"/>
      <c r="L22" s="53"/>
      <c r="M22" s="53"/>
      <c r="N22" s="53"/>
      <c r="O22" s="54"/>
      <c r="P22" s="54"/>
      <c r="Q22" s="54"/>
      <c r="R22" s="55"/>
      <c r="S22" s="52" t="n">
        <v>492</v>
      </c>
      <c r="T22" s="54"/>
      <c r="U22" s="54"/>
      <c r="V22" s="54"/>
      <c r="W22" s="51" t="s">
        <v>0</v>
      </c>
      <c r="X22" s="52" t="n">
        <v>496</v>
      </c>
      <c r="Y22" s="56"/>
      <c r="Z22" s="53"/>
      <c r="AA22" s="53"/>
      <c r="AB22" s="53"/>
      <c r="AI22" s="2"/>
      <c r="AK22" s="4"/>
      <c r="AL22" s="2"/>
    </row>
    <row r="23" customFormat="false" ht="21" hidden="false" customHeight="false" outlineLevel="0" collapsed="false">
      <c r="A23" s="35"/>
      <c r="B23" s="35"/>
      <c r="C23" s="35"/>
      <c r="D23" s="34" t="n">
        <v>614</v>
      </c>
      <c r="E23" s="34" t="s">
        <v>1</v>
      </c>
      <c r="F23" s="35"/>
      <c r="G23" s="39"/>
      <c r="H23" s="53"/>
      <c r="I23" s="53"/>
      <c r="J23" s="57"/>
      <c r="K23" s="51" t="n">
        <v>12</v>
      </c>
      <c r="L23" s="51" t="s">
        <v>1</v>
      </c>
      <c r="M23" s="58" t="s">
        <v>8</v>
      </c>
      <c r="N23" s="53"/>
      <c r="O23" s="54"/>
      <c r="P23" s="54"/>
      <c r="Q23" s="55"/>
      <c r="R23" s="59" t="n">
        <v>112</v>
      </c>
      <c r="S23" s="59" t="s">
        <v>1</v>
      </c>
      <c r="T23" s="60" t="s">
        <v>8</v>
      </c>
      <c r="U23" s="54"/>
      <c r="V23" s="54"/>
      <c r="W23" s="53"/>
      <c r="X23" s="53"/>
      <c r="Y23" s="53"/>
      <c r="Z23" s="51" t="n">
        <v>1980</v>
      </c>
      <c r="AA23" s="51" t="s">
        <v>1</v>
      </c>
      <c r="AB23" s="53"/>
      <c r="AC23" s="4" t="s">
        <v>166</v>
      </c>
      <c r="AD23" s="61" t="n">
        <v>496</v>
      </c>
      <c r="AE23" s="62" t="n">
        <v>761</v>
      </c>
      <c r="AF23" s="62" t="s">
        <v>167</v>
      </c>
      <c r="AG23" s="62"/>
      <c r="AH23" s="62" t="s">
        <v>168</v>
      </c>
      <c r="AI23" s="63" t="s">
        <v>169</v>
      </c>
      <c r="AJ23" s="1" t="n">
        <v>1</v>
      </c>
      <c r="AL23" s="2"/>
    </row>
    <row r="24" customFormat="false" ht="21" hidden="false" customHeight="false" outlineLevel="0" collapsed="false">
      <c r="A24" s="35" t="s">
        <v>101</v>
      </c>
      <c r="B24" s="35" t="s">
        <v>170</v>
      </c>
      <c r="C24" s="35" t="n">
        <f aca="false">1/12</f>
        <v>0.0833333333333333</v>
      </c>
      <c r="D24" s="39" t="n">
        <f aca="false">D$23*C24</f>
        <v>51.1666666666667</v>
      </c>
      <c r="E24" s="35"/>
      <c r="F24" s="35"/>
      <c r="G24" s="35"/>
      <c r="H24" s="53" t="s">
        <v>101</v>
      </c>
      <c r="I24" s="57" t="s">
        <v>171</v>
      </c>
      <c r="J24" s="57" t="n">
        <f aca="false">353/19170</f>
        <v>0.0184141888367241</v>
      </c>
      <c r="K24" s="57" t="n">
        <f aca="false">K$23*J24</f>
        <v>0.220970266040689</v>
      </c>
      <c r="L24" s="53"/>
      <c r="M24" s="53" t="n">
        <v>232</v>
      </c>
      <c r="N24" s="57" t="n">
        <v>0.3</v>
      </c>
      <c r="O24" s="54" t="s">
        <v>101</v>
      </c>
      <c r="P24" s="54" t="s">
        <v>171</v>
      </c>
      <c r="Q24" s="54" t="n">
        <f aca="false">353/19170</f>
        <v>0.0184141888367241</v>
      </c>
      <c r="R24" s="55" t="n">
        <f aca="false">R$23*Q24</f>
        <v>2.06238914971309</v>
      </c>
      <c r="S24" s="54"/>
      <c r="T24" s="60" t="n">
        <v>142</v>
      </c>
      <c r="U24" s="55" t="s">
        <v>8</v>
      </c>
      <c r="V24" s="54"/>
      <c r="W24" s="53" t="s">
        <v>101</v>
      </c>
      <c r="X24" s="53" t="s">
        <v>172</v>
      </c>
      <c r="Y24" s="53" t="n">
        <f aca="false">7/198</f>
        <v>0.0353535353535354</v>
      </c>
      <c r="Z24" s="57" t="n">
        <f aca="false">Z$23*Y24</f>
        <v>70</v>
      </c>
      <c r="AA24" s="53"/>
      <c r="AB24" s="53"/>
      <c r="AC24" s="1" t="s">
        <v>173</v>
      </c>
      <c r="AD24" s="64" t="n">
        <v>496</v>
      </c>
      <c r="AE24" s="65" t="n">
        <v>761</v>
      </c>
      <c r="AF24" s="65" t="s">
        <v>174</v>
      </c>
      <c r="AG24" s="65"/>
      <c r="AH24" s="65" t="s">
        <v>168</v>
      </c>
      <c r="AI24" s="66" t="s">
        <v>175</v>
      </c>
      <c r="AK24" s="1" t="n">
        <v>3</v>
      </c>
      <c r="AL24" s="2"/>
    </row>
    <row r="25" customFormat="false" ht="30" hidden="false" customHeight="false" outlineLevel="0" collapsed="false">
      <c r="A25" s="35" t="s">
        <v>19</v>
      </c>
      <c r="B25" s="35" t="s">
        <v>170</v>
      </c>
      <c r="C25" s="35" t="n">
        <f aca="false">1/12</f>
        <v>0.0833333333333333</v>
      </c>
      <c r="D25" s="39" t="n">
        <f aca="false">D$23*C25</f>
        <v>51.1666666666667</v>
      </c>
      <c r="E25" s="35"/>
      <c r="F25" s="35"/>
      <c r="G25" s="49"/>
      <c r="H25" s="53" t="s">
        <v>19</v>
      </c>
      <c r="I25" s="53"/>
      <c r="J25" s="57"/>
      <c r="K25" s="57" t="n">
        <f aca="false">K$23*J25</f>
        <v>0</v>
      </c>
      <c r="L25" s="53"/>
      <c r="M25" s="58" t="n">
        <v>299</v>
      </c>
      <c r="N25" s="57" t="n">
        <v>0.6</v>
      </c>
      <c r="O25" s="54" t="s">
        <v>19</v>
      </c>
      <c r="P25" s="54"/>
      <c r="Q25" s="55"/>
      <c r="R25" s="55" t="n">
        <f aca="false">R$23*Q25</f>
        <v>0</v>
      </c>
      <c r="S25" s="54"/>
      <c r="T25" s="54" t="s">
        <v>176</v>
      </c>
      <c r="U25" s="55" t="n">
        <v>5.12</v>
      </c>
      <c r="V25" s="54"/>
      <c r="W25" s="53" t="s">
        <v>177</v>
      </c>
      <c r="X25" s="53" t="s">
        <v>172</v>
      </c>
      <c r="Y25" s="53" t="n">
        <f aca="false">7/198</f>
        <v>0.0353535353535354</v>
      </c>
      <c r="Z25" s="57" t="n">
        <f aca="false">Z$23*Y25</f>
        <v>70</v>
      </c>
      <c r="AA25" s="53"/>
      <c r="AB25" s="53"/>
      <c r="AC25" s="1" t="s">
        <v>166</v>
      </c>
      <c r="AD25" s="61" t="n">
        <v>496</v>
      </c>
      <c r="AE25" s="62" t="n">
        <v>762</v>
      </c>
      <c r="AF25" s="62" t="s">
        <v>178</v>
      </c>
      <c r="AG25" s="62" t="s">
        <v>179</v>
      </c>
      <c r="AH25" s="62" t="s">
        <v>180</v>
      </c>
      <c r="AI25" s="67" t="s">
        <v>181</v>
      </c>
      <c r="AK25" s="4" t="n">
        <v>5</v>
      </c>
      <c r="AL25" s="2"/>
    </row>
    <row r="26" customFormat="false" ht="30" hidden="false" customHeight="false" outlineLevel="0" collapsed="false">
      <c r="A26" s="35" t="s">
        <v>113</v>
      </c>
      <c r="B26" s="35" t="s">
        <v>182</v>
      </c>
      <c r="C26" s="35" t="n">
        <f aca="false">1/48</f>
        <v>0.0208333333333333</v>
      </c>
      <c r="D26" s="39" t="n">
        <f aca="false">D$23*C26</f>
        <v>12.7916666666667</v>
      </c>
      <c r="E26" s="35"/>
      <c r="F26" s="35"/>
      <c r="G26" s="35"/>
      <c r="H26" s="53" t="s">
        <v>113</v>
      </c>
      <c r="I26" s="53"/>
      <c r="J26" s="57"/>
      <c r="K26" s="57" t="n">
        <f aca="false">K$23*J26</f>
        <v>0</v>
      </c>
      <c r="L26" s="53"/>
      <c r="M26" s="53" t="n">
        <v>490</v>
      </c>
      <c r="N26" s="57" t="n">
        <v>0.3</v>
      </c>
      <c r="O26" s="54" t="s">
        <v>113</v>
      </c>
      <c r="P26" s="54"/>
      <c r="Q26" s="55"/>
      <c r="R26" s="55" t="n">
        <f aca="false">R$23*Q26</f>
        <v>0</v>
      </c>
      <c r="S26" s="54"/>
      <c r="T26" s="54" t="s">
        <v>8</v>
      </c>
      <c r="U26" s="55" t="s">
        <v>8</v>
      </c>
      <c r="V26" s="54"/>
      <c r="W26" s="53" t="s">
        <v>113</v>
      </c>
      <c r="X26" s="53" t="s">
        <v>183</v>
      </c>
      <c r="Y26" s="53" t="n">
        <f aca="false">79/1980</f>
        <v>0.0398989898989899</v>
      </c>
      <c r="Z26" s="57" t="n">
        <f aca="false">Z$23*Y26</f>
        <v>79</v>
      </c>
      <c r="AA26" s="53"/>
      <c r="AB26" s="53"/>
      <c r="AC26" s="1" t="s">
        <v>184</v>
      </c>
      <c r="AD26" s="68" t="n">
        <v>496</v>
      </c>
      <c r="AE26" s="69" t="n">
        <v>762</v>
      </c>
      <c r="AF26" s="69" t="s">
        <v>185</v>
      </c>
      <c r="AG26" s="69" t="s">
        <v>179</v>
      </c>
      <c r="AH26" s="69" t="s">
        <v>180</v>
      </c>
      <c r="AI26" s="70" t="s">
        <v>186</v>
      </c>
      <c r="AJ26" s="1" t="n">
        <v>6</v>
      </c>
      <c r="AL26" s="2"/>
    </row>
    <row r="27" customFormat="false" ht="30" hidden="false" customHeight="false" outlineLevel="0" collapsed="false">
      <c r="A27" s="35" t="s">
        <v>187</v>
      </c>
      <c r="B27" s="35" t="s">
        <v>188</v>
      </c>
      <c r="C27" s="35" t="n">
        <f aca="false">1/16</f>
        <v>0.0625</v>
      </c>
      <c r="D27" s="39" t="n">
        <f aca="false">D$23*C27</f>
        <v>38.375</v>
      </c>
      <c r="E27" s="39" t="n">
        <f aca="false">D27+D25+D24</f>
        <v>140.708333333333</v>
      </c>
      <c r="F27" s="35"/>
      <c r="G27" s="35"/>
      <c r="H27" s="53" t="s">
        <v>187</v>
      </c>
      <c r="I27" s="53"/>
      <c r="J27" s="57"/>
      <c r="K27" s="57" t="n">
        <f aca="false">K$23*J27</f>
        <v>0</v>
      </c>
      <c r="L27" s="53"/>
      <c r="M27" s="53"/>
      <c r="N27" s="57"/>
      <c r="O27" s="54" t="s">
        <v>187</v>
      </c>
      <c r="P27" s="54"/>
      <c r="Q27" s="55"/>
      <c r="R27" s="55" t="n">
        <f aca="false">R$23*Q27</f>
        <v>0</v>
      </c>
      <c r="S27" s="54"/>
      <c r="T27" s="54"/>
      <c r="U27" s="55"/>
      <c r="V27" s="54"/>
      <c r="W27" s="53" t="s">
        <v>187</v>
      </c>
      <c r="X27" s="53" t="s">
        <v>189</v>
      </c>
      <c r="Y27" s="53" t="n">
        <f aca="false">19/220</f>
        <v>0.0863636363636364</v>
      </c>
      <c r="Z27" s="57" t="n">
        <f aca="false">Z$23*Y27</f>
        <v>171</v>
      </c>
      <c r="AA27" s="53"/>
      <c r="AB27" s="53"/>
      <c r="AC27" s="71" t="s">
        <v>190</v>
      </c>
      <c r="AD27" s="68" t="n">
        <v>496</v>
      </c>
      <c r="AE27" s="69" t="n">
        <v>762</v>
      </c>
      <c r="AF27" s="69" t="s">
        <v>191</v>
      </c>
      <c r="AG27" s="69" t="s">
        <v>179</v>
      </c>
      <c r="AH27" s="69" t="s">
        <v>180</v>
      </c>
      <c r="AI27" s="72" t="s">
        <v>192</v>
      </c>
      <c r="AJ27" s="1" t="n">
        <v>1</v>
      </c>
      <c r="AK27" s="1" t="n">
        <v>15</v>
      </c>
      <c r="AL27" s="2"/>
    </row>
    <row r="28" customFormat="false" ht="30" hidden="false" customHeight="false" outlineLevel="0" collapsed="false">
      <c r="A28" s="35" t="s">
        <v>193</v>
      </c>
      <c r="B28" s="35" t="s">
        <v>194</v>
      </c>
      <c r="C28" s="35" t="n">
        <f aca="false">1/4</f>
        <v>0.25</v>
      </c>
      <c r="D28" s="39" t="n">
        <f aca="false">D$23*C28</f>
        <v>153.5</v>
      </c>
      <c r="E28" s="35"/>
      <c r="F28" s="35"/>
      <c r="G28" s="35"/>
      <c r="H28" s="53" t="s">
        <v>193</v>
      </c>
      <c r="I28" s="53"/>
      <c r="J28" s="57"/>
      <c r="K28" s="57" t="n">
        <f aca="false">K$23*J28</f>
        <v>0</v>
      </c>
      <c r="L28" s="53"/>
      <c r="M28" s="58"/>
      <c r="N28" s="57"/>
      <c r="O28" s="54" t="s">
        <v>193</v>
      </c>
      <c r="P28" s="54"/>
      <c r="Q28" s="55"/>
      <c r="R28" s="55" t="n">
        <f aca="false">R$23*Q28</f>
        <v>0</v>
      </c>
      <c r="S28" s="54"/>
      <c r="T28" s="60"/>
      <c r="U28" s="55"/>
      <c r="V28" s="54"/>
      <c r="W28" s="53" t="s">
        <v>193</v>
      </c>
      <c r="X28" s="53" t="s">
        <v>195</v>
      </c>
      <c r="Y28" s="53" t="n">
        <f aca="false">3/99</f>
        <v>0.0303030303030303</v>
      </c>
      <c r="Z28" s="57" t="n">
        <f aca="false">Z$23*Y28</f>
        <v>60</v>
      </c>
      <c r="AA28" s="53"/>
      <c r="AB28" s="53"/>
      <c r="AC28" s="4" t="n">
        <f aca="false">99*20</f>
        <v>1980</v>
      </c>
      <c r="AD28" s="68" t="n">
        <v>496</v>
      </c>
      <c r="AE28" s="69" t="n">
        <v>762</v>
      </c>
      <c r="AF28" s="69" t="s">
        <v>196</v>
      </c>
      <c r="AG28" s="69" t="s">
        <v>179</v>
      </c>
      <c r="AH28" s="69" t="s">
        <v>180</v>
      </c>
      <c r="AI28" s="70" t="s">
        <v>197</v>
      </c>
      <c r="AK28" s="1" t="n">
        <v>8</v>
      </c>
      <c r="AL28" s="7"/>
    </row>
    <row r="29" customFormat="false" ht="15" hidden="false" customHeight="false" outlineLevel="0" collapsed="false">
      <c r="A29" s="35" t="s">
        <v>150</v>
      </c>
      <c r="B29" s="35" t="s">
        <v>198</v>
      </c>
      <c r="C29" s="35" t="n">
        <f aca="false">3/8</f>
        <v>0.375</v>
      </c>
      <c r="D29" s="39" t="n">
        <f aca="false">D$23*C29</f>
        <v>230.25</v>
      </c>
      <c r="E29" s="35"/>
      <c r="F29" s="35"/>
      <c r="G29" s="35"/>
      <c r="H29" s="53" t="s">
        <v>101</v>
      </c>
      <c r="I29" s="53"/>
      <c r="J29" s="57"/>
      <c r="K29" s="57" t="n">
        <f aca="false">K$23*J29</f>
        <v>0</v>
      </c>
      <c r="L29" s="53"/>
      <c r="M29" s="53"/>
      <c r="N29" s="57"/>
      <c r="O29" s="54" t="s">
        <v>101</v>
      </c>
      <c r="P29" s="54"/>
      <c r="Q29" s="55"/>
      <c r="R29" s="55" t="n">
        <f aca="false">R$23*Q29</f>
        <v>0</v>
      </c>
      <c r="S29" s="54"/>
      <c r="T29" s="54"/>
      <c r="U29" s="55"/>
      <c r="V29" s="54"/>
      <c r="W29" s="53" t="s">
        <v>199</v>
      </c>
      <c r="X29" s="53" t="s">
        <v>200</v>
      </c>
      <c r="Y29" s="53" t="n">
        <f aca="false">1/297</f>
        <v>0.00336700336700337</v>
      </c>
      <c r="Z29" s="57" t="n">
        <f aca="false">Z$23*Y29</f>
        <v>6.66666666666667</v>
      </c>
      <c r="AA29" s="53"/>
      <c r="AB29" s="53"/>
      <c r="AD29" s="68" t="n">
        <v>496</v>
      </c>
      <c r="AE29" s="69" t="n">
        <v>762</v>
      </c>
      <c r="AF29" s="69" t="s">
        <v>201</v>
      </c>
      <c r="AG29" s="69" t="s">
        <v>202</v>
      </c>
      <c r="AH29" s="69" t="s">
        <v>180</v>
      </c>
      <c r="AI29" s="72" t="s">
        <v>203</v>
      </c>
      <c r="AJ29" s="1" t="n">
        <v>3</v>
      </c>
      <c r="AK29" s="1" t="n">
        <v>18</v>
      </c>
      <c r="AL29" s="2"/>
    </row>
    <row r="30" customFormat="false" ht="30" hidden="false" customHeight="false" outlineLevel="0" collapsed="false">
      <c r="A30" s="35" t="s">
        <v>158</v>
      </c>
      <c r="B30" s="35" t="s">
        <v>204</v>
      </c>
      <c r="C30" s="35" t="n">
        <f aca="false">1/8</f>
        <v>0.125</v>
      </c>
      <c r="D30" s="39" t="n">
        <f aca="false">D$23*C30</f>
        <v>76.75</v>
      </c>
      <c r="E30" s="35"/>
      <c r="F30" s="35"/>
      <c r="G30" s="35"/>
      <c r="H30" s="53" t="s">
        <v>19</v>
      </c>
      <c r="I30" s="53"/>
      <c r="J30" s="57"/>
      <c r="K30" s="57" t="n">
        <f aca="false">K$23*J30</f>
        <v>0</v>
      </c>
      <c r="L30" s="53"/>
      <c r="M30" s="53"/>
      <c r="N30" s="57"/>
      <c r="O30" s="54" t="s">
        <v>19</v>
      </c>
      <c r="P30" s="54"/>
      <c r="Q30" s="55"/>
      <c r="R30" s="55" t="n">
        <f aca="false">R$23*Q30</f>
        <v>0</v>
      </c>
      <c r="S30" s="54"/>
      <c r="T30" s="54"/>
      <c r="U30" s="55"/>
      <c r="V30" s="54"/>
      <c r="W30" s="53" t="s">
        <v>19</v>
      </c>
      <c r="X30" s="53" t="s">
        <v>172</v>
      </c>
      <c r="Y30" s="53" t="n">
        <f aca="false">7/198</f>
        <v>0.0353535353535354</v>
      </c>
      <c r="Z30" s="57" t="n">
        <f aca="false">Z$23*Y30</f>
        <v>70</v>
      </c>
      <c r="AA30" s="53"/>
      <c r="AB30" s="53"/>
      <c r="AD30" s="68" t="n">
        <v>496</v>
      </c>
      <c r="AE30" s="69" t="n">
        <v>762</v>
      </c>
      <c r="AF30" s="69" t="s">
        <v>205</v>
      </c>
      <c r="AG30" s="69" t="s">
        <v>179</v>
      </c>
      <c r="AH30" s="69" t="s">
        <v>180</v>
      </c>
      <c r="AI30" s="72" t="s">
        <v>206</v>
      </c>
      <c r="AJ30" s="1" t="n">
        <v>2</v>
      </c>
      <c r="AK30" s="1" t="n">
        <v>18</v>
      </c>
    </row>
    <row r="31" customFormat="false" ht="30" hidden="false" customHeight="false" outlineLevel="0" collapsed="false">
      <c r="A31" s="35"/>
      <c r="B31" s="35"/>
      <c r="C31" s="35"/>
      <c r="D31" s="39" t="n">
        <f aca="false">D$23*C31</f>
        <v>0</v>
      </c>
      <c r="E31" s="35"/>
      <c r="F31" s="35"/>
      <c r="G31" s="35"/>
      <c r="H31" s="53" t="s">
        <v>138</v>
      </c>
      <c r="I31" s="53"/>
      <c r="J31" s="57"/>
      <c r="K31" s="57" t="n">
        <f aca="false">K$23*J31</f>
        <v>0</v>
      </c>
      <c r="L31" s="53"/>
      <c r="M31" s="53"/>
      <c r="N31" s="73" t="n">
        <f aca="false">SUM(N24:N30)</f>
        <v>1.2</v>
      </c>
      <c r="O31" s="54" t="s">
        <v>138</v>
      </c>
      <c r="P31" s="54"/>
      <c r="Q31" s="55"/>
      <c r="R31" s="55" t="n">
        <f aca="false">R$23*Q31</f>
        <v>0</v>
      </c>
      <c r="S31" s="54"/>
      <c r="T31" s="54"/>
      <c r="U31" s="74" t="s">
        <v>8</v>
      </c>
      <c r="V31" s="54"/>
      <c r="W31" s="53" t="s">
        <v>138</v>
      </c>
      <c r="X31" s="53"/>
      <c r="Y31" s="53"/>
      <c r="Z31" s="57" t="n">
        <f aca="false">Z$23*Y31</f>
        <v>0</v>
      </c>
      <c r="AA31" s="53"/>
      <c r="AB31" s="53"/>
      <c r="AD31" s="64" t="n">
        <v>496</v>
      </c>
      <c r="AE31" s="65" t="n">
        <v>762</v>
      </c>
      <c r="AF31" s="65" t="s">
        <v>207</v>
      </c>
      <c r="AG31" s="65" t="s">
        <v>179</v>
      </c>
      <c r="AH31" s="65" t="s">
        <v>180</v>
      </c>
      <c r="AI31" s="75" t="s">
        <v>208</v>
      </c>
      <c r="AJ31" s="1" t="n">
        <v>1</v>
      </c>
      <c r="AK31" s="1" t="n">
        <v>14</v>
      </c>
    </row>
    <row r="32" customFormat="false" ht="30" hidden="false" customHeight="false" outlineLevel="0" collapsed="false">
      <c r="A32" s="35"/>
      <c r="B32" s="35"/>
      <c r="C32" s="35"/>
      <c r="D32" s="39" t="n">
        <f aca="false">D$23*C32</f>
        <v>0</v>
      </c>
      <c r="E32" s="35"/>
      <c r="F32" s="35"/>
      <c r="G32" s="35"/>
      <c r="H32" s="53" t="s">
        <v>144</v>
      </c>
      <c r="I32" s="53"/>
      <c r="J32" s="57"/>
      <c r="K32" s="57" t="n">
        <f aca="false">K$23*J32</f>
        <v>0</v>
      </c>
      <c r="L32" s="53"/>
      <c r="M32" s="53"/>
      <c r="N32" s="57" t="n">
        <f aca="false">12</f>
        <v>12</v>
      </c>
      <c r="O32" s="54" t="s">
        <v>144</v>
      </c>
      <c r="P32" s="54"/>
      <c r="Q32" s="55"/>
      <c r="R32" s="55" t="n">
        <f aca="false">R$23*Q32</f>
        <v>0</v>
      </c>
      <c r="S32" s="54"/>
      <c r="T32" s="54"/>
      <c r="U32" s="55" t="s">
        <v>8</v>
      </c>
      <c r="V32" s="54"/>
      <c r="W32" s="53" t="s">
        <v>144</v>
      </c>
      <c r="X32" s="53" t="s">
        <v>209</v>
      </c>
      <c r="Y32" s="53" t="n">
        <f aca="false">5/66</f>
        <v>0.0757575757575758</v>
      </c>
      <c r="Z32" s="57" t="n">
        <f aca="false">Z$23*Y32</f>
        <v>150</v>
      </c>
      <c r="AA32" s="53"/>
      <c r="AB32" s="53"/>
      <c r="AD32" s="61" t="n">
        <v>496</v>
      </c>
      <c r="AE32" s="62" t="n">
        <v>763</v>
      </c>
      <c r="AF32" s="62" t="s">
        <v>210</v>
      </c>
      <c r="AG32" s="62" t="s">
        <v>179</v>
      </c>
      <c r="AH32" s="62" t="s">
        <v>211</v>
      </c>
      <c r="AI32" s="67" t="s">
        <v>212</v>
      </c>
      <c r="AJ32" s="1" t="n">
        <v>3</v>
      </c>
      <c r="AK32" s="1" t="n">
        <v>6</v>
      </c>
    </row>
    <row r="33" customFormat="false" ht="30" hidden="false" customHeight="false" outlineLevel="0" collapsed="false">
      <c r="A33" s="35"/>
      <c r="B33" s="35"/>
      <c r="C33" s="35"/>
      <c r="D33" s="39"/>
      <c r="E33" s="35"/>
      <c r="F33" s="35"/>
      <c r="G33" s="35"/>
      <c r="H33" s="53" t="s">
        <v>150</v>
      </c>
      <c r="I33" s="53"/>
      <c r="J33" s="57"/>
      <c r="K33" s="57" t="n">
        <f aca="false">K$23*J33</f>
        <v>0</v>
      </c>
      <c r="L33" s="53"/>
      <c r="M33" s="53"/>
      <c r="N33" s="53"/>
      <c r="O33" s="54" t="s">
        <v>150</v>
      </c>
      <c r="P33" s="54"/>
      <c r="Q33" s="55"/>
      <c r="R33" s="55" t="n">
        <f aca="false">R$23*Q33</f>
        <v>0</v>
      </c>
      <c r="S33" s="54"/>
      <c r="T33" s="54"/>
      <c r="U33" s="54"/>
      <c r="V33" s="54"/>
      <c r="W33" s="53" t="s">
        <v>150</v>
      </c>
      <c r="X33" s="53" t="s">
        <v>170</v>
      </c>
      <c r="Y33" s="53" t="n">
        <f aca="false">1/12</f>
        <v>0.0833333333333333</v>
      </c>
      <c r="Z33" s="57" t="n">
        <f aca="false">Z$23*Y33</f>
        <v>165</v>
      </c>
      <c r="AA33" s="53"/>
      <c r="AB33" s="53"/>
      <c r="AD33" s="68" t="n">
        <v>496</v>
      </c>
      <c r="AE33" s="69" t="n">
        <v>763</v>
      </c>
      <c r="AF33" s="69" t="s">
        <v>213</v>
      </c>
      <c r="AG33" s="69" t="s">
        <v>179</v>
      </c>
      <c r="AH33" s="69" t="s">
        <v>211</v>
      </c>
      <c r="AI33" s="72" t="s">
        <v>214</v>
      </c>
      <c r="AJ33" s="1" t="n">
        <v>3</v>
      </c>
      <c r="AK33" s="1" t="n">
        <v>16</v>
      </c>
    </row>
    <row r="34" customFormat="false" ht="30" hidden="false" customHeight="false" outlineLevel="0" collapsed="false">
      <c r="A34" s="35"/>
      <c r="B34" s="35"/>
      <c r="C34" s="35"/>
      <c r="D34" s="39"/>
      <c r="E34" s="35"/>
      <c r="F34" s="35"/>
      <c r="G34" s="35"/>
      <c r="H34" s="53" t="s">
        <v>158</v>
      </c>
      <c r="I34" s="53"/>
      <c r="J34" s="57"/>
      <c r="K34" s="57" t="n">
        <f aca="false">K$23*J34</f>
        <v>0</v>
      </c>
      <c r="L34" s="53"/>
      <c r="M34" s="53"/>
      <c r="N34" s="53"/>
      <c r="O34" s="54" t="s">
        <v>158</v>
      </c>
      <c r="P34" s="54"/>
      <c r="Q34" s="55"/>
      <c r="R34" s="55" t="n">
        <f aca="false">R$23*Q34</f>
        <v>0</v>
      </c>
      <c r="S34" s="54"/>
      <c r="T34" s="54"/>
      <c r="U34" s="54"/>
      <c r="V34" s="54"/>
      <c r="W34" s="53" t="s">
        <v>158</v>
      </c>
      <c r="X34" s="53" t="s">
        <v>170</v>
      </c>
      <c r="Y34" s="53" t="n">
        <f aca="false">1/12</f>
        <v>0.0833333333333333</v>
      </c>
      <c r="Z34" s="57" t="n">
        <f aca="false">Z$23*Y34</f>
        <v>165</v>
      </c>
      <c r="AA34" s="53"/>
      <c r="AB34" s="53"/>
      <c r="AD34" s="68" t="n">
        <v>496</v>
      </c>
      <c r="AE34" s="69" t="n">
        <v>763</v>
      </c>
      <c r="AF34" s="69" t="s">
        <v>207</v>
      </c>
      <c r="AG34" s="69" t="s">
        <v>179</v>
      </c>
      <c r="AH34" s="69" t="s">
        <v>180</v>
      </c>
      <c r="AI34" s="72" t="s">
        <v>215</v>
      </c>
      <c r="AJ34" s="1" t="n">
        <v>5</v>
      </c>
      <c r="AK34" s="1" t="n">
        <v>17</v>
      </c>
    </row>
    <row r="35" customFormat="false" ht="30" hidden="false" customHeight="false" outlineLevel="0" collapsed="false">
      <c r="A35" s="35"/>
      <c r="B35" s="35"/>
      <c r="C35" s="35"/>
      <c r="D35" s="39" t="n">
        <f aca="false">D$23*C35</f>
        <v>0</v>
      </c>
      <c r="E35" s="35" t="n">
        <f aca="false">D35/20</f>
        <v>0</v>
      </c>
      <c r="F35" s="35"/>
      <c r="G35" s="35"/>
      <c r="H35" s="53"/>
      <c r="I35" s="53"/>
      <c r="J35" s="57"/>
      <c r="K35" s="57" t="n">
        <f aca="false">K$23*J35</f>
        <v>0</v>
      </c>
      <c r="L35" s="53" t="n">
        <f aca="false">K35/20</f>
        <v>0</v>
      </c>
      <c r="M35" s="53"/>
      <c r="N35" s="53"/>
      <c r="O35" s="54"/>
      <c r="P35" s="54"/>
      <c r="Q35" s="55"/>
      <c r="R35" s="55" t="n">
        <f aca="false">R$23*Q35</f>
        <v>0</v>
      </c>
      <c r="S35" s="54" t="n">
        <f aca="false">R35/20</f>
        <v>0</v>
      </c>
      <c r="T35" s="54"/>
      <c r="U35" s="54"/>
      <c r="V35" s="54"/>
      <c r="W35" s="53"/>
      <c r="X35" s="53"/>
      <c r="Y35" s="53"/>
      <c r="Z35" s="57" t="n">
        <f aca="false">Z$23*Y35</f>
        <v>0</v>
      </c>
      <c r="AA35" s="53" t="n">
        <f aca="false">Z35/20</f>
        <v>0</v>
      </c>
      <c r="AB35" s="53"/>
      <c r="AD35" s="64" t="n">
        <v>496</v>
      </c>
      <c r="AE35" s="65" t="n">
        <v>763</v>
      </c>
      <c r="AF35" s="65" t="s">
        <v>216</v>
      </c>
      <c r="AG35" s="65" t="s">
        <v>179</v>
      </c>
      <c r="AH35" s="65" t="s">
        <v>180</v>
      </c>
      <c r="AI35" s="75" t="s">
        <v>217</v>
      </c>
      <c r="AJ35" s="1" t="n">
        <v>4</v>
      </c>
      <c r="AK35" s="1" t="n">
        <v>9</v>
      </c>
    </row>
    <row r="36" customFormat="false" ht="30" hidden="false" customHeight="false" outlineLevel="0" collapsed="false">
      <c r="A36" s="35"/>
      <c r="B36" s="35"/>
      <c r="C36" s="49" t="n">
        <f aca="false">SUM(C24:C35)</f>
        <v>1</v>
      </c>
      <c r="D36" s="49" t="n">
        <f aca="false">SUM(D24:D35)</f>
        <v>614</v>
      </c>
      <c r="E36" s="35"/>
      <c r="F36" s="35"/>
      <c r="G36" s="35"/>
      <c r="H36" s="53"/>
      <c r="I36" s="53"/>
      <c r="J36" s="57"/>
      <c r="K36" s="73" t="n">
        <f aca="false">SUM(K24:K35)</f>
        <v>0.220970266040689</v>
      </c>
      <c r="L36" s="53"/>
      <c r="M36" s="53"/>
      <c r="N36" s="53"/>
      <c r="O36" s="54"/>
      <c r="P36" s="54"/>
      <c r="Q36" s="55"/>
      <c r="R36" s="74" t="n">
        <f aca="false">SUM(R24:R35)</f>
        <v>2.06238914971309</v>
      </c>
      <c r="S36" s="54"/>
      <c r="T36" s="54"/>
      <c r="U36" s="54"/>
      <c r="V36" s="54"/>
      <c r="W36" s="53"/>
      <c r="X36" s="53"/>
      <c r="Y36" s="73" t="n">
        <f aca="false">SUM(Y24:Y35)</f>
        <v>0.508417508417508</v>
      </c>
      <c r="Z36" s="73" t="n">
        <f aca="false">SUM(Z24:Z35)</f>
        <v>1006.66666666667</v>
      </c>
      <c r="AA36" s="53"/>
      <c r="AB36" s="53"/>
      <c r="AD36" s="61" t="n">
        <v>496</v>
      </c>
      <c r="AE36" s="62" t="n">
        <v>764</v>
      </c>
      <c r="AF36" s="62" t="s">
        <v>218</v>
      </c>
      <c r="AG36" s="62" t="s">
        <v>179</v>
      </c>
      <c r="AH36" s="62" t="s">
        <v>180</v>
      </c>
      <c r="AI36" s="72" t="s">
        <v>219</v>
      </c>
      <c r="AJ36" s="1" t="n">
        <v>7</v>
      </c>
      <c r="AK36" s="1" t="n">
        <v>7</v>
      </c>
    </row>
    <row r="37" customFormat="false" ht="30" hidden="false" customHeight="false" outlineLevel="0" collapsed="false">
      <c r="J37" s="2"/>
      <c r="AD37" s="68" t="n">
        <v>496</v>
      </c>
      <c r="AE37" s="69" t="n">
        <v>764</v>
      </c>
      <c r="AF37" s="69" t="s">
        <v>220</v>
      </c>
      <c r="AG37" s="69" t="s">
        <v>179</v>
      </c>
      <c r="AH37" s="69" t="s">
        <v>180</v>
      </c>
      <c r="AI37" s="72" t="s">
        <v>219</v>
      </c>
      <c r="AJ37" s="1" t="n">
        <v>7</v>
      </c>
      <c r="AK37" s="1" t="n">
        <v>7</v>
      </c>
    </row>
    <row r="38" customFormat="false" ht="30" hidden="false" customHeight="false" outlineLevel="0" collapsed="false">
      <c r="J38" s="2"/>
      <c r="P38" s="3"/>
      <c r="V38" s="3"/>
      <c r="W38" s="76"/>
      <c r="X38" s="76"/>
      <c r="AD38" s="68" t="n">
        <v>496</v>
      </c>
      <c r="AE38" s="69" t="n">
        <v>764</v>
      </c>
      <c r="AF38" s="69" t="s">
        <v>221</v>
      </c>
      <c r="AG38" s="69" t="s">
        <v>179</v>
      </c>
      <c r="AH38" s="69" t="s">
        <v>211</v>
      </c>
      <c r="AI38" s="72" t="s">
        <v>222</v>
      </c>
      <c r="AJ38" s="1" t="n">
        <v>6</v>
      </c>
      <c r="AK38" s="1" t="n">
        <v>12</v>
      </c>
    </row>
    <row r="39" customFormat="false" ht="30" hidden="false" customHeight="false" outlineLevel="0" collapsed="false">
      <c r="Q39" s="3"/>
      <c r="R39" s="3"/>
      <c r="T39" s="4"/>
      <c r="Y39" s="3"/>
      <c r="Z39" s="3"/>
      <c r="AB39" s="4"/>
      <c r="AD39" s="64" t="n">
        <v>496</v>
      </c>
      <c r="AE39" s="65" t="n">
        <v>764</v>
      </c>
      <c r="AF39" s="65" t="s">
        <v>223</v>
      </c>
      <c r="AG39" s="65" t="s">
        <v>179</v>
      </c>
      <c r="AH39" s="65" t="s">
        <v>180</v>
      </c>
      <c r="AI39" s="66" t="s">
        <v>224</v>
      </c>
      <c r="AJ39" s="4" t="n">
        <v>0</v>
      </c>
      <c r="AK39" s="1" t="n">
        <v>4</v>
      </c>
    </row>
    <row r="40" customFormat="false" ht="30" hidden="false" customHeight="false" outlineLevel="0" collapsed="false">
      <c r="Q40" s="2"/>
      <c r="U40" s="2"/>
      <c r="Y40" s="2"/>
      <c r="AC40" s="9"/>
      <c r="AD40" s="61" t="n">
        <v>496</v>
      </c>
      <c r="AE40" s="62" t="n">
        <v>765</v>
      </c>
      <c r="AF40" s="62" t="s">
        <v>225</v>
      </c>
      <c r="AG40" s="62" t="s">
        <v>179</v>
      </c>
      <c r="AH40" s="62" t="s">
        <v>180</v>
      </c>
      <c r="AI40" s="67" t="s">
        <v>226</v>
      </c>
      <c r="AJ40" s="1" t="n">
        <v>1</v>
      </c>
      <c r="AK40" s="2" t="n">
        <v>11</v>
      </c>
    </row>
    <row r="41" customFormat="false" ht="30" hidden="false" customHeight="false" outlineLevel="0" collapsed="false">
      <c r="Q41" s="2"/>
      <c r="T41" s="4"/>
      <c r="U41" s="2"/>
      <c r="Y41" s="2"/>
      <c r="AC41" s="9"/>
      <c r="AD41" s="64" t="n">
        <v>496</v>
      </c>
      <c r="AE41" s="65" t="n">
        <v>765</v>
      </c>
      <c r="AF41" s="65" t="s">
        <v>191</v>
      </c>
      <c r="AG41" s="65" t="s">
        <v>179</v>
      </c>
      <c r="AH41" s="65" t="s">
        <v>180</v>
      </c>
      <c r="AI41" s="75" t="s">
        <v>227</v>
      </c>
      <c r="AJ41" s="4" t="n">
        <v>4</v>
      </c>
      <c r="AK41" s="2" t="n">
        <v>19</v>
      </c>
    </row>
    <row r="42" customFormat="false" ht="30" hidden="false" customHeight="false" outlineLevel="0" collapsed="false">
      <c r="Q42" s="2"/>
      <c r="U42" s="2"/>
      <c r="Y42" s="2"/>
      <c r="AC42" s="9"/>
      <c r="AD42" s="61" t="n">
        <v>496</v>
      </c>
      <c r="AE42" s="62" t="n">
        <v>766</v>
      </c>
      <c r="AF42" s="62" t="s">
        <v>228</v>
      </c>
      <c r="AG42" s="62" t="s">
        <v>179</v>
      </c>
      <c r="AH42" s="62" t="s">
        <v>180</v>
      </c>
      <c r="AI42" s="67" t="s">
        <v>229</v>
      </c>
      <c r="AJ42" s="1" t="n">
        <v>1</v>
      </c>
      <c r="AK42" s="2" t="n">
        <v>10</v>
      </c>
    </row>
    <row r="43" customFormat="false" ht="30" hidden="false" customHeight="false" outlineLevel="0" collapsed="false">
      <c r="Q43" s="2"/>
      <c r="U43" s="2"/>
      <c r="Y43" s="2"/>
      <c r="AC43" s="9"/>
      <c r="AD43" s="68" t="n">
        <v>496</v>
      </c>
      <c r="AE43" s="69" t="n">
        <v>766</v>
      </c>
      <c r="AF43" s="69" t="s">
        <v>230</v>
      </c>
      <c r="AG43" s="69" t="s">
        <v>179</v>
      </c>
      <c r="AH43" s="69" t="s">
        <v>180</v>
      </c>
      <c r="AI43" s="72" t="s">
        <v>231</v>
      </c>
      <c r="AJ43" s="1" t="n">
        <v>3</v>
      </c>
      <c r="AK43" s="2" t="n">
        <v>10</v>
      </c>
    </row>
    <row r="44" customFormat="false" ht="30" hidden="false" customHeight="false" outlineLevel="0" collapsed="false">
      <c r="Q44" s="2"/>
      <c r="T44" s="4"/>
      <c r="U44" s="2"/>
      <c r="Y44" s="2"/>
      <c r="AB44" s="4"/>
      <c r="AC44" s="9"/>
      <c r="AD44" s="68" t="n">
        <v>496</v>
      </c>
      <c r="AE44" s="69" t="n">
        <v>766</v>
      </c>
      <c r="AF44" s="69" t="s">
        <v>223</v>
      </c>
      <c r="AG44" s="69" t="s">
        <v>179</v>
      </c>
      <c r="AH44" s="69" t="s">
        <v>180</v>
      </c>
      <c r="AI44" s="70" t="s">
        <v>232</v>
      </c>
      <c r="AJ44" s="4"/>
      <c r="AK44" s="2" t="n">
        <v>19</v>
      </c>
    </row>
    <row r="45" customFormat="false" ht="30" hidden="false" customHeight="false" outlineLevel="0" collapsed="false">
      <c r="Q45" s="2"/>
      <c r="U45" s="2"/>
      <c r="Y45" s="2"/>
      <c r="AC45" s="9"/>
      <c r="AD45" s="64" t="n">
        <v>496</v>
      </c>
      <c r="AE45" s="65" t="n">
        <v>766</v>
      </c>
      <c r="AF45" s="65" t="s">
        <v>233</v>
      </c>
      <c r="AG45" s="65" t="s">
        <v>179</v>
      </c>
      <c r="AH45" s="65" t="s">
        <v>180</v>
      </c>
      <c r="AI45" s="66" t="s">
        <v>234</v>
      </c>
      <c r="AJ45" s="1" t="n">
        <v>4</v>
      </c>
      <c r="AK45" s="2"/>
    </row>
    <row r="46" customFormat="false" ht="30" hidden="false" customHeight="false" outlineLevel="0" collapsed="false">
      <c r="Q46" s="2"/>
      <c r="U46" s="2"/>
      <c r="Y46" s="2"/>
      <c r="AC46" s="9"/>
      <c r="AD46" s="77" t="n">
        <v>496</v>
      </c>
      <c r="AE46" s="78" t="n">
        <v>767</v>
      </c>
      <c r="AF46" s="78" t="s">
        <v>235</v>
      </c>
      <c r="AG46" s="78" t="s">
        <v>179</v>
      </c>
      <c r="AH46" s="78" t="s">
        <v>180</v>
      </c>
      <c r="AI46" s="79" t="s">
        <v>215</v>
      </c>
      <c r="AJ46" s="1" t="n">
        <v>5</v>
      </c>
      <c r="AK46" s="2" t="n">
        <v>17</v>
      </c>
    </row>
    <row r="47" customFormat="false" ht="30" hidden="false" customHeight="false" outlineLevel="0" collapsed="false">
      <c r="Q47" s="2"/>
      <c r="U47" s="7"/>
      <c r="Y47" s="2"/>
      <c r="AC47" s="7"/>
      <c r="AD47" s="68" t="n">
        <v>496</v>
      </c>
      <c r="AE47" s="69" t="n">
        <v>767</v>
      </c>
      <c r="AF47" s="69" t="s">
        <v>236</v>
      </c>
      <c r="AG47" s="69" t="s">
        <v>179</v>
      </c>
      <c r="AH47" s="69" t="s">
        <v>180</v>
      </c>
      <c r="AI47" s="72" t="s">
        <v>192</v>
      </c>
      <c r="AJ47" s="1" t="n">
        <v>1</v>
      </c>
      <c r="AK47" s="7" t="n">
        <v>15</v>
      </c>
    </row>
    <row r="48" customFormat="false" ht="30" hidden="false" customHeight="false" outlineLevel="0" collapsed="false">
      <c r="Q48" s="2"/>
      <c r="U48" s="2"/>
      <c r="Y48" s="2"/>
      <c r="AC48" s="2"/>
      <c r="AD48" s="68" t="n">
        <v>496</v>
      </c>
      <c r="AE48" s="69" t="n">
        <v>767</v>
      </c>
      <c r="AF48" s="69" t="s">
        <v>237</v>
      </c>
      <c r="AG48" s="69" t="s">
        <v>179</v>
      </c>
      <c r="AH48" s="69" t="s">
        <v>180</v>
      </c>
      <c r="AI48" s="72" t="s">
        <v>231</v>
      </c>
      <c r="AJ48" s="1" t="n">
        <v>3</v>
      </c>
      <c r="AK48" s="2" t="n">
        <v>10</v>
      </c>
    </row>
    <row r="49" customFormat="false" ht="30" hidden="false" customHeight="false" outlineLevel="0" collapsed="false">
      <c r="Q49" s="2"/>
      <c r="Y49" s="2"/>
      <c r="AD49" s="68" t="n">
        <v>496</v>
      </c>
      <c r="AE49" s="69" t="n">
        <v>767</v>
      </c>
      <c r="AF49" s="69" t="s">
        <v>238</v>
      </c>
      <c r="AG49" s="69" t="s">
        <v>179</v>
      </c>
      <c r="AH49" s="69" t="s">
        <v>180</v>
      </c>
      <c r="AI49" s="70" t="s">
        <v>239</v>
      </c>
      <c r="AJ49" s="1" t="n">
        <v>2</v>
      </c>
    </row>
    <row r="50" customFormat="false" ht="30" hidden="false" customHeight="false" outlineLevel="0" collapsed="false">
      <c r="Q50" s="2"/>
      <c r="Y50" s="2"/>
      <c r="AD50" s="64" t="n">
        <v>496</v>
      </c>
      <c r="AE50" s="65" t="n">
        <v>767</v>
      </c>
      <c r="AF50" s="65" t="s">
        <v>240</v>
      </c>
      <c r="AG50" s="65" t="s">
        <v>179</v>
      </c>
      <c r="AH50" s="65" t="s">
        <v>180</v>
      </c>
      <c r="AI50" s="66" t="s">
        <v>234</v>
      </c>
      <c r="AJ50" s="1" t="n">
        <v>4</v>
      </c>
    </row>
    <row r="51" customFormat="false" ht="30" hidden="false" customHeight="false" outlineLevel="0" collapsed="false">
      <c r="Q51" s="2"/>
      <c r="Y51" s="2"/>
      <c r="AD51" s="80" t="n">
        <v>496</v>
      </c>
      <c r="AE51" s="81" t="n">
        <v>768</v>
      </c>
      <c r="AF51" s="81" t="s">
        <v>241</v>
      </c>
      <c r="AG51" s="81" t="s">
        <v>179</v>
      </c>
      <c r="AH51" s="81" t="s">
        <v>180</v>
      </c>
      <c r="AI51" s="82" t="s">
        <v>234</v>
      </c>
      <c r="AJ51" s="1" t="n">
        <v>4</v>
      </c>
    </row>
    <row r="52" customFormat="false" ht="14.25" hidden="false" customHeight="false" outlineLevel="0" collapsed="false">
      <c r="Q52" s="7"/>
      <c r="Y52" s="7"/>
      <c r="AG52" s="2"/>
      <c r="AH52" s="7"/>
      <c r="AJ52" s="3" t="n">
        <f aca="false">SUM(AJ23:AJ51)</f>
        <v>81</v>
      </c>
      <c r="AK52" s="3" t="n">
        <f aca="false">SUM(AK23:AK51)</f>
        <v>270</v>
      </c>
    </row>
    <row r="53" customFormat="false" ht="14.25" hidden="false" customHeight="false" outlineLevel="0" collapsed="false">
      <c r="AG53" s="2"/>
      <c r="AK53" s="1" t="n">
        <f aca="false">AK52/20</f>
        <v>13.5</v>
      </c>
    </row>
    <row r="54" customFormat="false" ht="14.25" hidden="false" customHeight="false" outlineLevel="0" collapsed="false">
      <c r="AG54" s="2"/>
      <c r="AJ54" s="1" t="n">
        <v>94</v>
      </c>
      <c r="AK54" s="1" t="n">
        <v>10</v>
      </c>
    </row>
    <row r="55" customFormat="false" ht="14.25" hidden="false" customHeight="false" outlineLevel="0" collapsed="false">
      <c r="AG55" s="2"/>
    </row>
    <row r="56" customFormat="false" ht="14.25" hidden="false" customHeight="false" outlineLevel="0" collapsed="false">
      <c r="AG56" s="2"/>
    </row>
    <row r="57" customFormat="false" ht="14.25" hidden="false" customHeight="false" outlineLevel="0" collapsed="false">
      <c r="AG57" s="2"/>
    </row>
    <row r="58" customFormat="false" ht="14.25" hidden="false" customHeight="false" outlineLevel="0" collapsed="false">
      <c r="AG58" s="2"/>
    </row>
    <row r="59" customFormat="false" ht="14.25" hidden="false" customHeight="false" outlineLevel="0" collapsed="false">
      <c r="AG59" s="2"/>
    </row>
    <row r="60" customFormat="false" ht="14.25" hidden="false" customHeight="false" outlineLevel="0" collapsed="false">
      <c r="AG60" s="2"/>
    </row>
    <row r="61" customFormat="false" ht="14.25" hidden="false" customHeight="false" outlineLevel="0" collapsed="false">
      <c r="AG61" s="2"/>
    </row>
    <row r="62" customFormat="false" ht="14.25" hidden="false" customHeight="false" outlineLevel="0" collapsed="false">
      <c r="AG62" s="2"/>
    </row>
    <row r="63" customFormat="false" ht="14.25" hidden="false" customHeight="false" outlineLevel="0" collapsed="false">
      <c r="AG63" s="2"/>
    </row>
    <row r="64" customFormat="false" ht="14.25" hidden="false" customHeight="false" outlineLevel="0" collapsed="false">
      <c r="AG64" s="2"/>
    </row>
    <row r="65" customFormat="false" ht="14.25" hidden="false" customHeight="false" outlineLevel="0" collapsed="false">
      <c r="AG65" s="2"/>
    </row>
    <row r="66" customFormat="false" ht="14.25" hidden="false" customHeight="false" outlineLevel="0" collapsed="false">
      <c r="AG66" s="2"/>
    </row>
    <row r="67" customFormat="false" ht="14.25" hidden="false" customHeight="false" outlineLevel="0" collapsed="false">
      <c r="AG67" s="2"/>
    </row>
    <row r="68" customFormat="false" ht="14.25" hidden="false" customHeight="false" outlineLevel="0" collapsed="false">
      <c r="AG68" s="2"/>
    </row>
    <row r="69" customFormat="false" ht="14.25" hidden="false" customHeight="false" outlineLevel="0" collapsed="false">
      <c r="AG6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1.33"/>
    <col collapsed="false" customWidth="true" hidden="false" outlineLevel="0" max="6" min="6" style="1" width="20.66"/>
    <col collapsed="false" customWidth="true" hidden="false" outlineLevel="0" max="7" min="7" style="1" width="7.56"/>
    <col collapsed="false" customWidth="true" hidden="false" outlineLevel="0" max="10" min="9" style="1" width="4.79"/>
    <col collapsed="false" customWidth="true" hidden="false" outlineLevel="0" max="11" min="11" style="1" width="15.56"/>
    <col collapsed="false" customWidth="true" hidden="false" outlineLevel="0" max="12" min="12" style="1" width="17.11"/>
    <col collapsed="false" customWidth="true" hidden="false" outlineLevel="0" max="16" min="16" style="1" width="23.88"/>
    <col collapsed="false" customWidth="true" hidden="false" outlineLevel="0" max="20" min="19" style="1" width="6.67"/>
    <col collapsed="false" customWidth="true" hidden="false" outlineLevel="0" max="21" min="21" style="1" width="13.44"/>
    <col collapsed="false" customWidth="true" hidden="false" outlineLevel="0" max="22" min="22" style="1" width="11.56"/>
    <col collapsed="false" customWidth="true" hidden="false" outlineLevel="0" max="23" min="23" style="2" width="8.88"/>
    <col collapsed="false" customWidth="true" hidden="false" outlineLevel="0" max="25" min="25" style="1" width="6.77"/>
    <col collapsed="false" customWidth="true" hidden="false" outlineLevel="0" max="26" min="26" style="1" width="20"/>
    <col collapsed="false" customWidth="true" hidden="false" outlineLevel="0" max="27" min="27" style="1" width="10.88"/>
    <col collapsed="false" customWidth="true" hidden="false" outlineLevel="0" max="31" min="31" style="1" width="24.21"/>
    <col collapsed="false" customWidth="true" hidden="false" outlineLevel="0" max="33" min="33" style="1" width="9.56"/>
  </cols>
  <sheetData>
    <row r="1" customFormat="false" ht="21" hidden="false" customHeight="false" outlineLevel="0" collapsed="false">
      <c r="A1" s="3" t="s">
        <v>0</v>
      </c>
      <c r="B1" s="3"/>
      <c r="C1" s="4" t="n">
        <v>100</v>
      </c>
      <c r="D1" s="3" t="s">
        <v>1</v>
      </c>
      <c r="E1" s="3" t="s">
        <v>2</v>
      </c>
      <c r="F1" s="3"/>
      <c r="G1" s="3" t="s">
        <v>3</v>
      </c>
      <c r="H1" s="3" t="s">
        <v>4</v>
      </c>
      <c r="I1" s="3" t="s">
        <v>5</v>
      </c>
      <c r="J1" s="3"/>
      <c r="K1" s="3" t="s">
        <v>0</v>
      </c>
      <c r="L1" s="3"/>
      <c r="M1" s="4" t="n">
        <v>101</v>
      </c>
      <c r="N1" s="3" t="s">
        <v>1</v>
      </c>
      <c r="O1" s="3" t="s">
        <v>2</v>
      </c>
      <c r="P1" s="3"/>
      <c r="Q1" s="3" t="s">
        <v>3</v>
      </c>
      <c r="R1" s="3" t="s">
        <v>4</v>
      </c>
      <c r="S1" s="3" t="s">
        <v>5</v>
      </c>
      <c r="T1" s="3"/>
      <c r="U1" s="3" t="s">
        <v>0</v>
      </c>
      <c r="V1" s="3"/>
      <c r="W1" s="4" t="n">
        <v>102</v>
      </c>
      <c r="X1" s="3" t="s">
        <v>1</v>
      </c>
      <c r="Y1" s="3" t="s">
        <v>2</v>
      </c>
      <c r="Z1" s="3"/>
      <c r="AA1" s="3" t="s">
        <v>3</v>
      </c>
      <c r="AB1" s="3" t="s">
        <v>4</v>
      </c>
      <c r="AC1" s="3" t="s">
        <v>5</v>
      </c>
      <c r="AE1" s="3" t="s">
        <v>6</v>
      </c>
      <c r="AF1" s="3" t="s">
        <v>7</v>
      </c>
    </row>
    <row r="2" customFormat="false" ht="21" hidden="false" customHeight="false" outlineLevel="0" collapsed="false">
      <c r="D2" s="3" t="n">
        <f aca="false">81*20+18</f>
        <v>1638</v>
      </c>
      <c r="E2" s="3" t="n">
        <v>172</v>
      </c>
      <c r="F2" s="3"/>
      <c r="G2" s="4" t="n">
        <v>9</v>
      </c>
      <c r="N2" s="3" t="n">
        <f aca="false">17*20+6</f>
        <v>346</v>
      </c>
      <c r="O2" s="3" t="s">
        <v>8</v>
      </c>
      <c r="Q2" s="4" t="n">
        <v>1</v>
      </c>
      <c r="X2" s="3" t="n">
        <f aca="false">67*20+7</f>
        <v>1347</v>
      </c>
      <c r="Y2" s="3" t="s">
        <v>8</v>
      </c>
      <c r="Z2" s="4"/>
      <c r="AA2" s="4" t="n">
        <v>10</v>
      </c>
      <c r="AE2" s="1" t="s">
        <v>9</v>
      </c>
      <c r="AF2" s="1" t="s">
        <v>10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1" t="n">
        <f aca="false">97/819</f>
        <v>0.118437118437118</v>
      </c>
      <c r="D3" s="2" t="n">
        <f aca="false">D$2*C3</f>
        <v>194</v>
      </c>
      <c r="F3" s="1" t="s">
        <v>13</v>
      </c>
      <c r="G3" s="1" t="n">
        <v>11</v>
      </c>
      <c r="H3" s="1" t="n">
        <v>8</v>
      </c>
      <c r="I3" s="1" t="n">
        <v>0</v>
      </c>
      <c r="K3" s="1" t="s">
        <v>14</v>
      </c>
      <c r="L3" s="1" t="s">
        <v>15</v>
      </c>
      <c r="M3" s="1" t="n">
        <f aca="false">27/346</f>
        <v>0.0780346820809249</v>
      </c>
      <c r="N3" s="2" t="n">
        <f aca="false">N$2*M3</f>
        <v>27</v>
      </c>
      <c r="O3" s="3" t="n">
        <v>174</v>
      </c>
      <c r="P3" s="1" t="s">
        <v>13</v>
      </c>
      <c r="Q3" s="1" t="n">
        <v>25</v>
      </c>
      <c r="R3" s="1" t="n">
        <v>2</v>
      </c>
      <c r="S3" s="1" t="n">
        <v>18</v>
      </c>
      <c r="U3" s="1" t="s">
        <v>14</v>
      </c>
      <c r="V3" s="2" t="s">
        <v>16</v>
      </c>
      <c r="W3" s="2" t="n">
        <f aca="false">106/1347</f>
        <v>0.0786933927245731</v>
      </c>
      <c r="X3" s="2" t="n">
        <f aca="false">X$2*W3</f>
        <v>106</v>
      </c>
      <c r="Y3" s="3" t="n">
        <v>177</v>
      </c>
      <c r="Z3" s="1" t="s">
        <v>17</v>
      </c>
      <c r="AA3" s="1" t="s">
        <v>18</v>
      </c>
      <c r="AB3" s="1" t="n">
        <v>5</v>
      </c>
      <c r="AC3" s="1" t="n">
        <v>6</v>
      </c>
      <c r="AE3" s="1" t="s">
        <v>19</v>
      </c>
      <c r="AF3" s="1" t="s">
        <v>10</v>
      </c>
    </row>
    <row r="4" customFormat="false" ht="21" hidden="false" customHeight="false" outlineLevel="0" collapsed="false">
      <c r="A4" s="1" t="s">
        <v>20</v>
      </c>
      <c r="B4" s="1" t="s">
        <v>21</v>
      </c>
      <c r="C4" s="1" t="n">
        <f aca="false">38/819</f>
        <v>0.0463980463980464</v>
      </c>
      <c r="D4" s="2" t="n">
        <f aca="false">D$2*C4</f>
        <v>76</v>
      </c>
      <c r="G4" s="1" t="n">
        <v>20</v>
      </c>
      <c r="H4" s="1" t="n">
        <v>8</v>
      </c>
      <c r="I4" s="1" t="n">
        <v>0</v>
      </c>
      <c r="K4" s="1" t="s">
        <v>22</v>
      </c>
      <c r="L4" s="1" t="s">
        <v>23</v>
      </c>
      <c r="M4" s="1" t="n">
        <f aca="false">25/346</f>
        <v>0.0722543352601156</v>
      </c>
      <c r="N4" s="2" t="n">
        <f aca="false">N$2*M4</f>
        <v>25</v>
      </c>
      <c r="Q4" s="4" t="n">
        <v>10</v>
      </c>
      <c r="V4" s="2"/>
      <c r="X4" s="2"/>
      <c r="AA4" s="1" t="s">
        <v>24</v>
      </c>
      <c r="AB4" s="1" t="n">
        <v>2</v>
      </c>
      <c r="AC4" s="1" t="n">
        <v>6</v>
      </c>
      <c r="AE4" s="1" t="s">
        <v>25</v>
      </c>
      <c r="AF4" s="1" t="s">
        <v>10</v>
      </c>
    </row>
    <row r="5" customFormat="false" ht="14.25" hidden="false" customHeight="false" outlineLevel="0" collapsed="false">
      <c r="A5" s="1" t="s">
        <v>26</v>
      </c>
      <c r="B5" s="1" t="s">
        <v>27</v>
      </c>
      <c r="C5" s="1" t="n">
        <f aca="false">43/546</f>
        <v>0.0787545787545788</v>
      </c>
      <c r="D5" s="2" t="n">
        <f aca="false">D$2*C5</f>
        <v>129</v>
      </c>
      <c r="G5" s="1" t="n">
        <v>21</v>
      </c>
      <c r="H5" s="1" t="n">
        <v>8</v>
      </c>
      <c r="I5" s="1" t="n">
        <v>0</v>
      </c>
      <c r="K5" s="1" t="s">
        <v>28</v>
      </c>
      <c r="L5" s="1" t="s">
        <v>29</v>
      </c>
      <c r="M5" s="1" t="n">
        <f aca="false">149/346</f>
        <v>0.430635838150289</v>
      </c>
      <c r="N5" s="5" t="n">
        <f aca="false">N$2*M5</f>
        <v>149</v>
      </c>
      <c r="O5" s="3" t="n">
        <v>175</v>
      </c>
      <c r="P5" s="1" t="s">
        <v>30</v>
      </c>
      <c r="Q5" s="1" t="n">
        <v>4</v>
      </c>
      <c r="R5" s="1" t="n">
        <v>5</v>
      </c>
      <c r="S5" s="1" t="n">
        <v>14</v>
      </c>
      <c r="U5" s="1" t="s">
        <v>26</v>
      </c>
      <c r="V5" s="2" t="s">
        <v>31</v>
      </c>
      <c r="W5" s="2" t="n">
        <f aca="false">11/449</f>
        <v>0.0244988864142539</v>
      </c>
      <c r="X5" s="2" t="n">
        <f aca="false">X$2*W5</f>
        <v>33</v>
      </c>
      <c r="AA5" s="1" t="s">
        <v>32</v>
      </c>
      <c r="AB5" s="1" t="n">
        <v>3</v>
      </c>
      <c r="AC5" s="1" t="n">
        <v>12</v>
      </c>
      <c r="AE5" s="1" t="s">
        <v>33</v>
      </c>
      <c r="AF5" s="1" t="s">
        <v>34</v>
      </c>
    </row>
    <row r="6" customFormat="false" ht="14.25" hidden="false" customHeight="false" outlineLevel="0" collapsed="false">
      <c r="A6" s="1" t="s">
        <v>35</v>
      </c>
      <c r="B6" s="1" t="s">
        <v>36</v>
      </c>
      <c r="C6" s="1" t="n">
        <f aca="false">32/819</f>
        <v>0.0390720390720391</v>
      </c>
      <c r="D6" s="2" t="n">
        <f aca="false">D$2*C6</f>
        <v>64</v>
      </c>
      <c r="G6" s="1" t="n">
        <v>22</v>
      </c>
      <c r="H6" s="1" t="n">
        <v>8</v>
      </c>
      <c r="I6" s="1" t="n">
        <v>0</v>
      </c>
      <c r="K6" s="1" t="s">
        <v>37</v>
      </c>
      <c r="L6" s="1" t="s">
        <v>38</v>
      </c>
      <c r="M6" s="1" t="n">
        <f aca="false">46/173</f>
        <v>0.265895953757225</v>
      </c>
      <c r="N6" s="5" t="n">
        <f aca="false">N$2*M6</f>
        <v>92</v>
      </c>
      <c r="O6" s="1" t="n">
        <f aca="false">N5+N6</f>
        <v>241</v>
      </c>
      <c r="Q6" s="1" t="s">
        <v>39</v>
      </c>
      <c r="R6" s="1" t="n">
        <v>5</v>
      </c>
      <c r="S6" s="1" t="n">
        <v>2</v>
      </c>
      <c r="U6" s="1" t="s">
        <v>35</v>
      </c>
      <c r="V6" s="2" t="s">
        <v>40</v>
      </c>
      <c r="W6" s="2" t="n">
        <f aca="false">73/1347</f>
        <v>0.0541945063103192</v>
      </c>
      <c r="X6" s="2" t="n">
        <f aca="false">X$2*W6</f>
        <v>73</v>
      </c>
      <c r="AA6" s="1" t="s">
        <v>41</v>
      </c>
      <c r="AB6" s="1" t="n">
        <v>4</v>
      </c>
      <c r="AC6" s="1" t="n">
        <v>0</v>
      </c>
      <c r="AG6" s="1" t="n">
        <f aca="false">273-136</f>
        <v>137</v>
      </c>
    </row>
    <row r="7" customFormat="false" ht="21" hidden="false" customHeight="false" outlineLevel="0" collapsed="false">
      <c r="A7" s="1" t="s">
        <v>9</v>
      </c>
      <c r="B7" s="1" t="s">
        <v>49</v>
      </c>
      <c r="C7" s="1" t="n">
        <f aca="false">695/6552</f>
        <v>0.106074481074481</v>
      </c>
      <c r="D7" s="2" t="n">
        <f aca="false">D$2*C7</f>
        <v>173.75</v>
      </c>
      <c r="E7" s="6" t="e">
        <f aca="false">#REF!/20</f>
        <v>#VALUE!</v>
      </c>
      <c r="F7" s="6"/>
      <c r="G7" s="4" t="n">
        <v>10</v>
      </c>
      <c r="K7" s="1" t="s">
        <v>44</v>
      </c>
      <c r="L7" s="1" t="s">
        <v>23</v>
      </c>
      <c r="M7" s="1" t="n">
        <f aca="false">25/346</f>
        <v>0.0722543352601156</v>
      </c>
      <c r="N7" s="2" t="n">
        <f aca="false">N$2*M7</f>
        <v>25</v>
      </c>
      <c r="Q7" s="1" t="s">
        <v>45</v>
      </c>
      <c r="R7" s="1" t="n">
        <v>0</v>
      </c>
      <c r="S7" s="1" t="n">
        <v>12</v>
      </c>
      <c r="U7" s="1" t="s">
        <v>46</v>
      </c>
      <c r="V7" s="2" t="s">
        <v>47</v>
      </c>
      <c r="W7" s="2" t="n">
        <f aca="false">358/1347</f>
        <v>0.265775798069785</v>
      </c>
      <c r="X7" s="2" t="n">
        <f aca="false">X$2*W7</f>
        <v>358</v>
      </c>
      <c r="AA7" s="1" t="s">
        <v>48</v>
      </c>
      <c r="AB7" s="1" t="n">
        <v>5</v>
      </c>
      <c r="AC7" s="1" t="n">
        <v>0</v>
      </c>
      <c r="AF7" s="3" t="n">
        <f aca="false">136+136+273</f>
        <v>545</v>
      </c>
      <c r="AG7" s="2" t="n">
        <f aca="false">AF7/3</f>
        <v>181.666666666667</v>
      </c>
    </row>
    <row r="8" customFormat="false" ht="13.8" hidden="false" customHeight="false" outlineLevel="0" collapsed="false">
      <c r="D8" s="2" t="n">
        <f aca="false">D$2*C8</f>
        <v>0</v>
      </c>
      <c r="E8" s="6" t="n">
        <f aca="false">D7/20</f>
        <v>8.6875</v>
      </c>
      <c r="F8" s="1" t="e">
        <f aca="false">#REF!+D7</f>
        <v>#VALUE!</v>
      </c>
      <c r="G8" s="1" t="n">
        <v>16</v>
      </c>
      <c r="H8" s="1" t="n">
        <v>7</v>
      </c>
      <c r="I8" s="1" t="n">
        <v>12</v>
      </c>
      <c r="K8" s="1" t="s">
        <v>26</v>
      </c>
      <c r="L8" s="1" t="s">
        <v>50</v>
      </c>
      <c r="M8" s="1" t="n">
        <f aca="false">9/173</f>
        <v>0.0520231213872832</v>
      </c>
      <c r="N8" s="2" t="n">
        <f aca="false">N$2*M8</f>
        <v>18</v>
      </c>
      <c r="O8" s="3" t="n">
        <v>176</v>
      </c>
      <c r="P8" s="1" t="s">
        <v>11</v>
      </c>
      <c r="Q8" s="1" t="n">
        <v>12</v>
      </c>
      <c r="R8" s="1" t="n">
        <v>3</v>
      </c>
      <c r="S8" s="1" t="n">
        <v>0</v>
      </c>
      <c r="U8" s="1" t="s">
        <v>9</v>
      </c>
      <c r="V8" s="2" t="s">
        <v>51</v>
      </c>
      <c r="W8" s="2" t="n">
        <f aca="false">290/1347</f>
        <v>0.215293244246474</v>
      </c>
      <c r="X8" s="2" t="n">
        <f aca="false">X$2*W8</f>
        <v>290</v>
      </c>
      <c r="AA8" s="1" t="s">
        <v>52</v>
      </c>
      <c r="AB8" s="1" t="n">
        <v>4</v>
      </c>
      <c r="AC8" s="1" t="n">
        <v>5</v>
      </c>
      <c r="AG8" s="2" t="n">
        <f aca="false">AG7/20</f>
        <v>9.08333333333333</v>
      </c>
    </row>
    <row r="9" customFormat="false" ht="13.8" hidden="false" customHeight="false" outlineLevel="0" collapsed="false">
      <c r="D9" s="2" t="n">
        <f aca="false">D$2*C9</f>
        <v>0</v>
      </c>
      <c r="G9" s="1" t="n">
        <v>24</v>
      </c>
      <c r="H9" s="1" t="n">
        <v>7</v>
      </c>
      <c r="I9" s="1" t="n">
        <v>11</v>
      </c>
      <c r="K9" s="1" t="s">
        <v>35</v>
      </c>
      <c r="L9" s="1" t="s">
        <v>55</v>
      </c>
      <c r="M9" s="1" t="n">
        <f aca="false">5/173</f>
        <v>0.0289017341040462</v>
      </c>
      <c r="N9" s="2" t="n">
        <f aca="false">N$2*M9</f>
        <v>10</v>
      </c>
      <c r="U9" s="1" t="s">
        <v>44</v>
      </c>
      <c r="V9" s="2" t="s">
        <v>16</v>
      </c>
      <c r="W9" s="2" t="n">
        <f aca="false">106/1347</f>
        <v>0.0786933927245731</v>
      </c>
      <c r="X9" s="2" t="n">
        <f aca="false">X$2*W9</f>
        <v>106</v>
      </c>
      <c r="AA9" s="1" t="s">
        <v>56</v>
      </c>
      <c r="AB9" s="1" t="n">
        <v>3</v>
      </c>
      <c r="AC9" s="1" t="n">
        <v>15</v>
      </c>
    </row>
    <row r="10" customFormat="false" ht="13.8" hidden="false" customHeight="false" outlineLevel="0" collapsed="false">
      <c r="D10" s="2" t="n">
        <f aca="false">D$2*C10</f>
        <v>0</v>
      </c>
      <c r="G10" s="1" t="n">
        <v>25</v>
      </c>
      <c r="H10" s="1" t="n">
        <v>7</v>
      </c>
      <c r="I10" s="1" t="n">
        <v>4</v>
      </c>
      <c r="N10" s="2" t="n">
        <f aca="false">N$2*M10</f>
        <v>0</v>
      </c>
      <c r="U10" s="1" t="s">
        <v>57</v>
      </c>
      <c r="V10" s="2" t="s">
        <v>58</v>
      </c>
      <c r="W10" s="2" t="n">
        <f aca="false">98/1347</f>
        <v>0.0727542687453601</v>
      </c>
      <c r="X10" s="2" t="n">
        <f aca="false">X$2*W10</f>
        <v>98</v>
      </c>
      <c r="AA10" s="1" t="n">
        <v>15</v>
      </c>
      <c r="AB10" s="1" t="n">
        <v>7</v>
      </c>
      <c r="AC10" s="1" t="n">
        <v>12</v>
      </c>
      <c r="AE10" s="3" t="s">
        <v>59</v>
      </c>
    </row>
    <row r="11" customFormat="false" ht="21" hidden="false" customHeight="false" outlineLevel="0" collapsed="false">
      <c r="C11" s="7" t="n">
        <f aca="false">SUM(C3:C10)</f>
        <v>0.388736263736264</v>
      </c>
      <c r="D11" s="7" t="n">
        <f aca="false">SUM(D3:D10)</f>
        <v>636.75</v>
      </c>
      <c r="G11" s="4" t="n">
        <v>12</v>
      </c>
      <c r="N11" s="2" t="n">
        <f aca="false">N$2*M11</f>
        <v>0</v>
      </c>
      <c r="U11" s="1" t="s">
        <v>60</v>
      </c>
      <c r="V11" s="2" t="s">
        <v>61</v>
      </c>
      <c r="W11" s="2" t="n">
        <f aca="false">283/1347</f>
        <v>0.210096510764662</v>
      </c>
      <c r="X11" s="2" t="n">
        <f aca="false">X$2*W11</f>
        <v>283</v>
      </c>
      <c r="AA11" s="1" t="n">
        <v>17</v>
      </c>
      <c r="AB11" s="1" t="n">
        <v>8</v>
      </c>
      <c r="AC11" s="1" t="n">
        <v>0</v>
      </c>
      <c r="AE11" s="1" t="s">
        <v>62</v>
      </c>
      <c r="AF11" s="1" t="s">
        <v>63</v>
      </c>
    </row>
    <row r="12" customFormat="false" ht="14.25" hidden="false" customHeight="false" outlineLevel="0" collapsed="false">
      <c r="G12" s="1" t="n">
        <v>5</v>
      </c>
      <c r="H12" s="1" t="n">
        <v>7</v>
      </c>
      <c r="I12" s="1" t="n">
        <v>12</v>
      </c>
      <c r="N12" s="2" t="n">
        <f aca="false">N$2*M12</f>
        <v>0</v>
      </c>
      <c r="R12" s="1" t="n">
        <f aca="false">SUM(R3:R11)</f>
        <v>15</v>
      </c>
      <c r="S12" s="1" t="n">
        <f aca="false">SUM(S3:S11)</f>
        <v>46</v>
      </c>
      <c r="V12" s="2"/>
      <c r="X12" s="2" t="n">
        <f aca="false">X$2*W12</f>
        <v>0</v>
      </c>
      <c r="AA12" s="1" t="n">
        <v>18</v>
      </c>
      <c r="AB12" s="1" t="n">
        <v>8</v>
      </c>
      <c r="AC12" s="1" t="n">
        <v>0</v>
      </c>
      <c r="AE12" s="1" t="s">
        <v>64</v>
      </c>
      <c r="AF12" s="1" t="s">
        <v>65</v>
      </c>
    </row>
    <row r="13" customFormat="false" ht="21" hidden="false" customHeight="false" outlineLevel="0" collapsed="false">
      <c r="G13" s="4" t="n">
        <v>13</v>
      </c>
      <c r="N13" s="2" t="n">
        <f aca="false">N$2*M13</f>
        <v>0</v>
      </c>
      <c r="R13" s="1" t="n">
        <v>17</v>
      </c>
      <c r="S13" s="1" t="n">
        <v>6</v>
      </c>
      <c r="V13" s="2"/>
      <c r="X13" s="2" t="n">
        <f aca="false">X$2*W13</f>
        <v>0</v>
      </c>
      <c r="AB13" s="3" t="n">
        <f aca="false">SUM(AB3:AB12)</f>
        <v>49</v>
      </c>
      <c r="AC13" s="3" t="n">
        <f aca="false">SUM(AC3:AC12)</f>
        <v>56</v>
      </c>
    </row>
    <row r="14" customFormat="false" ht="13.8" hidden="false" customHeight="false" outlineLevel="0" collapsed="false">
      <c r="G14" s="1" t="n">
        <v>1</v>
      </c>
      <c r="H14" s="1" t="n">
        <v>8</v>
      </c>
      <c r="I14" s="1" t="n">
        <v>0</v>
      </c>
      <c r="M14" s="7" t="n">
        <f aca="false">SUM(M3:M13)</f>
        <v>1</v>
      </c>
      <c r="N14" s="7" t="n">
        <f aca="false">SUM(N3:N13)</f>
        <v>346</v>
      </c>
      <c r="O14" s="1" t="n">
        <f aca="false">N14/20</f>
        <v>17.3</v>
      </c>
      <c r="R14" s="1" t="s">
        <v>8</v>
      </c>
      <c r="V14" s="2"/>
      <c r="X14" s="2" t="n">
        <f aca="false">X$2*W14</f>
        <v>0</v>
      </c>
      <c r="Y14" s="3" t="n">
        <v>178</v>
      </c>
      <c r="Z14" s="1" t="s">
        <v>66</v>
      </c>
      <c r="AA14" s="1" t="s">
        <v>48</v>
      </c>
      <c r="AB14" s="1" t="n">
        <v>3</v>
      </c>
      <c r="AF14" s="3" t="s">
        <v>67</v>
      </c>
    </row>
    <row r="15" customFormat="false" ht="13.8" hidden="false" customHeight="false" outlineLevel="0" collapsed="false">
      <c r="E15" s="2"/>
      <c r="F15" s="2"/>
      <c r="G15" s="8" t="n">
        <v>2</v>
      </c>
      <c r="H15" s="9" t="n">
        <v>8</v>
      </c>
      <c r="I15" s="1" t="n">
        <v>0</v>
      </c>
      <c r="W15" s="7" t="n">
        <f aca="false">SUM(W3:W14)</f>
        <v>1</v>
      </c>
      <c r="X15" s="7" t="n">
        <f aca="false">SUM(X3:X14)</f>
        <v>1347</v>
      </c>
      <c r="AA15" s="1" t="n">
        <v>13</v>
      </c>
      <c r="AB15" s="1" t="n">
        <v>8</v>
      </c>
      <c r="AC15" s="1" t="n">
        <v>0</v>
      </c>
      <c r="AF15" s="1" t="s">
        <v>8</v>
      </c>
    </row>
    <row r="16" customFormat="false" ht="13.8" hidden="false" customHeight="false" outlineLevel="0" collapsed="false">
      <c r="H16" s="3" t="n">
        <f aca="false">SUM(H3:H15)</f>
        <v>76</v>
      </c>
      <c r="I16" s="3" t="n">
        <f aca="false">SUM(I3:I15)</f>
        <v>39</v>
      </c>
      <c r="J16" s="3"/>
      <c r="Y16" s="3" t="n">
        <v>179</v>
      </c>
      <c r="Z16" s="1" t="s">
        <v>11</v>
      </c>
      <c r="AA16" s="1" t="s">
        <v>68</v>
      </c>
      <c r="AB16" s="1" t="n">
        <v>1</v>
      </c>
      <c r="AC16" s="1" t="n">
        <v>19</v>
      </c>
      <c r="AF16" s="1" t="n">
        <f aca="false">545/20</f>
        <v>27.25</v>
      </c>
    </row>
    <row r="17" customFormat="false" ht="21" hidden="false" customHeight="false" outlineLevel="0" collapsed="false">
      <c r="E17" s="3" t="n">
        <v>173</v>
      </c>
      <c r="F17" s="1" t="s">
        <v>20</v>
      </c>
      <c r="G17" s="4" t="n">
        <v>12</v>
      </c>
      <c r="H17" s="8"/>
      <c r="I17" s="8"/>
      <c r="J17" s="8"/>
      <c r="Y17" s="3"/>
      <c r="AF17" s="7" t="n">
        <f aca="false">AF16/3</f>
        <v>9.08333333333333</v>
      </c>
    </row>
    <row r="18" customFormat="false" ht="13.8" hidden="false" customHeight="false" outlineLevel="0" collapsed="false">
      <c r="G18" s="8" t="s">
        <v>69</v>
      </c>
      <c r="H18" s="8" t="n">
        <v>3</v>
      </c>
      <c r="I18" s="8" t="n">
        <v>16</v>
      </c>
      <c r="J18" s="8"/>
      <c r="N18" s="1" t="n">
        <v>80</v>
      </c>
      <c r="O18" s="1" t="n">
        <f aca="false">S3+I16</f>
        <v>57</v>
      </c>
      <c r="Y18" s="3" t="n">
        <v>180</v>
      </c>
      <c r="Z18" s="1" t="s">
        <v>35</v>
      </c>
      <c r="AA18" s="1" t="s">
        <v>68</v>
      </c>
      <c r="AB18" s="1" t="n">
        <v>2</v>
      </c>
      <c r="AC18" s="1" t="n">
        <v>12</v>
      </c>
    </row>
    <row r="19" customFormat="false" ht="13.8" hidden="false" customHeight="false" outlineLevel="0" collapsed="false">
      <c r="H19" s="3"/>
      <c r="I19" s="3"/>
      <c r="J19" s="3"/>
      <c r="N19" s="1" t="n">
        <f aca="false">81/3</f>
        <v>27</v>
      </c>
      <c r="AF19" s="1" t="n">
        <f aca="false">107*3</f>
        <v>321</v>
      </c>
    </row>
    <row r="20" customFormat="false" ht="13.8" hidden="false" customHeight="false" outlineLevel="0" collapsed="false">
      <c r="G20" s="1" t="n">
        <v>342</v>
      </c>
      <c r="H20" s="8" t="n">
        <v>0</v>
      </c>
      <c r="I20" s="8" t="n">
        <v>3</v>
      </c>
      <c r="J20" s="8"/>
      <c r="AB20" s="3" t="n">
        <f aca="false">SUM(AB13:AB19)</f>
        <v>63</v>
      </c>
      <c r="AC20" s="3" t="n">
        <f aca="false">SUM(AC13:AC19)</f>
        <v>87</v>
      </c>
    </row>
    <row r="21" customFormat="false" ht="13.8" hidden="false" customHeight="false" outlineLevel="0" collapsed="false">
      <c r="H21" s="3"/>
      <c r="I21" s="3"/>
      <c r="J21" s="3"/>
    </row>
    <row r="22" customFormat="false" ht="19.7" hidden="false" customHeight="false" outlineLevel="0" collapsed="false">
      <c r="A22" s="3" t="s">
        <v>0</v>
      </c>
      <c r="B22" s="3"/>
      <c r="C22" s="4" t="n">
        <v>215</v>
      </c>
      <c r="D22" s="3" t="s">
        <v>1</v>
      </c>
      <c r="H22" s="3" t="n">
        <f aca="false">SUM(H16:H20)</f>
        <v>79</v>
      </c>
      <c r="I22" s="3" t="n">
        <f aca="false">SUM(I16:I20)</f>
        <v>58</v>
      </c>
      <c r="J22" s="3"/>
      <c r="K22" s="3" t="s">
        <v>0</v>
      </c>
      <c r="L22" s="3"/>
      <c r="M22" s="4" t="n">
        <v>216</v>
      </c>
      <c r="N22" s="3" t="s">
        <v>1</v>
      </c>
    </row>
    <row r="23" customFormat="false" ht="13.8" hidden="false" customHeight="false" outlineLevel="0" collapsed="false">
      <c r="D23" s="3" t="n">
        <f aca="false">29*20+14</f>
        <v>594</v>
      </c>
      <c r="H23" s="3" t="n">
        <v>81</v>
      </c>
      <c r="I23" s="3" t="n">
        <v>18</v>
      </c>
      <c r="J23" s="3"/>
      <c r="N23" s="3" t="n">
        <f aca="false">29*20+14</f>
        <v>594</v>
      </c>
    </row>
    <row r="24" customFormat="false" ht="13.8" hidden="false" customHeight="false" outlineLevel="0" collapsed="false">
      <c r="A24" s="1" t="s">
        <v>14</v>
      </c>
      <c r="B24" s="1" t="s">
        <v>70</v>
      </c>
      <c r="C24" s="1" t="n">
        <f aca="false">35/297</f>
        <v>0.117845117845118</v>
      </c>
      <c r="D24" s="2" t="n">
        <f aca="false">D$23*C24</f>
        <v>70</v>
      </c>
      <c r="H24" s="3"/>
      <c r="I24" s="3"/>
      <c r="J24" s="3"/>
    </row>
    <row r="25" customFormat="false" ht="19.7" hidden="false" customHeight="false" outlineLevel="0" collapsed="false">
      <c r="A25" s="1" t="s">
        <v>20</v>
      </c>
      <c r="B25" s="1" t="s">
        <v>74</v>
      </c>
      <c r="C25" s="1" t="n">
        <f aca="false">122/297</f>
        <v>0.410774410774411</v>
      </c>
      <c r="D25" s="2" t="n">
        <f aca="false">D$23*C25</f>
        <v>244</v>
      </c>
      <c r="E25" s="3" t="s">
        <v>2</v>
      </c>
      <c r="F25" s="3"/>
      <c r="G25" s="3" t="s">
        <v>3</v>
      </c>
      <c r="H25" s="3" t="s">
        <v>4</v>
      </c>
      <c r="I25" s="3" t="s">
        <v>5</v>
      </c>
      <c r="K25" s="1" t="s">
        <v>57</v>
      </c>
      <c r="L25" s="2" t="s">
        <v>79</v>
      </c>
      <c r="M25" s="2" t="n">
        <f aca="false">1/6</f>
        <v>0.166666666666667</v>
      </c>
      <c r="N25" s="2" t="e">
        <f aca="false">#REF!*M25</f>
        <v>#VALUE!</v>
      </c>
      <c r="O25" s="3" t="n">
        <v>374</v>
      </c>
      <c r="P25" s="1" t="s">
        <v>13</v>
      </c>
      <c r="Q25" s="4" t="n">
        <v>10</v>
      </c>
      <c r="U25" s="1" t="s">
        <v>19</v>
      </c>
      <c r="V25" s="1" t="n">
        <v>293.75</v>
      </c>
      <c r="W25" s="2" t="n">
        <f aca="false">149/2</f>
        <v>74.5</v>
      </c>
      <c r="X25" s="2" t="n">
        <v>283</v>
      </c>
      <c r="Y25" s="1" t="n">
        <f aca="false">210/4</f>
        <v>52.5</v>
      </c>
      <c r="Z25" s="11" t="n">
        <f aca="false">171.22/2</f>
        <v>85.61</v>
      </c>
      <c r="AA25" s="7" t="n">
        <f aca="false">SUM(V25:Z25)</f>
        <v>789.36</v>
      </c>
      <c r="AC25" s="2"/>
    </row>
    <row r="26" customFormat="false" ht="19.7" hidden="false" customHeight="false" outlineLevel="0" collapsed="false">
      <c r="A26" s="1" t="s">
        <v>26</v>
      </c>
      <c r="B26" s="1" t="s">
        <v>78</v>
      </c>
      <c r="C26" s="1" t="n">
        <f aca="false">23/297</f>
        <v>0.0774410774410774</v>
      </c>
      <c r="D26" s="2" t="n">
        <f aca="false">D$23*C26</f>
        <v>46</v>
      </c>
      <c r="E26" s="3" t="s">
        <v>8</v>
      </c>
      <c r="F26" s="3"/>
      <c r="G26" s="4" t="n">
        <v>12</v>
      </c>
      <c r="H26" s="4" t="s">
        <v>8</v>
      </c>
      <c r="K26" s="1" t="s">
        <v>82</v>
      </c>
      <c r="L26" s="2" t="s">
        <v>79</v>
      </c>
      <c r="M26" s="2" t="n">
        <f aca="false">1/6</f>
        <v>0.166666666666667</v>
      </c>
      <c r="N26" s="2" t="e">
        <f aca="false">#REF!*M26</f>
        <v>#VALUE!</v>
      </c>
      <c r="Q26" s="1" t="n">
        <v>23</v>
      </c>
      <c r="R26" s="1" t="n">
        <v>7</v>
      </c>
      <c r="S26" s="1" t="n">
        <v>11</v>
      </c>
      <c r="U26" s="1" t="s">
        <v>83</v>
      </c>
      <c r="V26" s="2" t="n">
        <f aca="false">D7</f>
        <v>173.75</v>
      </c>
      <c r="W26" s="2" t="n">
        <f aca="false">149/2</f>
        <v>74.5</v>
      </c>
      <c r="X26" s="2" t="n">
        <v>290</v>
      </c>
      <c r="Y26" s="1" t="n">
        <f aca="false">210/4</f>
        <v>52.5</v>
      </c>
      <c r="Z26" s="11" t="n">
        <f aca="false">171.22/2</f>
        <v>85.61</v>
      </c>
      <c r="AA26" s="7" t="n">
        <f aca="false">SUM(V26:Z26)</f>
        <v>676.36</v>
      </c>
    </row>
    <row r="27" customFormat="false" ht="13.8" hidden="false" customHeight="false" outlineLevel="0" collapsed="false">
      <c r="A27" s="1" t="s">
        <v>35</v>
      </c>
      <c r="B27" s="1" t="s">
        <v>80</v>
      </c>
      <c r="C27" s="1" t="n">
        <f aca="false">4/99</f>
        <v>0.0404040404040404</v>
      </c>
      <c r="D27" s="2" t="n">
        <f aca="false">D$23*C27</f>
        <v>24</v>
      </c>
      <c r="E27" s="1" t="n">
        <v>371</v>
      </c>
      <c r="F27" s="1" t="s">
        <v>71</v>
      </c>
      <c r="G27" s="1" t="n">
        <v>3</v>
      </c>
      <c r="H27" s="9" t="n">
        <v>8</v>
      </c>
      <c r="I27" s="1" t="n">
        <v>0</v>
      </c>
      <c r="K27" s="1" t="s">
        <v>86</v>
      </c>
      <c r="L27" s="2" t="s">
        <v>87</v>
      </c>
      <c r="M27" s="2" t="n">
        <f aca="false">32/441</f>
        <v>0.072562358276644</v>
      </c>
      <c r="N27" s="2" t="e">
        <f aca="false">#REF!*M27</f>
        <v>#VALUE!</v>
      </c>
      <c r="O27" s="3" t="n">
        <v>375</v>
      </c>
      <c r="P27" s="1" t="s">
        <v>11</v>
      </c>
      <c r="Q27" s="1" t="s">
        <v>88</v>
      </c>
      <c r="R27" s="1" t="n">
        <v>3</v>
      </c>
      <c r="S27" s="1" t="n">
        <v>18</v>
      </c>
      <c r="U27" s="1" t="s">
        <v>89</v>
      </c>
      <c r="V27" s="1" t="n">
        <v>111</v>
      </c>
      <c r="W27" s="2" t="n">
        <v>112</v>
      </c>
      <c r="X27" s="2" t="n">
        <v>238</v>
      </c>
      <c r="Y27" s="1" t="n">
        <v>239</v>
      </c>
      <c r="Z27" s="1" t="n">
        <v>85.67</v>
      </c>
      <c r="AA27" s="7" t="n">
        <f aca="false">SUM(V27:Z27)</f>
        <v>785.67</v>
      </c>
      <c r="AB27" s="2" t="e">
        <f aca="false">#REF!+AB28</f>
        <v>#VALUE!</v>
      </c>
      <c r="AC27" s="1" t="n">
        <f aca="false">160*5</f>
        <v>800</v>
      </c>
      <c r="AE27" s="1" t="n">
        <f aca="false">851-818</f>
        <v>33</v>
      </c>
    </row>
    <row r="28" customFormat="false" ht="13.8" hidden="false" customHeight="false" outlineLevel="0" collapsed="false">
      <c r="A28" s="1" t="s">
        <v>84</v>
      </c>
      <c r="B28" s="1" t="s">
        <v>85</v>
      </c>
      <c r="C28" s="1" t="n">
        <f aca="false">35/99</f>
        <v>0.353535353535354</v>
      </c>
      <c r="D28" s="2" t="n">
        <f aca="false">D$23*C28</f>
        <v>210</v>
      </c>
      <c r="G28" s="1" t="s">
        <v>75</v>
      </c>
      <c r="H28" s="1" t="n">
        <v>4</v>
      </c>
      <c r="I28" s="1" t="n">
        <v>4</v>
      </c>
      <c r="K28" s="1" t="s">
        <v>37</v>
      </c>
      <c r="L28" s="2" t="s">
        <v>79</v>
      </c>
      <c r="M28" s="2" t="n">
        <f aca="false">1/6</f>
        <v>0.166666666666667</v>
      </c>
      <c r="N28" s="2" t="e">
        <f aca="false">#REF!*M28</f>
        <v>#VALUE!</v>
      </c>
      <c r="Q28" s="1" t="s">
        <v>90</v>
      </c>
      <c r="R28" s="1" t="n">
        <v>4</v>
      </c>
      <c r="S28" s="1" t="n">
        <v>4</v>
      </c>
      <c r="U28" s="1" t="s">
        <v>91</v>
      </c>
      <c r="V28" s="2" t="n">
        <f aca="false">D9</f>
        <v>0</v>
      </c>
      <c r="W28" s="2" t="n">
        <f aca="false">N11</f>
        <v>0</v>
      </c>
      <c r="X28" s="2" t="n">
        <f aca="false">D33</f>
        <v>0</v>
      </c>
      <c r="Y28" s="2" t="n">
        <f aca="false">N35</f>
        <v>0</v>
      </c>
      <c r="Z28" s="1" t="n">
        <v>85.67</v>
      </c>
      <c r="AA28" s="7" t="n">
        <f aca="false">SUM(V28:Z28)</f>
        <v>85.67</v>
      </c>
      <c r="AB28" s="1" t="e">
        <f aca="false">#REF!/3</f>
        <v>#VALUE!</v>
      </c>
      <c r="AC28" s="1" t="e">
        <f aca="false">AB28/20</f>
        <v>#VALUE!</v>
      </c>
    </row>
    <row r="29" customFormat="false" ht="13.8" hidden="false" customHeight="false" outlineLevel="0" collapsed="false">
      <c r="D29" s="2" t="n">
        <f aca="false">D$2*C29</f>
        <v>0</v>
      </c>
      <c r="H29" s="1" t="s">
        <v>8</v>
      </c>
      <c r="K29" s="1" t="s">
        <v>92</v>
      </c>
      <c r="L29" s="2" t="s">
        <v>93</v>
      </c>
      <c r="M29" s="2" t="n">
        <f aca="false">1469/4410</f>
        <v>0.333106575963719</v>
      </c>
      <c r="N29" s="2" t="e">
        <f aca="false">#REF!*M29</f>
        <v>#VALUE!</v>
      </c>
      <c r="O29" s="83" t="e">
        <f aca="false">N29+N28</f>
        <v>#VALUE!</v>
      </c>
      <c r="Q29" s="1" t="n">
        <v>22</v>
      </c>
      <c r="R29" s="1" t="n">
        <v>7</v>
      </c>
      <c r="S29" s="1" t="n">
        <v>11</v>
      </c>
      <c r="U29" s="1" t="s">
        <v>242</v>
      </c>
      <c r="X29" s="2"/>
      <c r="AA29" s="2"/>
    </row>
    <row r="30" customFormat="false" ht="19.7" hidden="false" customHeight="false" outlineLevel="0" collapsed="false">
      <c r="D30" s="2" t="n">
        <f aca="false">D$2*C30</f>
        <v>0</v>
      </c>
      <c r="E30" s="1" t="n">
        <v>372</v>
      </c>
      <c r="F30" s="1" t="s">
        <v>81</v>
      </c>
      <c r="G30" s="4" t="n">
        <v>11</v>
      </c>
      <c r="H30" s="1" t="s">
        <v>8</v>
      </c>
      <c r="K30" s="1" t="s">
        <v>44</v>
      </c>
      <c r="L30" s="2" t="s">
        <v>87</v>
      </c>
      <c r="M30" s="2" t="n">
        <f aca="false">32/441</f>
        <v>0.072562358276644</v>
      </c>
      <c r="N30" s="2" t="e">
        <f aca="false">#REF!*M30</f>
        <v>#VALUE!</v>
      </c>
      <c r="R30" s="3" t="n">
        <f aca="false">SUM(R25:R29)</f>
        <v>21</v>
      </c>
      <c r="S30" s="3" t="n">
        <f aca="false">SUM(S25:S29)</f>
        <v>44</v>
      </c>
      <c r="X30" s="2"/>
    </row>
    <row r="31" customFormat="false" ht="14.25" hidden="false" customHeight="false" outlineLevel="0" collapsed="false">
      <c r="D31" s="2" t="n">
        <f aca="false">D$2*C31</f>
        <v>0</v>
      </c>
      <c r="G31" s="1" t="n">
        <v>5</v>
      </c>
      <c r="H31" s="1" t="n">
        <v>1</v>
      </c>
      <c r="I31" s="1" t="n">
        <v>12</v>
      </c>
      <c r="K31" s="1" t="s">
        <v>35</v>
      </c>
      <c r="L31" s="2" t="s">
        <v>94</v>
      </c>
      <c r="M31" s="2" t="n">
        <f aca="false">16/2205</f>
        <v>0.0072562358276644</v>
      </c>
      <c r="N31" s="2" t="e">
        <f aca="false">#REF!*M31</f>
        <v>#VALUE!</v>
      </c>
      <c r="R31" s="1" t="n">
        <v>25</v>
      </c>
      <c r="S31" s="1" t="n">
        <v>14</v>
      </c>
      <c r="X31" s="2"/>
    </row>
    <row r="32" customFormat="false" ht="21" hidden="false" customHeight="false" outlineLevel="0" collapsed="false">
      <c r="D32" s="2" t="n">
        <f aca="false">D$2*C32</f>
        <v>0</v>
      </c>
      <c r="G32" s="4" t="n">
        <v>12</v>
      </c>
      <c r="L32" s="2"/>
      <c r="M32" s="2"/>
      <c r="N32" s="2"/>
      <c r="R32" s="2"/>
      <c r="S32" s="2"/>
      <c r="V32" s="7" t="n">
        <f aca="false">SUM(V25:V31)</f>
        <v>578.5</v>
      </c>
      <c r="W32" s="7" t="n">
        <f aca="false">SUM(W25:W31)</f>
        <v>261</v>
      </c>
      <c r="X32" s="7" t="n">
        <f aca="false">SUM(X25:X31)</f>
        <v>811</v>
      </c>
      <c r="Y32" s="7" t="n">
        <f aca="false">SUM(Y25:Y31)</f>
        <v>344</v>
      </c>
      <c r="Z32" s="7" t="n">
        <f aca="false">SUM(Z25:Z31)</f>
        <v>342.56</v>
      </c>
      <c r="AA32" s="7" t="n">
        <f aca="false">SUM(V32:Z32)</f>
        <v>2337.06</v>
      </c>
      <c r="AB32" s="7" t="n">
        <f aca="false">SUM(AA25:AA28)</f>
        <v>2337.06</v>
      </c>
    </row>
    <row r="33" customFormat="false" ht="13.8" hidden="false" customHeight="false" outlineLevel="0" collapsed="false">
      <c r="D33" s="2" t="n">
        <f aca="false">D$2*C33</f>
        <v>0</v>
      </c>
      <c r="G33" s="1" t="n">
        <v>1</v>
      </c>
      <c r="H33" s="1" t="n">
        <v>7</v>
      </c>
      <c r="I33" s="1" t="n">
        <v>18</v>
      </c>
      <c r="M33" s="2"/>
      <c r="N33" s="2"/>
      <c r="O33" s="2"/>
      <c r="X33" s="7"/>
      <c r="AA33" s="1" t="n">
        <f aca="false">AA32/20</f>
        <v>116.853</v>
      </c>
    </row>
    <row r="34" customFormat="false" ht="13.8" hidden="false" customHeight="false" outlineLevel="0" collapsed="false">
      <c r="G34" s="11" t="n">
        <v>2</v>
      </c>
      <c r="H34" s="1" t="n">
        <v>8</v>
      </c>
      <c r="I34" s="1" t="n">
        <v>0</v>
      </c>
      <c r="M34" s="2"/>
      <c r="N34" s="2"/>
      <c r="O34" s="2"/>
      <c r="P34" s="1" t="n">
        <f aca="false">O34/20</f>
        <v>0</v>
      </c>
      <c r="U34" s="3"/>
      <c r="V34" s="3"/>
      <c r="W34" s="6"/>
      <c r="AA34" s="1" t="n">
        <f aca="false">AA33/8</f>
        <v>14.606625</v>
      </c>
    </row>
    <row r="35" customFormat="false" ht="19.7" hidden="false" customHeight="false" outlineLevel="0" collapsed="false">
      <c r="B35" s="3" t="n">
        <v>100</v>
      </c>
      <c r="C35" s="10" t="n">
        <v>101</v>
      </c>
      <c r="D35" s="10" t="n">
        <v>102</v>
      </c>
      <c r="N35" s="7"/>
      <c r="O35" s="7"/>
      <c r="X35" s="3"/>
      <c r="Y35" s="3"/>
      <c r="Z35" s="4"/>
    </row>
    <row r="36" customFormat="false" ht="13.8" hidden="false" customHeight="false" outlineLevel="0" collapsed="false">
      <c r="A36" s="1" t="s">
        <v>73</v>
      </c>
      <c r="B36" s="1" t="n">
        <v>293.75</v>
      </c>
      <c r="C36" s="2" t="n">
        <f aca="false">92/2</f>
        <v>46</v>
      </c>
      <c r="D36" s="2" t="n">
        <f aca="false">358/2</f>
        <v>179</v>
      </c>
      <c r="H36" s="3" t="n">
        <f aca="false">SUM(H27:H34)</f>
        <v>28</v>
      </c>
      <c r="I36" s="3" t="n">
        <f aca="false">SUM(I27:I34)</f>
        <v>34</v>
      </c>
      <c r="N36" s="2"/>
      <c r="S36" s="9"/>
      <c r="T36" s="9"/>
      <c r="X36" s="2"/>
      <c r="AA36" s="2" t="s">
        <v>8</v>
      </c>
    </row>
    <row r="37" customFormat="false" ht="19.7" hidden="false" customHeight="false" outlineLevel="0" collapsed="false">
      <c r="A37" s="1" t="s">
        <v>33</v>
      </c>
      <c r="B37" s="12" t="n">
        <v>293.75</v>
      </c>
      <c r="C37" s="13" t="n">
        <f aca="false">92/2</f>
        <v>46</v>
      </c>
      <c r="D37" s="2" t="n">
        <f aca="false">358/2</f>
        <v>179</v>
      </c>
      <c r="H37" s="3" t="n">
        <v>29</v>
      </c>
      <c r="I37" s="3" t="n">
        <v>14</v>
      </c>
      <c r="K37" s="1" t="n">
        <f aca="false">H41/20</f>
        <v>15.00175</v>
      </c>
      <c r="N37" s="2"/>
      <c r="R37" s="9"/>
      <c r="S37" s="9"/>
      <c r="T37" s="9"/>
      <c r="X37" s="2"/>
      <c r="Z37" s="4"/>
      <c r="AA37" s="2" t="s">
        <v>8</v>
      </c>
    </row>
    <row r="38" customFormat="false" ht="13.8" hidden="false" customHeight="false" outlineLevel="0" collapsed="false">
      <c r="A38" s="1" t="s">
        <v>19</v>
      </c>
      <c r="B38" s="1" t="n">
        <v>293.75</v>
      </c>
      <c r="C38" s="2" t="n">
        <f aca="false">149/2</f>
        <v>74.5</v>
      </c>
      <c r="D38" s="2" t="n">
        <f aca="false">283/3</f>
        <v>94.3333333333333</v>
      </c>
      <c r="E38" s="1" t="e">
        <f aca="false">#REF!/20</f>
        <v>#VALUE!</v>
      </c>
      <c r="K38" s="1" t="n">
        <f aca="false">H42/3</f>
        <v>31.7783333333333</v>
      </c>
      <c r="N38" s="2"/>
      <c r="R38" s="9"/>
      <c r="S38" s="9"/>
      <c r="T38" s="9"/>
      <c r="X38" s="2"/>
      <c r="AA38" s="2" t="n">
        <v>5.12</v>
      </c>
    </row>
    <row r="39" customFormat="false" ht="13.8" hidden="false" customHeight="false" outlineLevel="0" collapsed="false">
      <c r="A39" s="1" t="s">
        <v>83</v>
      </c>
      <c r="B39" s="2" t="n">
        <v>173.75</v>
      </c>
      <c r="C39" s="2" t="n">
        <f aca="false">149/2</f>
        <v>74.5</v>
      </c>
      <c r="D39" s="2" t="n">
        <v>290</v>
      </c>
      <c r="L39" s="2" t="n">
        <f aca="false">H43+H45+H46</f>
        <v>2552.48333333333</v>
      </c>
      <c r="N39" s="2"/>
      <c r="R39" s="9"/>
      <c r="S39" s="9"/>
      <c r="T39" s="9"/>
      <c r="X39" s="2"/>
      <c r="AA39" s="2"/>
    </row>
    <row r="40" customFormat="false" ht="19.7" hidden="false" customHeight="false" outlineLevel="0" collapsed="false">
      <c r="A40" s="1" t="s">
        <v>89</v>
      </c>
      <c r="C40" s="2"/>
      <c r="D40" s="2"/>
      <c r="E40" s="3" t="n">
        <v>215</v>
      </c>
      <c r="F40" s="3"/>
      <c r="G40" s="3" t="n">
        <v>216</v>
      </c>
      <c r="H40" s="2"/>
      <c r="L40" s="1" t="n">
        <f aca="false">L39/20</f>
        <v>127.624166666667</v>
      </c>
      <c r="N40" s="2"/>
      <c r="Q40" s="4"/>
      <c r="R40" s="9"/>
      <c r="S40" s="9"/>
      <c r="T40" s="9"/>
      <c r="X40" s="2"/>
      <c r="Z40" s="4"/>
      <c r="AA40" s="2"/>
    </row>
    <row r="41" customFormat="false" ht="13.8" hidden="false" customHeight="false" outlineLevel="0" collapsed="false">
      <c r="A41" s="1" t="s">
        <v>91</v>
      </c>
      <c r="C41" s="2"/>
      <c r="D41" s="2"/>
      <c r="E41" s="1" t="n">
        <f aca="false">210/4</f>
        <v>52.5</v>
      </c>
      <c r="G41" s="2" t="n">
        <f aca="false">85.67/2</f>
        <v>42.835</v>
      </c>
      <c r="H41" s="7" t="n">
        <f aca="false">SUM(B41:G41)+204.7</f>
        <v>300.035</v>
      </c>
      <c r="I41" s="2"/>
      <c r="J41" s="2"/>
      <c r="N41" s="2"/>
      <c r="R41" s="9"/>
      <c r="S41" s="9"/>
      <c r="T41" s="9"/>
      <c r="X41" s="2"/>
      <c r="AA41" s="2"/>
    </row>
    <row r="42" customFormat="false" ht="13.8" hidden="false" customHeight="false" outlineLevel="0" collapsed="false">
      <c r="C42" s="2"/>
      <c r="D42" s="2"/>
      <c r="E42" s="12" t="n">
        <f aca="false">210/4</f>
        <v>52.5</v>
      </c>
      <c r="F42" s="12"/>
      <c r="G42" s="13" t="n">
        <f aca="false">85.67/2</f>
        <v>42.835</v>
      </c>
      <c r="H42" s="6" t="n">
        <f aca="false">SUM(B42:G42)</f>
        <v>95.335</v>
      </c>
      <c r="I42" s="2"/>
      <c r="J42" s="2"/>
      <c r="K42" s="2" t="n">
        <f aca="false">SUM(H41:H46)-H42</f>
        <v>3195.32833333333</v>
      </c>
      <c r="N42" s="2"/>
      <c r="R42" s="9"/>
      <c r="S42" s="9"/>
      <c r="T42" s="9"/>
      <c r="X42" s="2"/>
      <c r="AA42" s="2"/>
    </row>
    <row r="43" customFormat="false" ht="13.8" hidden="false" customHeight="false" outlineLevel="0" collapsed="false">
      <c r="C43" s="2"/>
      <c r="D43" s="2"/>
      <c r="E43" s="1" t="n">
        <f aca="false">210/4</f>
        <v>52.5</v>
      </c>
      <c r="G43" s="11" t="n">
        <f aca="false">171.22/2</f>
        <v>85.61</v>
      </c>
      <c r="H43" s="7" t="n">
        <f aca="false">SUM(B43:G43)+204.7</f>
        <v>342.81</v>
      </c>
      <c r="I43" s="2"/>
      <c r="J43" s="2"/>
      <c r="N43" s="2"/>
      <c r="R43" s="7"/>
      <c r="S43" s="7"/>
      <c r="T43" s="7"/>
      <c r="X43" s="2"/>
      <c r="AA43" s="7" t="n">
        <f aca="false">SUM(AA36:AA42)</f>
        <v>5.12</v>
      </c>
    </row>
    <row r="44" customFormat="false" ht="13.8" hidden="false" customHeight="false" outlineLevel="0" collapsed="false">
      <c r="C44" s="2"/>
      <c r="D44" s="2"/>
      <c r="E44" s="1" t="n">
        <f aca="false">210/4</f>
        <v>52.5</v>
      </c>
      <c r="G44" s="11" t="n">
        <f aca="false">171.22/2</f>
        <v>85.61</v>
      </c>
      <c r="H44" s="7" t="n">
        <f aca="false">SUM(B44:G44)+204.7</f>
        <v>342.81</v>
      </c>
      <c r="I44" s="2"/>
      <c r="J44" s="2"/>
      <c r="N44" s="2"/>
      <c r="R44" s="2"/>
      <c r="X44" s="2"/>
      <c r="AA44" s="2" t="n">
        <f aca="false">12</f>
        <v>12</v>
      </c>
    </row>
    <row r="45" customFormat="false" ht="13.8" hidden="false" customHeight="false" outlineLevel="0" collapsed="false">
      <c r="B45" s="7" t="n">
        <f aca="false">SUM(B36:B44)</f>
        <v>1055</v>
      </c>
      <c r="C45" s="7" t="n">
        <f aca="false">SUM(C36:C44)</f>
        <v>241</v>
      </c>
      <c r="D45" s="7" t="n">
        <f aca="false">SUM(D36:D44)</f>
        <v>742.333333333333</v>
      </c>
      <c r="G45" s="1" t="n">
        <v>85.67</v>
      </c>
      <c r="H45" s="7" t="n">
        <f aca="false">SUM(B45:G45)</f>
        <v>2124.00333333333</v>
      </c>
      <c r="I45" s="2"/>
      <c r="J45" s="2"/>
      <c r="N45" s="2"/>
      <c r="X45" s="2"/>
    </row>
    <row r="46" customFormat="false" ht="13.8" hidden="false" customHeight="false" outlineLevel="0" collapsed="false">
      <c r="C46" s="2"/>
      <c r="D46" s="7"/>
      <c r="G46" s="1" t="n">
        <v>85.67</v>
      </c>
      <c r="H46" s="7" t="n">
        <f aca="false">SUM(B46:G46)</f>
        <v>85.67</v>
      </c>
      <c r="I46" s="2"/>
      <c r="J46" s="2"/>
      <c r="N46" s="2"/>
      <c r="X46" s="2"/>
    </row>
    <row r="47" customFormat="false" ht="13.8" hidden="false" customHeight="false" outlineLevel="0" collapsed="false">
      <c r="A47" s="3"/>
      <c r="B47" s="3"/>
      <c r="C47" s="6"/>
      <c r="H47" s="2"/>
      <c r="I47" s="7"/>
      <c r="J47" s="7"/>
      <c r="N47" s="2"/>
      <c r="X47" s="2"/>
    </row>
    <row r="48" customFormat="false" ht="13.8" hidden="false" customHeight="false" outlineLevel="0" collapsed="false">
      <c r="I48" s="2"/>
      <c r="J48" s="2"/>
      <c r="N48" s="7"/>
      <c r="X48" s="7"/>
    </row>
    <row r="50" customFormat="false" ht="13.8" hidden="false" customHeight="false" outlineLevel="0" collapsed="false">
      <c r="E50" s="7" t="n">
        <f aca="false">SUM(E41:E49)</f>
        <v>210</v>
      </c>
      <c r="F50" s="7"/>
      <c r="G50" s="7" t="n">
        <f aca="false">SUM(G41:G49)</f>
        <v>428.23</v>
      </c>
      <c r="H50" s="7" t="n">
        <f aca="false">SUM(B50:G50)</f>
        <v>638.23</v>
      </c>
    </row>
    <row r="51" customFormat="false" ht="13.8" hidden="false" customHeight="false" outlineLevel="0" collapsed="false">
      <c r="H51" s="1" t="n">
        <f aca="false">H50/20</f>
        <v>31.9115</v>
      </c>
    </row>
    <row r="52" customFormat="false" ht="13.8" hidden="false" customHeight="false" outlineLevel="0" collapsed="false">
      <c r="H52" s="1" t="n">
        <f aca="false">H51/8</f>
        <v>3.9889375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0"/>
  <sheetViews>
    <sheetView showFormulas="false" showGridLines="true" showRowColHeaders="true" showZeros="true" rightToLeft="false" tabSelected="true" showOutlineSymbols="true" defaultGridColor="true" view="normal" topLeftCell="Q18" colorId="64" zoomScale="100" zoomScaleNormal="100" zoomScalePageLayoutView="100" workbookViewId="0">
      <selection pane="topLeft" activeCell="AD32" activeCellId="0" sqref="AD3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1.33"/>
    <col collapsed="false" customWidth="true" hidden="false" outlineLevel="0" max="6" min="6" style="1" width="20.66"/>
    <col collapsed="false" customWidth="true" hidden="false" outlineLevel="0" max="7" min="7" style="1" width="7.56"/>
    <col collapsed="false" customWidth="true" hidden="false" outlineLevel="0" max="10" min="9" style="1" width="4.79"/>
    <col collapsed="false" customWidth="true" hidden="false" outlineLevel="0" max="11" min="11" style="1" width="15.56"/>
    <col collapsed="false" customWidth="true" hidden="false" outlineLevel="0" max="12" min="12" style="1" width="17.11"/>
    <col collapsed="false" customWidth="true" hidden="false" outlineLevel="0" max="16" min="16" style="1" width="23.88"/>
    <col collapsed="false" customWidth="true" hidden="false" outlineLevel="0" max="20" min="19" style="1" width="6.67"/>
    <col collapsed="false" customWidth="true" hidden="false" outlineLevel="0" max="21" min="21" style="1" width="13.44"/>
    <col collapsed="false" customWidth="true" hidden="false" outlineLevel="0" max="22" min="22" style="1" width="11.56"/>
    <col collapsed="false" customWidth="true" hidden="false" outlineLevel="0" max="23" min="23" style="2" width="8.88"/>
    <col collapsed="false" customWidth="true" hidden="false" outlineLevel="0" max="25" min="25" style="1" width="6.77"/>
    <col collapsed="false" customWidth="true" hidden="false" outlineLevel="0" max="26" min="26" style="1" width="20"/>
    <col collapsed="false" customWidth="true" hidden="false" outlineLevel="0" max="27" min="27" style="1" width="10.88"/>
    <col collapsed="false" customWidth="true" hidden="false" outlineLevel="0" max="31" min="31" style="1" width="24.21"/>
    <col collapsed="false" customWidth="true" hidden="false" outlineLevel="0" max="33" min="33" style="1" width="9.56"/>
  </cols>
  <sheetData>
    <row r="1" customFormat="false" ht="21" hidden="false" customHeight="false" outlineLevel="0" collapsed="false">
      <c r="A1" s="3" t="s">
        <v>0</v>
      </c>
      <c r="B1" s="3"/>
      <c r="C1" s="4" t="n">
        <v>111</v>
      </c>
      <c r="D1" s="3" t="s">
        <v>1</v>
      </c>
      <c r="E1" s="3" t="s">
        <v>2</v>
      </c>
      <c r="F1" s="3"/>
      <c r="G1" s="3" t="s">
        <v>3</v>
      </c>
      <c r="H1" s="3" t="s">
        <v>4</v>
      </c>
      <c r="I1" s="3" t="s">
        <v>5</v>
      </c>
      <c r="J1" s="3"/>
      <c r="K1" s="3" t="s">
        <v>0</v>
      </c>
      <c r="L1" s="3"/>
      <c r="M1" s="4" t="n">
        <v>112</v>
      </c>
      <c r="N1" s="3" t="s">
        <v>1</v>
      </c>
      <c r="O1" s="3" t="s">
        <v>2</v>
      </c>
      <c r="P1" s="3"/>
      <c r="Q1" s="3" t="s">
        <v>3</v>
      </c>
      <c r="R1" s="3" t="s">
        <v>4</v>
      </c>
      <c r="S1" s="3" t="s">
        <v>5</v>
      </c>
      <c r="T1" s="3"/>
      <c r="U1" s="3" t="s">
        <v>0</v>
      </c>
      <c r="V1" s="3"/>
      <c r="W1" s="4" t="n">
        <v>113</v>
      </c>
      <c r="X1" s="3" t="s">
        <v>1</v>
      </c>
      <c r="Y1" s="3" t="s">
        <v>2</v>
      </c>
      <c r="Z1" s="3"/>
      <c r="AA1" s="3" t="s">
        <v>3</v>
      </c>
      <c r="AB1" s="3" t="s">
        <v>4</v>
      </c>
      <c r="AC1" s="3" t="s">
        <v>5</v>
      </c>
      <c r="AE1" s="3" t="s">
        <v>6</v>
      </c>
      <c r="AF1" s="3" t="s">
        <v>7</v>
      </c>
    </row>
    <row r="2" customFormat="false" ht="21" hidden="false" customHeight="false" outlineLevel="0" collapsed="false">
      <c r="D2" s="3" t="n">
        <f aca="false">81*20+18</f>
        <v>1638</v>
      </c>
      <c r="E2" s="3" t="n">
        <v>172</v>
      </c>
      <c r="F2" s="3"/>
      <c r="G2" s="4" t="n">
        <v>9</v>
      </c>
      <c r="N2" s="3" t="n">
        <f aca="false">17*20+6</f>
        <v>346</v>
      </c>
      <c r="O2" s="3" t="s">
        <v>8</v>
      </c>
      <c r="Q2" s="4" t="n">
        <v>1</v>
      </c>
      <c r="X2" s="3" t="n">
        <f aca="false">67*20+7</f>
        <v>1347</v>
      </c>
      <c r="Y2" s="3" t="s">
        <v>8</v>
      </c>
      <c r="Z2" s="4"/>
      <c r="AA2" s="4" t="n">
        <v>10</v>
      </c>
      <c r="AE2" s="1" t="s">
        <v>9</v>
      </c>
      <c r="A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n">
        <f aca="false">97/819</f>
        <v>0.118437118437118</v>
      </c>
      <c r="D3" s="2" t="n">
        <f aca="false">D$2*C3</f>
        <v>194</v>
      </c>
      <c r="F3" s="1" t="s">
        <v>13</v>
      </c>
      <c r="G3" s="1" t="n">
        <v>11</v>
      </c>
      <c r="H3" s="1" t="n">
        <v>8</v>
      </c>
      <c r="I3" s="1" t="n">
        <v>0</v>
      </c>
      <c r="K3" s="1" t="s">
        <v>14</v>
      </c>
      <c r="L3" s="1" t="s">
        <v>15</v>
      </c>
      <c r="M3" s="1" t="n">
        <f aca="false">27/346</f>
        <v>0.0780346820809249</v>
      </c>
      <c r="N3" s="2" t="n">
        <f aca="false">N$2*M3</f>
        <v>27</v>
      </c>
      <c r="O3" s="3" t="n">
        <v>174</v>
      </c>
      <c r="P3" s="1" t="s">
        <v>13</v>
      </c>
      <c r="Q3" s="1" t="n">
        <v>25</v>
      </c>
      <c r="R3" s="1" t="n">
        <v>2</v>
      </c>
      <c r="S3" s="1" t="n">
        <v>18</v>
      </c>
      <c r="U3" s="1" t="s">
        <v>14</v>
      </c>
      <c r="V3" s="2" t="s">
        <v>16</v>
      </c>
      <c r="W3" s="2" t="n">
        <f aca="false">106/1347</f>
        <v>0.0786933927245731</v>
      </c>
      <c r="X3" s="2" t="n">
        <f aca="false">X$2*W3</f>
        <v>106</v>
      </c>
      <c r="Y3" s="3" t="n">
        <v>177</v>
      </c>
      <c r="Z3" s="1" t="s">
        <v>17</v>
      </c>
      <c r="AA3" s="1" t="s">
        <v>18</v>
      </c>
      <c r="AB3" s="1" t="n">
        <v>5</v>
      </c>
      <c r="AC3" s="1" t="n">
        <v>6</v>
      </c>
      <c r="AE3" s="1" t="s">
        <v>19</v>
      </c>
      <c r="AF3" s="1" t="s">
        <v>10</v>
      </c>
    </row>
    <row r="4" customFormat="false" ht="19.7" hidden="false" customHeight="false" outlineLevel="0" collapsed="false">
      <c r="A4" s="1" t="s">
        <v>20</v>
      </c>
      <c r="B4" s="1" t="s">
        <v>21</v>
      </c>
      <c r="C4" s="1" t="n">
        <f aca="false">38/819</f>
        <v>0.0463980463980464</v>
      </c>
      <c r="D4" s="2" t="n">
        <f aca="false">D$2*C4</f>
        <v>76</v>
      </c>
      <c r="G4" s="1" t="n">
        <v>20</v>
      </c>
      <c r="H4" s="1" t="n">
        <v>8</v>
      </c>
      <c r="I4" s="1" t="n">
        <v>0</v>
      </c>
      <c r="K4" s="1" t="s">
        <v>22</v>
      </c>
      <c r="L4" s="1" t="s">
        <v>23</v>
      </c>
      <c r="M4" s="1" t="n">
        <f aca="false">25/346</f>
        <v>0.0722543352601156</v>
      </c>
      <c r="N4" s="2" t="n">
        <f aca="false">N$2*M4</f>
        <v>25</v>
      </c>
      <c r="Q4" s="4" t="n">
        <v>10</v>
      </c>
      <c r="V4" s="2"/>
      <c r="X4" s="2"/>
      <c r="AA4" s="1" t="s">
        <v>24</v>
      </c>
      <c r="AB4" s="1" t="n">
        <v>2</v>
      </c>
      <c r="AC4" s="1" t="n">
        <v>6</v>
      </c>
      <c r="AE4" s="1" t="s">
        <v>25</v>
      </c>
      <c r="AF4" s="1" t="s">
        <v>10</v>
      </c>
    </row>
    <row r="5" customFormat="false" ht="13.8" hidden="false" customHeight="false" outlineLevel="0" collapsed="false">
      <c r="A5" s="1" t="s">
        <v>26</v>
      </c>
      <c r="B5" s="1" t="s">
        <v>27</v>
      </c>
      <c r="C5" s="1" t="n">
        <f aca="false">43/546</f>
        <v>0.0787545787545788</v>
      </c>
      <c r="D5" s="2" t="n">
        <f aca="false">D$2*C5</f>
        <v>129</v>
      </c>
      <c r="G5" s="1" t="n">
        <v>21</v>
      </c>
      <c r="H5" s="1" t="n">
        <v>8</v>
      </c>
      <c r="I5" s="1" t="n">
        <v>0</v>
      </c>
      <c r="K5" s="1" t="s">
        <v>9</v>
      </c>
      <c r="L5" s="1" t="s">
        <v>243</v>
      </c>
      <c r="M5" s="1" t="n">
        <f aca="false">149/692</f>
        <v>0.215317919075145</v>
      </c>
      <c r="N5" s="2" t="n">
        <f aca="false">N$2*M5</f>
        <v>74.5</v>
      </c>
      <c r="O5" s="3" t="n">
        <v>175</v>
      </c>
      <c r="P5" s="1" t="s">
        <v>30</v>
      </c>
      <c r="Q5" s="1" t="n">
        <v>4</v>
      </c>
      <c r="R5" s="1" t="n">
        <v>5</v>
      </c>
      <c r="S5" s="1" t="n">
        <v>14</v>
      </c>
      <c r="U5" s="1" t="s">
        <v>26</v>
      </c>
      <c r="V5" s="2" t="s">
        <v>31</v>
      </c>
      <c r="W5" s="2" t="n">
        <f aca="false">11/449</f>
        <v>0.0244988864142539</v>
      </c>
      <c r="X5" s="2" t="n">
        <f aca="false">X$2*W5</f>
        <v>33</v>
      </c>
      <c r="AA5" s="1" t="s">
        <v>32</v>
      </c>
      <c r="AB5" s="1" t="n">
        <v>3</v>
      </c>
      <c r="AC5" s="1" t="n">
        <v>12</v>
      </c>
      <c r="AE5" s="1" t="s">
        <v>33</v>
      </c>
      <c r="AF5" s="1" t="s">
        <v>34</v>
      </c>
    </row>
    <row r="6" customFormat="false" ht="13.8" hidden="false" customHeight="false" outlineLevel="0" collapsed="false">
      <c r="A6" s="1" t="s">
        <v>35</v>
      </c>
      <c r="B6" s="1" t="s">
        <v>36</v>
      </c>
      <c r="C6" s="1" t="n">
        <f aca="false">32/819</f>
        <v>0.0390720390720391</v>
      </c>
      <c r="D6" s="2" t="n">
        <f aca="false">D$2*C6</f>
        <v>64</v>
      </c>
      <c r="G6" s="1" t="n">
        <v>22</v>
      </c>
      <c r="H6" s="1" t="n">
        <v>8</v>
      </c>
      <c r="I6" s="1" t="n">
        <v>0</v>
      </c>
      <c r="K6" s="1" t="s">
        <v>244</v>
      </c>
      <c r="L6" s="1" t="s">
        <v>245</v>
      </c>
      <c r="M6" s="1" t="n">
        <f aca="false">355/2076</f>
        <v>0.171001926782274</v>
      </c>
      <c r="N6" s="2" t="n">
        <f aca="false">N$2*M6</f>
        <v>59.1666666666667</v>
      </c>
      <c r="O6" s="1" t="s">
        <v>8</v>
      </c>
      <c r="Q6" s="1" t="s">
        <v>39</v>
      </c>
      <c r="R6" s="1" t="n">
        <v>5</v>
      </c>
      <c r="S6" s="1" t="n">
        <v>2</v>
      </c>
      <c r="U6" s="1" t="s">
        <v>35</v>
      </c>
      <c r="V6" s="2" t="s">
        <v>40</v>
      </c>
      <c r="W6" s="2" t="n">
        <f aca="false">73/1347</f>
        <v>0.0541945063103192</v>
      </c>
      <c r="X6" s="2" t="n">
        <f aca="false">X$2*W6</f>
        <v>73</v>
      </c>
      <c r="AA6" s="1" t="s">
        <v>41</v>
      </c>
      <c r="AB6" s="1" t="n">
        <v>4</v>
      </c>
      <c r="AC6" s="1" t="n">
        <v>0</v>
      </c>
      <c r="AG6" s="1" t="n">
        <f aca="false">273-136</f>
        <v>137</v>
      </c>
    </row>
    <row r="7" customFormat="false" ht="13.8" hidden="false" customHeight="false" outlineLevel="0" collapsed="false">
      <c r="A7" s="1" t="s">
        <v>53</v>
      </c>
      <c r="B7" s="1" t="s">
        <v>54</v>
      </c>
      <c r="C7" s="1" t="n">
        <f aca="false">10/273</f>
        <v>0.0366300366300366</v>
      </c>
      <c r="D7" s="2" t="n">
        <f aca="false">D$2*C7</f>
        <v>60</v>
      </c>
      <c r="H7" s="1"/>
      <c r="K7" s="1" t="s">
        <v>244</v>
      </c>
      <c r="L7" s="1" t="s">
        <v>246</v>
      </c>
      <c r="M7" s="1" t="n">
        <f aca="false">23/519</f>
        <v>0.0443159922928709</v>
      </c>
      <c r="N7" s="2" t="n">
        <f aca="false">N$2*M7</f>
        <v>15.3333333333333</v>
      </c>
      <c r="O7" s="1"/>
      <c r="Q7" s="1"/>
      <c r="R7" s="1"/>
      <c r="U7" s="84" t="s">
        <v>30</v>
      </c>
      <c r="V7" s="85" t="s">
        <v>247</v>
      </c>
      <c r="W7" s="85" t="n">
        <f aca="false">121/898</f>
        <v>0.134743875278396</v>
      </c>
      <c r="X7" s="2" t="n">
        <f aca="false">X$2*W7</f>
        <v>181.5</v>
      </c>
      <c r="AB7" s="1"/>
      <c r="AC7" s="1"/>
    </row>
    <row r="8" customFormat="false" ht="13.8" hidden="false" customHeight="false" outlineLevel="0" collapsed="false">
      <c r="A8" s="1" t="s">
        <v>57</v>
      </c>
      <c r="B8" s="1" t="s">
        <v>54</v>
      </c>
      <c r="C8" s="1" t="n">
        <f aca="false">10/273</f>
        <v>0.0366300366300366</v>
      </c>
      <c r="D8" s="2" t="n">
        <f aca="false">D$2*C8</f>
        <v>60</v>
      </c>
      <c r="H8" s="1"/>
      <c r="K8" s="1" t="s">
        <v>73</v>
      </c>
      <c r="L8" s="1" t="s">
        <v>248</v>
      </c>
      <c r="M8" s="1" t="n">
        <f aca="false">23/173</f>
        <v>0.132947976878613</v>
      </c>
      <c r="N8" s="2" t="n">
        <f aca="false">N$2*M8</f>
        <v>46</v>
      </c>
      <c r="O8" s="1"/>
      <c r="Q8" s="1"/>
      <c r="R8" s="1"/>
      <c r="U8" s="84" t="s">
        <v>249</v>
      </c>
      <c r="V8" s="85" t="s">
        <v>10</v>
      </c>
      <c r="W8" s="85" t="n">
        <f aca="false">136/1347</f>
        <v>0.100965107646622</v>
      </c>
      <c r="X8" s="2" t="n">
        <f aca="false">X$2*W8</f>
        <v>136</v>
      </c>
      <c r="AB8" s="1"/>
      <c r="AC8" s="1"/>
    </row>
    <row r="9" customFormat="false" ht="13.8" hidden="false" customHeight="false" outlineLevel="0" collapsed="false">
      <c r="A9" s="1" t="s">
        <v>101</v>
      </c>
      <c r="B9" s="1" t="s">
        <v>250</v>
      </c>
      <c r="C9" s="1" t="n">
        <f aca="false">1175/4914</f>
        <v>0.239112739112739</v>
      </c>
      <c r="D9" s="2" t="n">
        <f aca="false">D$2*C9</f>
        <v>391.666666666667</v>
      </c>
      <c r="H9" s="1"/>
      <c r="K9" s="1" t="s">
        <v>9</v>
      </c>
      <c r="L9" s="1" t="s">
        <v>246</v>
      </c>
      <c r="M9" s="1" t="n">
        <f aca="false">23/519</f>
        <v>0.0443159922928709</v>
      </c>
      <c r="N9" s="2" t="n">
        <f aca="false">N$2*M9</f>
        <v>15.3333333333333</v>
      </c>
      <c r="O9" s="1"/>
      <c r="Q9" s="1"/>
      <c r="R9" s="1"/>
      <c r="U9" s="84" t="s">
        <v>101</v>
      </c>
      <c r="V9" s="85" t="s">
        <v>251</v>
      </c>
      <c r="W9" s="85" t="n">
        <f aca="false">182/1347</f>
        <v>0.135115070527097</v>
      </c>
      <c r="X9" s="2" t="n">
        <f aca="false">X$2*W9</f>
        <v>182</v>
      </c>
      <c r="AB9" s="1"/>
      <c r="AC9" s="1"/>
    </row>
    <row r="10" customFormat="false" ht="13.8" hidden="false" customHeight="false" outlineLevel="0" collapsed="false">
      <c r="A10" s="1" t="s">
        <v>9</v>
      </c>
      <c r="B10" s="1" t="s">
        <v>252</v>
      </c>
      <c r="C10" s="1" t="n">
        <f aca="false">163/983</f>
        <v>0.165818921668362</v>
      </c>
      <c r="D10" s="2" t="n">
        <f aca="false">D$2*C10</f>
        <v>271.611393692777</v>
      </c>
      <c r="H10" s="1"/>
      <c r="K10" s="1" t="s">
        <v>242</v>
      </c>
      <c r="L10" s="1" t="s">
        <v>246</v>
      </c>
      <c r="M10" s="1" t="n">
        <f aca="false">23/519</f>
        <v>0.0443159922928709</v>
      </c>
      <c r="N10" s="2" t="n">
        <f aca="false">N$2*M10</f>
        <v>15.3333333333333</v>
      </c>
      <c r="O10" s="1"/>
      <c r="Q10" s="1"/>
      <c r="R10" s="1"/>
      <c r="U10" s="84" t="s">
        <v>253</v>
      </c>
      <c r="V10" s="85" t="s">
        <v>254</v>
      </c>
      <c r="W10" s="85" t="n">
        <f aca="false">91/2694</f>
        <v>0.0337787676317743</v>
      </c>
      <c r="X10" s="2" t="n">
        <f aca="false">X$2*W10</f>
        <v>45.5</v>
      </c>
      <c r="Y10" s="1" t="n">
        <f aca="false">SUM(X7:X10)</f>
        <v>545</v>
      </c>
      <c r="Z10" s="1" t="n">
        <f aca="false">Y10/20</f>
        <v>27.25</v>
      </c>
      <c r="AB10" s="1"/>
      <c r="AC10" s="1"/>
    </row>
    <row r="11" customFormat="false" ht="13.8" hidden="false" customHeight="false" outlineLevel="0" collapsed="false">
      <c r="C11" s="1"/>
      <c r="D11" s="2"/>
      <c r="H11" s="1"/>
      <c r="M11" s="1"/>
      <c r="N11" s="2"/>
      <c r="O11" s="1"/>
      <c r="Q11" s="1"/>
      <c r="R11" s="1"/>
      <c r="U11" s="8" t="s">
        <v>30</v>
      </c>
      <c r="V11" s="86" t="s">
        <v>255</v>
      </c>
      <c r="W11" s="86" t="n">
        <f aca="false">1009/8082</f>
        <v>0.124845335313041</v>
      </c>
      <c r="X11" s="2" t="n">
        <f aca="false">X$2*W11</f>
        <v>168.166666666667</v>
      </c>
      <c r="AB11" s="1"/>
      <c r="AC11" s="1"/>
    </row>
    <row r="12" customFormat="false" ht="13.8" hidden="false" customHeight="false" outlineLevel="0" collapsed="false">
      <c r="A12" s="1" t="s">
        <v>256</v>
      </c>
      <c r="B12" s="1" t="s">
        <v>257</v>
      </c>
      <c r="C12" s="1" t="n">
        <f aca="false">1175/19656</f>
        <v>0.0597781847781848</v>
      </c>
      <c r="D12" s="2" t="n">
        <f aca="false">D$2*C12</f>
        <v>97.9166666666667</v>
      </c>
      <c r="H12" s="1"/>
      <c r="K12" s="1" t="s">
        <v>73</v>
      </c>
      <c r="L12" s="1" t="s">
        <v>246</v>
      </c>
      <c r="M12" s="1" t="n">
        <f aca="false">23/519</f>
        <v>0.0443159922928709</v>
      </c>
      <c r="N12" s="2" t="n">
        <f aca="false">N$2*M12</f>
        <v>15.3333333333333</v>
      </c>
      <c r="O12" s="1" t="n">
        <f aca="false">SUM(N5:N12)</f>
        <v>241</v>
      </c>
      <c r="Q12" s="1"/>
      <c r="R12" s="1"/>
      <c r="U12" s="8" t="s">
        <v>249</v>
      </c>
      <c r="V12" s="2" t="s">
        <v>258</v>
      </c>
      <c r="W12" s="2" t="n">
        <f aca="false">49/449</f>
        <v>0.10913140311804</v>
      </c>
      <c r="X12" s="2" t="n">
        <f aca="false">X$2*W12</f>
        <v>147</v>
      </c>
      <c r="AB12" s="1"/>
      <c r="AC12" s="1"/>
    </row>
    <row r="13" customFormat="false" ht="19.7" hidden="false" customHeight="false" outlineLevel="0" collapsed="false">
      <c r="A13" s="1" t="s">
        <v>249</v>
      </c>
      <c r="B13" s="1" t="s">
        <v>259</v>
      </c>
      <c r="C13" s="1" t="n">
        <f aca="false">1175/6552</f>
        <v>0.179334554334554</v>
      </c>
      <c r="D13" s="2" t="n">
        <f aca="false">D$2*C13</f>
        <v>293.75</v>
      </c>
      <c r="E13" s="6" t="n">
        <f aca="false">D9/20</f>
        <v>19.5833333333333</v>
      </c>
      <c r="F13" s="6"/>
      <c r="G13" s="4" t="n">
        <v>10</v>
      </c>
      <c r="K13" s="1" t="s">
        <v>44</v>
      </c>
      <c r="L13" s="1" t="s">
        <v>23</v>
      </c>
      <c r="M13" s="1" t="n">
        <f aca="false">25/346</f>
        <v>0.0722543352601156</v>
      </c>
      <c r="N13" s="2" t="n">
        <f aca="false">N$2*M13</f>
        <v>25</v>
      </c>
      <c r="Q13" s="1" t="s">
        <v>45</v>
      </c>
      <c r="R13" s="1" t="n">
        <v>0</v>
      </c>
      <c r="S13" s="1" t="n">
        <v>12</v>
      </c>
      <c r="U13" s="8" t="s">
        <v>101</v>
      </c>
      <c r="V13" s="2" t="s">
        <v>260</v>
      </c>
      <c r="W13" s="2" t="n">
        <f aca="false">170/4041</f>
        <v>0.0420687948527592</v>
      </c>
      <c r="X13" s="2" t="n">
        <f aca="false">X$2*W13</f>
        <v>56.6666666666667</v>
      </c>
      <c r="AA13" s="1" t="s">
        <v>48</v>
      </c>
      <c r="AB13" s="1" t="n">
        <v>5</v>
      </c>
      <c r="AC13" s="1" t="n">
        <v>0</v>
      </c>
      <c r="AF13" s="3" t="n">
        <f aca="false">136+136+273</f>
        <v>545</v>
      </c>
      <c r="AG13" s="2" t="n">
        <f aca="false">AF13/3</f>
        <v>181.666666666667</v>
      </c>
    </row>
    <row r="14" customFormat="false" ht="13.8" hidden="false" customHeight="false" outlineLevel="0" collapsed="false">
      <c r="D14" s="2" t="n">
        <f aca="false">D$2*C14</f>
        <v>0</v>
      </c>
      <c r="E14" s="6" t="n">
        <f aca="false">D10/20</f>
        <v>13.5805696846389</v>
      </c>
      <c r="G14" s="1" t="n">
        <v>16</v>
      </c>
      <c r="H14" s="1" t="n">
        <v>7</v>
      </c>
      <c r="I14" s="1" t="n">
        <v>12</v>
      </c>
      <c r="K14" s="1" t="s">
        <v>26</v>
      </c>
      <c r="L14" s="1" t="s">
        <v>50</v>
      </c>
      <c r="M14" s="1" t="n">
        <f aca="false">9/173</f>
        <v>0.0520231213872832</v>
      </c>
      <c r="N14" s="2" t="n">
        <f aca="false">N$2*M14</f>
        <v>18</v>
      </c>
      <c r="O14" s="3" t="n">
        <v>176</v>
      </c>
      <c r="P14" s="1" t="s">
        <v>11</v>
      </c>
      <c r="Q14" s="1" t="n">
        <v>12</v>
      </c>
      <c r="R14" s="1" t="n">
        <v>3</v>
      </c>
      <c r="S14" s="1" t="n">
        <v>0</v>
      </c>
      <c r="U14" s="8" t="s">
        <v>253</v>
      </c>
      <c r="V14" s="2" t="s">
        <v>261</v>
      </c>
      <c r="W14" s="2" t="n">
        <f aca="false">85/8082</f>
        <v>0.0105171987131898</v>
      </c>
      <c r="X14" s="2" t="n">
        <f aca="false">X$2*W14</f>
        <v>14.1666666666667</v>
      </c>
      <c r="Y14" s="1" t="n">
        <f aca="false">SUM(X11:X14)</f>
        <v>386</v>
      </c>
      <c r="AA14" s="1" t="s">
        <v>52</v>
      </c>
      <c r="AB14" s="1" t="n">
        <v>4</v>
      </c>
      <c r="AC14" s="1" t="n">
        <v>5</v>
      </c>
      <c r="AG14" s="2" t="n">
        <f aca="false">AG13/20</f>
        <v>9.08333333333333</v>
      </c>
    </row>
    <row r="15" customFormat="false" ht="13.8" hidden="false" customHeight="false" outlineLevel="0" collapsed="false">
      <c r="C15" s="7" t="n">
        <f aca="false">SUM(C3:C14)</f>
        <v>0.999966255815696</v>
      </c>
      <c r="D15" s="7" t="n">
        <f aca="false">SUM(D3:D14)</f>
        <v>1637.94472702611</v>
      </c>
      <c r="G15" s="1" t="n">
        <v>24</v>
      </c>
      <c r="H15" s="1" t="n">
        <v>7</v>
      </c>
      <c r="I15" s="1" t="n">
        <v>11</v>
      </c>
      <c r="K15" s="1" t="s">
        <v>35</v>
      </c>
      <c r="L15" s="1" t="s">
        <v>55</v>
      </c>
      <c r="M15" s="1" t="n">
        <f aca="false">5/173</f>
        <v>0.0289017341040462</v>
      </c>
      <c r="N15" s="2" t="n">
        <f aca="false">N$2*M15</f>
        <v>10</v>
      </c>
      <c r="U15" s="1" t="s">
        <v>44</v>
      </c>
      <c r="V15" s="2" t="s">
        <v>16</v>
      </c>
      <c r="W15" s="2" t="n">
        <f aca="false">106/1347</f>
        <v>0.0786933927245731</v>
      </c>
      <c r="X15" s="2" t="n">
        <f aca="false">X$2*W15</f>
        <v>106</v>
      </c>
      <c r="Y15" s="1" t="n">
        <f aca="false">Y10+Y14</f>
        <v>931</v>
      </c>
      <c r="AA15" s="1" t="s">
        <v>56</v>
      </c>
      <c r="AB15" s="1" t="n">
        <v>3</v>
      </c>
      <c r="AC15" s="1" t="n">
        <v>15</v>
      </c>
    </row>
    <row r="16" customFormat="false" ht="13.8" hidden="false" customHeight="false" outlineLevel="0" collapsed="false">
      <c r="G16" s="1" t="n">
        <v>25</v>
      </c>
      <c r="H16" s="1" t="n">
        <v>7</v>
      </c>
      <c r="I16" s="1" t="n">
        <v>4</v>
      </c>
      <c r="N16" s="2" t="n">
        <f aca="false">N$2*M16</f>
        <v>0</v>
      </c>
      <c r="U16" s="1" t="s">
        <v>57</v>
      </c>
      <c r="V16" s="2" t="s">
        <v>58</v>
      </c>
      <c r="W16" s="2" t="n">
        <f aca="false">98/1347</f>
        <v>0.0727542687453601</v>
      </c>
      <c r="X16" s="2" t="n">
        <f aca="false">X$2*W16</f>
        <v>98</v>
      </c>
      <c r="AA16" s="1" t="n">
        <v>15</v>
      </c>
      <c r="AB16" s="1" t="n">
        <v>7</v>
      </c>
      <c r="AC16" s="1" t="n">
        <v>12</v>
      </c>
      <c r="AE16" s="3" t="s">
        <v>59</v>
      </c>
    </row>
    <row r="17" customFormat="false" ht="19.7" hidden="false" customHeight="false" outlineLevel="0" collapsed="false">
      <c r="E17" s="0" t="n">
        <f aca="false">D13+D12+D10+D9</f>
        <v>1054.94472702611</v>
      </c>
      <c r="G17" s="4" t="n">
        <v>12</v>
      </c>
      <c r="N17" s="2" t="n">
        <f aca="false">N$2*M17</f>
        <v>0</v>
      </c>
      <c r="V17" s="2"/>
      <c r="X17" s="2" t="n">
        <f aca="false">X$2*W17</f>
        <v>0</v>
      </c>
      <c r="AA17" s="1" t="n">
        <v>17</v>
      </c>
      <c r="AB17" s="1" t="n">
        <v>8</v>
      </c>
      <c r="AC17" s="1" t="n">
        <v>0</v>
      </c>
      <c r="AE17" s="1" t="s">
        <v>62</v>
      </c>
      <c r="AF17" s="1" t="s">
        <v>63</v>
      </c>
    </row>
    <row r="18" customFormat="false" ht="13.8" hidden="false" customHeight="false" outlineLevel="0" collapsed="false">
      <c r="E18" s="0" t="n">
        <f aca="false">E17/20</f>
        <v>52.7472363513055</v>
      </c>
      <c r="G18" s="1" t="n">
        <v>5</v>
      </c>
      <c r="H18" s="1" t="n">
        <v>7</v>
      </c>
      <c r="I18" s="1" t="n">
        <v>12</v>
      </c>
      <c r="N18" s="2" t="n">
        <f aca="false">N$2*M18</f>
        <v>0</v>
      </c>
      <c r="R18" s="1" t="n">
        <f aca="false">SUM(R3:R17)</f>
        <v>15</v>
      </c>
      <c r="S18" s="1" t="n">
        <f aca="false">SUM(S3:S17)</f>
        <v>46</v>
      </c>
      <c r="V18" s="2"/>
      <c r="X18" s="2" t="n">
        <f aca="false">X$2*W18</f>
        <v>0</v>
      </c>
      <c r="AA18" s="1" t="n">
        <v>18</v>
      </c>
      <c r="AB18" s="1" t="n">
        <v>8</v>
      </c>
      <c r="AC18" s="1" t="n">
        <v>0</v>
      </c>
      <c r="AE18" s="1" t="s">
        <v>64</v>
      </c>
      <c r="AF18" s="1" t="s">
        <v>65</v>
      </c>
    </row>
    <row r="19" customFormat="false" ht="19.7" hidden="false" customHeight="false" outlineLevel="0" collapsed="false">
      <c r="G19" s="4" t="n">
        <v>13</v>
      </c>
      <c r="N19" s="2" t="n">
        <f aca="false">N$2*M19</f>
        <v>0</v>
      </c>
      <c r="R19" s="1" t="n">
        <v>17</v>
      </c>
      <c r="S19" s="1" t="n">
        <v>6</v>
      </c>
      <c r="V19" s="2"/>
      <c r="X19" s="2" t="n">
        <f aca="false">X$2*W19</f>
        <v>0</v>
      </c>
      <c r="AB19" s="3" t="n">
        <f aca="false">SUM(AB3:AB18)</f>
        <v>49</v>
      </c>
      <c r="AC19" s="3" t="n">
        <f aca="false">SUM(AC3:AC18)</f>
        <v>56</v>
      </c>
    </row>
    <row r="20" customFormat="false" ht="13.8" hidden="false" customHeight="false" outlineLevel="0" collapsed="false">
      <c r="G20" s="1" t="n">
        <v>1</v>
      </c>
      <c r="H20" s="1" t="n">
        <v>8</v>
      </c>
      <c r="I20" s="1" t="n">
        <v>0</v>
      </c>
      <c r="M20" s="7" t="n">
        <f aca="false">SUM(M3:M19)</f>
        <v>1</v>
      </c>
      <c r="N20" s="7" t="n">
        <f aca="false">SUM(N3:N19)</f>
        <v>346</v>
      </c>
      <c r="O20" s="1" t="n">
        <f aca="false">N20/20</f>
        <v>17.3</v>
      </c>
      <c r="R20" s="1" t="s">
        <v>8</v>
      </c>
      <c r="V20" s="2"/>
      <c r="X20" s="2" t="n">
        <f aca="false">X$2*W20</f>
        <v>0</v>
      </c>
      <c r="Y20" s="3" t="n">
        <v>178</v>
      </c>
      <c r="Z20" s="1" t="s">
        <v>66</v>
      </c>
      <c r="AA20" s="1" t="s">
        <v>48</v>
      </c>
      <c r="AB20" s="1" t="n">
        <v>3</v>
      </c>
      <c r="AF20" s="3" t="s">
        <v>67</v>
      </c>
    </row>
    <row r="21" customFormat="false" ht="13.8" hidden="false" customHeight="false" outlineLevel="0" collapsed="false">
      <c r="E21" s="2"/>
      <c r="F21" s="2"/>
      <c r="G21" s="8" t="n">
        <v>2</v>
      </c>
      <c r="H21" s="9" t="n">
        <v>8</v>
      </c>
      <c r="I21" s="1" t="n">
        <v>0</v>
      </c>
      <c r="W21" s="7" t="n">
        <f aca="false">SUM(W3:W20)</f>
        <v>1</v>
      </c>
      <c r="X21" s="7" t="n">
        <f aca="false">SUM(X3:X20)</f>
        <v>1347</v>
      </c>
      <c r="AA21" s="1" t="n">
        <v>13</v>
      </c>
      <c r="AB21" s="1" t="n">
        <v>8</v>
      </c>
      <c r="AC21" s="1" t="n">
        <v>0</v>
      </c>
      <c r="AF21" s="1" t="s">
        <v>8</v>
      </c>
    </row>
    <row r="22" customFormat="false" ht="13.8" hidden="false" customHeight="false" outlineLevel="0" collapsed="false">
      <c r="H22" s="3" t="n">
        <f aca="false">SUM(H3:H21)</f>
        <v>76</v>
      </c>
      <c r="I22" s="3" t="n">
        <f aca="false">SUM(I3:I21)</f>
        <v>39</v>
      </c>
      <c r="J22" s="3"/>
      <c r="Y22" s="3" t="n">
        <v>179</v>
      </c>
      <c r="Z22" s="1" t="s">
        <v>11</v>
      </c>
      <c r="AA22" s="1" t="s">
        <v>68</v>
      </c>
      <c r="AB22" s="1" t="n">
        <v>1</v>
      </c>
      <c r="AC22" s="1" t="n">
        <v>19</v>
      </c>
      <c r="AF22" s="1" t="n">
        <f aca="false">545/20</f>
        <v>27.25</v>
      </c>
    </row>
    <row r="23" customFormat="false" ht="19.7" hidden="false" customHeight="false" outlineLevel="0" collapsed="false">
      <c r="E23" s="3" t="n">
        <v>173</v>
      </c>
      <c r="F23" s="1" t="s">
        <v>20</v>
      </c>
      <c r="G23" s="4" t="n">
        <v>12</v>
      </c>
      <c r="H23" s="8"/>
      <c r="I23" s="8"/>
      <c r="J23" s="8"/>
      <c r="M23" s="0" t="n">
        <v>216</v>
      </c>
      <c r="Y23" s="3"/>
      <c r="AF23" s="7" t="n">
        <f aca="false">AF22/3</f>
        <v>9.08333333333333</v>
      </c>
    </row>
    <row r="24" customFormat="false" ht="13.8" hidden="false" customHeight="false" outlineLevel="0" collapsed="false">
      <c r="G24" s="8" t="s">
        <v>69</v>
      </c>
      <c r="H24" s="8" t="n">
        <v>3</v>
      </c>
      <c r="I24" s="8" t="n">
        <v>16</v>
      </c>
      <c r="J24" s="8"/>
      <c r="O24" s="1" t="n">
        <f aca="false">S3+I22</f>
        <v>57</v>
      </c>
      <c r="Y24" s="3" t="n">
        <v>180</v>
      </c>
      <c r="Z24" s="1" t="s">
        <v>35</v>
      </c>
      <c r="AA24" s="1" t="s">
        <v>68</v>
      </c>
      <c r="AB24" s="1" t="n">
        <v>2</v>
      </c>
      <c r="AC24" s="1" t="n">
        <v>12</v>
      </c>
    </row>
    <row r="25" customFormat="false" ht="13.8" hidden="false" customHeight="false" outlineLevel="0" collapsed="false">
      <c r="H25" s="3"/>
      <c r="I25" s="3"/>
      <c r="J25" s="3"/>
      <c r="N25" s="1" t="n">
        <f aca="false">81/3</f>
        <v>27</v>
      </c>
      <c r="AF25" s="1" t="n">
        <f aca="false">107*3</f>
        <v>321</v>
      </c>
    </row>
    <row r="26" customFormat="false" ht="19.7" hidden="false" customHeight="false" outlineLevel="0" collapsed="false">
      <c r="A26" s="3" t="s">
        <v>0</v>
      </c>
      <c r="B26" s="3"/>
      <c r="C26" s="4" t="n">
        <v>238</v>
      </c>
      <c r="D26" s="3" t="s">
        <v>1</v>
      </c>
      <c r="G26" s="1" t="n">
        <v>342</v>
      </c>
      <c r="H26" s="8" t="n">
        <v>0</v>
      </c>
      <c r="I26" s="8" t="n">
        <v>3</v>
      </c>
      <c r="J26" s="8"/>
      <c r="AB26" s="3" t="n">
        <f aca="false">SUM(AB19:AB25)</f>
        <v>63</v>
      </c>
      <c r="AC26" s="3" t="n">
        <f aca="false">SUM(AC19:AC25)</f>
        <v>87</v>
      </c>
    </row>
    <row r="27" customFormat="false" ht="19.7" hidden="false" customHeight="false" outlineLevel="0" collapsed="false">
      <c r="D27" s="3" t="n">
        <f aca="false">29*20+14</f>
        <v>594</v>
      </c>
      <c r="H27" s="3"/>
      <c r="I27" s="3"/>
      <c r="J27" s="3"/>
      <c r="K27" s="3" t="s">
        <v>0</v>
      </c>
      <c r="L27" s="3"/>
      <c r="M27" s="4" t="n">
        <v>239</v>
      </c>
      <c r="N27" s="3" t="s">
        <v>1</v>
      </c>
      <c r="O27" s="3" t="s">
        <v>2</v>
      </c>
      <c r="P27" s="3"/>
      <c r="Q27" s="3" t="s">
        <v>3</v>
      </c>
      <c r="R27" s="3" t="s">
        <v>4</v>
      </c>
      <c r="S27" s="3" t="s">
        <v>5</v>
      </c>
      <c r="V27" s="2"/>
      <c r="X27" s="2"/>
      <c r="AA27" s="2"/>
    </row>
    <row r="28" customFormat="false" ht="19.7" hidden="false" customHeight="false" outlineLevel="0" collapsed="false">
      <c r="A28" s="1" t="s">
        <v>14</v>
      </c>
      <c r="B28" s="1" t="s">
        <v>70</v>
      </c>
      <c r="C28" s="1" t="n">
        <f aca="false">35/297</f>
        <v>0.117845117845118</v>
      </c>
      <c r="D28" s="2" t="n">
        <f aca="false">D$27*C28</f>
        <v>70</v>
      </c>
      <c r="H28" s="3" t="n">
        <f aca="false">SUM(H22:H26)</f>
        <v>79</v>
      </c>
      <c r="I28" s="3" t="n">
        <f aca="false">SUM(I22:I26)</f>
        <v>58</v>
      </c>
      <c r="J28" s="3"/>
      <c r="M28" s="2"/>
      <c r="N28" s="3" t="n">
        <f aca="false">25*20+14</f>
        <v>514</v>
      </c>
      <c r="O28" s="3" t="n">
        <v>373</v>
      </c>
      <c r="P28" s="4"/>
      <c r="Q28" s="1" t="n">
        <v>142</v>
      </c>
      <c r="R28" s="1" t="n">
        <v>0</v>
      </c>
      <c r="S28" s="1" t="n">
        <v>9</v>
      </c>
      <c r="V28" s="3" t="n">
        <v>111</v>
      </c>
      <c r="W28" s="10" t="n">
        <v>112</v>
      </c>
      <c r="X28" s="10" t="n">
        <v>113</v>
      </c>
      <c r="Y28" s="10" t="n">
        <v>238</v>
      </c>
      <c r="Z28" s="3" t="n">
        <v>239</v>
      </c>
      <c r="AA28" s="2"/>
    </row>
    <row r="29" customFormat="false" ht="13.8" hidden="false" customHeight="false" outlineLevel="0" collapsed="false">
      <c r="A29" s="1" t="s">
        <v>20</v>
      </c>
      <c r="B29" s="1" t="s">
        <v>74</v>
      </c>
      <c r="C29" s="1" t="n">
        <f aca="false">122/297</f>
        <v>0.410774410774411</v>
      </c>
      <c r="D29" s="2" t="n">
        <f aca="false">D$27*C29</f>
        <v>244</v>
      </c>
      <c r="H29" s="3" t="n">
        <v>81</v>
      </c>
      <c r="I29" s="3" t="n">
        <v>18</v>
      </c>
      <c r="J29" s="3"/>
      <c r="K29" s="1" t="s">
        <v>14</v>
      </c>
      <c r="L29" s="2" t="s">
        <v>72</v>
      </c>
      <c r="M29" s="2" t="n">
        <f aca="false">8/735</f>
        <v>0.0108843537414966</v>
      </c>
      <c r="N29" s="2" t="n">
        <f aca="false">N$28*M29</f>
        <v>5.59455782312925</v>
      </c>
      <c r="Q29" s="1" t="n">
        <v>247</v>
      </c>
      <c r="R29" s="1" t="n">
        <v>1</v>
      </c>
      <c r="S29" s="1" t="n">
        <v>16</v>
      </c>
      <c r="U29" s="1" t="s">
        <v>73</v>
      </c>
      <c r="V29" s="2" t="n">
        <f aca="false">D9</f>
        <v>391.666666666667</v>
      </c>
      <c r="W29" s="2" t="n">
        <f aca="false">N8+N12</f>
        <v>61.3333333333333</v>
      </c>
      <c r="X29" s="2" t="n">
        <f aca="false">X9+X13</f>
        <v>238.666666666667</v>
      </c>
      <c r="Y29" s="2" t="n">
        <f aca="false">D34</f>
        <v>70</v>
      </c>
      <c r="Z29" s="2" t="n">
        <f aca="false">N36</f>
        <v>57.1111111111111</v>
      </c>
      <c r="AA29" s="7" t="n">
        <f aca="false">SUM(V29:Z29)</f>
        <v>818.777777777778</v>
      </c>
    </row>
    <row r="30" customFormat="false" ht="13.8" hidden="false" customHeight="false" outlineLevel="0" collapsed="false">
      <c r="A30" s="1" t="s">
        <v>26</v>
      </c>
      <c r="B30" s="1" t="s">
        <v>78</v>
      </c>
      <c r="C30" s="1" t="n">
        <f aca="false">23/297</f>
        <v>0.0774410774410774</v>
      </c>
      <c r="D30" s="2" t="n">
        <f aca="false">D$27*C30</f>
        <v>46</v>
      </c>
      <c r="H30" s="3"/>
      <c r="I30" s="3"/>
      <c r="J30" s="3"/>
      <c r="K30" s="1" t="s">
        <v>76</v>
      </c>
      <c r="L30" s="2" t="s">
        <v>77</v>
      </c>
      <c r="M30" s="2" t="n">
        <v>0.0036281179138322</v>
      </c>
      <c r="N30" s="2" t="n">
        <f aca="false">N$28*M30</f>
        <v>1.86485260770975</v>
      </c>
      <c r="Q30" s="1" t="n">
        <v>343</v>
      </c>
      <c r="R30" s="1" t="n">
        <v>0</v>
      </c>
      <c r="S30" s="1" t="n">
        <v>5</v>
      </c>
      <c r="U30" s="1" t="s">
        <v>242</v>
      </c>
      <c r="V30" s="2" t="n">
        <f aca="false">D12</f>
        <v>97.9166666666667</v>
      </c>
      <c r="W30" s="2" t="n">
        <f aca="false">N10</f>
        <v>15.3333333333333</v>
      </c>
      <c r="X30" s="2" t="n">
        <f aca="false">X10+X14</f>
        <v>59.6666666666667</v>
      </c>
      <c r="Y30" s="2" t="n">
        <f aca="false">D35</f>
        <v>17.5</v>
      </c>
      <c r="Z30" s="2" t="n">
        <f aca="false">N37</f>
        <v>14.2777777777778</v>
      </c>
      <c r="AA30" s="7" t="n">
        <f aca="false">SUM(V30:Z30)</f>
        <v>204.694444444444</v>
      </c>
    </row>
    <row r="31" customFormat="false" ht="19.7" hidden="false" customHeight="false" outlineLevel="0" collapsed="false">
      <c r="A31" s="1" t="s">
        <v>35</v>
      </c>
      <c r="B31" s="1" t="s">
        <v>80</v>
      </c>
      <c r="C31" s="1" t="n">
        <f aca="false">4/99</f>
        <v>0.0404040404040404</v>
      </c>
      <c r="D31" s="2" t="n">
        <f aca="false">D$27*C31</f>
        <v>24</v>
      </c>
      <c r="E31" s="3" t="s">
        <v>2</v>
      </c>
      <c r="F31" s="3"/>
      <c r="G31" s="3" t="s">
        <v>3</v>
      </c>
      <c r="H31" s="3" t="s">
        <v>4</v>
      </c>
      <c r="I31" s="3" t="s">
        <v>5</v>
      </c>
      <c r="K31" s="1" t="s">
        <v>57</v>
      </c>
      <c r="L31" s="2" t="s">
        <v>79</v>
      </c>
      <c r="M31" s="2" t="n">
        <f aca="false">1/6</f>
        <v>0.166666666666667</v>
      </c>
      <c r="N31" s="2" t="n">
        <f aca="false">N$28*M31</f>
        <v>85.6666666666667</v>
      </c>
      <c r="O31" s="3" t="n">
        <v>374</v>
      </c>
      <c r="P31" s="1" t="s">
        <v>13</v>
      </c>
      <c r="Q31" s="4" t="n">
        <v>10</v>
      </c>
      <c r="U31" s="1" t="s">
        <v>19</v>
      </c>
      <c r="V31" s="2" t="n">
        <f aca="false">D13</f>
        <v>293.75</v>
      </c>
      <c r="W31" s="2" t="n">
        <f aca="false">N6+N7</f>
        <v>74.5</v>
      </c>
      <c r="X31" s="2" t="n">
        <f aca="false">X8+X12</f>
        <v>283</v>
      </c>
      <c r="Y31" s="2" t="n">
        <f aca="false">D33</f>
        <v>52.5</v>
      </c>
      <c r="Z31" s="87" t="n">
        <f aca="false">N35</f>
        <v>85.6083900226758</v>
      </c>
      <c r="AA31" s="7" t="n">
        <f aca="false">SUM(V31:Z31)</f>
        <v>789.358390022676</v>
      </c>
      <c r="AC31" s="2"/>
    </row>
    <row r="32" customFormat="false" ht="19.7" hidden="false" customHeight="false" outlineLevel="0" collapsed="false">
      <c r="A32" s="1" t="s">
        <v>9</v>
      </c>
      <c r="B32" s="1" t="s">
        <v>262</v>
      </c>
      <c r="C32" s="1" t="n">
        <f aca="false">70/594</f>
        <v>0.117845117845118</v>
      </c>
      <c r="D32" s="2" t="n">
        <f aca="false">D$27*C32</f>
        <v>70</v>
      </c>
      <c r="E32" s="3" t="s">
        <v>8</v>
      </c>
      <c r="F32" s="3"/>
      <c r="G32" s="4" t="n">
        <v>12</v>
      </c>
      <c r="H32" s="4" t="s">
        <v>8</v>
      </c>
      <c r="K32" s="1" t="s">
        <v>82</v>
      </c>
      <c r="L32" s="2" t="s">
        <v>79</v>
      </c>
      <c r="M32" s="2" t="n">
        <f aca="false">1/6</f>
        <v>0.166666666666667</v>
      </c>
      <c r="N32" s="2" t="n">
        <f aca="false">N$28*M32</f>
        <v>85.6666666666667</v>
      </c>
      <c r="Q32" s="1" t="n">
        <v>23</v>
      </c>
      <c r="R32" s="1" t="n">
        <v>7</v>
      </c>
      <c r="S32" s="1" t="n">
        <v>11</v>
      </c>
      <c r="U32" s="1" t="s">
        <v>83</v>
      </c>
      <c r="V32" s="2" t="n">
        <f aca="false">D10</f>
        <v>271.611393692777</v>
      </c>
      <c r="W32" s="2" t="n">
        <f aca="false">N5+N9</f>
        <v>89.8333333333333</v>
      </c>
      <c r="X32" s="2" t="n">
        <f aca="false">X11+X7</f>
        <v>349.666666666667</v>
      </c>
      <c r="Y32" s="2" t="n">
        <f aca="false">D32</f>
        <v>70</v>
      </c>
      <c r="Z32" s="87" t="n">
        <f aca="false">N34</f>
        <v>99.8861678004535</v>
      </c>
      <c r="AA32" s="7" t="n">
        <f aca="false">SUM(V32:Z32)</f>
        <v>880.997561493231</v>
      </c>
    </row>
    <row r="33" customFormat="false" ht="13.8" hidden="false" customHeight="false" outlineLevel="0" collapsed="false">
      <c r="A33" s="1" t="s">
        <v>244</v>
      </c>
      <c r="B33" s="1" t="s">
        <v>263</v>
      </c>
      <c r="C33" s="1" t="n">
        <f aca="false">35/396</f>
        <v>0.0883838383838384</v>
      </c>
      <c r="D33" s="2" t="n">
        <f aca="false">D$27*C33</f>
        <v>52.5</v>
      </c>
      <c r="E33" s="1" t="n">
        <v>371</v>
      </c>
      <c r="F33" s="1" t="s">
        <v>71</v>
      </c>
      <c r="G33" s="1" t="n">
        <v>3</v>
      </c>
      <c r="H33" s="9" t="n">
        <v>8</v>
      </c>
      <c r="I33" s="1" t="n">
        <v>0</v>
      </c>
      <c r="K33" s="1" t="s">
        <v>86</v>
      </c>
      <c r="L33" s="2" t="s">
        <v>87</v>
      </c>
      <c r="M33" s="2" t="n">
        <f aca="false">32/441</f>
        <v>0.072562358276644</v>
      </c>
      <c r="N33" s="2" t="n">
        <f aca="false">N$28*M33</f>
        <v>37.297052154195</v>
      </c>
      <c r="O33" s="3" t="n">
        <v>375</v>
      </c>
      <c r="P33" s="1" t="s">
        <v>11</v>
      </c>
      <c r="Q33" s="1" t="s">
        <v>88</v>
      </c>
      <c r="R33" s="1" t="n">
        <v>3</v>
      </c>
      <c r="S33" s="1" t="n">
        <v>18</v>
      </c>
      <c r="U33" s="1" t="s">
        <v>89</v>
      </c>
      <c r="X33" s="2"/>
      <c r="Z33" s="1" t="n">
        <v>85.67</v>
      </c>
      <c r="AA33" s="7" t="n">
        <f aca="false">SUM(V33:Z33)</f>
        <v>85.67</v>
      </c>
      <c r="AB33" s="2"/>
      <c r="AC33" s="1"/>
      <c r="AE33" s="1" t="n">
        <f aca="false">851-818</f>
        <v>33</v>
      </c>
    </row>
    <row r="34" customFormat="false" ht="13.8" hidden="false" customHeight="false" outlineLevel="0" collapsed="false">
      <c r="A34" s="1" t="s">
        <v>73</v>
      </c>
      <c r="B34" s="1" t="s">
        <v>262</v>
      </c>
      <c r="C34" s="1" t="n">
        <f aca="false">70/594</f>
        <v>0.117845117845118</v>
      </c>
      <c r="D34" s="2" t="n">
        <f aca="false">D$27*C34</f>
        <v>70</v>
      </c>
      <c r="G34" s="1" t="s">
        <v>75</v>
      </c>
      <c r="H34" s="1" t="n">
        <v>4</v>
      </c>
      <c r="I34" s="1" t="n">
        <v>4</v>
      </c>
      <c r="K34" s="1" t="s">
        <v>9</v>
      </c>
      <c r="L34" s="2" t="s">
        <v>264</v>
      </c>
      <c r="M34" s="2" t="n">
        <f aca="false">857/4410</f>
        <v>0.194331065759637</v>
      </c>
      <c r="N34" s="2" t="n">
        <f aca="false">N$28*M34</f>
        <v>99.8861678004535</v>
      </c>
      <c r="O34" s="3"/>
      <c r="Q34" s="1"/>
      <c r="R34" s="1"/>
      <c r="X34" s="2"/>
      <c r="AA34" s="7"/>
      <c r="AB34" s="1"/>
      <c r="AC34" s="1"/>
    </row>
    <row r="35" customFormat="false" ht="13.8" hidden="false" customHeight="false" outlineLevel="0" collapsed="false">
      <c r="A35" s="1" t="s">
        <v>256</v>
      </c>
      <c r="B35" s="1" t="s">
        <v>265</v>
      </c>
      <c r="C35" s="1" t="n">
        <f aca="false">35/1188</f>
        <v>0.0294612794612795</v>
      </c>
      <c r="D35" s="2" t="n">
        <f aca="false">D$27*C35</f>
        <v>17.5</v>
      </c>
      <c r="H35" s="1" t="s">
        <v>8</v>
      </c>
      <c r="K35" s="1" t="s">
        <v>244</v>
      </c>
      <c r="L35" s="2" t="s">
        <v>266</v>
      </c>
      <c r="M35" s="2" t="n">
        <f aca="false">1469/8820</f>
        <v>0.166553287981859</v>
      </c>
      <c r="N35" s="2" t="n">
        <f aca="false">N$28*M35</f>
        <v>85.6083900226758</v>
      </c>
      <c r="O35" s="3"/>
      <c r="Q35" s="1"/>
      <c r="R35" s="1"/>
      <c r="X35" s="2"/>
      <c r="AA35" s="7"/>
    </row>
    <row r="36" customFormat="false" ht="19.7" hidden="false" customHeight="false" outlineLevel="0" collapsed="false">
      <c r="D36" s="2" t="n">
        <f aca="false">D$2*C36</f>
        <v>0</v>
      </c>
      <c r="E36" s="1" t="n">
        <v>372</v>
      </c>
      <c r="F36" s="1" t="s">
        <v>81</v>
      </c>
      <c r="G36" s="4" t="n">
        <v>11</v>
      </c>
      <c r="H36" s="1" t="s">
        <v>8</v>
      </c>
      <c r="K36" s="1" t="s">
        <v>73</v>
      </c>
      <c r="L36" s="2" t="s">
        <v>267</v>
      </c>
      <c r="M36" s="2" t="n">
        <f aca="false">1/9</f>
        <v>0.111111111111111</v>
      </c>
      <c r="N36" s="2" t="n">
        <f aca="false">N$28*M36</f>
        <v>57.1111111111111</v>
      </c>
      <c r="Q36" s="1" t="s">
        <v>90</v>
      </c>
      <c r="R36" s="1" t="n">
        <v>4</v>
      </c>
      <c r="S36" s="1" t="n">
        <v>4</v>
      </c>
      <c r="U36" s="1" t="s">
        <v>91</v>
      </c>
      <c r="X36" s="2"/>
      <c r="Z36" s="1" t="n">
        <v>85.67</v>
      </c>
      <c r="AA36" s="7" t="n">
        <f aca="false">SUM(V36:Z36)</f>
        <v>85.67</v>
      </c>
    </row>
    <row r="37" customFormat="false" ht="13.8" hidden="false" customHeight="false" outlineLevel="0" collapsed="false">
      <c r="D37" s="2" t="n">
        <f aca="false">D$2*C37</f>
        <v>0</v>
      </c>
      <c r="G37" s="1" t="n">
        <v>5</v>
      </c>
      <c r="H37" s="1" t="n">
        <v>1</v>
      </c>
      <c r="I37" s="1" t="n">
        <v>12</v>
      </c>
      <c r="K37" s="1" t="s">
        <v>242</v>
      </c>
      <c r="L37" s="2" t="s">
        <v>268</v>
      </c>
      <c r="M37" s="2" t="n">
        <f aca="false">1/36</f>
        <v>0.0277777777777778</v>
      </c>
      <c r="N37" s="2" t="n">
        <f aca="false">N$28*M37</f>
        <v>14.2777777777778</v>
      </c>
      <c r="O37" s="88" t="n">
        <f aca="false">SUM(N34:N37)</f>
        <v>256.883446712018</v>
      </c>
      <c r="Q37" s="1" t="n">
        <v>22</v>
      </c>
      <c r="R37" s="1" t="n">
        <v>7</v>
      </c>
      <c r="S37" s="1" t="n">
        <v>11</v>
      </c>
      <c r="X37" s="2"/>
      <c r="AA37" s="2"/>
    </row>
    <row r="38" customFormat="false" ht="13.8" hidden="false" customHeight="false" outlineLevel="0" collapsed="false">
      <c r="D38" s="2" t="n">
        <f aca="false">D$2*C38</f>
        <v>0</v>
      </c>
      <c r="H38" s="1"/>
      <c r="K38" s="1" t="s">
        <v>44</v>
      </c>
      <c r="L38" s="2" t="s">
        <v>87</v>
      </c>
      <c r="M38" s="2" t="n">
        <f aca="false">32/441</f>
        <v>0.072562358276644</v>
      </c>
      <c r="N38" s="2" t="n">
        <f aca="false">N$28*M38</f>
        <v>37.297052154195</v>
      </c>
      <c r="R38" s="3" t="n">
        <f aca="false">SUM(R28:R37)</f>
        <v>22</v>
      </c>
      <c r="S38" s="3" t="n">
        <f aca="false">SUM(S28:S37)</f>
        <v>74</v>
      </c>
      <c r="X38" s="2"/>
    </row>
    <row r="39" customFormat="false" ht="13.8" hidden="false" customHeight="false" outlineLevel="0" collapsed="false">
      <c r="C39" s="7" t="n">
        <f aca="false">SUM(C28:C38)</f>
        <v>1</v>
      </c>
      <c r="D39" s="7" t="n">
        <f aca="false">SUM(D28:D38)</f>
        <v>594</v>
      </c>
      <c r="H39" s="1"/>
      <c r="K39" s="1" t="s">
        <v>35</v>
      </c>
      <c r="L39" s="2" t="s">
        <v>94</v>
      </c>
      <c r="M39" s="2" t="n">
        <f aca="false">16/2205</f>
        <v>0.0072562358276644</v>
      </c>
      <c r="N39" s="2" t="n">
        <f aca="false">N$28*M39</f>
        <v>3.7297052154195</v>
      </c>
      <c r="R39" s="1" t="n">
        <v>25</v>
      </c>
      <c r="S39" s="1" t="n">
        <v>14</v>
      </c>
      <c r="X39" s="2"/>
    </row>
    <row r="40" customFormat="false" ht="19.7" hidden="false" customHeight="false" outlineLevel="0" collapsed="false">
      <c r="E40" s="0" t="n">
        <f aca="false">SUM(D32:D35)</f>
        <v>210</v>
      </c>
      <c r="G40" s="4" t="n">
        <v>12</v>
      </c>
      <c r="L40" s="2"/>
      <c r="M40" s="2"/>
      <c r="N40" s="2"/>
      <c r="R40" s="2"/>
      <c r="S40" s="2"/>
      <c r="V40" s="7" t="n">
        <f aca="false">SUM(V29:V39)</f>
        <v>1054.94472702611</v>
      </c>
      <c r="W40" s="7" t="n">
        <f aca="false">SUM(W29:W39)</f>
        <v>241</v>
      </c>
      <c r="X40" s="7" t="n">
        <f aca="false">SUM(X29:X39)</f>
        <v>931</v>
      </c>
      <c r="Y40" s="7" t="n">
        <f aca="false">SUM(Y29:Y39)</f>
        <v>210</v>
      </c>
      <c r="Z40" s="7" t="n">
        <f aca="false">SUM(Z29:Z39)</f>
        <v>428.223446712018</v>
      </c>
      <c r="AA40" s="7" t="n">
        <f aca="false">SUM(V40:Z40)</f>
        <v>2865.16817373813</v>
      </c>
      <c r="AB40" s="7" t="n">
        <f aca="false">SUM(AA29:AA36)</f>
        <v>2865.16817373813</v>
      </c>
    </row>
    <row r="41" customFormat="false" ht="13.8" hidden="false" customHeight="false" outlineLevel="0" collapsed="false">
      <c r="B41" s="3" t="n">
        <v>100</v>
      </c>
      <c r="C41" s="10" t="n">
        <v>101</v>
      </c>
      <c r="D41" s="10" t="n">
        <v>102</v>
      </c>
      <c r="G41" s="1" t="n">
        <v>1</v>
      </c>
      <c r="H41" s="1" t="n">
        <v>7</v>
      </c>
      <c r="I41" s="1" t="n">
        <v>18</v>
      </c>
      <c r="M41" s="2"/>
      <c r="N41" s="2"/>
      <c r="O41" s="2"/>
      <c r="X41" s="7"/>
      <c r="AA41" s="2" t="n">
        <f aca="false">AA40/20</f>
        <v>143.258408686906</v>
      </c>
      <c r="AC41" s="89" t="n">
        <f aca="false">khatra_3!AA37</f>
        <v>143.2615</v>
      </c>
      <c r="AD41" s="0" t="n">
        <f aca="false">AC41-AA41</f>
        <v>0.00309131309359145</v>
      </c>
    </row>
    <row r="42" customFormat="false" ht="13.8" hidden="false" customHeight="false" outlineLevel="0" collapsed="false">
      <c r="A42" s="1" t="s">
        <v>73</v>
      </c>
      <c r="B42" s="1" t="n">
        <v>293.75</v>
      </c>
      <c r="C42" s="2" t="n">
        <f aca="false">92/2</f>
        <v>46</v>
      </c>
      <c r="D42" s="2" t="n">
        <f aca="false">358/2</f>
        <v>179</v>
      </c>
      <c r="G42" s="11" t="n">
        <v>2</v>
      </c>
      <c r="H42" s="1" t="n">
        <v>8</v>
      </c>
      <c r="I42" s="1" t="n">
        <v>0</v>
      </c>
      <c r="M42" s="7" t="n">
        <f aca="false">SUM(M29:M41)</f>
        <v>1</v>
      </c>
      <c r="N42" s="7" t="n">
        <f aca="false">SUM(N29:N40)</f>
        <v>514</v>
      </c>
      <c r="O42" s="2"/>
      <c r="P42" s="1" t="n">
        <f aca="false">O42/20</f>
        <v>0</v>
      </c>
      <c r="U42" s="3"/>
      <c r="V42" s="3"/>
      <c r="W42" s="6"/>
      <c r="AA42" s="2" t="n">
        <f aca="false">AA41/8</f>
        <v>17.9073010858633</v>
      </c>
    </row>
    <row r="43" customFormat="false" ht="19.7" hidden="false" customHeight="false" outlineLevel="0" collapsed="false">
      <c r="A43" s="1" t="s">
        <v>33</v>
      </c>
      <c r="B43" s="12" t="n">
        <v>293.75</v>
      </c>
      <c r="C43" s="13" t="n">
        <f aca="false">92/2</f>
        <v>46</v>
      </c>
      <c r="D43" s="2" t="n">
        <f aca="false">358/2</f>
        <v>179</v>
      </c>
      <c r="N43" s="7"/>
      <c r="O43" s="7"/>
      <c r="X43" s="3"/>
      <c r="Y43" s="3"/>
      <c r="Z43" s="4"/>
    </row>
    <row r="44" customFormat="false" ht="13.8" hidden="false" customHeight="false" outlineLevel="0" collapsed="false">
      <c r="A44" s="1" t="s">
        <v>19</v>
      </c>
      <c r="B44" s="1" t="n">
        <v>293.75</v>
      </c>
      <c r="C44" s="2" t="n">
        <f aca="false">149/2</f>
        <v>74.5</v>
      </c>
      <c r="D44" s="2" t="n">
        <f aca="false">283/3</f>
        <v>94.3333333333333</v>
      </c>
      <c r="H44" s="3" t="n">
        <f aca="false">SUM(H33:H42)</f>
        <v>28</v>
      </c>
      <c r="I44" s="3" t="n">
        <f aca="false">SUM(I33:I42)</f>
        <v>34</v>
      </c>
      <c r="N44" s="2"/>
      <c r="S44" s="9"/>
      <c r="T44" s="9"/>
      <c r="X44" s="2"/>
      <c r="AA44" s="2" t="s">
        <v>8</v>
      </c>
    </row>
    <row r="45" customFormat="false" ht="19.7" hidden="false" customHeight="false" outlineLevel="0" collapsed="false">
      <c r="A45" s="1" t="s">
        <v>83</v>
      </c>
      <c r="B45" s="2" t="n">
        <v>173.75</v>
      </c>
      <c r="C45" s="2" t="n">
        <f aca="false">149/2</f>
        <v>74.5</v>
      </c>
      <c r="D45" s="2" t="n">
        <v>290</v>
      </c>
      <c r="H45" s="3" t="n">
        <v>29</v>
      </c>
      <c r="I45" s="3" t="n">
        <v>14</v>
      </c>
      <c r="K45" s="1" t="n">
        <f aca="false">H49/20</f>
        <v>15.00175</v>
      </c>
      <c r="N45" s="2"/>
      <c r="R45" s="9"/>
      <c r="S45" s="9"/>
      <c r="T45" s="9"/>
      <c r="X45" s="2"/>
      <c r="Z45" s="4"/>
      <c r="AA45" s="2" t="s">
        <v>8</v>
      </c>
    </row>
    <row r="46" customFormat="false" ht="13.8" hidden="false" customHeight="false" outlineLevel="0" collapsed="false">
      <c r="A46" s="1" t="s">
        <v>89</v>
      </c>
      <c r="C46" s="2"/>
      <c r="D46" s="2"/>
      <c r="E46" s="1" t="n">
        <f aca="false">D39/20</f>
        <v>29.7</v>
      </c>
      <c r="K46" s="1" t="n">
        <f aca="false">H50/3</f>
        <v>31.7783333333333</v>
      </c>
      <c r="N46" s="2"/>
      <c r="R46" s="9"/>
      <c r="S46" s="9"/>
      <c r="T46" s="9"/>
      <c r="X46" s="2"/>
      <c r="AA46" s="2" t="n">
        <v>5.12</v>
      </c>
    </row>
    <row r="47" customFormat="false" ht="13.8" hidden="false" customHeight="false" outlineLevel="0" collapsed="false">
      <c r="A47" s="1" t="s">
        <v>91</v>
      </c>
      <c r="C47" s="2"/>
      <c r="D47" s="2"/>
      <c r="L47" s="2" t="n">
        <f aca="false">H51+H53+H54</f>
        <v>2552.48333333333</v>
      </c>
      <c r="N47" s="2"/>
      <c r="R47" s="9"/>
      <c r="S47" s="9"/>
      <c r="T47" s="9"/>
      <c r="X47" s="2"/>
      <c r="AA47" s="2"/>
    </row>
    <row r="48" customFormat="false" ht="19.7" hidden="false" customHeight="false" outlineLevel="0" collapsed="false">
      <c r="C48" s="2"/>
      <c r="D48" s="2"/>
      <c r="E48" s="3" t="n">
        <v>215</v>
      </c>
      <c r="F48" s="3"/>
      <c r="G48" s="3" t="n">
        <v>216</v>
      </c>
      <c r="H48" s="2"/>
      <c r="L48" s="1" t="n">
        <f aca="false">L47/20</f>
        <v>127.624166666667</v>
      </c>
      <c r="N48" s="2"/>
      <c r="Q48" s="4"/>
      <c r="R48" s="9"/>
      <c r="S48" s="9"/>
      <c r="T48" s="9"/>
      <c r="X48" s="2"/>
      <c r="Z48" s="4"/>
      <c r="AA48" s="2"/>
    </row>
    <row r="49" customFormat="false" ht="13.8" hidden="false" customHeight="false" outlineLevel="0" collapsed="false">
      <c r="C49" s="2"/>
      <c r="D49" s="2"/>
      <c r="E49" s="1" t="n">
        <f aca="false">210/4</f>
        <v>52.5</v>
      </c>
      <c r="G49" s="2" t="n">
        <f aca="false">85.67/2</f>
        <v>42.835</v>
      </c>
      <c r="H49" s="7" t="n">
        <f aca="false">SUM(B49:G49)+204.7</f>
        <v>300.035</v>
      </c>
      <c r="I49" s="2"/>
      <c r="J49" s="2"/>
      <c r="N49" s="2"/>
      <c r="R49" s="9"/>
      <c r="S49" s="9"/>
      <c r="T49" s="9"/>
      <c r="X49" s="2"/>
      <c r="AA49" s="2"/>
    </row>
    <row r="50" customFormat="false" ht="13.8" hidden="false" customHeight="false" outlineLevel="0" collapsed="false">
      <c r="C50" s="2"/>
      <c r="D50" s="2"/>
      <c r="E50" s="12" t="n">
        <f aca="false">210/4</f>
        <v>52.5</v>
      </c>
      <c r="F50" s="12"/>
      <c r="G50" s="13" t="n">
        <f aca="false">85.67/2</f>
        <v>42.835</v>
      </c>
      <c r="H50" s="6" t="n">
        <f aca="false">SUM(B50:G50)</f>
        <v>95.335</v>
      </c>
      <c r="I50" s="2"/>
      <c r="J50" s="2"/>
      <c r="K50" s="2" t="n">
        <f aca="false">SUM(H49:H54)-H50</f>
        <v>3195.32833333333</v>
      </c>
      <c r="N50" s="2"/>
      <c r="R50" s="9"/>
      <c r="S50" s="9"/>
      <c r="T50" s="9"/>
      <c r="X50" s="2"/>
      <c r="AA50" s="2"/>
    </row>
    <row r="51" customFormat="false" ht="13.8" hidden="false" customHeight="false" outlineLevel="0" collapsed="false">
      <c r="B51" s="7" t="n">
        <f aca="false">SUM(B42:B50)</f>
        <v>1055</v>
      </c>
      <c r="C51" s="7" t="n">
        <f aca="false">SUM(C42:C50)</f>
        <v>241</v>
      </c>
      <c r="D51" s="7" t="n">
        <f aca="false">SUM(D42:D50)</f>
        <v>742.333333333333</v>
      </c>
      <c r="E51" s="1" t="n">
        <f aca="false">210/4</f>
        <v>52.5</v>
      </c>
      <c r="G51" s="11" t="n">
        <f aca="false">171.22/2</f>
        <v>85.61</v>
      </c>
      <c r="H51" s="7" t="n">
        <f aca="false">SUM(B51:G51)+204.7</f>
        <v>2381.14333333333</v>
      </c>
      <c r="I51" s="2"/>
      <c r="J51" s="2"/>
      <c r="N51" s="2"/>
      <c r="R51" s="7"/>
      <c r="S51" s="7"/>
      <c r="T51" s="7"/>
      <c r="X51" s="2"/>
      <c r="AA51" s="7" t="n">
        <f aca="false">SUM(AA44:AA50)</f>
        <v>5.12</v>
      </c>
    </row>
    <row r="52" customFormat="false" ht="13.8" hidden="false" customHeight="false" outlineLevel="0" collapsed="false">
      <c r="C52" s="2"/>
      <c r="D52" s="7"/>
      <c r="E52" s="1" t="n">
        <f aca="false">210/4</f>
        <v>52.5</v>
      </c>
      <c r="G52" s="11" t="n">
        <f aca="false">171.22/2</f>
        <v>85.61</v>
      </c>
      <c r="H52" s="7" t="n">
        <f aca="false">SUM(B52:G52)+204.7</f>
        <v>342.81</v>
      </c>
      <c r="I52" s="2"/>
      <c r="J52" s="2"/>
      <c r="N52" s="2"/>
      <c r="R52" s="2"/>
      <c r="X52" s="2"/>
      <c r="AA52" s="2" t="n">
        <f aca="false">12</f>
        <v>12</v>
      </c>
    </row>
    <row r="53" customFormat="false" ht="13.8" hidden="false" customHeight="false" outlineLevel="0" collapsed="false">
      <c r="A53" s="3"/>
      <c r="B53" s="3"/>
      <c r="C53" s="6"/>
      <c r="G53" s="1" t="n">
        <v>85.67</v>
      </c>
      <c r="H53" s="7" t="n">
        <f aca="false">SUM(B53:G53)</f>
        <v>85.67</v>
      </c>
      <c r="I53" s="2"/>
      <c r="J53" s="2"/>
      <c r="N53" s="2"/>
      <c r="X53" s="2"/>
    </row>
    <row r="54" customFormat="false" ht="13.8" hidden="false" customHeight="false" outlineLevel="0" collapsed="false">
      <c r="G54" s="1" t="n">
        <v>85.67</v>
      </c>
      <c r="H54" s="7" t="n">
        <f aca="false">SUM(B54:G54)</f>
        <v>85.67</v>
      </c>
      <c r="I54" s="2"/>
      <c r="J54" s="2"/>
      <c r="N54" s="2"/>
      <c r="X54" s="2"/>
    </row>
    <row r="55" customFormat="false" ht="13.8" hidden="false" customHeight="false" outlineLevel="0" collapsed="false">
      <c r="H55" s="2"/>
      <c r="I55" s="7"/>
      <c r="J55" s="7"/>
      <c r="N55" s="2"/>
      <c r="X55" s="2"/>
    </row>
    <row r="56" customFormat="false" ht="13.8" hidden="false" customHeight="false" outlineLevel="0" collapsed="false">
      <c r="I56" s="2"/>
      <c r="J56" s="2"/>
      <c r="N56" s="7"/>
      <c r="X56" s="7"/>
    </row>
    <row r="58" customFormat="false" ht="13.8" hidden="false" customHeight="false" outlineLevel="0" collapsed="false">
      <c r="E58" s="7" t="n">
        <f aca="false">SUM(E49:E57)</f>
        <v>210</v>
      </c>
      <c r="F58" s="7"/>
      <c r="G58" s="7" t="n">
        <f aca="false">SUM(G49:G57)</f>
        <v>428.23</v>
      </c>
      <c r="H58" s="7" t="n">
        <f aca="false">SUM(B58:G58)</f>
        <v>638.23</v>
      </c>
    </row>
    <row r="59" customFormat="false" ht="13.8" hidden="false" customHeight="false" outlineLevel="0" collapsed="false">
      <c r="H59" s="1" t="n">
        <f aca="false">H58/20</f>
        <v>31.9115</v>
      </c>
    </row>
    <row r="60" customFormat="false" ht="13.8" hidden="false" customHeight="false" outlineLevel="0" collapsed="false">
      <c r="H60" s="1" t="n">
        <f aca="false">H59/8</f>
        <v>3.9889375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4296875" defaultRowHeight="14.25" zeroHeight="false" outlineLevelRow="0" outlineLevelCol="0"/>
  <sheetData>
    <row r="3" customFormat="false" ht="14.25" hidden="false" customHeight="false" outlineLevel="0" collapsed="false">
      <c r="B3" s="1" t="s">
        <v>269</v>
      </c>
      <c r="E3" s="1" t="s">
        <v>270</v>
      </c>
    </row>
    <row r="4" customFormat="false" ht="14.25" hidden="false" customHeight="false" outlineLevel="0" collapsed="false">
      <c r="B4" s="1" t="s">
        <v>271</v>
      </c>
      <c r="E4" s="1" t="s">
        <v>272</v>
      </c>
    </row>
    <row r="5" customFormat="false" ht="14.25" hidden="false" customHeight="false" outlineLevel="0" collapsed="false">
      <c r="B5" s="1" t="s">
        <v>273</v>
      </c>
      <c r="E5" s="1" t="s">
        <v>274</v>
      </c>
    </row>
    <row r="6" customFormat="false" ht="14.25" hidden="false" customHeight="false" outlineLevel="0" collapsed="false">
      <c r="B6" s="1" t="s">
        <v>275</v>
      </c>
      <c r="E6" s="1" t="s">
        <v>276</v>
      </c>
    </row>
    <row r="7" customFormat="false" ht="14.25" hidden="false" customHeight="false" outlineLevel="0" collapsed="false">
      <c r="B7" s="1" t="s">
        <v>277</v>
      </c>
      <c r="E7" s="1" t="s">
        <v>278</v>
      </c>
    </row>
    <row r="8" customFormat="false" ht="14.25" hidden="false" customHeight="false" outlineLevel="0" collapsed="false">
      <c r="B8" s="1" t="s">
        <v>279</v>
      </c>
      <c r="E8" s="1" t="s">
        <v>280</v>
      </c>
    </row>
    <row r="9" customFormat="false" ht="14.25" hidden="false" customHeight="false" outlineLevel="0" collapsed="false">
      <c r="B9" s="1" t="s">
        <v>281</v>
      </c>
      <c r="E9" s="1" t="s">
        <v>282</v>
      </c>
    </row>
    <row r="12" customFormat="false" ht="14.25" hidden="false" customHeight="false" outlineLevel="0" collapsed="false">
      <c r="B12" s="1" t="s">
        <v>283</v>
      </c>
      <c r="E12" s="1" t="s">
        <v>284</v>
      </c>
    </row>
    <row r="13" customFormat="false" ht="14.25" hidden="false" customHeight="false" outlineLevel="0" collapsed="false">
      <c r="E13" s="1" t="s">
        <v>285</v>
      </c>
    </row>
    <row r="14" customFormat="false" ht="14.25" hidden="false" customHeight="false" outlineLevel="0" collapsed="false">
      <c r="E14" s="1" t="s">
        <v>286</v>
      </c>
    </row>
    <row r="15" customFormat="false" ht="14.25" hidden="false" customHeight="false" outlineLevel="0" collapsed="false">
      <c r="E15" s="1" t="s">
        <v>287</v>
      </c>
    </row>
    <row r="16" customFormat="false" ht="14.25" hidden="false" customHeight="false" outlineLevel="0" collapsed="false">
      <c r="E16" s="1" t="s">
        <v>288</v>
      </c>
    </row>
    <row r="17" customFormat="false" ht="14.25" hidden="false" customHeight="false" outlineLevel="0" collapsed="false">
      <c r="E17" s="1" t="s">
        <v>289</v>
      </c>
    </row>
    <row r="18" customFormat="false" ht="14.25" hidden="false" customHeight="false" outlineLevel="0" collapsed="false">
      <c r="E18" s="1" t="s">
        <v>290</v>
      </c>
    </row>
    <row r="21" customFormat="false" ht="14.25" hidden="false" customHeight="false" outlineLevel="0" collapsed="false">
      <c r="B21" s="1" t="s">
        <v>291</v>
      </c>
      <c r="E21" s="1" t="n">
        <f aca="false">366000*2</f>
        <v>732000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8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L55" activeCellId="0" sqref="L55"/>
    </sheetView>
  </sheetViews>
  <sheetFormatPr defaultColWidth="8.54296875" defaultRowHeight="14.25" zeroHeight="false" outlineLevelRow="0" outlineLevelCol="0"/>
  <cols>
    <col collapsed="false" customWidth="true" hidden="false" outlineLevel="0" max="5" min="5" style="1" width="15"/>
    <col collapsed="false" customWidth="true" hidden="false" outlineLevel="0" max="6" min="6" style="1" width="15.22"/>
    <col collapsed="false" customWidth="true" hidden="false" outlineLevel="0" max="7" min="7" style="1" width="17"/>
    <col collapsed="false" customWidth="true" hidden="false" outlineLevel="0" max="8" min="8" style="1" width="14.88"/>
  </cols>
  <sheetData>
    <row r="1" customFormat="false" ht="15" hidden="false" customHeight="false" outlineLevel="0" collapsed="false"/>
    <row r="2" customFormat="false" ht="31.5" hidden="false" customHeight="false" outlineLevel="0" collapsed="false">
      <c r="B2" s="90" t="s">
        <v>292</v>
      </c>
      <c r="C2" s="91" t="s">
        <v>0</v>
      </c>
      <c r="D2" s="91" t="s">
        <v>293</v>
      </c>
      <c r="E2" s="91" t="s">
        <v>294</v>
      </c>
      <c r="F2" s="91" t="s">
        <v>295</v>
      </c>
      <c r="G2" s="91" t="s">
        <v>296</v>
      </c>
      <c r="H2" s="92" t="s">
        <v>297</v>
      </c>
    </row>
    <row r="3" customFormat="false" ht="32.25" hidden="false" customHeight="false" outlineLevel="0" collapsed="false">
      <c r="B3" s="93" t="s">
        <v>292</v>
      </c>
      <c r="C3" s="69" t="n">
        <v>307</v>
      </c>
      <c r="D3" s="69" t="n">
        <v>509</v>
      </c>
      <c r="E3" s="69" t="s">
        <v>298</v>
      </c>
      <c r="F3" s="69" t="s">
        <v>299</v>
      </c>
      <c r="G3" s="69" t="s">
        <v>300</v>
      </c>
      <c r="H3" s="70" t="s">
        <v>301</v>
      </c>
      <c r="K3" s="94" t="s">
        <v>302</v>
      </c>
      <c r="L3" s="1" t="n">
        <f aca="false">7731*3</f>
        <v>23193</v>
      </c>
    </row>
    <row r="4" customFormat="false" ht="15" hidden="false" customHeight="false" outlineLevel="0" collapsed="false">
      <c r="B4" s="93" t="s">
        <v>292</v>
      </c>
      <c r="C4" s="69" t="n">
        <v>316</v>
      </c>
      <c r="D4" s="69" t="n">
        <v>523</v>
      </c>
      <c r="E4" s="69" t="s">
        <v>298</v>
      </c>
      <c r="F4" s="69" t="s">
        <v>299</v>
      </c>
      <c r="G4" s="69" t="s">
        <v>300</v>
      </c>
      <c r="H4" s="72" t="s">
        <v>303</v>
      </c>
    </row>
    <row r="5" customFormat="false" ht="15" hidden="false" customHeight="false" outlineLevel="0" collapsed="false">
      <c r="B5" s="93" t="s">
        <v>292</v>
      </c>
      <c r="C5" s="69" t="n">
        <v>384</v>
      </c>
      <c r="D5" s="69" t="n">
        <v>618</v>
      </c>
      <c r="E5" s="69" t="s">
        <v>298</v>
      </c>
      <c r="F5" s="69" t="s">
        <v>299</v>
      </c>
      <c r="G5" s="69" t="s">
        <v>300</v>
      </c>
      <c r="H5" s="72" t="s">
        <v>304</v>
      </c>
    </row>
    <row r="6" customFormat="false" ht="15" hidden="false" customHeight="false" outlineLevel="0" collapsed="false">
      <c r="B6" s="93" t="s">
        <v>292</v>
      </c>
      <c r="C6" s="69" t="n">
        <v>477</v>
      </c>
      <c r="D6" s="69" t="n">
        <v>737</v>
      </c>
      <c r="E6" s="69" t="s">
        <v>298</v>
      </c>
      <c r="F6" s="69" t="s">
        <v>299</v>
      </c>
      <c r="G6" s="69" t="s">
        <v>300</v>
      </c>
      <c r="H6" s="70" t="s">
        <v>305</v>
      </c>
    </row>
    <row r="7" customFormat="false" ht="15" hidden="false" customHeight="false" outlineLevel="0" collapsed="false">
      <c r="B7" s="93" t="s">
        <v>292</v>
      </c>
      <c r="C7" s="69" t="n">
        <v>482</v>
      </c>
      <c r="D7" s="69" t="n">
        <v>742</v>
      </c>
      <c r="E7" s="69" t="s">
        <v>298</v>
      </c>
      <c r="F7" s="69" t="s">
        <v>299</v>
      </c>
      <c r="G7" s="69" t="s">
        <v>300</v>
      </c>
      <c r="H7" s="70" t="s">
        <v>112</v>
      </c>
    </row>
    <row r="8" customFormat="false" ht="15" hidden="false" customHeight="false" outlineLevel="0" collapsed="false">
      <c r="B8" s="93" t="s">
        <v>292</v>
      </c>
      <c r="C8" s="69" t="n">
        <v>483</v>
      </c>
      <c r="D8" s="69" t="n">
        <v>743</v>
      </c>
      <c r="E8" s="69" t="s">
        <v>298</v>
      </c>
      <c r="F8" s="69" t="s">
        <v>299</v>
      </c>
      <c r="G8" s="69" t="s">
        <v>300</v>
      </c>
      <c r="H8" s="70" t="s">
        <v>111</v>
      </c>
    </row>
    <row r="9" customFormat="false" ht="15" hidden="false" customHeight="false" outlineLevel="0" collapsed="false">
      <c r="B9" s="95" t="s">
        <v>292</v>
      </c>
      <c r="C9" s="96" t="n">
        <v>484</v>
      </c>
      <c r="D9" s="96" t="n">
        <v>744</v>
      </c>
      <c r="E9" s="96" t="s">
        <v>298</v>
      </c>
      <c r="F9" s="96" t="s">
        <v>299</v>
      </c>
      <c r="G9" s="96" t="s">
        <v>300</v>
      </c>
      <c r="H9" s="97" t="s">
        <v>114</v>
      </c>
    </row>
    <row r="10" customFormat="false" ht="15" hidden="false" customHeight="false" outlineLevel="0" collapsed="false">
      <c r="B10" s="98" t="s">
        <v>292</v>
      </c>
      <c r="C10" s="78" t="n">
        <v>485</v>
      </c>
      <c r="D10" s="78" t="n">
        <v>745</v>
      </c>
      <c r="E10" s="78" t="s">
        <v>298</v>
      </c>
      <c r="F10" s="78" t="s">
        <v>299</v>
      </c>
      <c r="G10" s="78" t="s">
        <v>300</v>
      </c>
      <c r="H10" s="99" t="s">
        <v>306</v>
      </c>
    </row>
    <row r="11" customFormat="false" ht="15" hidden="false" customHeight="false" outlineLevel="0" collapsed="false">
      <c r="B11" s="93" t="s">
        <v>292</v>
      </c>
      <c r="C11" s="69" t="n">
        <v>490</v>
      </c>
      <c r="D11" s="69" t="n">
        <v>751</v>
      </c>
      <c r="E11" s="69" t="s">
        <v>298</v>
      </c>
      <c r="F11" s="69" t="s">
        <v>299</v>
      </c>
      <c r="G11" s="69" t="s">
        <v>300</v>
      </c>
      <c r="H11" s="72" t="s">
        <v>188</v>
      </c>
    </row>
    <row r="12" customFormat="false" ht="15" hidden="false" customHeight="false" outlineLevel="0" collapsed="false">
      <c r="B12" s="93" t="s">
        <v>292</v>
      </c>
      <c r="C12" s="69" t="n">
        <v>491</v>
      </c>
      <c r="D12" s="69" t="n">
        <v>752</v>
      </c>
      <c r="E12" s="69" t="s">
        <v>298</v>
      </c>
      <c r="F12" s="69" t="s">
        <v>299</v>
      </c>
      <c r="G12" s="69" t="s">
        <v>300</v>
      </c>
      <c r="H12" s="70" t="s">
        <v>307</v>
      </c>
    </row>
    <row r="13" customFormat="false" ht="15" hidden="false" customHeight="false" outlineLevel="0" collapsed="false">
      <c r="B13" s="93" t="s">
        <v>292</v>
      </c>
      <c r="C13" s="69" t="n">
        <v>492</v>
      </c>
      <c r="D13" s="69" t="n">
        <v>757</v>
      </c>
      <c r="E13" s="69" t="s">
        <v>298</v>
      </c>
      <c r="F13" s="69" t="s">
        <v>299</v>
      </c>
      <c r="G13" s="69" t="s">
        <v>300</v>
      </c>
      <c r="H13" s="70" t="s">
        <v>307</v>
      </c>
    </row>
    <row r="14" customFormat="false" ht="15" hidden="false" customHeight="false" outlineLevel="0" collapsed="false">
      <c r="B14" s="93" t="s">
        <v>292</v>
      </c>
      <c r="C14" s="69" t="n">
        <v>494</v>
      </c>
      <c r="D14" s="69" t="n">
        <v>759</v>
      </c>
      <c r="E14" s="69" t="s">
        <v>298</v>
      </c>
      <c r="F14" s="69" t="s">
        <v>299</v>
      </c>
      <c r="G14" s="69" t="s">
        <v>300</v>
      </c>
      <c r="H14" s="72" t="s">
        <v>308</v>
      </c>
    </row>
    <row r="15" customFormat="false" ht="15" hidden="false" customHeight="false" outlineLevel="0" collapsed="false">
      <c r="B15" s="93" t="s">
        <v>292</v>
      </c>
      <c r="C15" s="69" t="n">
        <v>496</v>
      </c>
      <c r="D15" s="69" t="n">
        <v>761</v>
      </c>
      <c r="E15" s="69" t="s">
        <v>298</v>
      </c>
      <c r="F15" s="69" t="s">
        <v>299</v>
      </c>
      <c r="G15" s="69" t="s">
        <v>300</v>
      </c>
      <c r="H15" s="70" t="s">
        <v>183</v>
      </c>
    </row>
    <row r="16" customFormat="false" ht="15" hidden="false" customHeight="false" outlineLevel="0" collapsed="false">
      <c r="B16" s="95" t="s">
        <v>292</v>
      </c>
      <c r="C16" s="96" t="n">
        <v>506</v>
      </c>
      <c r="D16" s="96" t="n">
        <v>779</v>
      </c>
      <c r="E16" s="96" t="s">
        <v>298</v>
      </c>
      <c r="F16" s="96" t="s">
        <v>299</v>
      </c>
      <c r="G16" s="96" t="s">
        <v>300</v>
      </c>
      <c r="H16" s="97" t="s">
        <v>309</v>
      </c>
    </row>
    <row r="17" customFormat="false" ht="15" hidden="false" customHeight="false" outlineLevel="0" collapsed="false">
      <c r="B17" s="98" t="s">
        <v>292</v>
      </c>
      <c r="C17" s="78" t="n">
        <v>507</v>
      </c>
      <c r="D17" s="78" t="n">
        <v>782</v>
      </c>
      <c r="E17" s="78" t="s">
        <v>298</v>
      </c>
      <c r="F17" s="78" t="s">
        <v>299</v>
      </c>
      <c r="G17" s="78" t="s">
        <v>300</v>
      </c>
      <c r="H17" s="79" t="s">
        <v>310</v>
      </c>
    </row>
    <row r="18" customFormat="false" ht="15" hidden="false" customHeight="false" outlineLevel="0" collapsed="false">
      <c r="B18" s="93" t="s">
        <v>292</v>
      </c>
      <c r="C18" s="69" t="n">
        <v>510</v>
      </c>
      <c r="D18" s="69" t="n">
        <v>785</v>
      </c>
      <c r="E18" s="69" t="s">
        <v>298</v>
      </c>
      <c r="F18" s="69" t="s">
        <v>299</v>
      </c>
      <c r="G18" s="69" t="s">
        <v>300</v>
      </c>
      <c r="H18" s="70" t="s">
        <v>311</v>
      </c>
    </row>
    <row r="19" customFormat="false" ht="15" hidden="false" customHeight="false" outlineLevel="0" collapsed="false">
      <c r="B19" s="93" t="s">
        <v>292</v>
      </c>
      <c r="C19" s="69" t="n">
        <v>562</v>
      </c>
      <c r="D19" s="69" t="n">
        <v>846</v>
      </c>
      <c r="E19" s="69" t="s">
        <v>298</v>
      </c>
      <c r="F19" s="69" t="s">
        <v>299</v>
      </c>
      <c r="G19" s="69" t="s">
        <v>300</v>
      </c>
      <c r="H19" s="70" t="s">
        <v>312</v>
      </c>
    </row>
    <row r="20" customFormat="false" ht="15" hidden="false" customHeight="false" outlineLevel="0" collapsed="false">
      <c r="B20" s="100" t="s">
        <v>292</v>
      </c>
      <c r="C20" s="65" t="n">
        <v>562</v>
      </c>
      <c r="D20" s="65" t="n">
        <v>846</v>
      </c>
      <c r="E20" s="65" t="s">
        <v>298</v>
      </c>
      <c r="F20" s="65" t="s">
        <v>299</v>
      </c>
      <c r="G20" s="65" t="s">
        <v>300</v>
      </c>
      <c r="H20" s="66" t="s">
        <v>312</v>
      </c>
    </row>
    <row r="22" customFormat="false" ht="15" hidden="false" customHeight="false" outlineLevel="0" collapsed="false"/>
    <row r="23" customFormat="false" ht="15" hidden="false" customHeight="false" outlineLevel="0" collapsed="false">
      <c r="B23" s="101" t="s">
        <v>292</v>
      </c>
      <c r="C23" s="62" t="n">
        <v>502</v>
      </c>
      <c r="D23" s="62" t="n">
        <v>774</v>
      </c>
      <c r="E23" s="62" t="s">
        <v>313</v>
      </c>
      <c r="F23" s="62" t="s">
        <v>314</v>
      </c>
      <c r="G23" s="62" t="s">
        <v>315</v>
      </c>
      <c r="H23" s="72" t="s">
        <v>308</v>
      </c>
    </row>
    <row r="24" customFormat="false" ht="15" hidden="false" customHeight="false" outlineLevel="0" collapsed="false">
      <c r="B24" s="100" t="s">
        <v>292</v>
      </c>
      <c r="C24" s="65" t="n">
        <v>503</v>
      </c>
      <c r="D24" s="65" t="n">
        <v>776</v>
      </c>
      <c r="E24" s="65" t="s">
        <v>313</v>
      </c>
      <c r="F24" s="65" t="s">
        <v>314</v>
      </c>
      <c r="G24" s="65" t="s">
        <v>315</v>
      </c>
      <c r="H24" s="72" t="s">
        <v>308</v>
      </c>
    </row>
    <row r="25" customFormat="false" ht="15" hidden="false" customHeight="false" outlineLevel="0" collapsed="false">
      <c r="B25" s="102" t="s">
        <v>292</v>
      </c>
      <c r="C25" s="103" t="n">
        <v>504</v>
      </c>
      <c r="D25" s="103" t="n">
        <v>777</v>
      </c>
      <c r="E25" s="103" t="s">
        <v>316</v>
      </c>
      <c r="F25" s="103" t="s">
        <v>314</v>
      </c>
      <c r="G25" s="103" t="s">
        <v>315</v>
      </c>
      <c r="H25" s="104" t="s">
        <v>317</v>
      </c>
    </row>
    <row r="26" customFormat="false" ht="15" hidden="false" customHeight="false" outlineLevel="0" collapsed="false">
      <c r="B26" s="101" t="s">
        <v>292</v>
      </c>
      <c r="C26" s="62" t="n">
        <v>315</v>
      </c>
      <c r="D26" s="62" t="n">
        <v>522</v>
      </c>
      <c r="E26" s="62" t="s">
        <v>318</v>
      </c>
      <c r="F26" s="62" t="s">
        <v>314</v>
      </c>
      <c r="G26" s="62" t="s">
        <v>319</v>
      </c>
      <c r="H26" s="72" t="s">
        <v>308</v>
      </c>
    </row>
    <row r="27" customFormat="false" ht="15" hidden="false" customHeight="false" outlineLevel="0" collapsed="false">
      <c r="B27" s="100" t="s">
        <v>292</v>
      </c>
      <c r="C27" s="65" t="n">
        <v>319</v>
      </c>
      <c r="D27" s="65" t="n">
        <v>526</v>
      </c>
      <c r="E27" s="65" t="s">
        <v>318</v>
      </c>
      <c r="F27" s="65" t="s">
        <v>314</v>
      </c>
      <c r="G27" s="65" t="s">
        <v>319</v>
      </c>
      <c r="H27" s="66" t="s">
        <v>320</v>
      </c>
    </row>
    <row r="28" customFormat="false" ht="15" hidden="false" customHeight="false" outlineLevel="0" collapsed="false">
      <c r="B28" s="102" t="s">
        <v>292</v>
      </c>
      <c r="C28" s="103" t="n">
        <v>501</v>
      </c>
      <c r="D28" s="103" t="n">
        <v>773</v>
      </c>
      <c r="E28" s="103" t="s">
        <v>318</v>
      </c>
      <c r="F28" s="103" t="s">
        <v>314</v>
      </c>
      <c r="G28" s="103" t="s">
        <v>319</v>
      </c>
      <c r="H28" s="105" t="s">
        <v>321</v>
      </c>
    </row>
    <row r="29" customFormat="false" ht="15" hidden="false" customHeight="false" outlineLevel="0" collapsed="false">
      <c r="B29" s="98" t="s">
        <v>292</v>
      </c>
      <c r="C29" s="78" t="n">
        <v>482</v>
      </c>
      <c r="D29" s="78" t="n">
        <v>742</v>
      </c>
      <c r="E29" s="78" t="s">
        <v>322</v>
      </c>
      <c r="F29" s="78" t="s">
        <v>323</v>
      </c>
      <c r="G29" s="78" t="s">
        <v>324</v>
      </c>
      <c r="H29" s="99" t="s">
        <v>103</v>
      </c>
    </row>
    <row r="30" customFormat="false" ht="15" hidden="false" customHeight="false" outlineLevel="0" collapsed="false">
      <c r="B30" s="93" t="s">
        <v>292</v>
      </c>
      <c r="C30" s="69" t="n">
        <v>483</v>
      </c>
      <c r="D30" s="69" t="n">
        <v>743</v>
      </c>
      <c r="E30" s="69" t="s">
        <v>322</v>
      </c>
      <c r="F30" s="69" t="s">
        <v>323</v>
      </c>
      <c r="G30" s="69" t="s">
        <v>324</v>
      </c>
      <c r="H30" s="70" t="s">
        <v>102</v>
      </c>
    </row>
    <row r="31" customFormat="false" ht="15" hidden="false" customHeight="false" outlineLevel="0" collapsed="false">
      <c r="B31" s="95" t="s">
        <v>292</v>
      </c>
      <c r="C31" s="96" t="n">
        <v>484</v>
      </c>
      <c r="D31" s="96" t="n">
        <v>744</v>
      </c>
      <c r="E31" s="96" t="s">
        <v>322</v>
      </c>
      <c r="F31" s="96" t="s">
        <v>323</v>
      </c>
      <c r="G31" s="96" t="s">
        <v>324</v>
      </c>
      <c r="H31" s="97" t="s">
        <v>104</v>
      </c>
    </row>
    <row r="32" customFormat="false" ht="15" hidden="false" customHeight="false" outlineLevel="0" collapsed="false">
      <c r="B32" s="101" t="s">
        <v>292</v>
      </c>
      <c r="C32" s="62" t="n">
        <v>490</v>
      </c>
      <c r="D32" s="62" t="n">
        <v>751</v>
      </c>
      <c r="E32" s="62" t="s">
        <v>322</v>
      </c>
      <c r="F32" s="62" t="s">
        <v>323</v>
      </c>
      <c r="G32" s="62" t="s">
        <v>324</v>
      </c>
      <c r="H32" s="63" t="s">
        <v>325</v>
      </c>
    </row>
    <row r="33" customFormat="false" ht="15" hidden="false" customHeight="false" outlineLevel="0" collapsed="false">
      <c r="B33" s="93" t="s">
        <v>292</v>
      </c>
      <c r="C33" s="69" t="n">
        <v>490</v>
      </c>
      <c r="D33" s="69" t="n">
        <v>751</v>
      </c>
      <c r="E33" s="69" t="s">
        <v>322</v>
      </c>
      <c r="F33" s="69" t="s">
        <v>323</v>
      </c>
      <c r="G33" s="69" t="s">
        <v>324</v>
      </c>
      <c r="H33" s="70" t="s">
        <v>182</v>
      </c>
    </row>
    <row r="34" customFormat="false" ht="15" hidden="false" customHeight="false" outlineLevel="0" collapsed="false">
      <c r="B34" s="93" t="s">
        <v>292</v>
      </c>
      <c r="C34" s="69" t="n">
        <v>491</v>
      </c>
      <c r="D34" s="69" t="n">
        <v>752</v>
      </c>
      <c r="E34" s="69" t="s">
        <v>322</v>
      </c>
      <c r="F34" s="69" t="s">
        <v>323</v>
      </c>
      <c r="G34" s="69" t="s">
        <v>324</v>
      </c>
      <c r="H34" s="70" t="s">
        <v>171</v>
      </c>
    </row>
    <row r="35" customFormat="false" ht="15" hidden="false" customHeight="false" outlineLevel="0" collapsed="false">
      <c r="B35" s="93" t="s">
        <v>292</v>
      </c>
      <c r="C35" s="69" t="n">
        <v>492</v>
      </c>
      <c r="D35" s="69" t="n">
        <v>757</v>
      </c>
      <c r="E35" s="69" t="s">
        <v>322</v>
      </c>
      <c r="F35" s="69" t="s">
        <v>323</v>
      </c>
      <c r="G35" s="69" t="s">
        <v>324</v>
      </c>
      <c r="H35" s="70" t="s">
        <v>171</v>
      </c>
    </row>
    <row r="36" customFormat="false" ht="15" hidden="false" customHeight="false" outlineLevel="0" collapsed="false">
      <c r="B36" s="93" t="s">
        <v>292</v>
      </c>
      <c r="C36" s="69" t="n">
        <v>494</v>
      </c>
      <c r="D36" s="69" t="n">
        <v>759</v>
      </c>
      <c r="E36" s="69" t="s">
        <v>322</v>
      </c>
      <c r="F36" s="69" t="s">
        <v>323</v>
      </c>
      <c r="G36" s="69" t="s">
        <v>324</v>
      </c>
      <c r="H36" s="72" t="s">
        <v>308</v>
      </c>
    </row>
    <row r="37" customFormat="false" ht="15" hidden="false" customHeight="false" outlineLevel="0" collapsed="false">
      <c r="B37" s="93" t="s">
        <v>292</v>
      </c>
      <c r="C37" s="69" t="n">
        <v>496</v>
      </c>
      <c r="D37" s="69" t="n">
        <v>761</v>
      </c>
      <c r="E37" s="69" t="s">
        <v>322</v>
      </c>
      <c r="F37" s="69" t="s">
        <v>323</v>
      </c>
      <c r="G37" s="69" t="s">
        <v>324</v>
      </c>
      <c r="H37" s="70" t="s">
        <v>172</v>
      </c>
    </row>
    <row r="38" customFormat="false" ht="15" hidden="false" customHeight="false" outlineLevel="0" collapsed="false">
      <c r="B38" s="100" t="s">
        <v>292</v>
      </c>
      <c r="C38" s="65" t="n">
        <v>562</v>
      </c>
      <c r="D38" s="65" t="n">
        <v>846</v>
      </c>
      <c r="E38" s="65" t="s">
        <v>322</v>
      </c>
      <c r="F38" s="65" t="s">
        <v>323</v>
      </c>
      <c r="G38" s="65" t="s">
        <v>324</v>
      </c>
      <c r="H38" s="66" t="s">
        <v>312</v>
      </c>
    </row>
    <row r="39" customFormat="false" ht="15" hidden="false" customHeight="false" outlineLevel="0" collapsed="false">
      <c r="B39" s="93" t="s">
        <v>292</v>
      </c>
      <c r="C39" s="69" t="n">
        <v>307</v>
      </c>
      <c r="D39" s="69" t="n">
        <v>509</v>
      </c>
      <c r="E39" s="65" t="s">
        <v>322</v>
      </c>
      <c r="F39" s="65" t="s">
        <v>323</v>
      </c>
      <c r="G39" s="65" t="s">
        <v>324</v>
      </c>
      <c r="H39" s="106" t="s">
        <v>301</v>
      </c>
      <c r="J39" s="1" t="n">
        <f aca="false">391*4</f>
        <v>1564</v>
      </c>
      <c r="L39" s="1" t="n">
        <f aca="false">98*589/1564</f>
        <v>36.9066496163683</v>
      </c>
    </row>
    <row r="42" customFormat="false" ht="15" hidden="false" customHeight="false" outlineLevel="0" collapsed="false"/>
    <row r="43" customFormat="false" ht="15" hidden="false" customHeight="false" outlineLevel="0" collapsed="false">
      <c r="B43" s="102" t="s">
        <v>292</v>
      </c>
      <c r="C43" s="103" t="n">
        <v>236</v>
      </c>
      <c r="D43" s="103" t="n">
        <v>414</v>
      </c>
      <c r="E43" s="103" t="s">
        <v>326</v>
      </c>
      <c r="F43" s="103" t="s">
        <v>326</v>
      </c>
      <c r="G43" s="103" t="s">
        <v>327</v>
      </c>
      <c r="H43" s="105" t="s">
        <v>328</v>
      </c>
    </row>
    <row r="44" customFormat="false" ht="15" hidden="false" customHeight="false" outlineLevel="0" collapsed="false">
      <c r="B44" s="101" t="s">
        <v>292</v>
      </c>
      <c r="C44" s="62" t="n">
        <v>492</v>
      </c>
      <c r="D44" s="62" t="n">
        <v>757</v>
      </c>
      <c r="E44" s="62" t="s">
        <v>329</v>
      </c>
      <c r="F44" s="62" t="s">
        <v>330</v>
      </c>
      <c r="G44" s="62" t="s">
        <v>323</v>
      </c>
      <c r="H44" s="63" t="s">
        <v>171</v>
      </c>
      <c r="L44" s="1" t="n">
        <f aca="false">391*4</f>
        <v>1564</v>
      </c>
    </row>
    <row r="45" customFormat="false" ht="15" hidden="false" customHeight="false" outlineLevel="0" collapsed="false">
      <c r="B45" s="93" t="s">
        <v>292</v>
      </c>
      <c r="C45" s="69" t="n">
        <v>494</v>
      </c>
      <c r="D45" s="69" t="n">
        <v>759</v>
      </c>
      <c r="E45" s="69" t="s">
        <v>329</v>
      </c>
      <c r="F45" s="69" t="s">
        <v>330</v>
      </c>
      <c r="G45" s="69" t="s">
        <v>323</v>
      </c>
      <c r="H45" s="72" t="s">
        <v>308</v>
      </c>
      <c r="L45" s="1" t="n">
        <v>589</v>
      </c>
    </row>
    <row r="46" customFormat="false" ht="15" hidden="false" customHeight="false" outlineLevel="0" collapsed="false">
      <c r="B46" s="93" t="s">
        <v>292</v>
      </c>
      <c r="C46" s="69" t="n">
        <v>496</v>
      </c>
      <c r="D46" s="69" t="n">
        <v>761</v>
      </c>
      <c r="E46" s="69" t="s">
        <v>329</v>
      </c>
      <c r="F46" s="69" t="s">
        <v>330</v>
      </c>
      <c r="G46" s="69" t="s">
        <v>323</v>
      </c>
      <c r="H46" s="70" t="s">
        <v>172</v>
      </c>
      <c r="L46" s="1" t="n">
        <f aca="false">L44-L45</f>
        <v>975</v>
      </c>
    </row>
    <row r="47" customFormat="false" ht="15" hidden="false" customHeight="false" outlineLevel="0" collapsed="false">
      <c r="B47" s="93" t="s">
        <v>292</v>
      </c>
      <c r="C47" s="69" t="n">
        <v>562</v>
      </c>
      <c r="D47" s="69" t="n">
        <v>846</v>
      </c>
      <c r="E47" s="69" t="s">
        <v>329</v>
      </c>
      <c r="F47" s="69" t="s">
        <v>330</v>
      </c>
      <c r="G47" s="69" t="s">
        <v>323</v>
      </c>
      <c r="H47" s="70" t="s">
        <v>312</v>
      </c>
    </row>
    <row r="48" customFormat="false" ht="15" hidden="false" customHeight="false" outlineLevel="0" collapsed="false">
      <c r="B48" s="93" t="s">
        <v>292</v>
      </c>
      <c r="C48" s="69" t="n">
        <v>307</v>
      </c>
      <c r="D48" s="69" t="n">
        <v>509</v>
      </c>
      <c r="E48" s="69" t="s">
        <v>329</v>
      </c>
      <c r="F48" s="69" t="s">
        <v>330</v>
      </c>
      <c r="G48" s="69" t="s">
        <v>323</v>
      </c>
      <c r="H48" s="70" t="s">
        <v>331</v>
      </c>
      <c r="J48" s="1" t="n">
        <f aca="false">23196*4</f>
        <v>92784</v>
      </c>
      <c r="K48" s="1" t="n">
        <f aca="false">589/4</f>
        <v>147.25</v>
      </c>
    </row>
    <row r="49" customFormat="false" ht="15" hidden="false" customHeight="false" outlineLevel="0" collapsed="false">
      <c r="B49" s="93" t="s">
        <v>292</v>
      </c>
      <c r="C49" s="69" t="n">
        <v>316</v>
      </c>
      <c r="D49" s="69" t="n">
        <v>523</v>
      </c>
      <c r="E49" s="69" t="s">
        <v>329</v>
      </c>
      <c r="F49" s="69" t="s">
        <v>330</v>
      </c>
      <c r="G49" s="69" t="s">
        <v>323</v>
      </c>
      <c r="H49" s="72" t="s">
        <v>303</v>
      </c>
    </row>
    <row r="50" customFormat="false" ht="15" hidden="false" customHeight="false" outlineLevel="0" collapsed="false">
      <c r="B50" s="100" t="s">
        <v>292</v>
      </c>
      <c r="C50" s="65" t="n">
        <v>384</v>
      </c>
      <c r="D50" s="65" t="n">
        <v>618</v>
      </c>
      <c r="E50" s="65" t="s">
        <v>329</v>
      </c>
      <c r="F50" s="65" t="s">
        <v>330</v>
      </c>
      <c r="G50" s="65" t="s">
        <v>323</v>
      </c>
      <c r="H50" s="72" t="s">
        <v>308</v>
      </c>
    </row>
    <row r="51" customFormat="false" ht="15" hidden="false" customHeight="false" outlineLevel="0" collapsed="false">
      <c r="B51" s="102" t="s">
        <v>292</v>
      </c>
      <c r="C51" s="103" t="n">
        <v>491</v>
      </c>
      <c r="D51" s="103" t="n">
        <v>752</v>
      </c>
      <c r="E51" s="103" t="s">
        <v>329</v>
      </c>
      <c r="F51" s="103" t="s">
        <v>330</v>
      </c>
      <c r="G51" s="103" t="s">
        <v>323</v>
      </c>
      <c r="H51" s="105" t="s">
        <v>171</v>
      </c>
    </row>
    <row r="53" customFormat="false" ht="15" hidden="false" customHeight="false" outlineLevel="0" collapsed="false"/>
    <row r="54" customFormat="false" ht="15" hidden="false" customHeight="false" outlineLevel="0" collapsed="false">
      <c r="B54" s="102" t="s">
        <v>292</v>
      </c>
      <c r="C54" s="103" t="n">
        <v>317</v>
      </c>
      <c r="D54" s="103" t="n">
        <v>524</v>
      </c>
      <c r="E54" s="103" t="s">
        <v>332</v>
      </c>
      <c r="F54" s="103" t="s">
        <v>327</v>
      </c>
      <c r="G54" s="103" t="s">
        <v>314</v>
      </c>
      <c r="H54" s="72" t="s">
        <v>303</v>
      </c>
    </row>
    <row r="55" customFormat="false" ht="15" hidden="false" customHeight="false" outlineLevel="0" collapsed="false">
      <c r="B55" s="98" t="s">
        <v>292</v>
      </c>
      <c r="C55" s="78" t="n">
        <v>502</v>
      </c>
      <c r="D55" s="78" t="n">
        <v>774</v>
      </c>
      <c r="E55" s="78" t="s">
        <v>332</v>
      </c>
      <c r="F55" s="78" t="s">
        <v>327</v>
      </c>
      <c r="G55" s="78" t="s">
        <v>314</v>
      </c>
      <c r="H55" s="72" t="s">
        <v>308</v>
      </c>
    </row>
    <row r="56" customFormat="false" ht="15" hidden="false" customHeight="false" outlineLevel="0" collapsed="false">
      <c r="B56" s="93" t="s">
        <v>292</v>
      </c>
      <c r="C56" s="69" t="n">
        <v>503</v>
      </c>
      <c r="D56" s="69" t="n">
        <v>776</v>
      </c>
      <c r="E56" s="69" t="s">
        <v>332</v>
      </c>
      <c r="F56" s="69" t="s">
        <v>327</v>
      </c>
      <c r="G56" s="69" t="s">
        <v>314</v>
      </c>
      <c r="H56" s="70" t="s">
        <v>333</v>
      </c>
    </row>
    <row r="57" customFormat="false" ht="15" hidden="false" customHeight="false" outlineLevel="0" collapsed="false">
      <c r="B57" s="95" t="s">
        <v>292</v>
      </c>
      <c r="C57" s="96" t="n">
        <v>6</v>
      </c>
      <c r="D57" s="96" t="n">
        <v>47</v>
      </c>
      <c r="E57" s="96" t="s">
        <v>332</v>
      </c>
      <c r="F57" s="96" t="s">
        <v>327</v>
      </c>
      <c r="G57" s="96" t="s">
        <v>314</v>
      </c>
      <c r="H57" s="97" t="s">
        <v>334</v>
      </c>
    </row>
    <row r="58" customFormat="false" ht="15" hidden="false" customHeight="false" outlineLevel="0" collapsed="false">
      <c r="B58" s="101" t="s">
        <v>292</v>
      </c>
      <c r="C58" s="62" t="n">
        <v>7</v>
      </c>
      <c r="D58" s="62" t="n">
        <v>63</v>
      </c>
      <c r="E58" s="62" t="s">
        <v>335</v>
      </c>
      <c r="F58" s="62" t="s">
        <v>330</v>
      </c>
      <c r="G58" s="62" t="s">
        <v>323</v>
      </c>
      <c r="H58" s="63" t="s">
        <v>336</v>
      </c>
      <c r="I58" s="107" t="s">
        <v>337</v>
      </c>
      <c r="J58" s="1" t="n">
        <f aca="false">31*20+3</f>
        <v>623</v>
      </c>
      <c r="K58" s="1" t="n">
        <f aca="false">J58*7/89</f>
        <v>49</v>
      </c>
    </row>
    <row r="59" customFormat="false" ht="15" hidden="false" customHeight="false" outlineLevel="0" collapsed="false">
      <c r="B59" s="100" t="s">
        <v>292</v>
      </c>
      <c r="C59" s="65" t="n">
        <v>8</v>
      </c>
      <c r="D59" s="65" t="n">
        <v>65</v>
      </c>
      <c r="E59" s="65" t="s">
        <v>335</v>
      </c>
      <c r="F59" s="65" t="s">
        <v>330</v>
      </c>
      <c r="G59" s="65" t="s">
        <v>323</v>
      </c>
      <c r="H59" s="66" t="s">
        <v>338</v>
      </c>
    </row>
    <row r="61" customFormat="false" ht="15" hidden="false" customHeight="false" outlineLevel="0" collapsed="false"/>
    <row r="62" customFormat="false" ht="15" hidden="false" customHeight="false" outlineLevel="0" collapsed="false">
      <c r="B62" s="102" t="s">
        <v>292</v>
      </c>
      <c r="C62" s="103" t="n">
        <v>317</v>
      </c>
      <c r="D62" s="103" t="n">
        <v>524</v>
      </c>
      <c r="E62" s="103" t="s">
        <v>339</v>
      </c>
      <c r="F62" s="103" t="s">
        <v>340</v>
      </c>
      <c r="G62" s="103" t="s">
        <v>314</v>
      </c>
      <c r="H62" s="72" t="s">
        <v>303</v>
      </c>
      <c r="J62" s="108" t="s">
        <v>341</v>
      </c>
      <c r="K62" s="109" t="n">
        <v>251</v>
      </c>
      <c r="L62" s="109" t="n">
        <v>535</v>
      </c>
      <c r="M62" s="109" t="s">
        <v>339</v>
      </c>
      <c r="N62" s="109" t="s">
        <v>340</v>
      </c>
      <c r="O62" s="109" t="s">
        <v>314</v>
      </c>
      <c r="P62" s="72" t="s">
        <v>303</v>
      </c>
    </row>
    <row r="63" customFormat="false" ht="15" hidden="false" customHeight="false" outlineLevel="0" collapsed="false">
      <c r="B63" s="101" t="s">
        <v>292</v>
      </c>
      <c r="C63" s="62" t="n">
        <v>502</v>
      </c>
      <c r="D63" s="62" t="n">
        <v>774</v>
      </c>
      <c r="E63" s="62" t="s">
        <v>339</v>
      </c>
      <c r="F63" s="62" t="s">
        <v>340</v>
      </c>
      <c r="G63" s="62" t="s">
        <v>314</v>
      </c>
      <c r="H63" s="72" t="s">
        <v>308</v>
      </c>
      <c r="J63" s="110" t="s">
        <v>341</v>
      </c>
      <c r="K63" s="111" t="n">
        <v>420</v>
      </c>
      <c r="L63" s="111" t="n">
        <v>791</v>
      </c>
      <c r="M63" s="111" t="s">
        <v>339</v>
      </c>
      <c r="N63" s="111" t="s">
        <v>340</v>
      </c>
      <c r="O63" s="111" t="s">
        <v>314</v>
      </c>
      <c r="P63" s="72" t="s">
        <v>308</v>
      </c>
    </row>
    <row r="64" customFormat="false" ht="15" hidden="false" customHeight="false" outlineLevel="0" collapsed="false">
      <c r="B64" s="100" t="s">
        <v>292</v>
      </c>
      <c r="C64" s="65" t="n">
        <v>503</v>
      </c>
      <c r="D64" s="65" t="n">
        <v>776</v>
      </c>
      <c r="E64" s="65" t="s">
        <v>339</v>
      </c>
      <c r="F64" s="65" t="s">
        <v>340</v>
      </c>
      <c r="G64" s="65" t="s">
        <v>314</v>
      </c>
      <c r="H64" s="72" t="s">
        <v>308</v>
      </c>
      <c r="J64" s="112" t="s">
        <v>341</v>
      </c>
      <c r="K64" s="113" t="n">
        <v>421</v>
      </c>
      <c r="L64" s="113" t="n">
        <v>793</v>
      </c>
      <c r="M64" s="113" t="s">
        <v>339</v>
      </c>
      <c r="N64" s="113" t="s">
        <v>340</v>
      </c>
      <c r="O64" s="113" t="s">
        <v>314</v>
      </c>
      <c r="P64" s="72" t="s">
        <v>308</v>
      </c>
    </row>
    <row r="65" customFormat="false" ht="15" hidden="false" customHeight="false" outlineLevel="0" collapsed="false">
      <c r="B65" s="101" t="s">
        <v>292</v>
      </c>
      <c r="C65" s="62" t="n">
        <v>484</v>
      </c>
      <c r="D65" s="62" t="n">
        <v>744</v>
      </c>
      <c r="E65" s="62" t="s">
        <v>299</v>
      </c>
      <c r="F65" s="62" t="s">
        <v>299</v>
      </c>
      <c r="G65" s="62" t="s">
        <v>300</v>
      </c>
      <c r="H65" s="63" t="s">
        <v>114</v>
      </c>
      <c r="J65" s="110"/>
      <c r="K65" s="111"/>
      <c r="L65" s="111"/>
      <c r="M65" s="111"/>
      <c r="N65" s="111"/>
      <c r="O65" s="111"/>
      <c r="P65" s="72"/>
    </row>
    <row r="66" customFormat="false" ht="15" hidden="false" customHeight="false" outlineLevel="0" collapsed="false">
      <c r="B66" s="93" t="s">
        <v>292</v>
      </c>
      <c r="C66" s="69" t="n">
        <v>485</v>
      </c>
      <c r="D66" s="69" t="n">
        <v>745</v>
      </c>
      <c r="E66" s="69" t="s">
        <v>299</v>
      </c>
      <c r="F66" s="69" t="s">
        <v>299</v>
      </c>
      <c r="G66" s="69" t="s">
        <v>300</v>
      </c>
      <c r="H66" s="70" t="s">
        <v>306</v>
      </c>
      <c r="J66" s="112"/>
      <c r="K66" s="113"/>
      <c r="L66" s="113"/>
      <c r="M66" s="113"/>
      <c r="N66" s="113"/>
      <c r="O66" s="113"/>
      <c r="P66" s="72"/>
    </row>
    <row r="67" customFormat="false" ht="15" hidden="false" customHeight="false" outlineLevel="0" collapsed="false">
      <c r="B67" s="93" t="s">
        <v>292</v>
      </c>
      <c r="C67" s="69" t="n">
        <v>490</v>
      </c>
      <c r="D67" s="69" t="n">
        <v>751</v>
      </c>
      <c r="E67" s="69" t="s">
        <v>299</v>
      </c>
      <c r="F67" s="69" t="s">
        <v>299</v>
      </c>
      <c r="G67" s="69" t="s">
        <v>300</v>
      </c>
      <c r="H67" s="72" t="s">
        <v>188</v>
      </c>
      <c r="J67" s="110"/>
      <c r="K67" s="111"/>
      <c r="L67" s="111"/>
      <c r="M67" s="111"/>
      <c r="N67" s="111"/>
      <c r="O67" s="111"/>
      <c r="P67" s="114"/>
    </row>
    <row r="68" customFormat="false" ht="15" hidden="false" customHeight="false" outlineLevel="0" collapsed="false">
      <c r="B68" s="93" t="s">
        <v>292</v>
      </c>
      <c r="C68" s="69" t="n">
        <v>491</v>
      </c>
      <c r="D68" s="69" t="n">
        <v>752</v>
      </c>
      <c r="E68" s="69" t="s">
        <v>299</v>
      </c>
      <c r="F68" s="69" t="s">
        <v>299</v>
      </c>
      <c r="G68" s="69" t="s">
        <v>300</v>
      </c>
      <c r="H68" s="70" t="s">
        <v>307</v>
      </c>
      <c r="J68" s="115"/>
      <c r="K68" s="116"/>
      <c r="L68" s="116"/>
      <c r="M68" s="116"/>
      <c r="N68" s="116"/>
      <c r="O68" s="116"/>
      <c r="P68" s="117"/>
    </row>
    <row r="69" customFormat="false" ht="15" hidden="false" customHeight="false" outlineLevel="0" collapsed="false">
      <c r="B69" s="93" t="s">
        <v>292</v>
      </c>
      <c r="C69" s="69" t="n">
        <v>492</v>
      </c>
      <c r="D69" s="69" t="n">
        <v>757</v>
      </c>
      <c r="E69" s="69" t="s">
        <v>299</v>
      </c>
      <c r="F69" s="69" t="s">
        <v>299</v>
      </c>
      <c r="G69" s="69" t="s">
        <v>300</v>
      </c>
      <c r="H69" s="70" t="s">
        <v>307</v>
      </c>
    </row>
    <row r="70" customFormat="false" ht="15" hidden="false" customHeight="false" outlineLevel="0" collapsed="false">
      <c r="B70" s="93" t="s">
        <v>292</v>
      </c>
      <c r="C70" s="69" t="n">
        <v>494</v>
      </c>
      <c r="D70" s="69" t="n">
        <v>759</v>
      </c>
      <c r="E70" s="69" t="s">
        <v>299</v>
      </c>
      <c r="F70" s="69" t="s">
        <v>299</v>
      </c>
      <c r="G70" s="69" t="s">
        <v>300</v>
      </c>
      <c r="H70" s="72" t="s">
        <v>308</v>
      </c>
    </row>
    <row r="71" customFormat="false" ht="15" hidden="false" customHeight="false" outlineLevel="0" collapsed="false">
      <c r="B71" s="100" t="s">
        <v>292</v>
      </c>
      <c r="C71" s="65" t="n">
        <v>496</v>
      </c>
      <c r="D71" s="65" t="n">
        <v>761</v>
      </c>
      <c r="E71" s="65" t="s">
        <v>299</v>
      </c>
      <c r="F71" s="65" t="s">
        <v>299</v>
      </c>
      <c r="G71" s="65" t="s">
        <v>300</v>
      </c>
      <c r="H71" s="66" t="s">
        <v>183</v>
      </c>
    </row>
    <row r="72" customFormat="false" ht="15" hidden="false" customHeight="false" outlineLevel="0" collapsed="false">
      <c r="B72" s="98" t="s">
        <v>292</v>
      </c>
      <c r="C72" s="78" t="n">
        <v>307</v>
      </c>
      <c r="D72" s="78" t="n">
        <v>509</v>
      </c>
      <c r="E72" s="78" t="s">
        <v>299</v>
      </c>
      <c r="F72" s="78" t="s">
        <v>299</v>
      </c>
      <c r="G72" s="78" t="s">
        <v>300</v>
      </c>
      <c r="H72" s="99" t="s">
        <v>301</v>
      </c>
    </row>
    <row r="73" customFormat="false" ht="15" hidden="false" customHeight="false" outlineLevel="0" collapsed="false">
      <c r="B73" s="100" t="s">
        <v>292</v>
      </c>
      <c r="C73" s="65" t="n">
        <v>316</v>
      </c>
      <c r="D73" s="65" t="n">
        <v>523</v>
      </c>
      <c r="E73" s="65" t="s">
        <v>299</v>
      </c>
      <c r="F73" s="65" t="s">
        <v>299</v>
      </c>
      <c r="G73" s="65" t="s">
        <v>300</v>
      </c>
      <c r="H73" s="72" t="s">
        <v>303</v>
      </c>
    </row>
    <row r="74" customFormat="false" ht="15" hidden="false" customHeight="false" outlineLevel="0" collapsed="false">
      <c r="B74" s="101" t="s">
        <v>292</v>
      </c>
      <c r="C74" s="62" t="n">
        <v>384</v>
      </c>
      <c r="D74" s="62" t="n">
        <v>618</v>
      </c>
      <c r="E74" s="62" t="s">
        <v>299</v>
      </c>
      <c r="F74" s="62" t="s">
        <v>299</v>
      </c>
      <c r="G74" s="62" t="s">
        <v>300</v>
      </c>
      <c r="H74" s="67" t="s">
        <v>304</v>
      </c>
    </row>
    <row r="75" customFormat="false" ht="15" hidden="false" customHeight="false" outlineLevel="0" collapsed="false">
      <c r="B75" s="93" t="s">
        <v>292</v>
      </c>
      <c r="C75" s="69" t="n">
        <v>477</v>
      </c>
      <c r="D75" s="69" t="n">
        <v>737</v>
      </c>
      <c r="E75" s="69" t="s">
        <v>299</v>
      </c>
      <c r="F75" s="69" t="s">
        <v>299</v>
      </c>
      <c r="G75" s="69" t="s">
        <v>300</v>
      </c>
      <c r="H75" s="70" t="s">
        <v>305</v>
      </c>
    </row>
    <row r="76" customFormat="false" ht="15" hidden="false" customHeight="false" outlineLevel="0" collapsed="false">
      <c r="B76" s="93" t="s">
        <v>292</v>
      </c>
      <c r="C76" s="69" t="n">
        <v>482</v>
      </c>
      <c r="D76" s="69" t="n">
        <v>742</v>
      </c>
      <c r="E76" s="69" t="s">
        <v>299</v>
      </c>
      <c r="F76" s="69" t="s">
        <v>299</v>
      </c>
      <c r="G76" s="69" t="s">
        <v>300</v>
      </c>
      <c r="H76" s="70" t="s">
        <v>112</v>
      </c>
    </row>
    <row r="77" customFormat="false" ht="15" hidden="false" customHeight="false" outlineLevel="0" collapsed="false">
      <c r="B77" s="100" t="s">
        <v>292</v>
      </c>
      <c r="C77" s="65" t="n">
        <v>483</v>
      </c>
      <c r="D77" s="65" t="n">
        <v>743</v>
      </c>
      <c r="E77" s="65" t="s">
        <v>299</v>
      </c>
      <c r="F77" s="65" t="s">
        <v>299</v>
      </c>
      <c r="G77" s="65" t="s">
        <v>300</v>
      </c>
      <c r="H77" s="66" t="s">
        <v>111</v>
      </c>
    </row>
    <row r="78" customFormat="false" ht="15" hidden="false" customHeight="false" outlineLevel="0" collapsed="false">
      <c r="B78" s="101" t="s">
        <v>292</v>
      </c>
      <c r="C78" s="62" t="n">
        <v>506</v>
      </c>
      <c r="D78" s="62" t="n">
        <v>779</v>
      </c>
      <c r="E78" s="62" t="s">
        <v>299</v>
      </c>
      <c r="F78" s="62" t="s">
        <v>299</v>
      </c>
      <c r="G78" s="62" t="s">
        <v>300</v>
      </c>
      <c r="H78" s="63" t="s">
        <v>309</v>
      </c>
    </row>
    <row r="79" customFormat="false" ht="15" hidden="false" customHeight="false" outlineLevel="0" collapsed="false">
      <c r="B79" s="93" t="s">
        <v>292</v>
      </c>
      <c r="C79" s="69" t="n">
        <v>507</v>
      </c>
      <c r="D79" s="69" t="n">
        <v>782</v>
      </c>
      <c r="E79" s="69" t="s">
        <v>299</v>
      </c>
      <c r="F79" s="69" t="s">
        <v>299</v>
      </c>
      <c r="G79" s="69" t="s">
        <v>300</v>
      </c>
      <c r="H79" s="72" t="s">
        <v>310</v>
      </c>
    </row>
    <row r="80" customFormat="false" ht="15" hidden="false" customHeight="false" outlineLevel="0" collapsed="false">
      <c r="B80" s="93" t="s">
        <v>292</v>
      </c>
      <c r="C80" s="69" t="n">
        <v>510</v>
      </c>
      <c r="D80" s="69" t="n">
        <v>785</v>
      </c>
      <c r="E80" s="69" t="s">
        <v>299</v>
      </c>
      <c r="F80" s="69" t="s">
        <v>299</v>
      </c>
      <c r="G80" s="69" t="s">
        <v>300</v>
      </c>
      <c r="H80" s="70" t="s">
        <v>311</v>
      </c>
    </row>
    <row r="81" customFormat="false" ht="15" hidden="false" customHeight="false" outlineLevel="0" collapsed="false">
      <c r="B81" s="93" t="s">
        <v>292</v>
      </c>
      <c r="C81" s="69" t="n">
        <v>562</v>
      </c>
      <c r="D81" s="69" t="n">
        <v>846</v>
      </c>
      <c r="E81" s="69" t="s">
        <v>299</v>
      </c>
      <c r="F81" s="69" t="s">
        <v>299</v>
      </c>
      <c r="G81" s="69" t="s">
        <v>300</v>
      </c>
      <c r="H81" s="70" t="s">
        <v>312</v>
      </c>
    </row>
    <row r="82" customFormat="false" ht="15" hidden="false" customHeight="false" outlineLevel="0" collapsed="false">
      <c r="B82" s="100" t="s">
        <v>292</v>
      </c>
      <c r="C82" s="65" t="n">
        <v>562</v>
      </c>
      <c r="D82" s="65" t="n">
        <v>846</v>
      </c>
      <c r="E82" s="65" t="s">
        <v>299</v>
      </c>
      <c r="F82" s="65" t="s">
        <v>299</v>
      </c>
      <c r="G82" s="65" t="s">
        <v>300</v>
      </c>
      <c r="H82" s="66" t="s">
        <v>312</v>
      </c>
    </row>
  </sheetData>
  <hyperlinks>
    <hyperlink ref="B3" r:id="rId1" display="Detail"/>
    <hyperlink ref="B4" r:id="rId2" display="Detail"/>
    <hyperlink ref="B5" r:id="rId3" display="Detail"/>
    <hyperlink ref="B6" r:id="rId4" display="Detail"/>
    <hyperlink ref="B7" r:id="rId5" display="Detail"/>
    <hyperlink ref="B8" r:id="rId6" display="Detail"/>
    <hyperlink ref="B9" r:id="rId7" display="Detail"/>
    <hyperlink ref="B10" r:id="rId8" display="Detail"/>
    <hyperlink ref="B11" r:id="rId9" display="Detail"/>
    <hyperlink ref="B12" r:id="rId10" display="Detail"/>
    <hyperlink ref="B13" r:id="rId11" display="Detail"/>
    <hyperlink ref="B14" r:id="rId12" display="Detail"/>
    <hyperlink ref="B15" r:id="rId13" display="Detail"/>
    <hyperlink ref="B16" r:id="rId14" display="Detail"/>
    <hyperlink ref="B17" r:id="rId15" display="Detail"/>
    <hyperlink ref="B18" r:id="rId16" display="Detail"/>
    <hyperlink ref="B19" r:id="rId17" display="Detail"/>
    <hyperlink ref="B20" r:id="rId18" display="Detail"/>
    <hyperlink ref="B23" r:id="rId19" display="Detail"/>
    <hyperlink ref="B24" r:id="rId20" display="Detail"/>
    <hyperlink ref="B25" r:id="rId21" display="Detail"/>
    <hyperlink ref="B26" r:id="rId22" display="Detail"/>
    <hyperlink ref="B27" r:id="rId23" display="Detail"/>
    <hyperlink ref="B28" r:id="rId24" display="Detail"/>
    <hyperlink ref="B29" r:id="rId25" display="Detail"/>
    <hyperlink ref="B30" r:id="rId26" display="Detail"/>
    <hyperlink ref="B31" r:id="rId27" display="Detail"/>
    <hyperlink ref="B32" r:id="rId28" display="Detail"/>
    <hyperlink ref="B33" r:id="rId29" display="Detail"/>
    <hyperlink ref="B34" r:id="rId30" display="Detail"/>
    <hyperlink ref="B35" r:id="rId31" display="Detail"/>
    <hyperlink ref="B36" r:id="rId32" display="Detail"/>
    <hyperlink ref="B37" r:id="rId33" display="Detail"/>
    <hyperlink ref="B38" r:id="rId34" display="Detail"/>
    <hyperlink ref="B39" r:id="rId35" display="Detail"/>
    <hyperlink ref="B43" r:id="rId36" display="Detail"/>
    <hyperlink ref="B44" r:id="rId37" display="Detail"/>
    <hyperlink ref="B45" r:id="rId38" display="Detail"/>
    <hyperlink ref="B46" r:id="rId39" display="Detail"/>
    <hyperlink ref="B47" r:id="rId40" display="Detail"/>
    <hyperlink ref="B48" r:id="rId41" display="Detail"/>
    <hyperlink ref="B49" r:id="rId42" display="Detail"/>
    <hyperlink ref="B50" r:id="rId43" display="Detail"/>
    <hyperlink ref="B51" r:id="rId44" display="Detail"/>
    <hyperlink ref="B54" r:id="rId45" display="Detail"/>
    <hyperlink ref="B55" r:id="rId46" display="Detail"/>
    <hyperlink ref="B56" r:id="rId47" display="Detail"/>
    <hyperlink ref="B57" r:id="rId48" display="Detail"/>
    <hyperlink ref="B58" r:id="rId49" display="Detail"/>
    <hyperlink ref="B59" r:id="rId50" display="Detail"/>
    <hyperlink ref="B62" r:id="rId51" display="Detail"/>
    <hyperlink ref="J62" r:id="rId52" display="Nakal"/>
    <hyperlink ref="B63" r:id="rId53" display="Detail"/>
    <hyperlink ref="J63" r:id="rId54" display="Nakal"/>
    <hyperlink ref="B64" r:id="rId55" display="Detail"/>
    <hyperlink ref="J64" r:id="rId56" display="Nakal"/>
    <hyperlink ref="B65" r:id="rId57" display="Detail"/>
    <hyperlink ref="B66" r:id="rId58" display="Detail"/>
    <hyperlink ref="B67" r:id="rId59" display="Detail"/>
    <hyperlink ref="B68" r:id="rId60" display="Detail"/>
    <hyperlink ref="B69" r:id="rId61" display="Detail"/>
    <hyperlink ref="B70" r:id="rId62" display="Detail"/>
    <hyperlink ref="B71" r:id="rId63" display="Detail"/>
    <hyperlink ref="B72" r:id="rId64" display="Detail"/>
    <hyperlink ref="B73" r:id="rId65" display="Detail"/>
    <hyperlink ref="B74" r:id="rId66" display="Detail"/>
    <hyperlink ref="B75" r:id="rId67" display="Detail"/>
    <hyperlink ref="B76" r:id="rId68" display="Detail"/>
    <hyperlink ref="B77" r:id="rId69" display="Detail"/>
    <hyperlink ref="B78" r:id="rId70" display="Detail"/>
    <hyperlink ref="B79" r:id="rId71" display="Detail"/>
    <hyperlink ref="B80" r:id="rId72" display="Detail"/>
    <hyperlink ref="B81" r:id="rId73" display="Detail"/>
    <hyperlink ref="B82" r:id="rId74" display="Detai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sidhu .</dc:creator>
  <dc:description/>
  <dc:language>en-US</dc:language>
  <cp:lastModifiedBy/>
  <dcterms:modified xsi:type="dcterms:W3CDTF">2023-12-10T12:21:27Z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