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yce\Documents\git\MPPT\Documents\"/>
    </mc:Choice>
  </mc:AlternateContent>
  <bookViews>
    <workbookView xWindow="0" yWindow="0" windowWidth="16380" windowHeight="8190" tabRatio="291" activeTab="1"/>
  </bookViews>
  <sheets>
    <sheet name="Fox-1 Panel" sheetId="3" r:id="rId1"/>
    <sheet name="Calcs" sheetId="2" r:id="rId2"/>
    <sheet name="Engineering Testing Models" sheetId="4" r:id="rId3"/>
    <sheet name="Solar Cell" sheetId="1" r:id="rId4"/>
  </sheets>
  <calcPr calcId="171027"/>
</workbook>
</file>

<file path=xl/calcChain.xml><?xml version="1.0" encoding="utf-8"?>
<calcChain xmlns="http://schemas.openxmlformats.org/spreadsheetml/2006/main">
  <c r="C28" i="4" l="1"/>
  <c r="B28" i="4"/>
  <c r="C27" i="4"/>
  <c r="B27" i="4"/>
  <c r="C26" i="4"/>
  <c r="B26" i="4"/>
  <c r="C25" i="4"/>
  <c r="B25" i="4"/>
  <c r="C24" i="4"/>
  <c r="B24" i="4"/>
  <c r="C23" i="4"/>
  <c r="B23" i="4"/>
  <c r="C22" i="4"/>
  <c r="B22" i="4"/>
  <c r="C21" i="4"/>
  <c r="B21" i="4"/>
  <c r="A4" i="4"/>
  <c r="C3" i="4"/>
  <c r="B3" i="4"/>
  <c r="C4" i="4" l="1"/>
  <c r="B4" i="4"/>
  <c r="A5" i="4"/>
  <c r="B5" i="4" l="1"/>
  <c r="C5" i="4"/>
  <c r="A6" i="4"/>
  <c r="C6" i="4" l="1"/>
  <c r="A7" i="4"/>
  <c r="B6" i="4"/>
  <c r="C21" i="3"/>
  <c r="C22" i="3"/>
  <c r="C23" i="3"/>
  <c r="C24" i="3"/>
  <c r="C25" i="3"/>
  <c r="C26" i="3"/>
  <c r="C27" i="3"/>
  <c r="C28" i="3"/>
  <c r="C3" i="3"/>
  <c r="B28" i="3"/>
  <c r="B27" i="3"/>
  <c r="B26" i="3"/>
  <c r="B25" i="3"/>
  <c r="B24" i="3"/>
  <c r="B23" i="3"/>
  <c r="B22" i="3"/>
  <c r="B21" i="3"/>
  <c r="A4" i="3"/>
  <c r="A5" i="3" s="1"/>
  <c r="C5" i="3" s="1"/>
  <c r="B3" i="3"/>
  <c r="B9" i="2"/>
  <c r="B6" i="2"/>
  <c r="K20" i="1" s="1"/>
  <c r="B5" i="2"/>
  <c r="D23" i="3" s="1"/>
  <c r="F27" i="1"/>
  <c r="E27" i="1"/>
  <c r="C27" i="1"/>
  <c r="D27" i="1" s="1"/>
  <c r="B27" i="1"/>
  <c r="K26" i="1"/>
  <c r="I26" i="1"/>
  <c r="F26" i="1"/>
  <c r="E26" i="1"/>
  <c r="C26" i="1"/>
  <c r="D26" i="1" s="1"/>
  <c r="B26" i="1"/>
  <c r="F25" i="1"/>
  <c r="E25" i="1"/>
  <c r="C25" i="1"/>
  <c r="D25" i="1" s="1"/>
  <c r="B25" i="1"/>
  <c r="F24" i="1"/>
  <c r="E24" i="1"/>
  <c r="C24" i="1"/>
  <c r="D24" i="1" s="1"/>
  <c r="B24" i="1"/>
  <c r="F23" i="1"/>
  <c r="E23" i="1"/>
  <c r="C23" i="1"/>
  <c r="D23" i="1" s="1"/>
  <c r="B23" i="1"/>
  <c r="K22" i="1"/>
  <c r="F22" i="1"/>
  <c r="E22" i="1"/>
  <c r="C22" i="1"/>
  <c r="D22" i="1" s="1"/>
  <c r="B22" i="1"/>
  <c r="K21" i="1"/>
  <c r="I21" i="1"/>
  <c r="J21" i="1" s="1"/>
  <c r="F21" i="1"/>
  <c r="E21" i="1"/>
  <c r="C21" i="1"/>
  <c r="D21" i="1" s="1"/>
  <c r="B21" i="1"/>
  <c r="F20" i="1"/>
  <c r="E20" i="1"/>
  <c r="D20" i="1"/>
  <c r="C20" i="1"/>
  <c r="B20" i="1"/>
  <c r="A3" i="1"/>
  <c r="A4" i="1" s="1"/>
  <c r="F2" i="1"/>
  <c r="E2" i="1"/>
  <c r="C2" i="1"/>
  <c r="D2" i="1" s="1"/>
  <c r="B2" i="1"/>
  <c r="J26" i="1" l="1"/>
  <c r="I22" i="1"/>
  <c r="I27" i="1"/>
  <c r="J27" i="1" s="1"/>
  <c r="D3" i="3"/>
  <c r="L26" i="1"/>
  <c r="K27" i="1"/>
  <c r="L27" i="1" s="1"/>
  <c r="D28" i="3"/>
  <c r="J28" i="3" s="1"/>
  <c r="D21" i="3"/>
  <c r="J21" i="3" s="1"/>
  <c r="K23" i="1"/>
  <c r="L23" i="1" s="1"/>
  <c r="J22" i="1"/>
  <c r="J23" i="3"/>
  <c r="G23" i="3"/>
  <c r="J25" i="3"/>
  <c r="G25" i="3"/>
  <c r="G3" i="3"/>
  <c r="J3" i="3"/>
  <c r="L20" i="1"/>
  <c r="D27" i="3"/>
  <c r="E27" i="3" s="1"/>
  <c r="I2" i="1"/>
  <c r="J2" i="1" s="1"/>
  <c r="K2" i="1"/>
  <c r="L2" i="1" s="1"/>
  <c r="K25" i="1"/>
  <c r="L25" i="1" s="1"/>
  <c r="D25" i="3"/>
  <c r="D26" i="3"/>
  <c r="E26" i="3" s="1"/>
  <c r="D24" i="3"/>
  <c r="J24" i="3" s="1"/>
  <c r="I23" i="1"/>
  <c r="J23" i="1" s="1"/>
  <c r="K24" i="1"/>
  <c r="L24" i="1" s="1"/>
  <c r="L21" i="1"/>
  <c r="D28" i="4"/>
  <c r="D22" i="4"/>
  <c r="D24" i="4"/>
  <c r="D23" i="4"/>
  <c r="D25" i="4"/>
  <c r="D3" i="4"/>
  <c r="D21" i="4"/>
  <c r="D26" i="4"/>
  <c r="D27" i="4"/>
  <c r="D4" i="4"/>
  <c r="D5" i="4"/>
  <c r="I20" i="1"/>
  <c r="J20" i="1" s="1"/>
  <c r="I25" i="1"/>
  <c r="J25" i="1" s="1"/>
  <c r="I24" i="1"/>
  <c r="J24" i="1" s="1"/>
  <c r="E23" i="3"/>
  <c r="L22" i="1"/>
  <c r="D22" i="3"/>
  <c r="E22" i="3" s="1"/>
  <c r="D6" i="4"/>
  <c r="E6" i="4" s="1"/>
  <c r="E3" i="3"/>
  <c r="A8" i="4"/>
  <c r="B7" i="4"/>
  <c r="D7" i="4"/>
  <c r="C7" i="4"/>
  <c r="E28" i="3"/>
  <c r="D4" i="3"/>
  <c r="D5" i="3"/>
  <c r="C4" i="3"/>
  <c r="A6" i="3"/>
  <c r="B5" i="3"/>
  <c r="B4" i="3"/>
  <c r="A5" i="1"/>
  <c r="K4" i="1"/>
  <c r="I4" i="1"/>
  <c r="E4" i="1"/>
  <c r="C4" i="1"/>
  <c r="D4" i="1" s="1"/>
  <c r="F4" i="1"/>
  <c r="B4" i="1"/>
  <c r="B3" i="1"/>
  <c r="F3" i="1"/>
  <c r="C3" i="1"/>
  <c r="D3" i="1" s="1"/>
  <c r="E3" i="1"/>
  <c r="I3" i="1"/>
  <c r="J3" i="1" s="1"/>
  <c r="K3" i="1"/>
  <c r="L3" i="1" s="1"/>
  <c r="G21" i="3" l="1"/>
  <c r="E21" i="3"/>
  <c r="G28" i="3"/>
  <c r="E24" i="3"/>
  <c r="F6" i="4"/>
  <c r="G6" i="4"/>
  <c r="G24" i="3"/>
  <c r="G5" i="3"/>
  <c r="J5" i="3"/>
  <c r="J27" i="3"/>
  <c r="J26" i="3"/>
  <c r="G22" i="3"/>
  <c r="J22" i="3"/>
  <c r="J4" i="3"/>
  <c r="G4" i="3"/>
  <c r="G27" i="3"/>
  <c r="G26" i="3"/>
  <c r="E25" i="3"/>
  <c r="F3" i="4"/>
  <c r="E3" i="4"/>
  <c r="G3" i="4"/>
  <c r="F23" i="4"/>
  <c r="G23" i="4"/>
  <c r="E23" i="4"/>
  <c r="G5" i="4"/>
  <c r="E5" i="4"/>
  <c r="F5" i="4"/>
  <c r="F4" i="4"/>
  <c r="E4" i="4"/>
  <c r="G4" i="4"/>
  <c r="F22" i="4"/>
  <c r="G22" i="4"/>
  <c r="E22" i="4"/>
  <c r="F21" i="4"/>
  <c r="G21" i="4"/>
  <c r="E21" i="4"/>
  <c r="F27" i="4"/>
  <c r="E27" i="4"/>
  <c r="G27" i="4"/>
  <c r="G28" i="4"/>
  <c r="E28" i="4"/>
  <c r="F28" i="4"/>
  <c r="F25" i="4"/>
  <c r="E25" i="4"/>
  <c r="G25" i="4"/>
  <c r="E24" i="4"/>
  <c r="F24" i="4"/>
  <c r="G24" i="4"/>
  <c r="E26" i="4"/>
  <c r="G26" i="4"/>
  <c r="F26" i="4"/>
  <c r="G7" i="4"/>
  <c r="E7" i="4"/>
  <c r="F7" i="4"/>
  <c r="B8" i="4"/>
  <c r="D8" i="4"/>
  <c r="C8" i="4"/>
  <c r="A9" i="4"/>
  <c r="E5" i="3"/>
  <c r="D6" i="3"/>
  <c r="E4" i="3"/>
  <c r="C6" i="3"/>
  <c r="B6" i="3"/>
  <c r="A7" i="3"/>
  <c r="J4" i="1"/>
  <c r="F5" i="1"/>
  <c r="K5" i="1"/>
  <c r="L5" i="1" s="1"/>
  <c r="E5" i="1"/>
  <c r="C5" i="1"/>
  <c r="D5" i="1" s="1"/>
  <c r="A6" i="1"/>
  <c r="I5" i="1"/>
  <c r="J5" i="1" s="1"/>
  <c r="B5" i="1"/>
  <c r="L4" i="1"/>
  <c r="J6" i="3" l="1"/>
  <c r="G6" i="3"/>
  <c r="D9" i="4"/>
  <c r="C9" i="4"/>
  <c r="A10" i="4"/>
  <c r="B9" i="4"/>
  <c r="E8" i="4"/>
  <c r="G8" i="4"/>
  <c r="F8" i="4"/>
  <c r="E6" i="3"/>
  <c r="D7" i="3"/>
  <c r="C7" i="3"/>
  <c r="A8" i="3"/>
  <c r="B7" i="3"/>
  <c r="F6" i="1"/>
  <c r="B6" i="1"/>
  <c r="A7" i="1"/>
  <c r="I6" i="1"/>
  <c r="C6" i="1"/>
  <c r="D6" i="1" s="1"/>
  <c r="K6" i="1"/>
  <c r="E6" i="1"/>
  <c r="J7" i="3" l="1"/>
  <c r="G7" i="3"/>
  <c r="L6" i="1"/>
  <c r="F9" i="4"/>
  <c r="A11" i="4"/>
  <c r="B10" i="4"/>
  <c r="C10" i="4"/>
  <c r="D10" i="4"/>
  <c r="G9" i="4"/>
  <c r="E9" i="4"/>
  <c r="E7" i="3"/>
  <c r="D8" i="3"/>
  <c r="C8" i="3"/>
  <c r="B8" i="3"/>
  <c r="A9" i="3"/>
  <c r="J6" i="1"/>
  <c r="F7" i="1"/>
  <c r="B7" i="1"/>
  <c r="K7" i="1"/>
  <c r="L7" i="1" s="1"/>
  <c r="E7" i="1"/>
  <c r="A8" i="1"/>
  <c r="I7" i="1"/>
  <c r="C7" i="1"/>
  <c r="D7" i="1" s="1"/>
  <c r="G8" i="3" l="1"/>
  <c r="J8" i="3"/>
  <c r="G10" i="4"/>
  <c r="E10" i="4"/>
  <c r="F10" i="4"/>
  <c r="D11" i="4"/>
  <c r="A12" i="4"/>
  <c r="C11" i="4"/>
  <c r="B11" i="4"/>
  <c r="E8" i="3"/>
  <c r="D9" i="3"/>
  <c r="C9" i="3"/>
  <c r="A10" i="3"/>
  <c r="B9" i="3"/>
  <c r="A9" i="1"/>
  <c r="K8" i="1"/>
  <c r="I8" i="1"/>
  <c r="F8" i="1"/>
  <c r="B8" i="1"/>
  <c r="C8" i="1"/>
  <c r="D8" i="1" s="1"/>
  <c r="E8" i="1"/>
  <c r="J7" i="1"/>
  <c r="J9" i="3" l="1"/>
  <c r="G9" i="3"/>
  <c r="E11" i="4"/>
  <c r="G11" i="4"/>
  <c r="C12" i="4"/>
  <c r="B12" i="4"/>
  <c r="A13" i="4"/>
  <c r="D12" i="4"/>
  <c r="F11" i="4"/>
  <c r="D10" i="3"/>
  <c r="E9" i="3"/>
  <c r="C10" i="3"/>
  <c r="B10" i="3"/>
  <c r="A11" i="3"/>
  <c r="L8" i="1"/>
  <c r="J8" i="1"/>
  <c r="A10" i="1"/>
  <c r="K9" i="1"/>
  <c r="I9" i="1"/>
  <c r="E9" i="1"/>
  <c r="C9" i="1"/>
  <c r="D9" i="1" s="1"/>
  <c r="F9" i="1"/>
  <c r="B9" i="1"/>
  <c r="J10" i="3" l="1"/>
  <c r="G10" i="3"/>
  <c r="C13" i="4"/>
  <c r="A14" i="4"/>
  <c r="B13" i="4"/>
  <c r="D13" i="4"/>
  <c r="F12" i="4"/>
  <c r="G12" i="4"/>
  <c r="E12" i="4"/>
  <c r="E10" i="3"/>
  <c r="D11" i="3"/>
  <c r="C11" i="3"/>
  <c r="A12" i="3"/>
  <c r="B11" i="3"/>
  <c r="L9" i="1"/>
  <c r="J9" i="1"/>
  <c r="A11" i="1"/>
  <c r="K10" i="1"/>
  <c r="I10" i="1"/>
  <c r="E10" i="1"/>
  <c r="C10" i="1"/>
  <c r="D10" i="1" s="1"/>
  <c r="F10" i="1"/>
  <c r="B10" i="1"/>
  <c r="G11" i="3" l="1"/>
  <c r="J11" i="3"/>
  <c r="F13" i="4"/>
  <c r="B14" i="4"/>
  <c r="D14" i="4"/>
  <c r="C14" i="4"/>
  <c r="A15" i="4"/>
  <c r="G13" i="4"/>
  <c r="E13" i="4"/>
  <c r="D12" i="3"/>
  <c r="E11" i="3"/>
  <c r="C12" i="3"/>
  <c r="B12" i="3"/>
  <c r="A13" i="3"/>
  <c r="L10" i="1"/>
  <c r="J10" i="1"/>
  <c r="A12" i="1"/>
  <c r="K11" i="1"/>
  <c r="I11" i="1"/>
  <c r="E11" i="1"/>
  <c r="C11" i="1"/>
  <c r="D11" i="1" s="1"/>
  <c r="F11" i="1"/>
  <c r="B11" i="1"/>
  <c r="J12" i="3" l="1"/>
  <c r="G12" i="3"/>
  <c r="C15" i="4"/>
  <c r="D15" i="4"/>
  <c r="A16" i="4"/>
  <c r="B15" i="4"/>
  <c r="F14" i="4"/>
  <c r="G14" i="4"/>
  <c r="E14" i="4"/>
  <c r="E12" i="3"/>
  <c r="D13" i="3"/>
  <c r="C13" i="3"/>
  <c r="A14" i="3"/>
  <c r="B13" i="3"/>
  <c r="L11" i="1"/>
  <c r="J11" i="1"/>
  <c r="A13" i="1"/>
  <c r="K12" i="1"/>
  <c r="I12" i="1"/>
  <c r="E12" i="1"/>
  <c r="C12" i="1"/>
  <c r="D12" i="1" s="1"/>
  <c r="F12" i="1"/>
  <c r="B12" i="1"/>
  <c r="J13" i="3" l="1"/>
  <c r="G13" i="3"/>
  <c r="F15" i="4"/>
  <c r="B16" i="4"/>
  <c r="A17" i="4"/>
  <c r="D16" i="4"/>
  <c r="C16" i="4"/>
  <c r="E15" i="4"/>
  <c r="G15" i="4"/>
  <c r="D14" i="3"/>
  <c r="E13" i="3"/>
  <c r="C14" i="3"/>
  <c r="B14" i="3"/>
  <c r="A15" i="3"/>
  <c r="L12" i="1"/>
  <c r="J12" i="1"/>
  <c r="A14" i="1"/>
  <c r="K13" i="1"/>
  <c r="I13" i="1"/>
  <c r="E13" i="1"/>
  <c r="C13" i="1"/>
  <c r="D13" i="1" s="1"/>
  <c r="F13" i="1"/>
  <c r="B13" i="1"/>
  <c r="J14" i="3" l="1"/>
  <c r="G14" i="3"/>
  <c r="C17" i="4"/>
  <c r="A18" i="4"/>
  <c r="B17" i="4"/>
  <c r="D17" i="4"/>
  <c r="E16" i="4"/>
  <c r="G16" i="4"/>
  <c r="F16" i="4"/>
  <c r="E14" i="3"/>
  <c r="D15" i="3"/>
  <c r="C15" i="3"/>
  <c r="A16" i="3"/>
  <c r="B15" i="3"/>
  <c r="L13" i="1"/>
  <c r="J13" i="1"/>
  <c r="A15" i="1"/>
  <c r="K14" i="1"/>
  <c r="I14" i="1"/>
  <c r="E14" i="1"/>
  <c r="C14" i="1"/>
  <c r="D14" i="1" s="1"/>
  <c r="F14" i="1"/>
  <c r="B14" i="1"/>
  <c r="J15" i="3" l="1"/>
  <c r="G15" i="3"/>
  <c r="G17" i="4"/>
  <c r="E17" i="4"/>
  <c r="F17" i="4"/>
  <c r="B18" i="4"/>
  <c r="D18" i="4"/>
  <c r="C18" i="4"/>
  <c r="A19" i="4"/>
  <c r="D16" i="3"/>
  <c r="E15" i="3"/>
  <c r="C16" i="3"/>
  <c r="B16" i="3"/>
  <c r="A17" i="3"/>
  <c r="L14" i="1"/>
  <c r="J14" i="1"/>
  <c r="A16" i="1"/>
  <c r="K15" i="1"/>
  <c r="I15" i="1"/>
  <c r="E15" i="1"/>
  <c r="C15" i="1"/>
  <c r="D15" i="1" s="1"/>
  <c r="F15" i="1"/>
  <c r="B15" i="1"/>
  <c r="G16" i="3" l="1"/>
  <c r="J16" i="3"/>
  <c r="G18" i="4"/>
  <c r="E18" i="4"/>
  <c r="F18" i="4"/>
  <c r="A20" i="4"/>
  <c r="D19" i="4"/>
  <c r="C19" i="4"/>
  <c r="B19" i="4"/>
  <c r="E16" i="3"/>
  <c r="D17" i="3"/>
  <c r="C17" i="3"/>
  <c r="A18" i="3"/>
  <c r="B17" i="3"/>
  <c r="L15" i="1"/>
  <c r="J15" i="1"/>
  <c r="A17" i="1"/>
  <c r="K16" i="1"/>
  <c r="I16" i="1"/>
  <c r="E16" i="1"/>
  <c r="C16" i="1"/>
  <c r="D16" i="1" s="1"/>
  <c r="F16" i="1"/>
  <c r="B16" i="1"/>
  <c r="J17" i="3" l="1"/>
  <c r="G17" i="3"/>
  <c r="B20" i="4"/>
  <c r="D20" i="4"/>
  <c r="C20" i="4"/>
  <c r="E19" i="4"/>
  <c r="G19" i="4"/>
  <c r="F19" i="4"/>
  <c r="D18" i="3"/>
  <c r="E17" i="3"/>
  <c r="C18" i="3"/>
  <c r="B18" i="3"/>
  <c r="A19" i="3"/>
  <c r="L16" i="1"/>
  <c r="J16" i="1"/>
  <c r="A18" i="1"/>
  <c r="K17" i="1"/>
  <c r="I17" i="1"/>
  <c r="E17" i="1"/>
  <c r="C17" i="1"/>
  <c r="D17" i="1" s="1"/>
  <c r="F17" i="1"/>
  <c r="B17" i="1"/>
  <c r="J18" i="3" l="1"/>
  <c r="G18" i="3"/>
  <c r="G20" i="4"/>
  <c r="E20" i="4"/>
  <c r="F20" i="4"/>
  <c r="E18" i="3"/>
  <c r="D19" i="3"/>
  <c r="C19" i="3"/>
  <c r="A20" i="3"/>
  <c r="B19" i="3"/>
  <c r="L17" i="1"/>
  <c r="J17" i="1"/>
  <c r="A19" i="1"/>
  <c r="K18" i="1"/>
  <c r="I18" i="1"/>
  <c r="E18" i="1"/>
  <c r="C18" i="1"/>
  <c r="D18" i="1" s="1"/>
  <c r="F18" i="1"/>
  <c r="B18" i="1"/>
  <c r="G19" i="3" l="1"/>
  <c r="J19" i="3"/>
  <c r="D20" i="3"/>
  <c r="E19" i="3"/>
  <c r="C20" i="3"/>
  <c r="B20" i="3"/>
  <c r="L18" i="1"/>
  <c r="J18" i="1"/>
  <c r="K19" i="1"/>
  <c r="I19" i="1"/>
  <c r="E19" i="1"/>
  <c r="C19" i="1"/>
  <c r="D19" i="1" s="1"/>
  <c r="F19" i="1"/>
  <c r="B19" i="1"/>
  <c r="J20" i="3" l="1"/>
  <c r="G20" i="3"/>
  <c r="E20" i="3"/>
  <c r="J19" i="1"/>
  <c r="L19" i="1"/>
</calcChain>
</file>

<file path=xl/comments1.xml><?xml version="1.0" encoding="utf-8"?>
<comments xmlns="http://schemas.openxmlformats.org/spreadsheetml/2006/main">
  <authors>
    <author>Bryce</author>
  </authors>
  <commentList>
    <comment ref="G2" authorId="0" shapeId="0">
      <text>
        <r>
          <rPr>
            <b/>
            <sz val="8"/>
            <color indexed="81"/>
            <rFont val="Tahoma"/>
            <family val="2"/>
          </rPr>
          <t>Bryce:</t>
        </r>
        <r>
          <rPr>
            <sz val="8"/>
            <color indexed="81"/>
            <rFont val="Tahoma"/>
            <family val="2"/>
          </rPr>
          <t xml:space="preserve">
Setting this Voc will cause the same peak power at MPPT input</t>
        </r>
      </text>
    </comment>
    <comment ref="J2" authorId="0" shapeId="0">
      <text>
        <r>
          <rPr>
            <b/>
            <sz val="8"/>
            <color indexed="81"/>
            <rFont val="Tahoma"/>
            <family val="2"/>
          </rPr>
          <t>Bryce:</t>
        </r>
        <r>
          <rPr>
            <sz val="8"/>
            <color indexed="81"/>
            <rFont val="Tahoma"/>
            <family val="2"/>
          </rPr>
          <t xml:space="preserve">
Setting this Voc will cause the same peak power at MPPT input</t>
        </r>
      </text>
    </comment>
    <comment ref="O2" authorId="0" shapeId="0">
      <text>
        <r>
          <rPr>
            <b/>
            <sz val="8"/>
            <color indexed="81"/>
            <rFont val="Tahoma"/>
            <family val="2"/>
          </rPr>
          <t>Bryce:</t>
        </r>
        <r>
          <rPr>
            <sz val="8"/>
            <color indexed="81"/>
            <rFont val="Tahoma"/>
            <family val="2"/>
          </rPr>
          <t xml:space="preserve">
This is the series resistance between a constant voltage supply and MPPT input</t>
        </r>
      </text>
    </comment>
    <comment ref="R2" authorId="0" shapeId="0">
      <text>
        <r>
          <rPr>
            <b/>
            <sz val="9"/>
            <color indexed="81"/>
            <rFont val="Tahoma"/>
            <family val="2"/>
          </rPr>
          <t>Bryce:</t>
        </r>
        <r>
          <rPr>
            <sz val="9"/>
            <color indexed="81"/>
            <rFont val="Tahoma"/>
            <family val="2"/>
          </rPr>
          <t xml:space="preserve">
Thisi is the effective resistance in series with the MPPT but also includes the LM723 current sense resistance.</t>
        </r>
      </text>
    </comment>
  </commentList>
</comments>
</file>

<file path=xl/comments2.xml><?xml version="1.0" encoding="utf-8"?>
<comments xmlns="http://schemas.openxmlformats.org/spreadsheetml/2006/main">
  <authors>
    <author>Bryce</author>
  </authors>
  <commentList>
    <comment ref="F2" authorId="0" shapeId="0">
      <text>
        <r>
          <rPr>
            <b/>
            <sz val="8"/>
            <color indexed="81"/>
            <rFont val="Tahoma"/>
            <family val="2"/>
          </rPr>
          <t>Bryce:</t>
        </r>
        <r>
          <rPr>
            <sz val="8"/>
            <color indexed="81"/>
            <rFont val="Tahoma"/>
            <family val="2"/>
          </rPr>
          <t xml:space="preserve">
Setting this Voc will cause the same peak power at MPPT input</t>
        </r>
      </text>
    </comment>
    <comment ref="G2" authorId="0" shapeId="0">
      <text>
        <r>
          <rPr>
            <b/>
            <sz val="8"/>
            <color indexed="81"/>
            <rFont val="Tahoma"/>
            <family val="2"/>
          </rPr>
          <t>Bryce:</t>
        </r>
        <r>
          <rPr>
            <sz val="8"/>
            <color indexed="81"/>
            <rFont val="Tahoma"/>
            <family val="2"/>
          </rPr>
          <t xml:space="preserve">
Setting this Voc will cause the same peak power at MPPT input</t>
        </r>
      </text>
    </comment>
    <comment ref="J3" authorId="0" shapeId="0">
      <text>
        <r>
          <rPr>
            <b/>
            <sz val="8"/>
            <color indexed="81"/>
            <rFont val="Tahoma"/>
            <family val="2"/>
          </rPr>
          <t>Bryce:</t>
        </r>
        <r>
          <rPr>
            <sz val="8"/>
            <color indexed="81"/>
            <rFont val="Tahoma"/>
            <family val="2"/>
          </rPr>
          <t xml:space="preserve">
This is the series resistance between a constant voltage supply and MPPT input</t>
        </r>
      </text>
    </comment>
  </commentList>
</comments>
</file>

<file path=xl/sharedStrings.xml><?xml version="1.0" encoding="utf-8"?>
<sst xmlns="http://schemas.openxmlformats.org/spreadsheetml/2006/main" count="68" uniqueCount="55">
  <si>
    <t>Temp (C)</t>
  </si>
  <si>
    <t>Vload (1cell)</t>
  </si>
  <si>
    <t>MPP (V 1 Cell)</t>
  </si>
  <si>
    <t>Vmpp Panel (2 Series Cells)</t>
  </si>
  <si>
    <t>Voc (2 Series Cells)</t>
  </si>
  <si>
    <t>Vload (2 Series Cells)</t>
  </si>
  <si>
    <t>Vtemp</t>
  </si>
  <si>
    <t>Vmp</t>
  </si>
  <si>
    <t>Impp (mA)</t>
  </si>
  <si>
    <t>Power (mW)</t>
  </si>
  <si>
    <t>Iload (mA)</t>
  </si>
  <si>
    <t>area</t>
  </si>
  <si>
    <t>Cm^2</t>
  </si>
  <si>
    <t>Jmp</t>
  </si>
  <si>
    <t>mA/cm^2</t>
  </si>
  <si>
    <t>Current</t>
  </si>
  <si>
    <t>MA @ 28C</t>
  </si>
  <si>
    <t>Jmp Coefff</t>
  </si>
  <si>
    <t>mA/cm^2/C</t>
  </si>
  <si>
    <t>Vmp Coeff</t>
  </si>
  <si>
    <t>V/C</t>
  </si>
  <si>
    <t>Jload</t>
  </si>
  <si>
    <t>PV Temp (C)</t>
  </si>
  <si>
    <t>Solar Simulation</t>
  </si>
  <si>
    <r>
      <t>R</t>
    </r>
    <r>
      <rPr>
        <b/>
        <vertAlign val="subscript"/>
        <sz val="10"/>
        <rFont val="Arial"/>
        <family val="2"/>
      </rPr>
      <t>Slope</t>
    </r>
  </si>
  <si>
    <t>Ω</t>
  </si>
  <si>
    <t>solarsim</t>
  </si>
  <si>
    <t>Resistive Simulation</t>
  </si>
  <si>
    <t>Add 0.5 Ohms for arduino current sense</t>
  </si>
  <si>
    <t>Fox-1 MPPT Outputs</t>
  </si>
  <si>
    <r>
      <t>V</t>
    </r>
    <r>
      <rPr>
        <b/>
        <vertAlign val="subscript"/>
        <sz val="11"/>
        <color theme="0"/>
        <rFont val="Calibri"/>
        <family val="2"/>
        <scheme val="minor"/>
      </rPr>
      <t>out Max</t>
    </r>
  </si>
  <si>
    <r>
      <t>V</t>
    </r>
    <r>
      <rPr>
        <b/>
        <vertAlign val="subscript"/>
        <sz val="11"/>
        <color theme="0"/>
        <rFont val="Calibri"/>
        <family val="2"/>
        <scheme val="minor"/>
      </rPr>
      <t>out Min</t>
    </r>
  </si>
  <si>
    <r>
      <t>I</t>
    </r>
    <r>
      <rPr>
        <b/>
        <vertAlign val="subscript"/>
        <sz val="11"/>
        <color theme="0"/>
        <rFont val="Calibri"/>
        <family val="2"/>
        <scheme val="minor"/>
      </rPr>
      <t>Out Max</t>
    </r>
  </si>
  <si>
    <r>
      <t>I</t>
    </r>
    <r>
      <rPr>
        <b/>
        <vertAlign val="subscript"/>
        <sz val="11"/>
        <color theme="0"/>
        <rFont val="Calibri"/>
        <family val="2"/>
        <scheme val="minor"/>
      </rPr>
      <t>Out Min</t>
    </r>
  </si>
  <si>
    <t>Fox-1 Solar Panel Estimates &amp; Simulator Settings</t>
  </si>
  <si>
    <r>
      <t>V</t>
    </r>
    <r>
      <rPr>
        <b/>
        <vertAlign val="subscript"/>
        <sz val="12"/>
        <color theme="0"/>
        <rFont val="Calibri"/>
        <family val="2"/>
        <scheme val="minor"/>
      </rPr>
      <t>OC</t>
    </r>
  </si>
  <si>
    <r>
      <t>V</t>
    </r>
    <r>
      <rPr>
        <b/>
        <vertAlign val="subscript"/>
        <sz val="12"/>
        <color theme="0"/>
        <rFont val="Calibri"/>
        <family val="2"/>
        <scheme val="minor"/>
      </rPr>
      <t>MPP</t>
    </r>
  </si>
  <si>
    <r>
      <t>I</t>
    </r>
    <r>
      <rPr>
        <b/>
        <vertAlign val="subscript"/>
        <sz val="12"/>
        <color theme="0"/>
        <rFont val="Calibri"/>
        <family val="2"/>
        <scheme val="minor"/>
      </rPr>
      <t>MPP</t>
    </r>
  </si>
  <si>
    <r>
      <t>P</t>
    </r>
    <r>
      <rPr>
        <b/>
        <vertAlign val="subscript"/>
        <sz val="12"/>
        <color theme="0"/>
        <rFont val="Calibri"/>
        <family val="2"/>
        <scheme val="minor"/>
      </rPr>
      <t>MPP</t>
    </r>
  </si>
  <si>
    <r>
      <t>V</t>
    </r>
    <r>
      <rPr>
        <b/>
        <vertAlign val="subscript"/>
        <sz val="12"/>
        <color theme="0"/>
        <rFont val="Calibri"/>
        <family val="2"/>
        <scheme val="minor"/>
      </rPr>
      <t>OC_LM718</t>
    </r>
  </si>
  <si>
    <r>
      <t>V</t>
    </r>
    <r>
      <rPr>
        <b/>
        <vertAlign val="subscript"/>
        <sz val="12"/>
        <color theme="0"/>
        <rFont val="Calibri"/>
        <family val="2"/>
        <scheme val="minor"/>
      </rPr>
      <t>OC_Rsim</t>
    </r>
  </si>
  <si>
    <r>
      <t>R</t>
    </r>
    <r>
      <rPr>
        <b/>
        <vertAlign val="subscript"/>
        <sz val="10"/>
        <rFont val="Arial"/>
        <family val="2"/>
      </rPr>
      <t>Series</t>
    </r>
  </si>
  <si>
    <t>Constant Voltage Resistance</t>
  </si>
  <si>
    <t>Fox-1 Solar Panel</t>
  </si>
  <si>
    <t>R</t>
  </si>
  <si>
    <t>LM723 Simulation</t>
  </si>
  <si>
    <r>
      <t>V</t>
    </r>
    <r>
      <rPr>
        <b/>
        <vertAlign val="subscript"/>
        <sz val="11"/>
        <color theme="0"/>
        <rFont val="Calibri"/>
        <family val="2"/>
        <scheme val="minor"/>
      </rPr>
      <t>OC</t>
    </r>
    <r>
      <rPr>
        <b/>
        <sz val="11"/>
        <color theme="0"/>
        <rFont val="Calibri"/>
        <family val="2"/>
        <scheme val="minor"/>
      </rPr>
      <t xml:space="preserve"> (V)</t>
    </r>
  </si>
  <si>
    <r>
      <t>V</t>
    </r>
    <r>
      <rPr>
        <b/>
        <vertAlign val="subscript"/>
        <sz val="11"/>
        <color theme="0"/>
        <rFont val="Calibri"/>
        <family val="2"/>
        <scheme val="minor"/>
      </rPr>
      <t xml:space="preserve">MPP </t>
    </r>
    <r>
      <rPr>
        <b/>
        <sz val="11"/>
        <color theme="0"/>
        <rFont val="Calibri"/>
        <family val="2"/>
        <scheme val="minor"/>
      </rPr>
      <t>(V)</t>
    </r>
  </si>
  <si>
    <r>
      <t>I</t>
    </r>
    <r>
      <rPr>
        <b/>
        <vertAlign val="subscript"/>
        <sz val="11"/>
        <color theme="0"/>
        <rFont val="Calibri"/>
        <family val="2"/>
        <scheme val="minor"/>
      </rPr>
      <t xml:space="preserve">MPP </t>
    </r>
    <r>
      <rPr>
        <b/>
        <sz val="11"/>
        <color theme="0"/>
        <rFont val="Calibri"/>
        <family val="2"/>
        <scheme val="minor"/>
      </rPr>
      <t>(A)</t>
    </r>
  </si>
  <si>
    <r>
      <t>P</t>
    </r>
    <r>
      <rPr>
        <b/>
        <vertAlign val="subscript"/>
        <sz val="11"/>
        <color theme="0"/>
        <rFont val="Calibri"/>
        <family val="2"/>
        <scheme val="minor"/>
      </rPr>
      <t xml:space="preserve">MPP </t>
    </r>
    <r>
      <rPr>
        <b/>
        <sz val="11"/>
        <color theme="0"/>
        <rFont val="Calibri"/>
        <family val="2"/>
        <scheme val="minor"/>
      </rPr>
      <t>(W)</t>
    </r>
  </si>
  <si>
    <r>
      <t>V</t>
    </r>
    <r>
      <rPr>
        <b/>
        <vertAlign val="subscript"/>
        <sz val="11"/>
        <color theme="0"/>
        <rFont val="Calibri"/>
        <family val="2"/>
        <scheme val="minor"/>
      </rPr>
      <t>OC_MPPT</t>
    </r>
  </si>
  <si>
    <t>Spectrolab UTJ Properties</t>
  </si>
  <si>
    <t>Parameter</t>
  </si>
  <si>
    <t>Value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</si>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</sst>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6" formatCode="0.000\ &quot;A&quot;"/>
    <numFmt numFmtId="167" formatCode="0.000\ &quot;V&quot;"/>
  </numFmts>
  <fonts count="22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bscript"/>
      <sz val="10"/>
      <name val="Arial"/>
      <family val="2"/>
    </font>
    <font>
      <b/>
      <sz val="10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1"/>
      <color theme="0"/>
      <name val="Calibri"/>
      <family val="2"/>
      <scheme val="minor"/>
    </font>
    <font>
      <b/>
      <vertAlign val="subscript"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vertAlign val="subscript"/>
      <sz val="12"/>
      <color theme="0"/>
      <name val="Calibri"/>
      <family val="2"/>
      <scheme val="minor"/>
    </font>
    <font>
      <b/>
      <sz val="10"/>
      <name val="Arial"/>
      <family val="2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</fills>
  <borders count="2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theme="4" tint="0.499984740745262"/>
      </bottom>
      <diagonal/>
    </border>
    <border>
      <left/>
      <right/>
      <top style="medium">
        <color indexed="64"/>
      </top>
      <bottom style="thick">
        <color theme="4" tint="0.499984740745262"/>
      </bottom>
      <diagonal/>
    </border>
    <border>
      <left/>
      <right style="medium">
        <color indexed="64"/>
      </right>
      <top style="medium">
        <color indexed="64"/>
      </top>
      <bottom style="thick">
        <color theme="4" tint="0.499984740745262"/>
      </bottom>
      <diagonal/>
    </border>
  </borders>
  <cellStyleXfs count="12">
    <xf numFmtId="0" fontId="0" fillId="0" borderId="0"/>
    <xf numFmtId="0" fontId="7" fillId="3" borderId="1" applyNumberFormat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18" fillId="0" borderId="13" applyNumberFormat="0" applyFill="0" applyAlignment="0" applyProtection="0"/>
    <xf numFmtId="0" fontId="1" fillId="9" borderId="0" applyNumberFormat="0" applyBorder="0" applyAlignment="0" applyProtection="0"/>
    <xf numFmtId="0" fontId="8" fillId="10" borderId="0" applyNumberFormat="0" applyBorder="0" applyAlignment="0" applyProtection="0"/>
    <xf numFmtId="0" fontId="1" fillId="11" borderId="0" applyNumberFormat="0" applyBorder="0" applyAlignment="0" applyProtection="0"/>
  </cellStyleXfs>
  <cellXfs count="78">
    <xf numFmtId="0" fontId="0" fillId="0" borderId="0" xfId="0"/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0" fillId="0" borderId="0" xfId="0" applyNumberFormat="1"/>
    <xf numFmtId="2" fontId="4" fillId="0" borderId="0" xfId="0" applyNumberFormat="1" applyFont="1"/>
    <xf numFmtId="164" fontId="0" fillId="0" borderId="0" xfId="0" applyNumberFormat="1"/>
    <xf numFmtId="164" fontId="4" fillId="0" borderId="0" xfId="0" applyNumberFormat="1" applyFont="1"/>
    <xf numFmtId="0" fontId="7" fillId="3" borderId="1" xfId="1"/>
    <xf numFmtId="0" fontId="10" fillId="0" borderId="0" xfId="0" applyFont="1" applyAlignment="1">
      <alignment horizontal="left"/>
    </xf>
    <xf numFmtId="164" fontId="2" fillId="5" borderId="2" xfId="5" applyNumberFormat="1" applyBorder="1"/>
    <xf numFmtId="164" fontId="2" fillId="4" borderId="2" xfId="4" applyNumberFormat="1" applyBorder="1"/>
    <xf numFmtId="164" fontId="2" fillId="5" borderId="0" xfId="5" applyNumberFormat="1" applyBorder="1"/>
    <xf numFmtId="164" fontId="2" fillId="4" borderId="0" xfId="4" applyNumberFormat="1" applyBorder="1"/>
    <xf numFmtId="0" fontId="6" fillId="2" borderId="6" xfId="2" applyBorder="1" applyAlignment="1">
      <alignment horizontal="center"/>
    </xf>
    <xf numFmtId="164" fontId="2" fillId="4" borderId="7" xfId="4" applyNumberFormat="1" applyBorder="1"/>
    <xf numFmtId="0" fontId="6" fillId="2" borderId="8" xfId="2" applyBorder="1" applyAlignment="1">
      <alignment horizontal="center"/>
    </xf>
    <xf numFmtId="0" fontId="6" fillId="2" borderId="9" xfId="2" applyBorder="1" applyAlignment="1">
      <alignment horizontal="center"/>
    </xf>
    <xf numFmtId="164" fontId="2" fillId="5" borderId="10" xfId="5" applyNumberFormat="1" applyBorder="1"/>
    <xf numFmtId="164" fontId="2" fillId="4" borderId="10" xfId="4" applyNumberFormat="1" applyBorder="1"/>
    <xf numFmtId="164" fontId="2" fillId="4" borderId="11" xfId="4" applyNumberFormat="1" applyBorder="1"/>
    <xf numFmtId="164" fontId="2" fillId="4" borderId="12" xfId="4" applyNumberFormat="1" applyBorder="1"/>
    <xf numFmtId="0" fontId="5" fillId="0" borderId="0" xfId="3" applyAlignment="1"/>
    <xf numFmtId="0" fontId="15" fillId="8" borderId="3" xfId="6" applyFont="1" applyFill="1" applyBorder="1" applyAlignment="1">
      <alignment horizontal="center"/>
    </xf>
    <xf numFmtId="0" fontId="15" fillId="8" borderId="4" xfId="6" applyFont="1" applyFill="1" applyBorder="1" applyAlignment="1">
      <alignment horizontal="center"/>
    </xf>
    <xf numFmtId="2" fontId="15" fillId="8" borderId="4" xfId="6" applyNumberFormat="1" applyFont="1" applyFill="1" applyBorder="1" applyAlignment="1">
      <alignment horizontal="center"/>
    </xf>
    <xf numFmtId="0" fontId="15" fillId="8" borderId="5" xfId="6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0" fillId="0" borderId="0" xfId="0" applyBorder="1"/>
    <xf numFmtId="0" fontId="5" fillId="0" borderId="0" xfId="3" applyAlignment="1">
      <alignment horizontal="center"/>
    </xf>
    <xf numFmtId="0" fontId="0" fillId="0" borderId="0" xfId="0" applyAlignment="1">
      <alignment horizontal="center"/>
    </xf>
    <xf numFmtId="0" fontId="5" fillId="0" borderId="10" xfId="3" applyBorder="1" applyAlignment="1">
      <alignment horizontal="center"/>
    </xf>
    <xf numFmtId="0" fontId="5" fillId="0" borderId="14" xfId="3" applyBorder="1" applyAlignment="1">
      <alignment horizontal="center"/>
    </xf>
    <xf numFmtId="0" fontId="5" fillId="0" borderId="15" xfId="3" applyBorder="1" applyAlignment="1">
      <alignment horizontal="center"/>
    </xf>
    <xf numFmtId="0" fontId="5" fillId="0" borderId="16" xfId="3" applyBorder="1" applyAlignment="1">
      <alignment horizontal="center"/>
    </xf>
    <xf numFmtId="0" fontId="3" fillId="0" borderId="19" xfId="0" applyFont="1" applyBorder="1" applyAlignment="1">
      <alignment horizontal="left"/>
    </xf>
    <xf numFmtId="0" fontId="10" fillId="0" borderId="21" xfId="0" applyFont="1" applyBorder="1" applyAlignment="1">
      <alignment horizontal="left"/>
    </xf>
    <xf numFmtId="0" fontId="0" fillId="0" borderId="0" xfId="0" applyAlignment="1"/>
    <xf numFmtId="0" fontId="13" fillId="7" borderId="14" xfId="7" applyFont="1" applyBorder="1" applyAlignment="1">
      <alignment horizontal="center"/>
    </xf>
    <xf numFmtId="0" fontId="13" fillId="7" borderId="15" xfId="7" applyFont="1" applyBorder="1" applyAlignment="1">
      <alignment horizontal="center"/>
    </xf>
    <xf numFmtId="0" fontId="13" fillId="7" borderId="16" xfId="7" applyFont="1" applyBorder="1" applyAlignment="1">
      <alignment horizontal="center"/>
    </xf>
    <xf numFmtId="0" fontId="13" fillId="6" borderId="17" xfId="6" applyFont="1" applyBorder="1" applyAlignment="1">
      <alignment horizontal="center"/>
    </xf>
    <xf numFmtId="0" fontId="13" fillId="6" borderId="0" xfId="6" applyFont="1" applyBorder="1" applyAlignment="1">
      <alignment horizontal="center"/>
    </xf>
    <xf numFmtId="2" fontId="13" fillId="6" borderId="0" xfId="6" applyNumberFormat="1" applyFont="1" applyBorder="1" applyAlignment="1">
      <alignment horizontal="center"/>
    </xf>
    <xf numFmtId="0" fontId="13" fillId="6" borderId="18" xfId="6" applyFont="1" applyBorder="1" applyAlignment="1">
      <alignment horizontal="center"/>
    </xf>
    <xf numFmtId="167" fontId="2" fillId="5" borderId="19" xfId="5" applyNumberFormat="1" applyBorder="1"/>
    <xf numFmtId="167" fontId="2" fillId="5" borderId="22" xfId="5" applyNumberFormat="1" applyBorder="1"/>
    <xf numFmtId="166" fontId="2" fillId="5" borderId="22" xfId="5" applyNumberFormat="1" applyBorder="1"/>
    <xf numFmtId="166" fontId="2" fillId="5" borderId="21" xfId="5" applyNumberFormat="1" applyBorder="1"/>
    <xf numFmtId="0" fontId="7" fillId="3" borderId="22" xfId="1" applyBorder="1"/>
    <xf numFmtId="164" fontId="2" fillId="4" borderId="0" xfId="4" applyNumberFormat="1" applyBorder="1" applyAlignment="1">
      <alignment horizontal="center"/>
    </xf>
    <xf numFmtId="0" fontId="18" fillId="0" borderId="23" xfId="8" applyBorder="1" applyAlignment="1">
      <alignment horizontal="center"/>
    </xf>
    <xf numFmtId="0" fontId="18" fillId="0" borderId="24" xfId="8" applyBorder="1" applyAlignment="1">
      <alignment horizontal="center"/>
    </xf>
    <xf numFmtId="0" fontId="18" fillId="0" borderId="25" xfId="8" applyBorder="1" applyAlignment="1">
      <alignment horizontal="center"/>
    </xf>
    <xf numFmtId="0" fontId="8" fillId="7" borderId="17" xfId="7" applyBorder="1" applyAlignment="1">
      <alignment horizontal="center"/>
    </xf>
    <xf numFmtId="164" fontId="2" fillId="5" borderId="18" xfId="5" applyNumberFormat="1" applyBorder="1"/>
    <xf numFmtId="0" fontId="8" fillId="7" borderId="19" xfId="7" applyBorder="1" applyAlignment="1">
      <alignment horizontal="center"/>
    </xf>
    <xf numFmtId="164" fontId="2" fillId="5" borderId="22" xfId="5" applyNumberFormat="1" applyBorder="1"/>
    <xf numFmtId="164" fontId="2" fillId="5" borderId="21" xfId="5" applyNumberFormat="1" applyBorder="1"/>
    <xf numFmtId="164" fontId="2" fillId="4" borderId="17" xfId="4" applyNumberFormat="1" applyBorder="1" applyAlignment="1">
      <alignment horizontal="center"/>
    </xf>
    <xf numFmtId="164" fontId="2" fillId="4" borderId="18" xfId="4" applyNumberFormat="1" applyBorder="1" applyAlignment="1">
      <alignment horizontal="center"/>
    </xf>
    <xf numFmtId="164" fontId="2" fillId="4" borderId="19" xfId="4" applyNumberFormat="1" applyBorder="1" applyAlignment="1">
      <alignment horizontal="center"/>
    </xf>
    <xf numFmtId="164" fontId="2" fillId="4" borderId="22" xfId="4" applyNumberFormat="1" applyBorder="1" applyAlignment="1">
      <alignment horizontal="center"/>
    </xf>
    <xf numFmtId="164" fontId="2" fillId="4" borderId="21" xfId="4" applyNumberFormat="1" applyBorder="1" applyAlignment="1">
      <alignment horizontal="center"/>
    </xf>
    <xf numFmtId="0" fontId="17" fillId="0" borderId="19" xfId="0" applyFont="1" applyBorder="1" applyAlignment="1"/>
    <xf numFmtId="0" fontId="13" fillId="6" borderId="17" xfId="6" applyFont="1" applyBorder="1" applyAlignment="1">
      <alignment horizontal="center"/>
    </xf>
    <xf numFmtId="0" fontId="13" fillId="6" borderId="0" xfId="6" applyFont="1" applyBorder="1" applyAlignment="1">
      <alignment horizontal="center"/>
    </xf>
    <xf numFmtId="0" fontId="13" fillId="6" borderId="18" xfId="6" applyFont="1" applyBorder="1" applyAlignment="1">
      <alignment horizontal="center"/>
    </xf>
    <xf numFmtId="164" fontId="7" fillId="3" borderId="20" xfId="1" applyNumberFormat="1" applyBorder="1"/>
    <xf numFmtId="0" fontId="8" fillId="10" borderId="14" xfId="10" applyBorder="1" applyAlignment="1">
      <alignment horizontal="center"/>
    </xf>
    <xf numFmtId="0" fontId="8" fillId="10" borderId="15" xfId="10" applyBorder="1" applyAlignment="1">
      <alignment horizontal="center"/>
    </xf>
    <xf numFmtId="0" fontId="8" fillId="10" borderId="16" xfId="10" applyBorder="1" applyAlignment="1">
      <alignment horizontal="center"/>
    </xf>
    <xf numFmtId="0" fontId="19" fillId="11" borderId="17" xfId="11" applyFont="1" applyBorder="1"/>
    <xf numFmtId="0" fontId="1" fillId="9" borderId="0" xfId="9" applyBorder="1"/>
    <xf numFmtId="0" fontId="1" fillId="9" borderId="18" xfId="9" applyBorder="1"/>
    <xf numFmtId="0" fontId="19" fillId="11" borderId="19" xfId="11" applyFont="1" applyBorder="1"/>
    <xf numFmtId="0" fontId="1" fillId="9" borderId="22" xfId="9" applyBorder="1"/>
    <xf numFmtId="0" fontId="1" fillId="9" borderId="21" xfId="9" applyBorder="1"/>
  </cellXfs>
  <cellStyles count="12">
    <cellStyle name="20% - Accent4" xfId="9" builtinId="42"/>
    <cellStyle name="20% - Accent5" xfId="4" builtinId="46"/>
    <cellStyle name="20% - Accent6" xfId="5" builtinId="50"/>
    <cellStyle name="40% - Accent5" xfId="11" builtinId="47"/>
    <cellStyle name="60% - Accent6" xfId="6" builtinId="52"/>
    <cellStyle name="Accent5" xfId="10" builtinId="45"/>
    <cellStyle name="Accent6" xfId="7" builtinId="49"/>
    <cellStyle name="Heading 2" xfId="8" builtinId="17"/>
    <cellStyle name="Heading 4" xfId="3" builtinId="19"/>
    <cellStyle name="Input" xfId="1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8"/>
  <sheetViews>
    <sheetView workbookViewId="0">
      <selection activeCell="S9" sqref="S9"/>
    </sheetView>
  </sheetViews>
  <sheetFormatPr defaultRowHeight="12.75" x14ac:dyDescent="0.2"/>
  <cols>
    <col min="1" max="1" width="11.85546875" bestFit="1" customWidth="1"/>
    <col min="2" max="2" width="7.140625" bestFit="1" customWidth="1"/>
    <col min="3" max="3" width="8" bestFit="1" customWidth="1"/>
    <col min="4" max="4" width="7.28515625" bestFit="1" customWidth="1"/>
    <col min="5" max="5" width="8.5703125" bestFit="1" customWidth="1"/>
    <col min="6" max="6" width="5.5703125" bestFit="1" customWidth="1"/>
    <col min="7" max="7" width="7.42578125" bestFit="1" customWidth="1"/>
    <col min="8" max="8" width="8.140625" bestFit="1" customWidth="1"/>
    <col min="13" max="13" width="7.42578125" bestFit="1" customWidth="1"/>
    <col min="14" max="14" width="7.28515625" bestFit="1" customWidth="1"/>
    <col min="15" max="15" width="7.42578125" bestFit="1" customWidth="1"/>
    <col min="16" max="16" width="8" bestFit="1" customWidth="1"/>
    <col min="17" max="17" width="7.28515625" bestFit="1" customWidth="1"/>
    <col min="19" max="19" width="9.42578125" customWidth="1"/>
    <col min="21" max="21" width="8" bestFit="1" customWidth="1"/>
    <col min="22" max="22" width="7.42578125" bestFit="1" customWidth="1"/>
    <col min="23" max="24" width="7.28515625" bestFit="1" customWidth="1"/>
    <col min="25" max="25" width="8" bestFit="1" customWidth="1"/>
  </cols>
  <sheetData>
    <row r="1" spans="1:21" ht="18" thickBot="1" x14ac:dyDescent="0.35">
      <c r="A1" s="51" t="s">
        <v>43</v>
      </c>
      <c r="B1" s="52"/>
      <c r="C1" s="52"/>
      <c r="D1" s="52"/>
      <c r="E1" s="53"/>
      <c r="F1" s="21"/>
      <c r="G1" s="32" t="s">
        <v>27</v>
      </c>
      <c r="H1" s="33"/>
      <c r="I1" s="34"/>
      <c r="J1" s="32" t="s">
        <v>45</v>
      </c>
      <c r="K1" s="33"/>
      <c r="L1" s="34"/>
      <c r="M1" s="37"/>
      <c r="N1" s="32" t="s">
        <v>27</v>
      </c>
      <c r="O1" s="33"/>
      <c r="P1" s="34"/>
      <c r="Q1" s="32" t="s">
        <v>45</v>
      </c>
      <c r="R1" s="33"/>
      <c r="S1" s="34"/>
    </row>
    <row r="2" spans="1:21" ht="19.5" thickTop="1" thickBot="1" x14ac:dyDescent="0.4">
      <c r="A2" s="41" t="s">
        <v>22</v>
      </c>
      <c r="B2" s="42" t="s">
        <v>46</v>
      </c>
      <c r="C2" s="43" t="s">
        <v>47</v>
      </c>
      <c r="D2" s="42" t="s">
        <v>48</v>
      </c>
      <c r="E2" s="44" t="s">
        <v>49</v>
      </c>
      <c r="F2" s="28"/>
      <c r="G2" s="65" t="s">
        <v>50</v>
      </c>
      <c r="H2" s="66"/>
      <c r="I2" s="67"/>
      <c r="J2" s="65" t="s">
        <v>50</v>
      </c>
      <c r="K2" s="66"/>
      <c r="L2" s="67"/>
      <c r="N2" s="35" t="s">
        <v>24</v>
      </c>
      <c r="O2" s="49">
        <v>1.61</v>
      </c>
      <c r="P2" s="36" t="s">
        <v>25</v>
      </c>
      <c r="Q2" s="64" t="s">
        <v>44</v>
      </c>
      <c r="R2" s="68">
        <v>2.25</v>
      </c>
      <c r="S2" s="36" t="s">
        <v>25</v>
      </c>
      <c r="T2" s="37"/>
      <c r="U2" s="37"/>
    </row>
    <row r="3" spans="1:21" ht="15.75" thickBot="1" x14ac:dyDescent="0.3">
      <c r="A3" s="54">
        <v>-60</v>
      </c>
      <c r="B3" s="11">
        <f t="shared" ref="B3:B28" si="0">(2.66-(0.0065)*(A3-28))*2</f>
        <v>6.4640000000000004</v>
      </c>
      <c r="C3" s="11">
        <f t="shared" ref="C3:C28" si="1">(2.35-(0.0065)*(A3-28))*2</f>
        <v>5.8440000000000003</v>
      </c>
      <c r="D3" s="11">
        <f>(Calcs!$B$5+Calcs!$B$6*(A3-28))/1000</f>
        <v>0.43999440000000006</v>
      </c>
      <c r="E3" s="55">
        <f>(D3*C3)</f>
        <v>2.5713272736000006</v>
      </c>
      <c r="F3" s="28"/>
      <c r="G3" s="59">
        <f>($B3+$D3*$O$2)</f>
        <v>7.1723909840000006</v>
      </c>
      <c r="H3" s="50"/>
      <c r="I3" s="60"/>
      <c r="J3" s="59">
        <f>($B3+$D3*$R$2)</f>
        <v>7.4539874000000008</v>
      </c>
      <c r="K3" s="50"/>
      <c r="L3" s="60"/>
    </row>
    <row r="4" spans="1:21" ht="15" x14ac:dyDescent="0.25">
      <c r="A4" s="54">
        <f t="shared" ref="A4:A20" si="2">A3+5</f>
        <v>-55</v>
      </c>
      <c r="B4" s="11">
        <f t="shared" si="0"/>
        <v>6.399</v>
      </c>
      <c r="C4" s="11">
        <f t="shared" si="1"/>
        <v>5.7789999999999999</v>
      </c>
      <c r="D4" s="11">
        <f>(Calcs!$B$5+Calcs!$B$6*(A4-28))/1000</f>
        <v>0.44000040000000001</v>
      </c>
      <c r="E4" s="55">
        <f t="shared" ref="E4:E28" si="3">(D4*C4)</f>
        <v>2.5427623116000002</v>
      </c>
      <c r="F4" s="28"/>
      <c r="G4" s="59">
        <f>($B4+$D4*$O$2)</f>
        <v>7.1074006440000002</v>
      </c>
      <c r="H4" s="50"/>
      <c r="I4" s="60"/>
      <c r="J4" s="59">
        <f t="shared" ref="J4:J28" si="4">($B4+$D4*$R$2)</f>
        <v>7.3890009000000001</v>
      </c>
      <c r="K4" s="50"/>
      <c r="L4" s="60"/>
      <c r="N4" s="38" t="s">
        <v>29</v>
      </c>
      <c r="O4" s="39"/>
      <c r="P4" s="39"/>
      <c r="Q4" s="40"/>
    </row>
    <row r="5" spans="1:21" ht="18" x14ac:dyDescent="0.35">
      <c r="A5" s="54">
        <f t="shared" si="2"/>
        <v>-50</v>
      </c>
      <c r="B5" s="11">
        <f t="shared" si="0"/>
        <v>6.3340000000000005</v>
      </c>
      <c r="C5" s="11">
        <f t="shared" si="1"/>
        <v>5.7140000000000004</v>
      </c>
      <c r="D5" s="11">
        <f>(Calcs!$B$5+Calcs!$B$6*(A5-28))/1000</f>
        <v>0.44000640000000002</v>
      </c>
      <c r="E5" s="55">
        <f t="shared" si="3"/>
        <v>2.5141965696000002</v>
      </c>
      <c r="F5" s="28"/>
      <c r="G5" s="59">
        <f t="shared" ref="G5:G28" si="5">($B5+$D5*$O$2)</f>
        <v>7.0424103040000006</v>
      </c>
      <c r="H5" s="50"/>
      <c r="I5" s="60"/>
      <c r="J5" s="59">
        <f t="shared" si="4"/>
        <v>7.3240144000000003</v>
      </c>
      <c r="K5" s="50"/>
      <c r="L5" s="60"/>
      <c r="N5" s="41" t="s">
        <v>30</v>
      </c>
      <c r="O5" s="42" t="s">
        <v>31</v>
      </c>
      <c r="P5" s="42" t="s">
        <v>32</v>
      </c>
      <c r="Q5" s="44" t="s">
        <v>33</v>
      </c>
    </row>
    <row r="6" spans="1:21" ht="15.75" thickBot="1" x14ac:dyDescent="0.3">
      <c r="A6" s="54">
        <f t="shared" si="2"/>
        <v>-45</v>
      </c>
      <c r="B6" s="11">
        <f t="shared" si="0"/>
        <v>6.2690000000000001</v>
      </c>
      <c r="C6" s="11">
        <f t="shared" si="1"/>
        <v>5.649</v>
      </c>
      <c r="D6" s="11">
        <f>(Calcs!$B$5+Calcs!$B$6*(A6-28))/1000</f>
        <v>0.44001240000000003</v>
      </c>
      <c r="E6" s="55">
        <f t="shared" si="3"/>
        <v>2.4856300475999999</v>
      </c>
      <c r="F6" s="28"/>
      <c r="G6" s="59">
        <f t="shared" si="5"/>
        <v>6.9774199640000001</v>
      </c>
      <c r="H6" s="50"/>
      <c r="I6" s="60"/>
      <c r="J6" s="59">
        <f t="shared" si="4"/>
        <v>7.2590279000000004</v>
      </c>
      <c r="K6" s="50"/>
      <c r="L6" s="60"/>
      <c r="N6" s="45">
        <v>4.2</v>
      </c>
      <c r="O6" s="46">
        <v>3.3</v>
      </c>
      <c r="P6" s="47">
        <v>1</v>
      </c>
      <c r="Q6" s="48">
        <v>0.05</v>
      </c>
    </row>
    <row r="7" spans="1:21" ht="15" x14ac:dyDescent="0.25">
      <c r="A7" s="54">
        <f t="shared" si="2"/>
        <v>-40</v>
      </c>
      <c r="B7" s="11">
        <f t="shared" si="0"/>
        <v>6.2040000000000006</v>
      </c>
      <c r="C7" s="11">
        <f t="shared" si="1"/>
        <v>5.5840000000000005</v>
      </c>
      <c r="D7" s="11">
        <f>(Calcs!$B$5+Calcs!$B$6*(A7-28))/1000</f>
        <v>0.44001840000000003</v>
      </c>
      <c r="E7" s="55">
        <f t="shared" si="3"/>
        <v>2.4570627456000005</v>
      </c>
      <c r="F7" s="28"/>
      <c r="G7" s="59">
        <f t="shared" si="5"/>
        <v>6.9124296240000005</v>
      </c>
      <c r="H7" s="50"/>
      <c r="I7" s="60"/>
      <c r="J7" s="59">
        <f t="shared" si="4"/>
        <v>7.1940414000000006</v>
      </c>
      <c r="K7" s="50"/>
      <c r="L7" s="60"/>
    </row>
    <row r="8" spans="1:21" ht="15" x14ac:dyDescent="0.25">
      <c r="A8" s="54">
        <f t="shared" si="2"/>
        <v>-35</v>
      </c>
      <c r="B8" s="11">
        <f t="shared" si="0"/>
        <v>6.1390000000000002</v>
      </c>
      <c r="C8" s="11">
        <f t="shared" si="1"/>
        <v>5.5190000000000001</v>
      </c>
      <c r="D8" s="11">
        <f>(Calcs!$B$5+Calcs!$B$6*(A8-28))/1000</f>
        <v>0.44002440000000004</v>
      </c>
      <c r="E8" s="55">
        <f t="shared" si="3"/>
        <v>2.4284946636000004</v>
      </c>
      <c r="F8" s="28"/>
      <c r="G8" s="59">
        <f t="shared" si="5"/>
        <v>6.847439284</v>
      </c>
      <c r="H8" s="50"/>
      <c r="I8" s="60"/>
      <c r="J8" s="59">
        <f t="shared" si="4"/>
        <v>7.1290548999999999</v>
      </c>
      <c r="K8" s="50"/>
      <c r="L8" s="60"/>
    </row>
    <row r="9" spans="1:21" ht="15" x14ac:dyDescent="0.25">
      <c r="A9" s="54">
        <f t="shared" si="2"/>
        <v>-30</v>
      </c>
      <c r="B9" s="11">
        <f t="shared" si="0"/>
        <v>6.0739999999999998</v>
      </c>
      <c r="C9" s="11">
        <f t="shared" si="1"/>
        <v>5.4540000000000006</v>
      </c>
      <c r="D9" s="11">
        <f>(Calcs!$B$5+Calcs!$B$6*(A9-28))/1000</f>
        <v>0.44003040000000004</v>
      </c>
      <c r="E9" s="55">
        <f t="shared" si="3"/>
        <v>2.3999258016000007</v>
      </c>
      <c r="F9" s="28"/>
      <c r="G9" s="59">
        <f t="shared" si="5"/>
        <v>6.7824489440000004</v>
      </c>
      <c r="H9" s="50"/>
      <c r="I9" s="60"/>
      <c r="J9" s="59">
        <f t="shared" si="4"/>
        <v>7.0640684</v>
      </c>
      <c r="K9" s="50"/>
      <c r="L9" s="60"/>
    </row>
    <row r="10" spans="1:21" ht="15" x14ac:dyDescent="0.25">
      <c r="A10" s="54">
        <f t="shared" si="2"/>
        <v>-25</v>
      </c>
      <c r="B10" s="11">
        <f t="shared" si="0"/>
        <v>6.0090000000000003</v>
      </c>
      <c r="C10" s="11">
        <f t="shared" si="1"/>
        <v>5.3890000000000002</v>
      </c>
      <c r="D10" s="11">
        <f>(Calcs!$B$5+Calcs!$B$6*(A10-28))/1000</f>
        <v>0.44003639999999999</v>
      </c>
      <c r="E10" s="55">
        <f t="shared" si="3"/>
        <v>2.3713561595999999</v>
      </c>
      <c r="F10" s="28"/>
      <c r="G10" s="59">
        <f t="shared" si="5"/>
        <v>6.7174586040000008</v>
      </c>
      <c r="H10" s="50"/>
      <c r="I10" s="60"/>
      <c r="J10" s="59">
        <f t="shared" si="4"/>
        <v>6.9990819000000002</v>
      </c>
      <c r="K10" s="50"/>
      <c r="L10" s="60"/>
    </row>
    <row r="11" spans="1:21" ht="15" customHeight="1" x14ac:dyDescent="0.25">
      <c r="A11" s="54">
        <f t="shared" si="2"/>
        <v>-20</v>
      </c>
      <c r="B11" s="11">
        <f t="shared" si="0"/>
        <v>5.944</v>
      </c>
      <c r="C11" s="11">
        <f t="shared" si="1"/>
        <v>5.3239999999999998</v>
      </c>
      <c r="D11" s="11">
        <f>(Calcs!$B$5+Calcs!$B$6*(A11-28))/1000</f>
        <v>0.44004240000000006</v>
      </c>
      <c r="E11" s="55">
        <f t="shared" si="3"/>
        <v>2.3427857376000003</v>
      </c>
      <c r="F11" s="28"/>
      <c r="G11" s="59">
        <f t="shared" si="5"/>
        <v>6.6524682640000004</v>
      </c>
      <c r="H11" s="50"/>
      <c r="I11" s="60"/>
      <c r="J11" s="59">
        <f t="shared" si="4"/>
        <v>6.9340954000000004</v>
      </c>
      <c r="K11" s="50"/>
      <c r="L11" s="60"/>
    </row>
    <row r="12" spans="1:21" ht="15" x14ac:dyDescent="0.25">
      <c r="A12" s="54">
        <f t="shared" si="2"/>
        <v>-15</v>
      </c>
      <c r="B12" s="11">
        <f t="shared" si="0"/>
        <v>5.8790000000000004</v>
      </c>
      <c r="C12" s="11">
        <f t="shared" si="1"/>
        <v>5.2590000000000003</v>
      </c>
      <c r="D12" s="11">
        <f>(Calcs!$B$5+Calcs!$B$6*(A12-28))/1000</f>
        <v>0.44004840000000001</v>
      </c>
      <c r="E12" s="55">
        <f t="shared" si="3"/>
        <v>2.3142145356000001</v>
      </c>
      <c r="F12" s="28"/>
      <c r="G12" s="59">
        <f t="shared" si="5"/>
        <v>6.5874779240000008</v>
      </c>
      <c r="H12" s="50"/>
      <c r="I12" s="60"/>
      <c r="J12" s="59">
        <f t="shared" si="4"/>
        <v>6.8691089000000005</v>
      </c>
      <c r="K12" s="50"/>
      <c r="L12" s="60"/>
    </row>
    <row r="13" spans="1:21" ht="15" x14ac:dyDescent="0.25">
      <c r="A13" s="54">
        <f t="shared" si="2"/>
        <v>-10</v>
      </c>
      <c r="B13" s="11">
        <f t="shared" si="0"/>
        <v>5.8140000000000001</v>
      </c>
      <c r="C13" s="11">
        <f t="shared" si="1"/>
        <v>5.194</v>
      </c>
      <c r="D13" s="11">
        <f>(Calcs!$B$5+Calcs!$B$6*(A13-28))/1000</f>
        <v>0.44005440000000007</v>
      </c>
      <c r="E13" s="55">
        <f t="shared" si="3"/>
        <v>2.2856425536000002</v>
      </c>
      <c r="F13" s="28"/>
      <c r="G13" s="59">
        <f t="shared" si="5"/>
        <v>6.5224875840000003</v>
      </c>
      <c r="H13" s="50"/>
      <c r="I13" s="60"/>
      <c r="J13" s="59">
        <f t="shared" si="4"/>
        <v>6.8041224000000007</v>
      </c>
      <c r="K13" s="50"/>
      <c r="L13" s="60"/>
    </row>
    <row r="14" spans="1:21" ht="15" x14ac:dyDescent="0.25">
      <c r="A14" s="54">
        <f t="shared" si="2"/>
        <v>-5</v>
      </c>
      <c r="B14" s="11">
        <f t="shared" si="0"/>
        <v>5.7490000000000006</v>
      </c>
      <c r="C14" s="11">
        <f t="shared" si="1"/>
        <v>5.1290000000000004</v>
      </c>
      <c r="D14" s="11">
        <f>(Calcs!$B$5+Calcs!$B$6*(A14-28))/1000</f>
        <v>0.44006040000000002</v>
      </c>
      <c r="E14" s="55">
        <f t="shared" si="3"/>
        <v>2.2570697916000002</v>
      </c>
      <c r="F14" s="28"/>
      <c r="G14" s="59">
        <f t="shared" si="5"/>
        <v>6.4574972440000007</v>
      </c>
      <c r="H14" s="50"/>
      <c r="I14" s="60"/>
      <c r="J14" s="59">
        <f t="shared" si="4"/>
        <v>6.7391359000000008</v>
      </c>
      <c r="K14" s="50"/>
      <c r="L14" s="60"/>
    </row>
    <row r="15" spans="1:21" ht="15" x14ac:dyDescent="0.25">
      <c r="A15" s="54">
        <f t="shared" si="2"/>
        <v>0</v>
      </c>
      <c r="B15" s="11">
        <f t="shared" si="0"/>
        <v>5.6840000000000002</v>
      </c>
      <c r="C15" s="11">
        <f t="shared" si="1"/>
        <v>5.0640000000000001</v>
      </c>
      <c r="D15" s="11">
        <f>(Calcs!$B$5+Calcs!$B$6*(A15-28))/1000</f>
        <v>0.44006640000000002</v>
      </c>
      <c r="E15" s="55">
        <f t="shared" si="3"/>
        <v>2.2284962496</v>
      </c>
      <c r="F15" s="28"/>
      <c r="G15" s="59">
        <f t="shared" si="5"/>
        <v>6.3925069040000002</v>
      </c>
      <c r="H15" s="50"/>
      <c r="I15" s="60"/>
      <c r="J15" s="59">
        <f t="shared" si="4"/>
        <v>6.6741494000000001</v>
      </c>
      <c r="K15" s="50"/>
      <c r="L15" s="60"/>
    </row>
    <row r="16" spans="1:21" ht="15" x14ac:dyDescent="0.25">
      <c r="A16" s="54">
        <f t="shared" si="2"/>
        <v>5</v>
      </c>
      <c r="B16" s="11">
        <f t="shared" si="0"/>
        <v>5.6190000000000007</v>
      </c>
      <c r="C16" s="11">
        <f t="shared" si="1"/>
        <v>4.9990000000000006</v>
      </c>
      <c r="D16" s="11">
        <f>(Calcs!$B$5+Calcs!$B$6*(A16-28))/1000</f>
        <v>0.44007240000000003</v>
      </c>
      <c r="E16" s="55">
        <f t="shared" si="3"/>
        <v>2.1999219276000006</v>
      </c>
      <c r="F16" s="28"/>
      <c r="G16" s="59">
        <f t="shared" si="5"/>
        <v>6.3275165640000006</v>
      </c>
      <c r="H16" s="50"/>
      <c r="I16" s="60"/>
      <c r="J16" s="59">
        <f t="shared" si="4"/>
        <v>6.6091629000000012</v>
      </c>
      <c r="K16" s="50"/>
      <c r="L16" s="60"/>
    </row>
    <row r="17" spans="1:12" ht="15" x14ac:dyDescent="0.25">
      <c r="A17" s="54">
        <f t="shared" si="2"/>
        <v>10</v>
      </c>
      <c r="B17" s="11">
        <f t="shared" si="0"/>
        <v>5.5540000000000003</v>
      </c>
      <c r="C17" s="11">
        <f t="shared" si="1"/>
        <v>4.9340000000000002</v>
      </c>
      <c r="D17" s="11">
        <f>(Calcs!$B$5+Calcs!$B$6*(A17-28))/1000</f>
        <v>0.44007840000000004</v>
      </c>
      <c r="E17" s="55">
        <f t="shared" si="3"/>
        <v>2.1713468256000001</v>
      </c>
      <c r="F17" s="28"/>
      <c r="G17" s="59">
        <f t="shared" si="5"/>
        <v>6.2625262240000001</v>
      </c>
      <c r="H17" s="50"/>
      <c r="I17" s="60"/>
      <c r="J17" s="59">
        <f t="shared" si="4"/>
        <v>6.5441764000000004</v>
      </c>
      <c r="K17" s="50"/>
      <c r="L17" s="60"/>
    </row>
    <row r="18" spans="1:12" ht="15" x14ac:dyDescent="0.25">
      <c r="A18" s="54">
        <f t="shared" si="2"/>
        <v>15</v>
      </c>
      <c r="B18" s="11">
        <f t="shared" si="0"/>
        <v>5.4889999999999999</v>
      </c>
      <c r="C18" s="11">
        <f t="shared" si="1"/>
        <v>4.8689999999999998</v>
      </c>
      <c r="D18" s="11">
        <f>(Calcs!$B$5+Calcs!$B$6*(A18-28))/1000</f>
        <v>0.44008440000000004</v>
      </c>
      <c r="E18" s="55">
        <f t="shared" si="3"/>
        <v>2.1427709436</v>
      </c>
      <c r="F18" s="28"/>
      <c r="G18" s="59">
        <f t="shared" si="5"/>
        <v>6.1975358839999997</v>
      </c>
      <c r="H18" s="50"/>
      <c r="I18" s="60"/>
      <c r="J18" s="59">
        <f t="shared" si="4"/>
        <v>6.4791898999999997</v>
      </c>
      <c r="K18" s="50"/>
      <c r="L18" s="60"/>
    </row>
    <row r="19" spans="1:12" ht="15" x14ac:dyDescent="0.25">
      <c r="A19" s="54">
        <f t="shared" si="2"/>
        <v>20</v>
      </c>
      <c r="B19" s="11">
        <f t="shared" si="0"/>
        <v>5.4240000000000004</v>
      </c>
      <c r="C19" s="11">
        <f t="shared" si="1"/>
        <v>4.8040000000000003</v>
      </c>
      <c r="D19" s="11">
        <f>(Calcs!$B$5+Calcs!$B$6*(A19-28))/1000</f>
        <v>0.44009040000000005</v>
      </c>
      <c r="E19" s="55">
        <f t="shared" si="3"/>
        <v>2.1141942816000006</v>
      </c>
      <c r="F19" s="28"/>
      <c r="G19" s="59">
        <f t="shared" si="5"/>
        <v>6.132545544000001</v>
      </c>
      <c r="H19" s="50"/>
      <c r="I19" s="60"/>
      <c r="J19" s="59">
        <f t="shared" si="4"/>
        <v>6.4142034000000008</v>
      </c>
      <c r="K19" s="50"/>
      <c r="L19" s="60"/>
    </row>
    <row r="20" spans="1:12" ht="15" x14ac:dyDescent="0.25">
      <c r="A20" s="54">
        <f t="shared" si="2"/>
        <v>25</v>
      </c>
      <c r="B20" s="11">
        <f t="shared" si="0"/>
        <v>5.359</v>
      </c>
      <c r="C20" s="11">
        <f t="shared" si="1"/>
        <v>4.7389999999999999</v>
      </c>
      <c r="D20" s="11">
        <f>(Calcs!$B$5+Calcs!$B$6*(A20-28))/1000</f>
        <v>0.4400964</v>
      </c>
      <c r="E20" s="55">
        <f t="shared" si="3"/>
        <v>2.0856168396000001</v>
      </c>
      <c r="F20" s="28"/>
      <c r="G20" s="59">
        <f t="shared" si="5"/>
        <v>6.0675552039999996</v>
      </c>
      <c r="H20" s="50"/>
      <c r="I20" s="60"/>
      <c r="J20" s="59">
        <f t="shared" si="4"/>
        <v>6.3492169000000001</v>
      </c>
      <c r="K20" s="50"/>
      <c r="L20" s="60"/>
    </row>
    <row r="21" spans="1:12" ht="15" x14ac:dyDescent="0.25">
      <c r="A21" s="54">
        <v>28</v>
      </c>
      <c r="B21" s="11">
        <f t="shared" si="0"/>
        <v>5.32</v>
      </c>
      <c r="C21" s="11">
        <f t="shared" si="1"/>
        <v>4.7</v>
      </c>
      <c r="D21" s="11">
        <f>(Calcs!$B$5+Calcs!$B$6*(A21-28))/1000</f>
        <v>0.44010000000000005</v>
      </c>
      <c r="E21" s="55">
        <f t="shared" si="3"/>
        <v>2.0684700000000005</v>
      </c>
      <c r="F21" s="28"/>
      <c r="G21" s="59">
        <f t="shared" si="5"/>
        <v>6.0285610000000007</v>
      </c>
      <c r="H21" s="50"/>
      <c r="I21" s="60"/>
      <c r="J21" s="59">
        <f t="shared" si="4"/>
        <v>6.3102250000000009</v>
      </c>
      <c r="K21" s="50"/>
      <c r="L21" s="60"/>
    </row>
    <row r="22" spans="1:12" ht="15" x14ac:dyDescent="0.25">
      <c r="A22" s="54">
        <v>30</v>
      </c>
      <c r="B22" s="11">
        <f t="shared" si="0"/>
        <v>5.2940000000000005</v>
      </c>
      <c r="C22" s="11">
        <f t="shared" si="1"/>
        <v>4.6740000000000004</v>
      </c>
      <c r="D22" s="11">
        <f>(Calcs!$B$5+Calcs!$B$6*(A22-28))/1000</f>
        <v>0.44010240000000006</v>
      </c>
      <c r="E22" s="55">
        <f t="shared" si="3"/>
        <v>2.0570386176000004</v>
      </c>
      <c r="F22" s="28"/>
      <c r="G22" s="59">
        <f t="shared" si="5"/>
        <v>6.0025648640000009</v>
      </c>
      <c r="H22" s="50"/>
      <c r="I22" s="60"/>
      <c r="J22" s="59">
        <f t="shared" si="4"/>
        <v>6.2842304000000002</v>
      </c>
      <c r="K22" s="50"/>
      <c r="L22" s="60"/>
    </row>
    <row r="23" spans="1:12" ht="15" x14ac:dyDescent="0.25">
      <c r="A23" s="54">
        <v>35</v>
      </c>
      <c r="B23" s="11">
        <f t="shared" si="0"/>
        <v>5.2290000000000001</v>
      </c>
      <c r="C23" s="11">
        <f t="shared" si="1"/>
        <v>4.609</v>
      </c>
      <c r="D23" s="11">
        <f>(Calcs!$B$5+Calcs!$B$6*(A23-28))/1000</f>
        <v>0.44010840000000001</v>
      </c>
      <c r="E23" s="55">
        <f t="shared" si="3"/>
        <v>2.0284596156000001</v>
      </c>
      <c r="F23" s="28"/>
      <c r="G23" s="59">
        <f t="shared" si="5"/>
        <v>5.9375745240000004</v>
      </c>
      <c r="H23" s="50"/>
      <c r="I23" s="60"/>
      <c r="J23" s="59">
        <f t="shared" si="4"/>
        <v>6.2192439000000004</v>
      </c>
      <c r="K23" s="50"/>
      <c r="L23" s="60"/>
    </row>
    <row r="24" spans="1:12" ht="15" x14ac:dyDescent="0.25">
      <c r="A24" s="54">
        <v>40</v>
      </c>
      <c r="B24" s="11">
        <f t="shared" si="0"/>
        <v>5.1640000000000006</v>
      </c>
      <c r="C24" s="11">
        <f t="shared" si="1"/>
        <v>4.5440000000000005</v>
      </c>
      <c r="D24" s="11">
        <f>(Calcs!$B$5+Calcs!$B$6*(A24-28))/1000</f>
        <v>0.44011440000000007</v>
      </c>
      <c r="E24" s="55">
        <f t="shared" si="3"/>
        <v>1.9998798336000005</v>
      </c>
      <c r="F24" s="28"/>
      <c r="G24" s="59">
        <f t="shared" si="5"/>
        <v>5.8725841840000008</v>
      </c>
      <c r="H24" s="50"/>
      <c r="I24" s="60"/>
      <c r="J24" s="59">
        <f t="shared" si="4"/>
        <v>6.1542574000000005</v>
      </c>
      <c r="K24" s="50"/>
      <c r="L24" s="60"/>
    </row>
    <row r="25" spans="1:12" ht="15" x14ac:dyDescent="0.25">
      <c r="A25" s="54">
        <v>45</v>
      </c>
      <c r="B25" s="11">
        <f t="shared" si="0"/>
        <v>5.0990000000000002</v>
      </c>
      <c r="C25" s="11">
        <f t="shared" si="1"/>
        <v>4.4790000000000001</v>
      </c>
      <c r="D25" s="11">
        <f>(Calcs!$B$5+Calcs!$B$6*(A25-28))/1000</f>
        <v>0.44012040000000002</v>
      </c>
      <c r="E25" s="55">
        <f t="shared" si="3"/>
        <v>1.9712992716000002</v>
      </c>
      <c r="F25" s="28"/>
      <c r="G25" s="59">
        <f t="shared" si="5"/>
        <v>5.8075938440000003</v>
      </c>
      <c r="H25" s="50"/>
      <c r="I25" s="60"/>
      <c r="J25" s="59">
        <f t="shared" si="4"/>
        <v>6.0892709000000007</v>
      </c>
      <c r="K25" s="50"/>
      <c r="L25" s="60"/>
    </row>
    <row r="26" spans="1:12" ht="15" x14ac:dyDescent="0.25">
      <c r="A26" s="54">
        <v>50</v>
      </c>
      <c r="B26" s="11">
        <f t="shared" si="0"/>
        <v>5.0340000000000007</v>
      </c>
      <c r="C26" s="11">
        <f t="shared" si="1"/>
        <v>4.4140000000000006</v>
      </c>
      <c r="D26" s="11">
        <f>(Calcs!$B$5+Calcs!$B$6*(A26-28))/1000</f>
        <v>0.44012640000000003</v>
      </c>
      <c r="E26" s="55">
        <f t="shared" si="3"/>
        <v>1.9427179296000003</v>
      </c>
      <c r="F26" s="28"/>
      <c r="G26" s="59">
        <f t="shared" si="5"/>
        <v>5.7426035040000007</v>
      </c>
      <c r="H26" s="50"/>
      <c r="I26" s="60"/>
      <c r="J26" s="59">
        <f t="shared" si="4"/>
        <v>6.0242844000000009</v>
      </c>
      <c r="K26" s="50"/>
      <c r="L26" s="60"/>
    </row>
    <row r="27" spans="1:12" ht="15" x14ac:dyDescent="0.25">
      <c r="A27" s="54">
        <v>55</v>
      </c>
      <c r="B27" s="11">
        <f t="shared" si="0"/>
        <v>4.9690000000000003</v>
      </c>
      <c r="C27" s="11">
        <f t="shared" si="1"/>
        <v>4.3490000000000002</v>
      </c>
      <c r="D27" s="11">
        <f>(Calcs!$B$5+Calcs!$B$6*(A27-28))/1000</f>
        <v>0.44013240000000003</v>
      </c>
      <c r="E27" s="55">
        <f t="shared" si="3"/>
        <v>1.9141358076000001</v>
      </c>
      <c r="F27" s="28"/>
      <c r="G27" s="59">
        <f t="shared" si="5"/>
        <v>5.6776131640000003</v>
      </c>
      <c r="H27" s="50"/>
      <c r="I27" s="60"/>
      <c r="J27" s="59">
        <f t="shared" si="4"/>
        <v>5.9592979000000001</v>
      </c>
      <c r="K27" s="50"/>
      <c r="L27" s="60"/>
    </row>
    <row r="28" spans="1:12" ht="15.75" thickBot="1" x14ac:dyDescent="0.3">
      <c r="A28" s="56">
        <v>60</v>
      </c>
      <c r="B28" s="57">
        <f t="shared" si="0"/>
        <v>4.9039999999999999</v>
      </c>
      <c r="C28" s="57">
        <f t="shared" si="1"/>
        <v>4.2839999999999998</v>
      </c>
      <c r="D28" s="57">
        <f>(Calcs!$B$5+Calcs!$B$6*(A28-28))/1000</f>
        <v>0.44013840000000004</v>
      </c>
      <c r="E28" s="58">
        <f t="shared" si="3"/>
        <v>1.8855529056</v>
      </c>
      <c r="F28" s="28"/>
      <c r="G28" s="61">
        <f t="shared" si="5"/>
        <v>5.6126228239999998</v>
      </c>
      <c r="H28" s="62"/>
      <c r="I28" s="63"/>
      <c r="J28" s="61">
        <f t="shared" si="4"/>
        <v>5.8943114000000003</v>
      </c>
      <c r="K28" s="62"/>
      <c r="L28" s="63"/>
    </row>
  </sheetData>
  <mergeCells count="60">
    <mergeCell ref="J26:L26"/>
    <mergeCell ref="J27:L27"/>
    <mergeCell ref="J28:L28"/>
    <mergeCell ref="J21:L21"/>
    <mergeCell ref="J22:L22"/>
    <mergeCell ref="J23:L23"/>
    <mergeCell ref="J24:L24"/>
    <mergeCell ref="J25:L25"/>
    <mergeCell ref="J16:L16"/>
    <mergeCell ref="J17:L17"/>
    <mergeCell ref="J18:L18"/>
    <mergeCell ref="J19:L19"/>
    <mergeCell ref="J20:L20"/>
    <mergeCell ref="G28:I28"/>
    <mergeCell ref="J1:L1"/>
    <mergeCell ref="J2:L2"/>
    <mergeCell ref="J3:L3"/>
    <mergeCell ref="J4:L4"/>
    <mergeCell ref="J5:L5"/>
    <mergeCell ref="J6:L6"/>
    <mergeCell ref="J7:L7"/>
    <mergeCell ref="J8:L8"/>
    <mergeCell ref="J9:L9"/>
    <mergeCell ref="J10:L10"/>
    <mergeCell ref="J11:L11"/>
    <mergeCell ref="J12:L12"/>
    <mergeCell ref="J13:L13"/>
    <mergeCell ref="J14:L14"/>
    <mergeCell ref="J15:L15"/>
    <mergeCell ref="G23:I23"/>
    <mergeCell ref="G24:I24"/>
    <mergeCell ref="G25:I25"/>
    <mergeCell ref="G26:I26"/>
    <mergeCell ref="G27:I27"/>
    <mergeCell ref="G18:I18"/>
    <mergeCell ref="G19:I19"/>
    <mergeCell ref="G20:I20"/>
    <mergeCell ref="G21:I21"/>
    <mergeCell ref="G22:I22"/>
    <mergeCell ref="G13:I13"/>
    <mergeCell ref="G14:I14"/>
    <mergeCell ref="G15:I15"/>
    <mergeCell ref="G16:I16"/>
    <mergeCell ref="G17:I17"/>
    <mergeCell ref="G8:I8"/>
    <mergeCell ref="G9:I9"/>
    <mergeCell ref="G10:I10"/>
    <mergeCell ref="G11:I11"/>
    <mergeCell ref="G12:I12"/>
    <mergeCell ref="G3:I3"/>
    <mergeCell ref="G4:I4"/>
    <mergeCell ref="G5:I5"/>
    <mergeCell ref="G6:I6"/>
    <mergeCell ref="G7:I7"/>
    <mergeCell ref="A1:E1"/>
    <mergeCell ref="N1:P1"/>
    <mergeCell ref="Q1:S1"/>
    <mergeCell ref="G1:I1"/>
    <mergeCell ref="G2:I2"/>
    <mergeCell ref="N4:Q4"/>
  </mergeCells>
  <conditionalFormatting sqref="E3:E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85" zoomScaleNormal="85" workbookViewId="0">
      <selection activeCell="F5" sqref="F5"/>
    </sheetView>
  </sheetViews>
  <sheetFormatPr defaultRowHeight="12.75" x14ac:dyDescent="0.2"/>
  <cols>
    <col min="1" max="1025" width="11.5703125"/>
  </cols>
  <sheetData>
    <row r="1" spans="1:3" ht="15" x14ac:dyDescent="0.25">
      <c r="A1" s="69" t="s">
        <v>51</v>
      </c>
      <c r="B1" s="70"/>
      <c r="C1" s="71"/>
    </row>
    <row r="2" spans="1:3" ht="15" x14ac:dyDescent="0.25">
      <c r="A2" s="41" t="s">
        <v>52</v>
      </c>
      <c r="B2" s="42" t="s">
        <v>53</v>
      </c>
      <c r="C2" s="44" t="s">
        <v>54</v>
      </c>
    </row>
    <row r="3" spans="1:3" ht="15" x14ac:dyDescent="0.25">
      <c r="A3" s="72" t="s">
        <v>11</v>
      </c>
      <c r="B3" s="73">
        <v>27</v>
      </c>
      <c r="C3" s="74" t="s">
        <v>12</v>
      </c>
    </row>
    <row r="4" spans="1:3" ht="15" x14ac:dyDescent="0.25">
      <c r="A4" s="72" t="s">
        <v>13</v>
      </c>
      <c r="B4" s="73">
        <v>16.3</v>
      </c>
      <c r="C4" s="74" t="s">
        <v>14</v>
      </c>
    </row>
    <row r="5" spans="1:3" ht="15" x14ac:dyDescent="0.25">
      <c r="A5" s="72" t="s">
        <v>15</v>
      </c>
      <c r="B5" s="73">
        <f>B3*B4</f>
        <v>440.1</v>
      </c>
      <c r="C5" s="74" t="s">
        <v>16</v>
      </c>
    </row>
    <row r="6" spans="1:3" ht="15" x14ac:dyDescent="0.25">
      <c r="A6" s="72" t="s">
        <v>17</v>
      </c>
      <c r="B6" s="73">
        <f>1.2/1000</f>
        <v>1.1999999999999999E-3</v>
      </c>
      <c r="C6" s="74" t="s">
        <v>18</v>
      </c>
    </row>
    <row r="7" spans="1:3" ht="15" x14ac:dyDescent="0.25">
      <c r="A7" s="72" t="s">
        <v>19</v>
      </c>
      <c r="B7" s="73">
        <v>-6.4999999999999997E-3</v>
      </c>
      <c r="C7" s="74" t="s">
        <v>20</v>
      </c>
    </row>
    <row r="8" spans="1:3" ht="15" x14ac:dyDescent="0.25">
      <c r="A8" s="72" t="s">
        <v>21</v>
      </c>
      <c r="B8" s="73">
        <v>16.399999999999999</v>
      </c>
      <c r="C8" s="74" t="s">
        <v>14</v>
      </c>
    </row>
    <row r="9" spans="1:3" ht="15.75" thickBot="1" x14ac:dyDescent="0.3">
      <c r="A9" s="75" t="s">
        <v>15</v>
      </c>
      <c r="B9" s="76">
        <f>B3*B8</f>
        <v>442.79999999999995</v>
      </c>
      <c r="C9" s="77" t="s">
        <v>16</v>
      </c>
    </row>
  </sheetData>
  <mergeCells count="1">
    <mergeCell ref="A1:C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9"/>
  <sheetViews>
    <sheetView workbookViewId="0">
      <selection activeCell="L17" sqref="L17"/>
    </sheetView>
  </sheetViews>
  <sheetFormatPr defaultRowHeight="12.75" x14ac:dyDescent="0.2"/>
  <cols>
    <col min="1" max="1" width="12.7109375" bestFit="1" customWidth="1"/>
    <col min="2" max="5" width="5.5703125" bestFit="1" customWidth="1"/>
    <col min="6" max="6" width="9.5703125" bestFit="1" customWidth="1"/>
    <col min="7" max="7" width="8" bestFit="1" customWidth="1"/>
    <col min="11" max="11" width="2.28515625" bestFit="1" customWidth="1"/>
  </cols>
  <sheetData>
    <row r="1" spans="1:16" ht="15.75" thickBot="1" x14ac:dyDescent="0.3">
      <c r="A1" s="31" t="s">
        <v>34</v>
      </c>
      <c r="B1" s="31"/>
      <c r="C1" s="31"/>
      <c r="D1" s="31"/>
      <c r="E1" s="31"/>
      <c r="F1" s="31"/>
      <c r="G1" s="31"/>
      <c r="H1" s="21"/>
      <c r="I1" s="30" t="s">
        <v>42</v>
      </c>
      <c r="J1" s="30"/>
      <c r="K1" s="30"/>
      <c r="L1" s="30"/>
      <c r="M1" s="30"/>
      <c r="O1" t="s">
        <v>26</v>
      </c>
      <c r="P1" s="5">
        <v>2.25</v>
      </c>
    </row>
    <row r="2" spans="1:16" ht="19.5" thickTop="1" x14ac:dyDescent="0.35">
      <c r="A2" s="22" t="s">
        <v>22</v>
      </c>
      <c r="B2" s="23" t="s">
        <v>35</v>
      </c>
      <c r="C2" s="24" t="s">
        <v>36</v>
      </c>
      <c r="D2" s="23" t="s">
        <v>37</v>
      </c>
      <c r="E2" s="23" t="s">
        <v>38</v>
      </c>
      <c r="F2" s="23" t="s">
        <v>39</v>
      </c>
      <c r="G2" s="25" t="s">
        <v>40</v>
      </c>
      <c r="I2" s="27" t="s">
        <v>41</v>
      </c>
      <c r="J2" s="7">
        <v>1.61</v>
      </c>
      <c r="K2" s="8" t="s">
        <v>25</v>
      </c>
      <c r="L2" s="29" t="s">
        <v>27</v>
      </c>
      <c r="M2" s="29"/>
    </row>
    <row r="3" spans="1:16" ht="15" x14ac:dyDescent="0.25">
      <c r="A3" s="13">
        <v>-60</v>
      </c>
      <c r="B3" s="11">
        <f t="shared" ref="B3:B28" si="0">(2.66-(0.0065)*(A3-28))*2</f>
        <v>6.4640000000000004</v>
      </c>
      <c r="C3" s="11">
        <f t="shared" ref="C3:C28" si="1">(2.35-(0.0065)*(A3-28))*2</f>
        <v>5.8440000000000003</v>
      </c>
      <c r="D3" s="11">
        <f>(Calcs!$B$5+Calcs!$B$6*(A3-28))/1000</f>
        <v>0.43999440000000006</v>
      </c>
      <c r="E3" s="11">
        <f>(D3*C3)</f>
        <v>2.5713272736000006</v>
      </c>
      <c r="F3" s="12">
        <f t="shared" ref="F3:F28" si="2">(B3+D3*$J$3)</f>
        <v>7.4539874000000008</v>
      </c>
      <c r="G3" s="14">
        <f>$J$2*D3+C3</f>
        <v>6.5523909840000005</v>
      </c>
      <c r="I3" s="26" t="s">
        <v>24</v>
      </c>
      <c r="J3" s="7">
        <v>2.25</v>
      </c>
      <c r="K3" s="8" t="s">
        <v>25</v>
      </c>
      <c r="L3" s="29" t="s">
        <v>23</v>
      </c>
      <c r="M3" s="29"/>
    </row>
    <row r="4" spans="1:16" ht="15" x14ac:dyDescent="0.25">
      <c r="A4" s="13">
        <f t="shared" ref="A4:A20" si="3">A3+5</f>
        <v>-55</v>
      </c>
      <c r="B4" s="11">
        <f t="shared" si="0"/>
        <v>6.399</v>
      </c>
      <c r="C4" s="11">
        <f t="shared" si="1"/>
        <v>5.7789999999999999</v>
      </c>
      <c r="D4" s="11">
        <f>(Calcs!$B$5+Calcs!$B$6*(A4-28))/1000</f>
        <v>0.44000040000000001</v>
      </c>
      <c r="E4" s="11">
        <f t="shared" ref="E4:E28" si="4">(D4*C4)</f>
        <v>2.5427623116000002</v>
      </c>
      <c r="F4" s="12">
        <f t="shared" si="2"/>
        <v>7.3890009000000001</v>
      </c>
      <c r="G4" s="14">
        <f t="shared" ref="G4:G28" si="5">$J$2*D4+C4</f>
        <v>6.487400644</v>
      </c>
      <c r="I4" s="30" t="s">
        <v>28</v>
      </c>
      <c r="J4" s="30"/>
      <c r="K4" s="30"/>
      <c r="L4" s="30"/>
      <c r="M4" s="30"/>
    </row>
    <row r="5" spans="1:16" ht="15" x14ac:dyDescent="0.25">
      <c r="A5" s="13">
        <f t="shared" si="3"/>
        <v>-50</v>
      </c>
      <c r="B5" s="11">
        <f t="shared" si="0"/>
        <v>6.3340000000000005</v>
      </c>
      <c r="C5" s="11">
        <f t="shared" si="1"/>
        <v>5.7140000000000004</v>
      </c>
      <c r="D5" s="11">
        <f>(Calcs!$B$5+Calcs!$B$6*(A5-28))/1000</f>
        <v>0.44000640000000002</v>
      </c>
      <c r="E5" s="11">
        <f t="shared" si="4"/>
        <v>2.5141965696000002</v>
      </c>
      <c r="F5" s="12">
        <f t="shared" si="2"/>
        <v>7.3240144000000003</v>
      </c>
      <c r="G5" s="14">
        <f t="shared" si="5"/>
        <v>6.4224103040000005</v>
      </c>
    </row>
    <row r="6" spans="1:16" ht="15" x14ac:dyDescent="0.25">
      <c r="A6" s="13">
        <f t="shared" si="3"/>
        <v>-45</v>
      </c>
      <c r="B6" s="11">
        <f t="shared" si="0"/>
        <v>6.2690000000000001</v>
      </c>
      <c r="C6" s="11">
        <f t="shared" si="1"/>
        <v>5.649</v>
      </c>
      <c r="D6" s="11">
        <f>(Calcs!$B$5+Calcs!$B$6*(A6-28))/1000</f>
        <v>0.44001240000000003</v>
      </c>
      <c r="E6" s="11">
        <f t="shared" si="4"/>
        <v>2.4856300475999999</v>
      </c>
      <c r="F6" s="12">
        <f t="shared" si="2"/>
        <v>7.2590279000000004</v>
      </c>
      <c r="G6" s="14">
        <f t="shared" si="5"/>
        <v>6.357419964</v>
      </c>
    </row>
    <row r="7" spans="1:16" ht="15" x14ac:dyDescent="0.25">
      <c r="A7" s="13">
        <f t="shared" si="3"/>
        <v>-40</v>
      </c>
      <c r="B7" s="11">
        <f t="shared" si="0"/>
        <v>6.2040000000000006</v>
      </c>
      <c r="C7" s="11">
        <f t="shared" si="1"/>
        <v>5.5840000000000005</v>
      </c>
      <c r="D7" s="11">
        <f>(Calcs!$B$5+Calcs!$B$6*(A7-28))/1000</f>
        <v>0.44001840000000003</v>
      </c>
      <c r="E7" s="11">
        <f t="shared" si="4"/>
        <v>2.4570627456000005</v>
      </c>
      <c r="F7" s="12">
        <f t="shared" si="2"/>
        <v>7.1940414000000006</v>
      </c>
      <c r="G7" s="14">
        <f t="shared" si="5"/>
        <v>6.2924296240000004</v>
      </c>
    </row>
    <row r="8" spans="1:16" ht="15" x14ac:dyDescent="0.25">
      <c r="A8" s="13">
        <f t="shared" si="3"/>
        <v>-35</v>
      </c>
      <c r="B8" s="11">
        <f t="shared" si="0"/>
        <v>6.1390000000000002</v>
      </c>
      <c r="C8" s="11">
        <f t="shared" si="1"/>
        <v>5.5190000000000001</v>
      </c>
      <c r="D8" s="11">
        <f>(Calcs!$B$5+Calcs!$B$6*(A8-28))/1000</f>
        <v>0.44002440000000004</v>
      </c>
      <c r="E8" s="11">
        <f t="shared" si="4"/>
        <v>2.4284946636000004</v>
      </c>
      <c r="F8" s="12">
        <f t="shared" si="2"/>
        <v>7.1290548999999999</v>
      </c>
      <c r="G8" s="14">
        <f t="shared" si="5"/>
        <v>6.2274392839999999</v>
      </c>
    </row>
    <row r="9" spans="1:16" ht="15" x14ac:dyDescent="0.25">
      <c r="A9" s="13">
        <f t="shared" si="3"/>
        <v>-30</v>
      </c>
      <c r="B9" s="11">
        <f t="shared" si="0"/>
        <v>6.0739999999999998</v>
      </c>
      <c r="C9" s="11">
        <f t="shared" si="1"/>
        <v>5.4540000000000006</v>
      </c>
      <c r="D9" s="11">
        <f>(Calcs!$B$5+Calcs!$B$6*(A9-28))/1000</f>
        <v>0.44003040000000004</v>
      </c>
      <c r="E9" s="11">
        <f t="shared" si="4"/>
        <v>2.3999258016000007</v>
      </c>
      <c r="F9" s="12">
        <f t="shared" si="2"/>
        <v>7.0640684</v>
      </c>
      <c r="G9" s="14">
        <f t="shared" si="5"/>
        <v>6.1624489440000012</v>
      </c>
    </row>
    <row r="10" spans="1:16" ht="15" x14ac:dyDescent="0.25">
      <c r="A10" s="13">
        <f t="shared" si="3"/>
        <v>-25</v>
      </c>
      <c r="B10" s="11">
        <f t="shared" si="0"/>
        <v>6.0090000000000003</v>
      </c>
      <c r="C10" s="11">
        <f t="shared" si="1"/>
        <v>5.3890000000000002</v>
      </c>
      <c r="D10" s="11">
        <f>(Calcs!$B$5+Calcs!$B$6*(A10-28))/1000</f>
        <v>0.44003639999999999</v>
      </c>
      <c r="E10" s="11">
        <f t="shared" si="4"/>
        <v>2.3713561595999999</v>
      </c>
      <c r="F10" s="12">
        <f t="shared" si="2"/>
        <v>6.9990819000000002</v>
      </c>
      <c r="G10" s="14">
        <f t="shared" si="5"/>
        <v>6.0974586039999998</v>
      </c>
    </row>
    <row r="11" spans="1:16" ht="15" x14ac:dyDescent="0.25">
      <c r="A11" s="13">
        <f t="shared" si="3"/>
        <v>-20</v>
      </c>
      <c r="B11" s="11">
        <f t="shared" si="0"/>
        <v>5.944</v>
      </c>
      <c r="C11" s="11">
        <f t="shared" si="1"/>
        <v>5.3239999999999998</v>
      </c>
      <c r="D11" s="11">
        <f>(Calcs!$B$5+Calcs!$B$6*(A11-28))/1000</f>
        <v>0.44004240000000006</v>
      </c>
      <c r="E11" s="11">
        <f t="shared" si="4"/>
        <v>2.3427857376000003</v>
      </c>
      <c r="F11" s="12">
        <f t="shared" si="2"/>
        <v>6.9340954000000004</v>
      </c>
      <c r="G11" s="14">
        <f t="shared" si="5"/>
        <v>6.0324682640000002</v>
      </c>
    </row>
    <row r="12" spans="1:16" ht="15" x14ac:dyDescent="0.25">
      <c r="A12" s="13">
        <f t="shared" si="3"/>
        <v>-15</v>
      </c>
      <c r="B12" s="11">
        <f t="shared" si="0"/>
        <v>5.8790000000000004</v>
      </c>
      <c r="C12" s="11">
        <f t="shared" si="1"/>
        <v>5.2590000000000003</v>
      </c>
      <c r="D12" s="11">
        <f>(Calcs!$B$5+Calcs!$B$6*(A12-28))/1000</f>
        <v>0.44004840000000001</v>
      </c>
      <c r="E12" s="11">
        <f t="shared" si="4"/>
        <v>2.3142145356000001</v>
      </c>
      <c r="F12" s="12">
        <f t="shared" si="2"/>
        <v>6.8691089000000005</v>
      </c>
      <c r="G12" s="14">
        <f t="shared" si="5"/>
        <v>5.9674779240000007</v>
      </c>
    </row>
    <row r="13" spans="1:16" ht="15" x14ac:dyDescent="0.25">
      <c r="A13" s="13">
        <f t="shared" si="3"/>
        <v>-10</v>
      </c>
      <c r="B13" s="11">
        <f t="shared" si="0"/>
        <v>5.8140000000000001</v>
      </c>
      <c r="C13" s="11">
        <f t="shared" si="1"/>
        <v>5.194</v>
      </c>
      <c r="D13" s="11">
        <f>(Calcs!$B$5+Calcs!$B$6*(A13-28))/1000</f>
        <v>0.44005440000000007</v>
      </c>
      <c r="E13" s="11">
        <f t="shared" si="4"/>
        <v>2.2856425536000002</v>
      </c>
      <c r="F13" s="12">
        <f t="shared" si="2"/>
        <v>6.8041224000000007</v>
      </c>
      <c r="G13" s="14">
        <f t="shared" si="5"/>
        <v>5.9024875840000002</v>
      </c>
    </row>
    <row r="14" spans="1:16" ht="15.75" thickBot="1" x14ac:dyDescent="0.3">
      <c r="A14" s="13">
        <f t="shared" si="3"/>
        <v>-5</v>
      </c>
      <c r="B14" s="11">
        <f t="shared" si="0"/>
        <v>5.7490000000000006</v>
      </c>
      <c r="C14" s="11">
        <f t="shared" si="1"/>
        <v>5.1290000000000004</v>
      </c>
      <c r="D14" s="11">
        <f>(Calcs!$B$5+Calcs!$B$6*(A14-28))/1000</f>
        <v>0.44006040000000002</v>
      </c>
      <c r="E14" s="11">
        <f t="shared" si="4"/>
        <v>2.2570697916000002</v>
      </c>
      <c r="F14" s="12">
        <f t="shared" si="2"/>
        <v>6.7391359000000008</v>
      </c>
      <c r="G14" s="14">
        <f t="shared" si="5"/>
        <v>5.8374972440000006</v>
      </c>
    </row>
    <row r="15" spans="1:16" ht="16.5" thickTop="1" thickBot="1" x14ac:dyDescent="0.3">
      <c r="A15" s="15">
        <f t="shared" si="3"/>
        <v>0</v>
      </c>
      <c r="B15" s="9">
        <f t="shared" si="0"/>
        <v>5.6840000000000002</v>
      </c>
      <c r="C15" s="9">
        <f t="shared" si="1"/>
        <v>5.0640000000000001</v>
      </c>
      <c r="D15" s="9">
        <f>(Calcs!$B$5+Calcs!$B$6*(A15-28))/1000</f>
        <v>0.44006640000000002</v>
      </c>
      <c r="E15" s="9">
        <f t="shared" si="4"/>
        <v>2.2284962496</v>
      </c>
      <c r="F15" s="10">
        <f t="shared" si="2"/>
        <v>6.6741494000000001</v>
      </c>
      <c r="G15" s="20">
        <f t="shared" si="5"/>
        <v>5.7725069040000001</v>
      </c>
    </row>
    <row r="16" spans="1:16" ht="15" x14ac:dyDescent="0.25">
      <c r="A16" s="13">
        <f t="shared" si="3"/>
        <v>5</v>
      </c>
      <c r="B16" s="11">
        <f t="shared" si="0"/>
        <v>5.6190000000000007</v>
      </c>
      <c r="C16" s="11">
        <f t="shared" si="1"/>
        <v>4.9990000000000006</v>
      </c>
      <c r="D16" s="11">
        <f>(Calcs!$B$5+Calcs!$B$6*(A16-28))/1000</f>
        <v>0.44007240000000003</v>
      </c>
      <c r="E16" s="11">
        <f t="shared" si="4"/>
        <v>2.1999219276000006</v>
      </c>
      <c r="F16" s="12">
        <f t="shared" si="2"/>
        <v>6.6091629000000012</v>
      </c>
      <c r="G16" s="14">
        <f t="shared" si="5"/>
        <v>5.7075165640000005</v>
      </c>
    </row>
    <row r="17" spans="1:7" ht="15" x14ac:dyDescent="0.25">
      <c r="A17" s="13">
        <f t="shared" si="3"/>
        <v>10</v>
      </c>
      <c r="B17" s="11">
        <f t="shared" si="0"/>
        <v>5.5540000000000003</v>
      </c>
      <c r="C17" s="11">
        <f t="shared" si="1"/>
        <v>4.9340000000000002</v>
      </c>
      <c r="D17" s="11">
        <f>(Calcs!$B$5+Calcs!$B$6*(A17-28))/1000</f>
        <v>0.44007840000000004</v>
      </c>
      <c r="E17" s="11">
        <f t="shared" si="4"/>
        <v>2.1713468256000001</v>
      </c>
      <c r="F17" s="12">
        <f t="shared" si="2"/>
        <v>6.5441764000000004</v>
      </c>
      <c r="G17" s="14">
        <f t="shared" si="5"/>
        <v>5.642526224</v>
      </c>
    </row>
    <row r="18" spans="1:7" ht="15" x14ac:dyDescent="0.25">
      <c r="A18" s="13">
        <f t="shared" si="3"/>
        <v>15</v>
      </c>
      <c r="B18" s="11">
        <f t="shared" si="0"/>
        <v>5.4889999999999999</v>
      </c>
      <c r="C18" s="11">
        <f t="shared" si="1"/>
        <v>4.8689999999999998</v>
      </c>
      <c r="D18" s="11">
        <f>(Calcs!$B$5+Calcs!$B$6*(A18-28))/1000</f>
        <v>0.44008440000000004</v>
      </c>
      <c r="E18" s="11">
        <f t="shared" si="4"/>
        <v>2.1427709436</v>
      </c>
      <c r="F18" s="12">
        <f t="shared" si="2"/>
        <v>6.4791898999999997</v>
      </c>
      <c r="G18" s="14">
        <f t="shared" si="5"/>
        <v>5.5775358839999996</v>
      </c>
    </row>
    <row r="19" spans="1:7" ht="15" x14ac:dyDescent="0.25">
      <c r="A19" s="13">
        <f t="shared" si="3"/>
        <v>20</v>
      </c>
      <c r="B19" s="11">
        <f t="shared" si="0"/>
        <v>5.4240000000000004</v>
      </c>
      <c r="C19" s="11">
        <f t="shared" si="1"/>
        <v>4.8040000000000003</v>
      </c>
      <c r="D19" s="11">
        <f>(Calcs!$B$5+Calcs!$B$6*(A19-28))/1000</f>
        <v>0.44009040000000005</v>
      </c>
      <c r="E19" s="11">
        <f t="shared" si="4"/>
        <v>2.1141942816000006</v>
      </c>
      <c r="F19" s="12">
        <f t="shared" si="2"/>
        <v>6.4142034000000008</v>
      </c>
      <c r="G19" s="14">
        <f t="shared" si="5"/>
        <v>5.512545544</v>
      </c>
    </row>
    <row r="20" spans="1:7" ht="15" x14ac:dyDescent="0.25">
      <c r="A20" s="13">
        <f t="shared" si="3"/>
        <v>25</v>
      </c>
      <c r="B20" s="11">
        <f t="shared" si="0"/>
        <v>5.359</v>
      </c>
      <c r="C20" s="11">
        <f t="shared" si="1"/>
        <v>4.7389999999999999</v>
      </c>
      <c r="D20" s="11">
        <f>(Calcs!$B$5+Calcs!$B$6*(A20-28))/1000</f>
        <v>0.4400964</v>
      </c>
      <c r="E20" s="11">
        <f t="shared" si="4"/>
        <v>2.0856168396000001</v>
      </c>
      <c r="F20" s="12">
        <f t="shared" si="2"/>
        <v>6.3492169000000001</v>
      </c>
      <c r="G20" s="14">
        <f t="shared" si="5"/>
        <v>5.4475552040000004</v>
      </c>
    </row>
    <row r="21" spans="1:7" ht="15" x14ac:dyDescent="0.25">
      <c r="A21" s="13">
        <v>28</v>
      </c>
      <c r="B21" s="11">
        <f t="shared" si="0"/>
        <v>5.32</v>
      </c>
      <c r="C21" s="11">
        <f t="shared" si="1"/>
        <v>4.7</v>
      </c>
      <c r="D21" s="11">
        <f>(Calcs!$B$5+Calcs!$B$6*(A21-28))/1000</f>
        <v>0.44010000000000005</v>
      </c>
      <c r="E21" s="11">
        <f t="shared" si="4"/>
        <v>2.0684700000000005</v>
      </c>
      <c r="F21" s="12">
        <f t="shared" si="2"/>
        <v>6.3102250000000009</v>
      </c>
      <c r="G21" s="14">
        <f t="shared" si="5"/>
        <v>5.4085610000000006</v>
      </c>
    </row>
    <row r="22" spans="1:7" ht="15" x14ac:dyDescent="0.25">
      <c r="A22" s="13">
        <v>30</v>
      </c>
      <c r="B22" s="11">
        <f t="shared" si="0"/>
        <v>5.2940000000000005</v>
      </c>
      <c r="C22" s="11">
        <f t="shared" si="1"/>
        <v>4.6740000000000004</v>
      </c>
      <c r="D22" s="11">
        <f>(Calcs!$B$5+Calcs!$B$6*(A22-28))/1000</f>
        <v>0.44010240000000006</v>
      </c>
      <c r="E22" s="11">
        <f t="shared" si="4"/>
        <v>2.0570386176000004</v>
      </c>
      <c r="F22" s="12">
        <f t="shared" si="2"/>
        <v>6.2842304000000002</v>
      </c>
      <c r="G22" s="14">
        <f t="shared" si="5"/>
        <v>5.3825648640000008</v>
      </c>
    </row>
    <row r="23" spans="1:7" ht="15" x14ac:dyDescent="0.25">
      <c r="A23" s="13">
        <v>35</v>
      </c>
      <c r="B23" s="11">
        <f t="shared" si="0"/>
        <v>5.2290000000000001</v>
      </c>
      <c r="C23" s="11">
        <f t="shared" si="1"/>
        <v>4.609</v>
      </c>
      <c r="D23" s="11">
        <f>(Calcs!$B$5+Calcs!$B$6*(A23-28))/1000</f>
        <v>0.44010840000000001</v>
      </c>
      <c r="E23" s="11">
        <f t="shared" si="4"/>
        <v>2.0284596156000001</v>
      </c>
      <c r="F23" s="12">
        <f t="shared" si="2"/>
        <v>6.2192439000000004</v>
      </c>
      <c r="G23" s="14">
        <f t="shared" si="5"/>
        <v>5.3175745240000003</v>
      </c>
    </row>
    <row r="24" spans="1:7" ht="15" x14ac:dyDescent="0.25">
      <c r="A24" s="13">
        <v>40</v>
      </c>
      <c r="B24" s="11">
        <f t="shared" si="0"/>
        <v>5.1640000000000006</v>
      </c>
      <c r="C24" s="11">
        <f t="shared" si="1"/>
        <v>4.5440000000000005</v>
      </c>
      <c r="D24" s="11">
        <f>(Calcs!$B$5+Calcs!$B$6*(A24-28))/1000</f>
        <v>0.44011440000000007</v>
      </c>
      <c r="E24" s="11">
        <f t="shared" si="4"/>
        <v>1.9998798336000005</v>
      </c>
      <c r="F24" s="12">
        <f t="shared" si="2"/>
        <v>6.1542574000000005</v>
      </c>
      <c r="G24" s="14">
        <f t="shared" si="5"/>
        <v>5.2525841840000007</v>
      </c>
    </row>
    <row r="25" spans="1:7" ht="15" x14ac:dyDescent="0.25">
      <c r="A25" s="13">
        <v>45</v>
      </c>
      <c r="B25" s="11">
        <f t="shared" si="0"/>
        <v>5.0990000000000002</v>
      </c>
      <c r="C25" s="11">
        <f t="shared" si="1"/>
        <v>4.4790000000000001</v>
      </c>
      <c r="D25" s="11">
        <f>(Calcs!$B$5+Calcs!$B$6*(A25-28))/1000</f>
        <v>0.44012040000000002</v>
      </c>
      <c r="E25" s="11">
        <f t="shared" si="4"/>
        <v>1.9712992716000002</v>
      </c>
      <c r="F25" s="12">
        <f t="shared" si="2"/>
        <v>6.0892709000000007</v>
      </c>
      <c r="G25" s="14">
        <f t="shared" si="5"/>
        <v>5.1875938440000002</v>
      </c>
    </row>
    <row r="26" spans="1:7" ht="15" x14ac:dyDescent="0.25">
      <c r="A26" s="13">
        <v>50</v>
      </c>
      <c r="B26" s="11">
        <f t="shared" si="0"/>
        <v>5.0340000000000007</v>
      </c>
      <c r="C26" s="11">
        <f t="shared" si="1"/>
        <v>4.4140000000000006</v>
      </c>
      <c r="D26" s="11">
        <f>(Calcs!$B$5+Calcs!$B$6*(A26-28))/1000</f>
        <v>0.44012640000000003</v>
      </c>
      <c r="E26" s="11">
        <f t="shared" si="4"/>
        <v>1.9427179296000003</v>
      </c>
      <c r="F26" s="12">
        <f t="shared" si="2"/>
        <v>6.0242844000000009</v>
      </c>
      <c r="G26" s="14">
        <f t="shared" si="5"/>
        <v>5.1226035040000006</v>
      </c>
    </row>
    <row r="27" spans="1:7" ht="15" x14ac:dyDescent="0.25">
      <c r="A27" s="13">
        <v>55</v>
      </c>
      <c r="B27" s="11">
        <f t="shared" si="0"/>
        <v>4.9690000000000003</v>
      </c>
      <c r="C27" s="11">
        <f t="shared" si="1"/>
        <v>4.3490000000000002</v>
      </c>
      <c r="D27" s="11">
        <f>(Calcs!$B$5+Calcs!$B$6*(A27-28))/1000</f>
        <v>0.44013240000000003</v>
      </c>
      <c r="E27" s="11">
        <f t="shared" si="4"/>
        <v>1.9141358076000001</v>
      </c>
      <c r="F27" s="12">
        <f t="shared" si="2"/>
        <v>5.9592979000000001</v>
      </c>
      <c r="G27" s="14">
        <f t="shared" si="5"/>
        <v>5.0576131640000002</v>
      </c>
    </row>
    <row r="28" spans="1:7" ht="15.75" thickBot="1" x14ac:dyDescent="0.3">
      <c r="A28" s="16">
        <v>60</v>
      </c>
      <c r="B28" s="17">
        <f t="shared" si="0"/>
        <v>4.9039999999999999</v>
      </c>
      <c r="C28" s="17">
        <f t="shared" si="1"/>
        <v>4.2839999999999998</v>
      </c>
      <c r="D28" s="17">
        <f>(Calcs!$B$5+Calcs!$B$6*(A28-28))/1000</f>
        <v>0.44013840000000004</v>
      </c>
      <c r="E28" s="17">
        <f t="shared" si="4"/>
        <v>1.8855529056</v>
      </c>
      <c r="F28" s="18">
        <f t="shared" si="2"/>
        <v>5.8943114000000003</v>
      </c>
      <c r="G28" s="19">
        <f t="shared" si="5"/>
        <v>4.9926228239999997</v>
      </c>
    </row>
    <row r="29" spans="1:7" ht="13.5" thickTop="1" x14ac:dyDescent="0.2"/>
  </sheetData>
  <mergeCells count="5">
    <mergeCell ref="A1:G1"/>
    <mergeCell ref="I1:M1"/>
    <mergeCell ref="L3:M3"/>
    <mergeCell ref="L2:M2"/>
    <mergeCell ref="I4:M4"/>
  </mergeCells>
  <pageMargins left="0.7" right="0.7" top="0.75" bottom="0.75" header="0.3" footer="0.3"/>
  <pageSetup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zoomScale="85" zoomScaleNormal="85" workbookViewId="0">
      <selection activeCell="D36" sqref="D36"/>
    </sheetView>
  </sheetViews>
  <sheetFormatPr defaultRowHeight="12.75" x14ac:dyDescent="0.2"/>
  <cols>
    <col min="1" max="1" width="9.7109375" bestFit="1" customWidth="1"/>
    <col min="2" max="2" width="12.42578125" bestFit="1" customWidth="1"/>
    <col min="3" max="3" width="14.140625" bestFit="1" customWidth="1"/>
    <col min="4" max="4" width="27.5703125" bestFit="1" customWidth="1"/>
    <col min="5" max="5" width="19.5703125" customWidth="1"/>
    <col min="6" max="6" width="21.28515625"/>
    <col min="7" max="7" width="7.42578125" bestFit="1" customWidth="1"/>
    <col min="8" max="8" width="5.5703125" bestFit="1" customWidth="1"/>
    <col min="9" max="9" width="10.85546875" bestFit="1" customWidth="1"/>
    <col min="10" max="10" width="12.5703125" bestFit="1" customWidth="1"/>
    <col min="11" max="11" width="10.5703125" bestFit="1" customWidth="1"/>
    <col min="12" max="12" width="12.5703125" bestFit="1" customWidth="1"/>
    <col min="13" max="1025" width="11.5703125"/>
  </cols>
  <sheetData>
    <row r="1" spans="1:12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</v>
      </c>
    </row>
    <row r="2" spans="1:12" x14ac:dyDescent="0.2">
      <c r="A2">
        <v>-60</v>
      </c>
      <c r="B2" s="3">
        <f t="shared" ref="B2:B27" si="0">2.31-(0.0065)*(A2-28)</f>
        <v>2.8820000000000001</v>
      </c>
      <c r="C2" s="4">
        <f t="shared" ref="C2:C27" si="1">2.35-(0.0065)*(A2-28)</f>
        <v>2.9220000000000002</v>
      </c>
      <c r="D2" s="3">
        <f t="shared" ref="D2:D27" si="2">C2*2</f>
        <v>5.8440000000000003</v>
      </c>
      <c r="E2">
        <f t="shared" ref="E2:E27" si="3">(2.66-(0.0065)*(A2-28))*2</f>
        <v>6.4640000000000004</v>
      </c>
      <c r="F2">
        <f t="shared" ref="F2:F27" si="4">(2.31-(0.0065)*(A2-28))*2</f>
        <v>5.7640000000000002</v>
      </c>
      <c r="I2">
        <f>Calcs!$B$5+Calcs!$B$6*(A2-28)</f>
        <v>439.99440000000004</v>
      </c>
      <c r="J2" s="5">
        <f t="shared" ref="J2:J27" si="5">I2*D2</f>
        <v>2571.3272736000004</v>
      </c>
      <c r="K2" s="6">
        <f>Calcs!$B$9+Calcs!$B$6*(A2-28)</f>
        <v>442.69439999999997</v>
      </c>
      <c r="L2" s="5">
        <f t="shared" ref="L2:L27" si="6">K2*F2</f>
        <v>2551.6905216</v>
      </c>
    </row>
    <row r="3" spans="1:12" x14ac:dyDescent="0.2">
      <c r="A3">
        <f t="shared" ref="A3:A19" si="7">A2+5</f>
        <v>-55</v>
      </c>
      <c r="B3" s="3">
        <f t="shared" si="0"/>
        <v>2.8494999999999999</v>
      </c>
      <c r="C3" s="3">
        <f t="shared" si="1"/>
        <v>2.8895</v>
      </c>
      <c r="D3" s="3">
        <f t="shared" si="2"/>
        <v>5.7789999999999999</v>
      </c>
      <c r="E3">
        <f t="shared" si="3"/>
        <v>6.399</v>
      </c>
      <c r="F3">
        <f t="shared" si="4"/>
        <v>5.6989999999999998</v>
      </c>
      <c r="G3">
        <v>2.84</v>
      </c>
      <c r="I3">
        <f>Calcs!$B$5+Calcs!$B$6*(A3-28)</f>
        <v>440.00040000000001</v>
      </c>
      <c r="J3" s="5">
        <f t="shared" si="5"/>
        <v>2542.7623116</v>
      </c>
      <c r="K3" s="6">
        <f>Calcs!$B$9+Calcs!$B$6*(A3-28)</f>
        <v>442.70039999999995</v>
      </c>
      <c r="L3" s="5">
        <f t="shared" si="6"/>
        <v>2522.9495795999997</v>
      </c>
    </row>
    <row r="4" spans="1:12" x14ac:dyDescent="0.2">
      <c r="A4">
        <f t="shared" si="7"/>
        <v>-50</v>
      </c>
      <c r="B4" s="3">
        <f t="shared" si="0"/>
        <v>2.8170000000000002</v>
      </c>
      <c r="C4" s="3">
        <f t="shared" si="1"/>
        <v>2.8570000000000002</v>
      </c>
      <c r="D4" s="3">
        <f t="shared" si="2"/>
        <v>5.7140000000000004</v>
      </c>
      <c r="E4">
        <f t="shared" si="3"/>
        <v>6.3340000000000005</v>
      </c>
      <c r="F4">
        <f t="shared" si="4"/>
        <v>5.6340000000000003</v>
      </c>
      <c r="I4">
        <f>Calcs!$B$5+Calcs!$B$6*(A4-28)</f>
        <v>440.00640000000004</v>
      </c>
      <c r="J4" s="5">
        <f t="shared" si="5"/>
        <v>2514.1965696000002</v>
      </c>
      <c r="K4" s="6">
        <f>Calcs!$B$9+Calcs!$B$6*(A4-28)</f>
        <v>442.70639999999997</v>
      </c>
      <c r="L4" s="5">
        <f t="shared" si="6"/>
        <v>2494.2078575999999</v>
      </c>
    </row>
    <row r="5" spans="1:12" x14ac:dyDescent="0.2">
      <c r="A5">
        <f t="shared" si="7"/>
        <v>-45</v>
      </c>
      <c r="B5" s="3">
        <f t="shared" si="0"/>
        <v>2.7845</v>
      </c>
      <c r="C5" s="3">
        <f t="shared" si="1"/>
        <v>2.8245</v>
      </c>
      <c r="D5" s="3">
        <f t="shared" si="2"/>
        <v>5.649</v>
      </c>
      <c r="E5">
        <f t="shared" si="3"/>
        <v>6.2690000000000001</v>
      </c>
      <c r="F5">
        <f t="shared" si="4"/>
        <v>5.569</v>
      </c>
      <c r="G5">
        <v>2.79</v>
      </c>
      <c r="I5">
        <f>Calcs!$B$5+Calcs!$B$6*(A5-28)</f>
        <v>440.01240000000001</v>
      </c>
      <c r="J5" s="5">
        <f t="shared" si="5"/>
        <v>2485.6300476000001</v>
      </c>
      <c r="K5" s="6">
        <f>Calcs!$B$9+Calcs!$B$6*(A5-28)</f>
        <v>442.71239999999995</v>
      </c>
      <c r="L5" s="5">
        <f t="shared" si="6"/>
        <v>2465.4653555999998</v>
      </c>
    </row>
    <row r="6" spans="1:12" x14ac:dyDescent="0.2">
      <c r="A6">
        <f t="shared" si="7"/>
        <v>-40</v>
      </c>
      <c r="B6" s="3">
        <f t="shared" si="0"/>
        <v>2.7520000000000002</v>
      </c>
      <c r="C6" s="3">
        <f t="shared" si="1"/>
        <v>2.7920000000000003</v>
      </c>
      <c r="D6" s="3">
        <f t="shared" si="2"/>
        <v>5.5840000000000005</v>
      </c>
      <c r="E6">
        <f t="shared" si="3"/>
        <v>6.2040000000000006</v>
      </c>
      <c r="F6">
        <f t="shared" si="4"/>
        <v>5.5040000000000004</v>
      </c>
      <c r="I6">
        <f>Calcs!$B$5+Calcs!$B$6*(A6-28)</f>
        <v>440.01840000000004</v>
      </c>
      <c r="J6" s="5">
        <f t="shared" si="5"/>
        <v>2457.0627456000007</v>
      </c>
      <c r="K6" s="6">
        <f>Calcs!$B$9+Calcs!$B$6*(A6-28)</f>
        <v>442.71839999999997</v>
      </c>
      <c r="L6" s="5">
        <f t="shared" si="6"/>
        <v>2436.7220735999999</v>
      </c>
    </row>
    <row r="7" spans="1:12" x14ac:dyDescent="0.2">
      <c r="A7">
        <f t="shared" si="7"/>
        <v>-35</v>
      </c>
      <c r="B7" s="3">
        <f t="shared" si="0"/>
        <v>2.7195</v>
      </c>
      <c r="C7" s="3">
        <f t="shared" si="1"/>
        <v>2.7595000000000001</v>
      </c>
      <c r="D7" s="3">
        <f t="shared" si="2"/>
        <v>5.5190000000000001</v>
      </c>
      <c r="E7">
        <f t="shared" si="3"/>
        <v>6.1390000000000002</v>
      </c>
      <c r="F7">
        <f t="shared" si="4"/>
        <v>5.4390000000000001</v>
      </c>
      <c r="G7">
        <v>2.72</v>
      </c>
      <c r="I7">
        <f>Calcs!$B$5+Calcs!$B$6*(A7-28)</f>
        <v>440.02440000000001</v>
      </c>
      <c r="J7" s="5">
        <f t="shared" si="5"/>
        <v>2428.4946636</v>
      </c>
      <c r="K7" s="6">
        <f>Calcs!$B$9+Calcs!$B$6*(A7-28)</f>
        <v>442.72439999999995</v>
      </c>
      <c r="L7" s="5">
        <f t="shared" si="6"/>
        <v>2407.9780115999997</v>
      </c>
    </row>
    <row r="8" spans="1:12" x14ac:dyDescent="0.2">
      <c r="A8">
        <f t="shared" si="7"/>
        <v>-30</v>
      </c>
      <c r="B8" s="3">
        <f t="shared" si="0"/>
        <v>2.6870000000000003</v>
      </c>
      <c r="C8" s="3">
        <f t="shared" si="1"/>
        <v>2.7270000000000003</v>
      </c>
      <c r="D8" s="3">
        <f t="shared" si="2"/>
        <v>5.4540000000000006</v>
      </c>
      <c r="E8">
        <f t="shared" si="3"/>
        <v>6.0739999999999998</v>
      </c>
      <c r="F8">
        <f t="shared" si="4"/>
        <v>5.3740000000000006</v>
      </c>
      <c r="I8">
        <f>Calcs!$B$5+Calcs!$B$6*(A8-28)</f>
        <v>440.03040000000004</v>
      </c>
      <c r="J8" s="5">
        <f t="shared" si="5"/>
        <v>2399.9258016000003</v>
      </c>
      <c r="K8" s="6">
        <f>Calcs!$B$9+Calcs!$B$6*(A8-28)</f>
        <v>442.73039999999997</v>
      </c>
      <c r="L8" s="5">
        <f t="shared" si="6"/>
        <v>2379.2331696000001</v>
      </c>
    </row>
    <row r="9" spans="1:12" x14ac:dyDescent="0.2">
      <c r="A9">
        <f t="shared" si="7"/>
        <v>-25</v>
      </c>
      <c r="B9" s="3">
        <f t="shared" si="0"/>
        <v>2.6545000000000001</v>
      </c>
      <c r="C9" s="3">
        <f t="shared" si="1"/>
        <v>2.6945000000000001</v>
      </c>
      <c r="D9" s="3">
        <f t="shared" si="2"/>
        <v>5.3890000000000002</v>
      </c>
      <c r="E9">
        <f t="shared" si="3"/>
        <v>6.0090000000000003</v>
      </c>
      <c r="F9">
        <f t="shared" si="4"/>
        <v>5.3090000000000002</v>
      </c>
      <c r="G9">
        <v>2.66</v>
      </c>
      <c r="I9">
        <f>Calcs!$B$5+Calcs!$B$6*(A9-28)</f>
        <v>440.03640000000001</v>
      </c>
      <c r="J9" s="5">
        <f t="shared" si="5"/>
        <v>2371.3561596</v>
      </c>
      <c r="K9" s="6">
        <f>Calcs!$B$9+Calcs!$B$6*(A9-28)</f>
        <v>442.73639999999995</v>
      </c>
      <c r="L9" s="5">
        <f t="shared" si="6"/>
        <v>2350.4875475999997</v>
      </c>
    </row>
    <row r="10" spans="1:12" x14ac:dyDescent="0.2">
      <c r="A10">
        <f t="shared" si="7"/>
        <v>-20</v>
      </c>
      <c r="B10" s="3">
        <f t="shared" si="0"/>
        <v>2.6219999999999999</v>
      </c>
      <c r="C10" s="3">
        <f t="shared" si="1"/>
        <v>2.6619999999999999</v>
      </c>
      <c r="D10" s="3">
        <f t="shared" si="2"/>
        <v>5.3239999999999998</v>
      </c>
      <c r="E10">
        <f t="shared" si="3"/>
        <v>5.944</v>
      </c>
      <c r="F10">
        <f t="shared" si="4"/>
        <v>5.2439999999999998</v>
      </c>
      <c r="I10">
        <f>Calcs!$B$5+Calcs!$B$6*(A10-28)</f>
        <v>440.04240000000004</v>
      </c>
      <c r="J10" s="5">
        <f t="shared" si="5"/>
        <v>2342.7857376000002</v>
      </c>
      <c r="K10" s="6">
        <f>Calcs!$B$9+Calcs!$B$6*(A10-28)</f>
        <v>442.74239999999998</v>
      </c>
      <c r="L10" s="5">
        <f t="shared" si="6"/>
        <v>2321.7411456</v>
      </c>
    </row>
    <row r="11" spans="1:12" x14ac:dyDescent="0.2">
      <c r="A11">
        <f t="shared" si="7"/>
        <v>-15</v>
      </c>
      <c r="B11" s="3">
        <f t="shared" si="0"/>
        <v>2.5895000000000001</v>
      </c>
      <c r="C11" s="3">
        <f t="shared" si="1"/>
        <v>2.6295000000000002</v>
      </c>
      <c r="D11" s="3">
        <f t="shared" si="2"/>
        <v>5.2590000000000003</v>
      </c>
      <c r="E11">
        <f t="shared" si="3"/>
        <v>5.8790000000000004</v>
      </c>
      <c r="F11">
        <f t="shared" si="4"/>
        <v>5.1790000000000003</v>
      </c>
      <c r="G11">
        <v>2.59</v>
      </c>
      <c r="I11">
        <f>Calcs!$B$5+Calcs!$B$6*(A11-28)</f>
        <v>440.04840000000002</v>
      </c>
      <c r="J11" s="5">
        <f t="shared" si="5"/>
        <v>2314.2145356000001</v>
      </c>
      <c r="K11" s="6">
        <f>Calcs!$B$9+Calcs!$B$6*(A11-28)</f>
        <v>442.74839999999995</v>
      </c>
      <c r="L11" s="5">
        <f t="shared" si="6"/>
        <v>2292.9939635999999</v>
      </c>
    </row>
    <row r="12" spans="1:12" x14ac:dyDescent="0.2">
      <c r="A12">
        <f t="shared" si="7"/>
        <v>-10</v>
      </c>
      <c r="B12" s="3">
        <f t="shared" si="0"/>
        <v>2.5569999999999999</v>
      </c>
      <c r="C12" s="3">
        <f t="shared" si="1"/>
        <v>2.597</v>
      </c>
      <c r="D12" s="3">
        <f t="shared" si="2"/>
        <v>5.194</v>
      </c>
      <c r="E12">
        <f t="shared" si="3"/>
        <v>5.8140000000000001</v>
      </c>
      <c r="F12">
        <f t="shared" si="4"/>
        <v>5.1139999999999999</v>
      </c>
      <c r="I12">
        <f>Calcs!$B$5+Calcs!$B$6*(A12-28)</f>
        <v>440.05440000000004</v>
      </c>
      <c r="J12" s="5">
        <f t="shared" si="5"/>
        <v>2285.6425536000002</v>
      </c>
      <c r="K12" s="6">
        <f>Calcs!$B$9+Calcs!$B$6*(A12-28)</f>
        <v>442.75439999999998</v>
      </c>
      <c r="L12" s="5">
        <f t="shared" si="6"/>
        <v>2264.2460016</v>
      </c>
    </row>
    <row r="13" spans="1:12" x14ac:dyDescent="0.2">
      <c r="A13">
        <f t="shared" si="7"/>
        <v>-5</v>
      </c>
      <c r="B13" s="3">
        <f t="shared" si="0"/>
        <v>2.5245000000000002</v>
      </c>
      <c r="C13" s="3">
        <f t="shared" si="1"/>
        <v>2.5645000000000002</v>
      </c>
      <c r="D13" s="3">
        <f t="shared" si="2"/>
        <v>5.1290000000000004</v>
      </c>
      <c r="E13">
        <f t="shared" si="3"/>
        <v>5.7490000000000006</v>
      </c>
      <c r="F13">
        <f t="shared" si="4"/>
        <v>5.0490000000000004</v>
      </c>
      <c r="G13">
        <v>2.5299999999999998</v>
      </c>
      <c r="I13">
        <f>Calcs!$B$5+Calcs!$B$6*(A13-28)</f>
        <v>440.06040000000002</v>
      </c>
      <c r="J13" s="5">
        <f t="shared" si="5"/>
        <v>2257.0697916000004</v>
      </c>
      <c r="K13" s="6">
        <f>Calcs!$B$9+Calcs!$B$6*(A13-28)</f>
        <v>442.76039999999995</v>
      </c>
      <c r="L13" s="5">
        <f t="shared" si="6"/>
        <v>2235.4972595999998</v>
      </c>
    </row>
    <row r="14" spans="1:12" x14ac:dyDescent="0.2">
      <c r="A14">
        <f t="shared" si="7"/>
        <v>0</v>
      </c>
      <c r="B14" s="3">
        <f t="shared" si="0"/>
        <v>2.492</v>
      </c>
      <c r="C14" s="3">
        <f t="shared" si="1"/>
        <v>2.532</v>
      </c>
      <c r="D14" s="3">
        <f t="shared" si="2"/>
        <v>5.0640000000000001</v>
      </c>
      <c r="E14">
        <f t="shared" si="3"/>
        <v>5.6840000000000002</v>
      </c>
      <c r="F14">
        <f t="shared" si="4"/>
        <v>4.984</v>
      </c>
      <c r="I14">
        <f>Calcs!$B$5+Calcs!$B$6*(A14-28)</f>
        <v>440.06640000000004</v>
      </c>
      <c r="J14" s="5">
        <f t="shared" si="5"/>
        <v>2228.4962496000003</v>
      </c>
      <c r="K14" s="6">
        <f>Calcs!$B$9+Calcs!$B$6*(A14-28)</f>
        <v>442.76639999999998</v>
      </c>
      <c r="L14" s="5">
        <f t="shared" si="6"/>
        <v>2206.7477375999997</v>
      </c>
    </row>
    <row r="15" spans="1:12" x14ac:dyDescent="0.2">
      <c r="A15">
        <f t="shared" si="7"/>
        <v>5</v>
      </c>
      <c r="B15" s="3">
        <f t="shared" si="0"/>
        <v>2.4595000000000002</v>
      </c>
      <c r="C15" s="3">
        <f t="shared" si="1"/>
        <v>2.4995000000000003</v>
      </c>
      <c r="D15" s="3">
        <f t="shared" si="2"/>
        <v>4.9990000000000006</v>
      </c>
      <c r="E15">
        <f t="shared" si="3"/>
        <v>5.6190000000000007</v>
      </c>
      <c r="F15">
        <f t="shared" si="4"/>
        <v>4.9190000000000005</v>
      </c>
      <c r="G15">
        <v>2.46</v>
      </c>
      <c r="I15">
        <f>Calcs!$B$5+Calcs!$B$6*(A15-28)</f>
        <v>440.07240000000002</v>
      </c>
      <c r="J15" s="5">
        <f t="shared" si="5"/>
        <v>2199.9219276000003</v>
      </c>
      <c r="K15" s="6">
        <f>Calcs!$B$9+Calcs!$B$6*(A15-28)</f>
        <v>442.77239999999995</v>
      </c>
      <c r="L15" s="5">
        <f t="shared" si="6"/>
        <v>2177.9974355999998</v>
      </c>
    </row>
    <row r="16" spans="1:12" x14ac:dyDescent="0.2">
      <c r="A16">
        <f t="shared" si="7"/>
        <v>10</v>
      </c>
      <c r="B16" s="3">
        <f t="shared" si="0"/>
        <v>2.427</v>
      </c>
      <c r="C16" s="3">
        <f t="shared" si="1"/>
        <v>2.4670000000000001</v>
      </c>
      <c r="D16" s="3">
        <f t="shared" si="2"/>
        <v>4.9340000000000002</v>
      </c>
      <c r="E16">
        <f t="shared" si="3"/>
        <v>5.5540000000000003</v>
      </c>
      <c r="F16">
        <f t="shared" si="4"/>
        <v>4.8540000000000001</v>
      </c>
      <c r="I16">
        <f>Calcs!$B$5+Calcs!$B$6*(A16-28)</f>
        <v>440.07840000000004</v>
      </c>
      <c r="J16" s="5">
        <f t="shared" si="5"/>
        <v>2171.3468256000001</v>
      </c>
      <c r="K16" s="6">
        <f>Calcs!$B$9+Calcs!$B$6*(A16-28)</f>
        <v>442.77839999999998</v>
      </c>
      <c r="L16" s="5">
        <f t="shared" si="6"/>
        <v>2149.2463536</v>
      </c>
    </row>
    <row r="17" spans="1:12" x14ac:dyDescent="0.2">
      <c r="A17">
        <f t="shared" si="7"/>
        <v>15</v>
      </c>
      <c r="B17" s="3">
        <f t="shared" si="0"/>
        <v>2.3944999999999999</v>
      </c>
      <c r="C17" s="3">
        <f t="shared" si="1"/>
        <v>2.4344999999999999</v>
      </c>
      <c r="D17" s="3">
        <f t="shared" si="2"/>
        <v>4.8689999999999998</v>
      </c>
      <c r="E17">
        <f t="shared" si="3"/>
        <v>5.4889999999999999</v>
      </c>
      <c r="F17">
        <f t="shared" si="4"/>
        <v>4.7889999999999997</v>
      </c>
      <c r="G17">
        <v>2.4</v>
      </c>
      <c r="I17">
        <f>Calcs!$B$5+Calcs!$B$6*(A17-28)</f>
        <v>440.08440000000002</v>
      </c>
      <c r="J17" s="5">
        <f t="shared" si="5"/>
        <v>2142.7709436</v>
      </c>
      <c r="K17" s="6">
        <f>Calcs!$B$9+Calcs!$B$6*(A17-28)</f>
        <v>442.78439999999995</v>
      </c>
      <c r="L17" s="5">
        <f t="shared" si="6"/>
        <v>2120.4944915999995</v>
      </c>
    </row>
    <row r="18" spans="1:12" x14ac:dyDescent="0.2">
      <c r="A18">
        <f t="shared" si="7"/>
        <v>20</v>
      </c>
      <c r="B18" s="3">
        <f t="shared" si="0"/>
        <v>2.3620000000000001</v>
      </c>
      <c r="C18" s="3">
        <f t="shared" si="1"/>
        <v>2.4020000000000001</v>
      </c>
      <c r="D18" s="3">
        <f t="shared" si="2"/>
        <v>4.8040000000000003</v>
      </c>
      <c r="E18">
        <f t="shared" si="3"/>
        <v>5.4240000000000004</v>
      </c>
      <c r="F18">
        <f t="shared" si="4"/>
        <v>4.7240000000000002</v>
      </c>
      <c r="I18">
        <f>Calcs!$B$5+Calcs!$B$6*(A18-28)</f>
        <v>440.09040000000005</v>
      </c>
      <c r="J18" s="5">
        <f t="shared" si="5"/>
        <v>2114.1942816000005</v>
      </c>
      <c r="K18" s="6">
        <f>Calcs!$B$9+Calcs!$B$6*(A18-28)</f>
        <v>442.79039999999998</v>
      </c>
      <c r="L18" s="5">
        <f t="shared" si="6"/>
        <v>2091.7418496</v>
      </c>
    </row>
    <row r="19" spans="1:12" x14ac:dyDescent="0.2">
      <c r="A19">
        <f t="shared" si="7"/>
        <v>25</v>
      </c>
      <c r="B19" s="3">
        <f t="shared" si="0"/>
        <v>2.3294999999999999</v>
      </c>
      <c r="C19" s="3">
        <f t="shared" si="1"/>
        <v>2.3694999999999999</v>
      </c>
      <c r="D19" s="3">
        <f t="shared" si="2"/>
        <v>4.7389999999999999</v>
      </c>
      <c r="E19">
        <f t="shared" si="3"/>
        <v>5.359</v>
      </c>
      <c r="F19">
        <f t="shared" si="4"/>
        <v>4.6589999999999998</v>
      </c>
      <c r="G19">
        <v>2.33</v>
      </c>
      <c r="I19">
        <f>Calcs!$B$5+Calcs!$B$6*(A19-28)</f>
        <v>440.09640000000002</v>
      </c>
      <c r="J19" s="5">
        <f t="shared" si="5"/>
        <v>2085.6168395999998</v>
      </c>
      <c r="K19" s="6">
        <f>Calcs!$B$9+Calcs!$B$6*(A19-28)</f>
        <v>442.79639999999995</v>
      </c>
      <c r="L19" s="5">
        <f t="shared" si="6"/>
        <v>2062.9884275999998</v>
      </c>
    </row>
    <row r="20" spans="1:12" x14ac:dyDescent="0.2">
      <c r="A20">
        <v>28</v>
      </c>
      <c r="B20" s="3">
        <f t="shared" si="0"/>
        <v>2.31</v>
      </c>
      <c r="C20" s="3">
        <f t="shared" si="1"/>
        <v>2.35</v>
      </c>
      <c r="D20" s="3">
        <f t="shared" si="2"/>
        <v>4.7</v>
      </c>
      <c r="E20">
        <f t="shared" si="3"/>
        <v>5.32</v>
      </c>
      <c r="F20">
        <f t="shared" si="4"/>
        <v>4.62</v>
      </c>
      <c r="I20">
        <f>Calcs!$B$5+Calcs!$B$6*(A20-28)</f>
        <v>440.1</v>
      </c>
      <c r="J20" s="5">
        <f t="shared" si="5"/>
        <v>2068.4700000000003</v>
      </c>
      <c r="K20" s="6">
        <f>Calcs!$B$9+Calcs!$B$6*(A20-28)</f>
        <v>442.79999999999995</v>
      </c>
      <c r="L20" s="5">
        <f t="shared" si="6"/>
        <v>2045.7359999999999</v>
      </c>
    </row>
    <row r="21" spans="1:12" x14ac:dyDescent="0.2">
      <c r="A21">
        <v>30</v>
      </c>
      <c r="B21" s="3">
        <f t="shared" si="0"/>
        <v>2.2970000000000002</v>
      </c>
      <c r="C21" s="3">
        <f t="shared" si="1"/>
        <v>2.3370000000000002</v>
      </c>
      <c r="D21" s="3">
        <f t="shared" si="2"/>
        <v>4.6740000000000004</v>
      </c>
      <c r="E21">
        <f t="shared" si="3"/>
        <v>5.2940000000000005</v>
      </c>
      <c r="F21">
        <f t="shared" si="4"/>
        <v>4.5940000000000003</v>
      </c>
      <c r="I21">
        <f>Calcs!$B$5+Calcs!$B$6*(A21-28)</f>
        <v>440.10240000000005</v>
      </c>
      <c r="J21" s="5">
        <f t="shared" si="5"/>
        <v>2057.0386176000002</v>
      </c>
      <c r="K21" s="6">
        <f>Calcs!$B$9+Calcs!$B$6*(A21-28)</f>
        <v>442.80239999999998</v>
      </c>
      <c r="L21" s="5">
        <f t="shared" si="6"/>
        <v>2034.2342255999999</v>
      </c>
    </row>
    <row r="22" spans="1:12" x14ac:dyDescent="0.2">
      <c r="A22">
        <v>35</v>
      </c>
      <c r="B22" s="3">
        <f t="shared" si="0"/>
        <v>2.2645</v>
      </c>
      <c r="C22" s="3">
        <f t="shared" si="1"/>
        <v>2.3045</v>
      </c>
      <c r="D22" s="3">
        <f t="shared" si="2"/>
        <v>4.609</v>
      </c>
      <c r="E22">
        <f t="shared" si="3"/>
        <v>5.2290000000000001</v>
      </c>
      <c r="F22">
        <f t="shared" si="4"/>
        <v>4.5289999999999999</v>
      </c>
      <c r="G22">
        <v>2.27</v>
      </c>
      <c r="I22">
        <f>Calcs!$B$5+Calcs!$B$6*(A22-28)</f>
        <v>440.10840000000002</v>
      </c>
      <c r="J22" s="5">
        <f t="shared" si="5"/>
        <v>2028.4596156</v>
      </c>
      <c r="K22" s="6">
        <f>Calcs!$B$9+Calcs!$B$6*(A22-28)</f>
        <v>442.80839999999995</v>
      </c>
      <c r="L22" s="5">
        <f t="shared" si="6"/>
        <v>2005.4792435999998</v>
      </c>
    </row>
    <row r="23" spans="1:12" x14ac:dyDescent="0.2">
      <c r="A23">
        <v>40</v>
      </c>
      <c r="B23" s="3">
        <f t="shared" si="0"/>
        <v>2.2320000000000002</v>
      </c>
      <c r="C23" s="3">
        <f t="shared" si="1"/>
        <v>2.2720000000000002</v>
      </c>
      <c r="D23" s="3">
        <f t="shared" si="2"/>
        <v>4.5440000000000005</v>
      </c>
      <c r="E23">
        <f t="shared" si="3"/>
        <v>5.1640000000000006</v>
      </c>
      <c r="F23">
        <f t="shared" si="4"/>
        <v>4.4640000000000004</v>
      </c>
      <c r="I23">
        <f>Calcs!$B$5+Calcs!$B$6*(A23-28)</f>
        <v>440.11440000000005</v>
      </c>
      <c r="J23" s="5">
        <f t="shared" si="5"/>
        <v>1999.8798336000004</v>
      </c>
      <c r="K23" s="6">
        <f>Calcs!$B$9+Calcs!$B$6*(A23-28)</f>
        <v>442.81439999999998</v>
      </c>
      <c r="L23" s="5">
        <f t="shared" si="6"/>
        <v>1976.7234816</v>
      </c>
    </row>
    <row r="24" spans="1:12" x14ac:dyDescent="0.2">
      <c r="A24">
        <v>45</v>
      </c>
      <c r="B24" s="3">
        <f t="shared" si="0"/>
        <v>2.1995</v>
      </c>
      <c r="C24" s="3">
        <f t="shared" si="1"/>
        <v>2.2395</v>
      </c>
      <c r="D24" s="3">
        <f t="shared" si="2"/>
        <v>4.4790000000000001</v>
      </c>
      <c r="E24">
        <f t="shared" si="3"/>
        <v>5.0990000000000002</v>
      </c>
      <c r="F24">
        <f t="shared" si="4"/>
        <v>4.399</v>
      </c>
      <c r="I24">
        <f>Calcs!$B$5+Calcs!$B$6*(A24-28)</f>
        <v>440.12040000000002</v>
      </c>
      <c r="J24" s="5">
        <f t="shared" si="5"/>
        <v>1971.2992716000001</v>
      </c>
      <c r="K24" s="6">
        <f>Calcs!$B$9+Calcs!$B$6*(A24-28)</f>
        <v>442.82039999999995</v>
      </c>
      <c r="L24" s="5">
        <f t="shared" si="6"/>
        <v>1947.9669395999997</v>
      </c>
    </row>
    <row r="25" spans="1:12" x14ac:dyDescent="0.2">
      <c r="A25">
        <v>50</v>
      </c>
      <c r="B25" s="3">
        <f t="shared" si="0"/>
        <v>2.1670000000000003</v>
      </c>
      <c r="C25" s="3">
        <f t="shared" si="1"/>
        <v>2.2070000000000003</v>
      </c>
      <c r="D25" s="3">
        <f t="shared" si="2"/>
        <v>4.4140000000000006</v>
      </c>
      <c r="E25">
        <f t="shared" si="3"/>
        <v>5.0340000000000007</v>
      </c>
      <c r="F25">
        <f t="shared" si="4"/>
        <v>4.3340000000000005</v>
      </c>
      <c r="I25">
        <f>Calcs!$B$5+Calcs!$B$6*(A25-28)</f>
        <v>440.12640000000005</v>
      </c>
      <c r="J25" s="5">
        <f t="shared" si="5"/>
        <v>1942.7179296000004</v>
      </c>
      <c r="K25" s="6">
        <f>Calcs!$B$9+Calcs!$B$6*(A25-28)</f>
        <v>442.82639999999998</v>
      </c>
      <c r="L25" s="5">
        <f t="shared" si="6"/>
        <v>1919.2096176000002</v>
      </c>
    </row>
    <row r="26" spans="1:12" x14ac:dyDescent="0.2">
      <c r="A26">
        <v>55</v>
      </c>
      <c r="B26" s="3">
        <f t="shared" si="0"/>
        <v>2.1345000000000001</v>
      </c>
      <c r="C26" s="3">
        <f t="shared" si="1"/>
        <v>2.1745000000000001</v>
      </c>
      <c r="D26" s="3">
        <f t="shared" si="2"/>
        <v>4.3490000000000002</v>
      </c>
      <c r="E26">
        <f t="shared" si="3"/>
        <v>4.9690000000000003</v>
      </c>
      <c r="F26">
        <f t="shared" si="4"/>
        <v>4.2690000000000001</v>
      </c>
      <c r="I26">
        <f>Calcs!$B$5+Calcs!$B$6*(A26-28)</f>
        <v>440.13240000000002</v>
      </c>
      <c r="J26" s="5">
        <f t="shared" si="5"/>
        <v>1914.1358076000001</v>
      </c>
      <c r="K26" s="6">
        <f>Calcs!$B$9+Calcs!$B$6*(A26-28)</f>
        <v>442.83239999999995</v>
      </c>
      <c r="L26" s="5">
        <f t="shared" si="6"/>
        <v>1890.4515155999998</v>
      </c>
    </row>
    <row r="27" spans="1:12" x14ac:dyDescent="0.2">
      <c r="A27">
        <v>60</v>
      </c>
      <c r="B27" s="3">
        <f t="shared" si="0"/>
        <v>2.1019999999999999</v>
      </c>
      <c r="C27" s="3">
        <f t="shared" si="1"/>
        <v>2.1419999999999999</v>
      </c>
      <c r="D27" s="3">
        <f t="shared" si="2"/>
        <v>4.2839999999999998</v>
      </c>
      <c r="E27">
        <f t="shared" si="3"/>
        <v>4.9039999999999999</v>
      </c>
      <c r="F27">
        <f t="shared" si="4"/>
        <v>4.2039999999999997</v>
      </c>
      <c r="I27">
        <f>Calcs!$B$5+Calcs!$B$6*(A27-28)</f>
        <v>440.13840000000005</v>
      </c>
      <c r="J27" s="5">
        <f t="shared" si="5"/>
        <v>1885.5529056</v>
      </c>
      <c r="K27" s="6">
        <f>Calcs!$B$9+Calcs!$B$6*(A27-28)</f>
        <v>442.83839999999998</v>
      </c>
      <c r="L27" s="5">
        <f t="shared" si="6"/>
        <v>1861.6926335999997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Fox-1 Panel</vt:lpstr>
      <vt:lpstr>Calcs</vt:lpstr>
      <vt:lpstr>Engineering Testing Models</vt:lpstr>
      <vt:lpstr>Solar Cell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</dc:creator>
  <cp:lastModifiedBy>Bryce</cp:lastModifiedBy>
  <cp:revision>0</cp:revision>
  <cp:lastPrinted>2014-04-05T17:47:31Z</cp:lastPrinted>
  <dcterms:created xsi:type="dcterms:W3CDTF">2013-10-03T21:57:45Z</dcterms:created>
  <dcterms:modified xsi:type="dcterms:W3CDTF">2016-09-03T19:31:33Z</dcterms:modified>
</cp:coreProperties>
</file>