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hidePivotFieldList="1" defaultThemeVersion="202300"/>
  <mc:AlternateContent xmlns:mc="http://schemas.openxmlformats.org/markup-compatibility/2006">
    <mc:Choice Requires="x15">
      <x15ac:absPath xmlns:x15ac="http://schemas.microsoft.com/office/spreadsheetml/2010/11/ac" url="/Users/farazsamie/Downloads/"/>
    </mc:Choice>
  </mc:AlternateContent>
  <xr:revisionPtr revIDLastSave="0" documentId="13_ncr:1_{451D3C4E-1352-9645-AEBB-BDC16D62C370}" xr6:coauthVersionLast="47" xr6:coauthVersionMax="47" xr10:uidLastSave="{00000000-0000-0000-0000-000000000000}"/>
  <bookViews>
    <workbookView xWindow="0" yWindow="520" windowWidth="28800" windowHeight="15700" activeTab="4" xr2:uid="{6BF71E4B-F8C4-0D42-9FA2-75B5227EB751}"/>
  </bookViews>
  <sheets>
    <sheet name="International Data" sheetId="1" r:id="rId1"/>
    <sheet name="U.S Forecasts" sheetId="5" r:id="rId2"/>
    <sheet name="International Forecast" sheetId="7" r:id="rId3"/>
    <sheet name="U.S Tariffs" sheetId="10" r:id="rId4"/>
    <sheet name="Africa" sheetId="11" r:id="rId5"/>
    <sheet name="Africa Forecasts" sheetId="8" r:id="rId6"/>
    <sheet name="China Forecast" sheetId="6" r:id="rId7"/>
    <sheet name="Africa Scores" sheetId="2" r:id="rId8"/>
    <sheet name="Africa Qualitative" sheetId="3" r:id="rId9"/>
    <sheet name="Africa Quantitative" sheetId="4" r:id="rId10"/>
    <sheet name="Plaza Accord" sheetId="9" r:id="rId11"/>
  </sheets>
  <calcPr calcId="191029"/>
  <pivotCaches>
    <pivotCache cacheId="0" r:id="rId1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9" i="7" l="1"/>
  <c r="U10" i="7"/>
  <c r="X9" i="7"/>
  <c r="X10" i="7" s="1"/>
  <c r="W9" i="7"/>
  <c r="W10" i="7" s="1"/>
  <c r="V9" i="7"/>
  <c r="V10" i="7" s="1"/>
  <c r="U9" i="7"/>
  <c r="T9" i="7"/>
  <c r="T10" i="7" s="1"/>
  <c r="S9" i="7"/>
  <c r="P9" i="7"/>
  <c r="P10" i="7" s="1"/>
  <c r="O9" i="7"/>
  <c r="O10" i="7" s="1"/>
  <c r="N9" i="7"/>
  <c r="N10" i="7" s="1"/>
  <c r="M9" i="7"/>
  <c r="M10" i="7" s="1"/>
  <c r="L9" i="7"/>
  <c r="L10" i="7" s="1"/>
  <c r="H10" i="7"/>
  <c r="G10" i="7"/>
  <c r="F10" i="7"/>
  <c r="E10" i="7"/>
  <c r="H9" i="7"/>
  <c r="G9" i="7"/>
  <c r="F9" i="7"/>
  <c r="E9" i="7"/>
  <c r="D9" i="7"/>
  <c r="C9" i="7"/>
  <c r="D10" i="7" s="1"/>
  <c r="AF46" i="7"/>
  <c r="AE46" i="7"/>
  <c r="AD46" i="7"/>
  <c r="AC46" i="7"/>
  <c r="AB46" i="7"/>
  <c r="AA46" i="7"/>
  <c r="AF37" i="7"/>
  <c r="AE37" i="7"/>
  <c r="AD37" i="7"/>
  <c r="AC37" i="7"/>
  <c r="AB37" i="7"/>
  <c r="AA37" i="7"/>
  <c r="AF19" i="7"/>
  <c r="AE19" i="7"/>
  <c r="AD19" i="7"/>
  <c r="AC19" i="7"/>
  <c r="AB19" i="7"/>
  <c r="AA19" i="7"/>
  <c r="AF10" i="7"/>
  <c r="AE10" i="7"/>
  <c r="AD10" i="7"/>
  <c r="AC10" i="7"/>
  <c r="AB10" i="7"/>
  <c r="AA10" i="7"/>
  <c r="AY76" i="8"/>
  <c r="BD86" i="8"/>
  <c r="BC86" i="8"/>
  <c r="BB86" i="8"/>
  <c r="BA86" i="8"/>
  <c r="AZ86" i="8"/>
  <c r="AY86" i="8"/>
  <c r="BD76" i="8"/>
  <c r="BC76" i="8"/>
  <c r="BB76" i="8"/>
  <c r="BA76" i="8"/>
  <c r="AZ76" i="8"/>
  <c r="BD66" i="8"/>
  <c r="BC66" i="8"/>
  <c r="BB66" i="8"/>
  <c r="BA66" i="8"/>
  <c r="AZ66" i="8"/>
  <c r="AY66" i="8"/>
  <c r="BD24" i="8"/>
  <c r="BC24" i="8"/>
  <c r="BB24" i="8"/>
  <c r="BA24" i="8"/>
  <c r="AZ24" i="8"/>
  <c r="AY24" i="8"/>
  <c r="BD14" i="8"/>
  <c r="BC14" i="8"/>
  <c r="BB14" i="8"/>
  <c r="BA14" i="8"/>
  <c r="AZ14" i="8"/>
  <c r="AY14" i="8"/>
  <c r="BD4" i="8"/>
  <c r="BC4" i="8"/>
  <c r="BB4" i="8"/>
  <c r="BA4" i="8"/>
  <c r="AZ4" i="8"/>
  <c r="AY4" i="8"/>
  <c r="C66" i="8"/>
  <c r="D66" i="8"/>
  <c r="E66" i="8"/>
  <c r="F66" i="8"/>
  <c r="G66" i="8"/>
  <c r="H66" i="8"/>
  <c r="K66" i="8"/>
  <c r="L66" i="8"/>
  <c r="M66" i="8"/>
  <c r="N66" i="8"/>
  <c r="O66" i="8"/>
  <c r="P66" i="8"/>
  <c r="S66" i="8"/>
  <c r="T66" i="8"/>
  <c r="U66" i="8"/>
  <c r="V66" i="8"/>
  <c r="W66" i="8"/>
  <c r="X66" i="8"/>
  <c r="AA66" i="8"/>
  <c r="AB66" i="8"/>
  <c r="AC66" i="8"/>
  <c r="AD66" i="8"/>
  <c r="AE66" i="8"/>
  <c r="AF66" i="8"/>
  <c r="AI66" i="8"/>
  <c r="AJ66" i="8"/>
  <c r="AK66" i="8"/>
  <c r="AL66" i="8"/>
  <c r="AM66" i="8"/>
  <c r="AN66" i="8"/>
  <c r="AQ66" i="8"/>
  <c r="AR66" i="8"/>
  <c r="AS66" i="8"/>
  <c r="AT66" i="8"/>
  <c r="AU66" i="8"/>
  <c r="AV66" i="8"/>
  <c r="C76" i="8"/>
  <c r="D76" i="8"/>
  <c r="E76" i="8"/>
  <c r="F76" i="8"/>
  <c r="G76" i="8"/>
  <c r="H76" i="8"/>
  <c r="K76" i="8"/>
  <c r="L76" i="8"/>
  <c r="M76" i="8"/>
  <c r="N76" i="8"/>
  <c r="O76" i="8"/>
  <c r="P76" i="8"/>
  <c r="S76" i="8"/>
  <c r="T76" i="8"/>
  <c r="U76" i="8"/>
  <c r="V76" i="8"/>
  <c r="W76" i="8"/>
  <c r="X76" i="8"/>
  <c r="AA76" i="8"/>
  <c r="AB76" i="8"/>
  <c r="AC76" i="8"/>
  <c r="AD76" i="8"/>
  <c r="AE76" i="8"/>
  <c r="AF76" i="8"/>
  <c r="AI76" i="8"/>
  <c r="AJ76" i="8"/>
  <c r="AK76" i="8"/>
  <c r="AL76" i="8"/>
  <c r="AM76" i="8"/>
  <c r="AN76" i="8"/>
  <c r="AQ76" i="8"/>
  <c r="AR76" i="8"/>
  <c r="AS76" i="8"/>
  <c r="AT76" i="8"/>
  <c r="AU76" i="8"/>
  <c r="AV76" i="8"/>
  <c r="C86" i="8"/>
  <c r="D86" i="8"/>
  <c r="E86" i="8"/>
  <c r="F86" i="8"/>
  <c r="G86" i="8"/>
  <c r="H86" i="8"/>
  <c r="K86" i="8"/>
  <c r="L86" i="8"/>
  <c r="M86" i="8"/>
  <c r="N86" i="8"/>
  <c r="O86" i="8"/>
  <c r="P86" i="8"/>
  <c r="S86" i="8"/>
  <c r="T86" i="8"/>
  <c r="U86" i="8"/>
  <c r="V86" i="8"/>
  <c r="W86" i="8"/>
  <c r="X86" i="8"/>
  <c r="AA86" i="8"/>
  <c r="AB86" i="8"/>
  <c r="AC86" i="8"/>
  <c r="AD86" i="8"/>
  <c r="AE86" i="8"/>
  <c r="AF86" i="8"/>
  <c r="AI86" i="8"/>
  <c r="AJ86" i="8"/>
  <c r="AK86" i="8"/>
  <c r="AL86" i="8"/>
  <c r="AM86" i="8"/>
  <c r="AN86" i="8"/>
  <c r="AQ86" i="8"/>
  <c r="AR86" i="8"/>
  <c r="AS86" i="8"/>
  <c r="AT86" i="8"/>
  <c r="AU86" i="8"/>
  <c r="AV86" i="8"/>
  <c r="C35" i="8"/>
  <c r="D35" i="8"/>
  <c r="E35" i="8"/>
  <c r="F35" i="8"/>
  <c r="G35" i="8"/>
  <c r="H35" i="8"/>
  <c r="K35" i="8"/>
  <c r="L35" i="8"/>
  <c r="M35" i="8"/>
  <c r="N35" i="8"/>
  <c r="O35" i="8"/>
  <c r="P35" i="8"/>
  <c r="S35" i="8"/>
  <c r="T35" i="8"/>
  <c r="U35" i="8"/>
  <c r="V35" i="8"/>
  <c r="W35" i="8"/>
  <c r="X35" i="8"/>
  <c r="AA35" i="8"/>
  <c r="AB35" i="8"/>
  <c r="AC35" i="8"/>
  <c r="AD35" i="8"/>
  <c r="AE35" i="8"/>
  <c r="AF35" i="8"/>
  <c r="AI35" i="8"/>
  <c r="AJ35" i="8"/>
  <c r="AK35" i="8"/>
  <c r="AL35" i="8"/>
  <c r="AM35" i="8"/>
  <c r="AN35" i="8"/>
  <c r="AQ35" i="8"/>
  <c r="AR35" i="8"/>
  <c r="AS35" i="8"/>
  <c r="AT35" i="8"/>
  <c r="AU35" i="8"/>
  <c r="AV35" i="8"/>
  <c r="C45" i="8"/>
  <c r="D45" i="8"/>
  <c r="E45" i="8"/>
  <c r="F45" i="8"/>
  <c r="G45" i="8"/>
  <c r="H45" i="8"/>
  <c r="K45" i="8"/>
  <c r="L45" i="8"/>
  <c r="M45" i="8"/>
  <c r="N45" i="8"/>
  <c r="O45" i="8"/>
  <c r="P45" i="8"/>
  <c r="S45" i="8"/>
  <c r="T45" i="8"/>
  <c r="U45" i="8"/>
  <c r="V45" i="8"/>
  <c r="W45" i="8"/>
  <c r="X45" i="8"/>
  <c r="AA45" i="8"/>
  <c r="AB45" i="8"/>
  <c r="AC45" i="8"/>
  <c r="AD45" i="8"/>
  <c r="AE45" i="8"/>
  <c r="AF45" i="8"/>
  <c r="AI45" i="8"/>
  <c r="AJ45" i="8"/>
  <c r="AK45" i="8"/>
  <c r="AL45" i="8"/>
  <c r="AM45" i="8"/>
  <c r="AN45" i="8"/>
  <c r="AQ45" i="8"/>
  <c r="AR45" i="8"/>
  <c r="AS45" i="8"/>
  <c r="AT45" i="8"/>
  <c r="AU45" i="8"/>
  <c r="AV45" i="8"/>
  <c r="C55" i="8"/>
  <c r="D55" i="8"/>
  <c r="E55" i="8"/>
  <c r="F55" i="8"/>
  <c r="G55" i="8"/>
  <c r="H55" i="8"/>
  <c r="K55" i="8"/>
  <c r="L55" i="8"/>
  <c r="M55" i="8"/>
  <c r="N55" i="8"/>
  <c r="O55" i="8"/>
  <c r="P55" i="8"/>
  <c r="S55" i="8"/>
  <c r="T55" i="8"/>
  <c r="U55" i="8"/>
  <c r="V55" i="8"/>
  <c r="W55" i="8"/>
  <c r="X55" i="8"/>
  <c r="AA55" i="8"/>
  <c r="AB55" i="8"/>
  <c r="AC55" i="8"/>
  <c r="AD55" i="8"/>
  <c r="AE55" i="8"/>
  <c r="AF55" i="8"/>
  <c r="AI55" i="8"/>
  <c r="AJ55" i="8"/>
  <c r="AK55" i="8"/>
  <c r="AL55" i="8"/>
  <c r="AM55" i="8"/>
  <c r="AN55" i="8"/>
  <c r="AQ55" i="8"/>
  <c r="AR55" i="8"/>
  <c r="AS55" i="8"/>
  <c r="AT55" i="8"/>
  <c r="AU55" i="8"/>
  <c r="AV55" i="8"/>
  <c r="AV24" i="8"/>
  <c r="AU24" i="8"/>
  <c r="AT24" i="8"/>
  <c r="AS24" i="8"/>
  <c r="AR24" i="8"/>
  <c r="AQ24" i="8"/>
  <c r="AV14" i="8"/>
  <c r="AU14" i="8"/>
  <c r="AT14" i="8"/>
  <c r="AS14" i="8"/>
  <c r="AR14" i="8"/>
  <c r="AQ14" i="8"/>
  <c r="AV4" i="8"/>
  <c r="AU4" i="8"/>
  <c r="AT4" i="8"/>
  <c r="AS4" i="8"/>
  <c r="AR4" i="8"/>
  <c r="AQ4" i="8"/>
  <c r="AN24" i="8"/>
  <c r="AM24" i="8"/>
  <c r="AL24" i="8"/>
  <c r="AK24" i="8"/>
  <c r="AJ24" i="8"/>
  <c r="AI24" i="8"/>
  <c r="AF24" i="8"/>
  <c r="AE24" i="8"/>
  <c r="AD24" i="8"/>
  <c r="AC24" i="8"/>
  <c r="AB24" i="8"/>
  <c r="AA24" i="8"/>
  <c r="AN14" i="8"/>
  <c r="AM14" i="8"/>
  <c r="AL14" i="8"/>
  <c r="AK14" i="8"/>
  <c r="AJ14" i="8"/>
  <c r="AI14" i="8"/>
  <c r="AF14" i="8"/>
  <c r="AE14" i="8"/>
  <c r="AD14" i="8"/>
  <c r="AC14" i="8"/>
  <c r="AB14" i="8"/>
  <c r="AA14" i="8"/>
  <c r="AN4" i="8"/>
  <c r="AM4" i="8"/>
  <c r="AL4" i="8"/>
  <c r="AK4" i="8"/>
  <c r="AJ4" i="8"/>
  <c r="AI4" i="8"/>
  <c r="AF4" i="8"/>
  <c r="AE4" i="8"/>
  <c r="AD4" i="8"/>
  <c r="AC4" i="8"/>
  <c r="AB4" i="8"/>
  <c r="AA4" i="8"/>
  <c r="X24" i="8"/>
  <c r="W24" i="8"/>
  <c r="V24" i="8"/>
  <c r="U24" i="8"/>
  <c r="T24" i="8"/>
  <c r="S24" i="8"/>
  <c r="X14" i="8"/>
  <c r="W14" i="8"/>
  <c r="V14" i="8"/>
  <c r="U14" i="8"/>
  <c r="T14" i="8"/>
  <c r="S14" i="8"/>
  <c r="X4" i="8"/>
  <c r="W4" i="8"/>
  <c r="V4" i="8"/>
  <c r="U4" i="8"/>
  <c r="T4" i="8"/>
  <c r="S4" i="8"/>
  <c r="P24" i="8"/>
  <c r="O24" i="8"/>
  <c r="N24" i="8"/>
  <c r="M24" i="8"/>
  <c r="L24" i="8"/>
  <c r="K24" i="8"/>
  <c r="P14" i="8"/>
  <c r="O14" i="8"/>
  <c r="N14" i="8"/>
  <c r="M14" i="8"/>
  <c r="L14" i="8"/>
  <c r="K14" i="8"/>
  <c r="P4" i="8"/>
  <c r="O4" i="8"/>
  <c r="N4" i="8"/>
  <c r="M4" i="8"/>
  <c r="L4" i="8"/>
  <c r="K4" i="8"/>
  <c r="AV3" i="7"/>
  <c r="AU3" i="7"/>
  <c r="AT3" i="7"/>
  <c r="AS3" i="7"/>
  <c r="AR3" i="7"/>
  <c r="AQ3" i="7"/>
  <c r="AN3" i="7"/>
  <c r="AM3" i="7"/>
  <c r="AL3" i="7"/>
  <c r="AK3" i="7"/>
  <c r="AJ3" i="7"/>
  <c r="AI3" i="7"/>
  <c r="AF3" i="7"/>
  <c r="AE3" i="7"/>
  <c r="AD3" i="7"/>
  <c r="AC3" i="7"/>
  <c r="AB3" i="7"/>
  <c r="AA3" i="7"/>
  <c r="X3" i="7"/>
  <c r="W3" i="7"/>
  <c r="V3" i="7"/>
  <c r="U3" i="7"/>
  <c r="T3" i="7"/>
  <c r="S3" i="7"/>
  <c r="P3" i="7"/>
  <c r="O3" i="7"/>
  <c r="N3" i="7"/>
  <c r="M3" i="7"/>
  <c r="L3" i="7"/>
  <c r="K3" i="7"/>
  <c r="H24" i="8"/>
  <c r="G24" i="8"/>
  <c r="F24" i="8"/>
  <c r="E24" i="8"/>
  <c r="D24" i="8"/>
  <c r="C24" i="8"/>
  <c r="H14" i="8"/>
  <c r="G14" i="8"/>
  <c r="F14" i="8"/>
  <c r="E14" i="8"/>
  <c r="D14" i="8"/>
  <c r="C14" i="8"/>
  <c r="H4" i="8"/>
  <c r="G4" i="8"/>
  <c r="F4" i="8"/>
  <c r="E4" i="8"/>
  <c r="D4" i="8"/>
  <c r="C4" i="8"/>
  <c r="H56" i="6"/>
  <c r="G56" i="6"/>
  <c r="F56" i="6"/>
  <c r="E56" i="6"/>
  <c r="D56" i="6"/>
  <c r="C56" i="6"/>
  <c r="H43" i="6"/>
  <c r="G43" i="6"/>
  <c r="F43" i="6"/>
  <c r="E43" i="6"/>
  <c r="D43" i="6"/>
  <c r="C43" i="6"/>
  <c r="H29" i="6"/>
  <c r="G29" i="6"/>
  <c r="F29" i="6"/>
  <c r="E29" i="6"/>
  <c r="D29" i="6"/>
  <c r="C29" i="6"/>
  <c r="H16" i="6"/>
  <c r="G16" i="6"/>
  <c r="F16" i="6"/>
  <c r="E16" i="6"/>
  <c r="D16" i="6"/>
  <c r="C16" i="6"/>
  <c r="H56" i="5"/>
  <c r="G56" i="5"/>
  <c r="F56" i="5"/>
  <c r="E56" i="5"/>
  <c r="D56" i="5"/>
  <c r="C56" i="5"/>
  <c r="H43" i="5"/>
  <c r="G43" i="5"/>
  <c r="F43" i="5"/>
  <c r="E43" i="5"/>
  <c r="D43" i="5"/>
  <c r="C43" i="5"/>
  <c r="H30" i="5"/>
  <c r="G30" i="5"/>
  <c r="F30" i="5"/>
  <c r="E30" i="5"/>
  <c r="D30" i="5"/>
  <c r="C30" i="5"/>
  <c r="H17" i="5"/>
  <c r="G17" i="5"/>
  <c r="F17" i="5"/>
  <c r="E17" i="5"/>
  <c r="D17" i="5"/>
  <c r="C17" i="5"/>
  <c r="H3" i="7"/>
  <c r="G3" i="7"/>
  <c r="F3" i="7"/>
  <c r="E3" i="7"/>
  <c r="D3" i="7"/>
  <c r="C3" i="7"/>
  <c r="H3" i="6"/>
  <c r="G3" i="6"/>
  <c r="F3" i="6"/>
  <c r="E3" i="6"/>
  <c r="D3" i="6"/>
  <c r="C3" i="6"/>
  <c r="H4" i="5"/>
  <c r="G4" i="5"/>
  <c r="F4" i="5"/>
  <c r="E4" i="5"/>
  <c r="D4" i="5"/>
  <c r="C4" i="5"/>
  <c r="BO1" i="1"/>
  <c r="BN1" i="1"/>
  <c r="BM1" i="1"/>
  <c r="BL1" i="1"/>
  <c r="BK1" i="1"/>
  <c r="BJ1" i="1"/>
  <c r="C22" i="7" s="1" a="1"/>
  <c r="C22" i="7" s="1"/>
  <c r="BI1" i="1"/>
  <c r="BH1" i="1"/>
  <c r="BG1" i="1"/>
  <c r="BF1" i="1"/>
  <c r="BE1" i="1"/>
  <c r="BD1" i="1"/>
  <c r="K67" i="8" s="1" a="1"/>
  <c r="K67" i="8" s="1"/>
  <c r="BC1" i="1"/>
  <c r="S22" i="7" s="1" a="1"/>
  <c r="S22" i="7" s="1"/>
  <c r="BB1" i="1"/>
  <c r="BA1" i="1"/>
  <c r="AZ1" i="1"/>
  <c r="AY1" i="1"/>
  <c r="AX1" i="1"/>
  <c r="AI87" i="8" s="1" a="1"/>
  <c r="AI87" i="8" s="1"/>
  <c r="AW1" i="1"/>
  <c r="AV1" i="1"/>
  <c r="AY87" i="8" s="1" a="1"/>
  <c r="AY87" i="8" s="1"/>
  <c r="AU1" i="1"/>
  <c r="AT1" i="1"/>
  <c r="AA25" i="8" s="1" a="1"/>
  <c r="AA25" i="8" s="1"/>
  <c r="AS1" i="1"/>
  <c r="C67" i="8" s="1" a="1"/>
  <c r="C67" i="8" s="1"/>
  <c r="AR1" i="1"/>
  <c r="K87" i="8" s="1" a="1"/>
  <c r="K87" i="8" s="1"/>
  <c r="AQ1" i="1"/>
  <c r="AP1" i="1"/>
  <c r="AO1" i="1"/>
  <c r="AN1" i="1"/>
  <c r="AM1" i="1"/>
  <c r="AI40" i="7" s="1" a="1"/>
  <c r="AI40" i="7" s="1"/>
  <c r="AL1" i="1"/>
  <c r="K22" i="7" s="1" a="1"/>
  <c r="K22" i="7" s="1"/>
  <c r="AK1" i="1"/>
  <c r="AJ1" i="1"/>
  <c r="C25" i="8" s="1" a="1"/>
  <c r="C25" i="8" s="1"/>
  <c r="AI1" i="1"/>
  <c r="AH1" i="1"/>
  <c r="AY67" i="8" s="1" a="1"/>
  <c r="AY67" i="8" s="1"/>
  <c r="AG1" i="1"/>
  <c r="AQ67" i="8" s="1" a="1"/>
  <c r="AQ67" i="8" s="1"/>
  <c r="AF1" i="1"/>
  <c r="AE1" i="1"/>
  <c r="AD1" i="1"/>
  <c r="AC1" i="1"/>
  <c r="AI13" i="7" s="1" a="1"/>
  <c r="AI13" i="7" s="1"/>
  <c r="AB1" i="1"/>
  <c r="AA1" i="1"/>
  <c r="AY5" i="8" s="1" a="1"/>
  <c r="AY5" i="8" s="1"/>
  <c r="Z1" i="1"/>
  <c r="Y1" i="1"/>
  <c r="X1" i="1"/>
  <c r="W1" i="1"/>
  <c r="S5" i="8" s="1" a="1"/>
  <c r="S5" i="8" s="1"/>
  <c r="V1" i="1"/>
  <c r="U1" i="1"/>
  <c r="T1" i="1"/>
  <c r="S1" i="1"/>
  <c r="AQ15" i="8" s="1" a="1"/>
  <c r="AQ15" i="8" s="1"/>
  <c r="R1" i="1"/>
  <c r="K25" i="8" s="1" a="1"/>
  <c r="K25" i="8" s="1"/>
  <c r="Q1" i="1"/>
  <c r="P1" i="1"/>
  <c r="O1" i="1"/>
  <c r="AY25" i="8" s="1" a="1"/>
  <c r="AY25" i="8" s="1"/>
  <c r="N1" i="1"/>
  <c r="M1" i="1"/>
  <c r="S13" i="7" s="1" a="1"/>
  <c r="S13" i="7" s="1"/>
  <c r="L1" i="1"/>
  <c r="K1" i="1"/>
  <c r="S56" i="8" s="1" a="1"/>
  <c r="S56" i="8" s="1"/>
  <c r="J1" i="1"/>
  <c r="AA87" i="8" s="1" a="1"/>
  <c r="AA87" i="8" s="1"/>
  <c r="I1" i="1"/>
  <c r="C36" i="8" s="1" a="1"/>
  <c r="C36" i="8" s="1"/>
  <c r="H1" i="1"/>
  <c r="G1" i="1"/>
  <c r="AI67" i="8" s="1" a="1"/>
  <c r="AI67" i="8" s="1"/>
  <c r="F1" i="1"/>
  <c r="AI46" i="8" s="1" a="1"/>
  <c r="AI46" i="8" s="1"/>
  <c r="E1" i="1"/>
  <c r="C56" i="8" s="1" a="1"/>
  <c r="C56" i="8" s="1"/>
  <c r="D1" i="1"/>
  <c r="K13" i="7" s="1" a="1"/>
  <c r="K13" i="7" s="1"/>
  <c r="C1" i="1"/>
  <c r="AA40" i="7" s="1" a="1"/>
  <c r="AA40" i="7" s="1"/>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2" i="3"/>
  <c r="AU23" i="7"/>
  <c r="AQ23" i="7"/>
  <c r="AU32" i="7"/>
  <c r="AV41" i="7"/>
  <c r="AR41" i="7"/>
  <c r="AU14" i="7"/>
  <c r="AV5" i="7"/>
  <c r="AR5" i="7"/>
  <c r="AL41" i="7"/>
  <c r="AN32" i="7"/>
  <c r="AJ32" i="7"/>
  <c r="AL14" i="7"/>
  <c r="AN5" i="7"/>
  <c r="AJ5" i="7"/>
  <c r="AC5" i="7"/>
  <c r="AF14" i="7"/>
  <c r="AB14" i="7"/>
  <c r="V41" i="7"/>
  <c r="S32" i="7"/>
  <c r="U32" i="7"/>
  <c r="V14" i="7"/>
  <c r="W5" i="7"/>
  <c r="K5" i="7"/>
  <c r="M32" i="7"/>
  <c r="O41" i="7"/>
  <c r="K41" i="7"/>
  <c r="M14" i="7"/>
  <c r="N5" i="7"/>
  <c r="H41" i="7"/>
  <c r="D41" i="7"/>
  <c r="F32" i="7"/>
  <c r="E16" i="8"/>
  <c r="H6" i="8"/>
  <c r="D6" i="8"/>
  <c r="G26" i="8"/>
  <c r="C45" i="5"/>
  <c r="D6" i="5"/>
  <c r="H32" i="5"/>
  <c r="C58" i="5"/>
  <c r="G6" i="5"/>
  <c r="D45" i="5"/>
  <c r="H58" i="6"/>
  <c r="D58" i="6"/>
  <c r="F45" i="6"/>
  <c r="D31" i="6"/>
  <c r="E31" i="6"/>
  <c r="F18" i="6"/>
  <c r="H5" i="6"/>
  <c r="D5" i="6"/>
  <c r="N26" i="8"/>
  <c r="P16" i="8"/>
  <c r="L16" i="8"/>
  <c r="N6" i="8"/>
  <c r="T16" i="8"/>
  <c r="U16" i="8"/>
  <c r="V6" i="8"/>
  <c r="AN26" i="8"/>
  <c r="AJ26" i="8"/>
  <c r="AL16" i="8"/>
  <c r="AN6" i="8"/>
  <c r="AJ6" i="8"/>
  <c r="AD26" i="8"/>
  <c r="AF16" i="8"/>
  <c r="AA16" i="8"/>
  <c r="AD6" i="8"/>
  <c r="X26" i="8"/>
  <c r="T26" i="8"/>
  <c r="F14" i="7"/>
  <c r="H5" i="7"/>
  <c r="D5" i="7"/>
  <c r="BB88" i="8"/>
  <c r="BD78" i="8"/>
  <c r="AZ78" i="8"/>
  <c r="BB68" i="8"/>
  <c r="AV88" i="8"/>
  <c r="AR88" i="8"/>
  <c r="AT78" i="8"/>
  <c r="AV68" i="8"/>
  <c r="AT23" i="7"/>
  <c r="AQ32" i="7"/>
  <c r="AT32" i="7"/>
  <c r="AU41" i="7"/>
  <c r="AQ41" i="7"/>
  <c r="AS14" i="7"/>
  <c r="AU5" i="7"/>
  <c r="AI5" i="7"/>
  <c r="AK41" i="7"/>
  <c r="AM32" i="7"/>
  <c r="AI32" i="7"/>
  <c r="AK14" i="7"/>
  <c r="AM5" i="7"/>
  <c r="AF5" i="7"/>
  <c r="AB5" i="7"/>
  <c r="AE14" i="7"/>
  <c r="S5" i="7"/>
  <c r="U41" i="7"/>
  <c r="X32" i="7"/>
  <c r="T32" i="7"/>
  <c r="U14" i="7"/>
  <c r="V5" i="7"/>
  <c r="P32" i="7"/>
  <c r="L32" i="7"/>
  <c r="N41" i="7"/>
  <c r="P14" i="7"/>
  <c r="L14" i="7"/>
  <c r="M5" i="7"/>
  <c r="G41" i="7"/>
  <c r="C41" i="7"/>
  <c r="E32" i="7"/>
  <c r="C26" i="8"/>
  <c r="F16" i="8"/>
  <c r="G6" i="8"/>
  <c r="E26" i="8"/>
  <c r="F26" i="8"/>
  <c r="E32" i="5"/>
  <c r="H58" i="5"/>
  <c r="D32" i="5"/>
  <c r="E45" i="5"/>
  <c r="C6" i="5"/>
  <c r="F32" i="5"/>
  <c r="G58" i="6"/>
  <c r="C58" i="6"/>
  <c r="E45" i="6"/>
  <c r="H31" i="6"/>
  <c r="C31" i="6"/>
  <c r="E18" i="6"/>
  <c r="G5" i="6"/>
  <c r="C5" i="6"/>
  <c r="M26" i="8"/>
  <c r="O16" i="8"/>
  <c r="K16" i="8"/>
  <c r="M6" i="8"/>
  <c r="X16" i="8"/>
  <c r="S16" i="8"/>
  <c r="U6" i="8"/>
  <c r="AM26" i="8"/>
  <c r="AI26" i="8"/>
  <c r="AK16" i="8"/>
  <c r="AM6" i="8"/>
  <c r="AI6" i="8"/>
  <c r="AC26" i="8"/>
  <c r="AE16" i="8"/>
  <c r="AB16" i="8"/>
  <c r="AC6" i="8"/>
  <c r="W26" i="8"/>
  <c r="S26" i="8"/>
  <c r="E14" i="7"/>
  <c r="G5" i="7"/>
  <c r="C6" i="8"/>
  <c r="BA88" i="8"/>
  <c r="BC78" i="8"/>
  <c r="AY78" i="8"/>
  <c r="BA68" i="8"/>
  <c r="AU88" i="8"/>
  <c r="AQ88" i="8"/>
  <c r="AS78" i="8"/>
  <c r="AU68" i="8"/>
  <c r="AQ68" i="8"/>
  <c r="AL88" i="8"/>
  <c r="AM78" i="8"/>
  <c r="AI78" i="8"/>
  <c r="AL68" i="8"/>
  <c r="AF78" i="8"/>
  <c r="AB78" i="8"/>
  <c r="AS23" i="7"/>
  <c r="AQ14" i="7"/>
  <c r="AS32" i="7"/>
  <c r="AT41" i="7"/>
  <c r="AV14" i="7"/>
  <c r="AR14" i="7"/>
  <c r="AT5" i="7"/>
  <c r="AN41" i="7"/>
  <c r="AJ41" i="7"/>
  <c r="AL32" i="7"/>
  <c r="AN14" i="7"/>
  <c r="AJ14" i="7"/>
  <c r="AL5" i="7"/>
  <c r="AE5" i="7"/>
  <c r="AA5" i="7"/>
  <c r="AD14" i="7"/>
  <c r="X41" i="7"/>
  <c r="T41" i="7"/>
  <c r="W32" i="7"/>
  <c r="X14" i="7"/>
  <c r="T14" i="7"/>
  <c r="U5" i="7"/>
  <c r="O32" i="7"/>
  <c r="K32" i="7"/>
  <c r="M41" i="7"/>
  <c r="O14" i="7"/>
  <c r="P5" i="7"/>
  <c r="L5" i="7"/>
  <c r="F41" i="7"/>
  <c r="H32" i="7"/>
  <c r="D32" i="7"/>
  <c r="C16" i="8"/>
  <c r="G16" i="8"/>
  <c r="F6" i="8"/>
  <c r="H26" i="8"/>
  <c r="E58" i="5"/>
  <c r="C19" i="5"/>
  <c r="D58" i="5"/>
  <c r="H6" i="5"/>
  <c r="G32" i="5"/>
  <c r="F58" i="5"/>
  <c r="D19" i="5"/>
  <c r="F58" i="6"/>
  <c r="H45" i="6"/>
  <c r="D45" i="6"/>
  <c r="G31" i="6"/>
  <c r="H18" i="6"/>
  <c r="D18" i="6"/>
  <c r="F5" i="6"/>
  <c r="P26" i="8"/>
  <c r="L26" i="8"/>
  <c r="N16" i="8"/>
  <c r="P6" i="8"/>
  <c r="L6" i="8"/>
  <c r="W16" i="8"/>
  <c r="X6" i="8"/>
  <c r="T6" i="8"/>
  <c r="AL26" i="8"/>
  <c r="AN16" i="8"/>
  <c r="AJ16" i="8"/>
  <c r="AL6" i="8"/>
  <c r="AF26" i="8"/>
  <c r="AB26" i="8"/>
  <c r="AD16" i="8"/>
  <c r="AF6" i="8"/>
  <c r="AB6" i="8"/>
  <c r="V26" i="8"/>
  <c r="H14" i="7"/>
  <c r="D14" i="7"/>
  <c r="F5" i="7"/>
  <c r="BD88" i="8"/>
  <c r="AZ88" i="8"/>
  <c r="BB78" i="8"/>
  <c r="BD68" i="8"/>
  <c r="AZ68" i="8"/>
  <c r="AT88" i="8"/>
  <c r="AV78" i="8"/>
  <c r="AR78" i="8"/>
  <c r="AT68" i="8"/>
  <c r="AI88" i="8"/>
  <c r="AK88" i="8"/>
  <c r="AL78" i="8"/>
  <c r="AI68" i="8"/>
  <c r="AK68" i="8"/>
  <c r="AE78" i="8"/>
  <c r="AF68" i="8"/>
  <c r="AB68" i="8"/>
  <c r="W88" i="8"/>
  <c r="X78" i="8"/>
  <c r="T78" i="8"/>
  <c r="V68" i="8"/>
  <c r="P88" i="8"/>
  <c r="L88" i="8"/>
  <c r="N78" i="8"/>
  <c r="AV23" i="7"/>
  <c r="AR23" i="7"/>
  <c r="AV32" i="7"/>
  <c r="AR32" i="7"/>
  <c r="AS41" i="7"/>
  <c r="AT14" i="7"/>
  <c r="AQ5" i="7"/>
  <c r="AS5" i="7"/>
  <c r="AM41" i="7"/>
  <c r="AI41" i="7"/>
  <c r="AK32" i="7"/>
  <c r="AM14" i="7"/>
  <c r="AI14" i="7"/>
  <c r="AK5" i="7"/>
  <c r="AD5" i="7"/>
  <c r="AA14" i="7"/>
  <c r="AC14" i="7"/>
  <c r="W41" i="7"/>
  <c r="S41" i="7"/>
  <c r="V32" i="7"/>
  <c r="W14" i="7"/>
  <c r="X5" i="7"/>
  <c r="T5" i="7"/>
  <c r="N32" i="7"/>
  <c r="P41" i="7"/>
  <c r="L41" i="7"/>
  <c r="N14" i="7"/>
  <c r="O5" i="7"/>
  <c r="C5" i="7"/>
  <c r="E41" i="7"/>
  <c r="G32" i="7"/>
  <c r="D16" i="8"/>
  <c r="H16" i="8"/>
  <c r="E6" i="8"/>
  <c r="D26" i="8"/>
  <c r="G45" i="5"/>
  <c r="E6" i="5"/>
  <c r="F45" i="5"/>
  <c r="G58" i="5"/>
  <c r="C32" i="5"/>
  <c r="H45" i="5"/>
  <c r="F6" i="5"/>
  <c r="E58" i="6"/>
  <c r="G45" i="6"/>
  <c r="C45" i="6"/>
  <c r="F31" i="6"/>
  <c r="G18" i="6"/>
  <c r="C18" i="6"/>
  <c r="E5" i="6"/>
  <c r="O26" i="8"/>
  <c r="K26" i="8"/>
  <c r="M16" i="8"/>
  <c r="O6" i="8"/>
  <c r="K6" i="8"/>
  <c r="V16" i="8"/>
  <c r="W6" i="8"/>
  <c r="S6" i="8"/>
  <c r="AK26" i="8"/>
  <c r="AM16" i="8"/>
  <c r="AI16" i="8"/>
  <c r="AK6" i="8"/>
  <c r="AE26" i="8"/>
  <c r="AA26" i="8"/>
  <c r="AC16" i="8"/>
  <c r="AE6" i="8"/>
  <c r="AA6" i="8"/>
  <c r="U26" i="8"/>
  <c r="G14" i="7"/>
  <c r="C14" i="7"/>
  <c r="E5" i="7"/>
  <c r="BC88" i="8"/>
  <c r="AY88" i="8"/>
  <c r="BA78" i="8"/>
  <c r="BC68" i="8"/>
  <c r="AY68" i="8"/>
  <c r="AS88" i="8"/>
  <c r="AU78" i="8"/>
  <c r="AN88" i="8"/>
  <c r="AK78" i="8"/>
  <c r="AJ68" i="8"/>
  <c r="AE68" i="8"/>
  <c r="S88" i="8"/>
  <c r="T88" i="8"/>
  <c r="S78" i="8"/>
  <c r="T68" i="8"/>
  <c r="M88" i="8"/>
  <c r="M78" i="8"/>
  <c r="O68" i="8"/>
  <c r="K68" i="8"/>
  <c r="E88" i="8"/>
  <c r="G78" i="8"/>
  <c r="C78" i="8"/>
  <c r="E68" i="8"/>
  <c r="AV57" i="8"/>
  <c r="AR57" i="8"/>
  <c r="AS47" i="8"/>
  <c r="AU37" i="8"/>
  <c r="AK57" i="8"/>
  <c r="AM47" i="8"/>
  <c r="AI47" i="8"/>
  <c r="AK37" i="8"/>
  <c r="AA57" i="8"/>
  <c r="AE37" i="8"/>
  <c r="V57" i="8"/>
  <c r="S47" i="8"/>
  <c r="O37" i="8"/>
  <c r="E57" i="8"/>
  <c r="C47" i="8"/>
  <c r="AY26" i="8"/>
  <c r="BD16" i="8"/>
  <c r="BD26" i="8"/>
  <c r="AT26" i="8"/>
  <c r="AR16" i="8"/>
  <c r="U47" i="8"/>
  <c r="G57" i="8"/>
  <c r="C37" i="8"/>
  <c r="BC16" i="8"/>
  <c r="AV6" i="8"/>
  <c r="AQ78" i="8"/>
  <c r="AM88" i="8"/>
  <c r="AJ78" i="8"/>
  <c r="AA78" i="8"/>
  <c r="AD68" i="8"/>
  <c r="X88" i="8"/>
  <c r="W78" i="8"/>
  <c r="X68" i="8"/>
  <c r="S68" i="8"/>
  <c r="K88" i="8"/>
  <c r="L78" i="8"/>
  <c r="N68" i="8"/>
  <c r="H88" i="8"/>
  <c r="D88" i="8"/>
  <c r="F78" i="8"/>
  <c r="H68" i="8"/>
  <c r="D68" i="8"/>
  <c r="AU57" i="8"/>
  <c r="AV47" i="8"/>
  <c r="AR47" i="8"/>
  <c r="AT37" i="8"/>
  <c r="AN57" i="8"/>
  <c r="AJ57" i="8"/>
  <c r="AL47" i="8"/>
  <c r="AN37" i="8"/>
  <c r="AJ37" i="8"/>
  <c r="AD57" i="8"/>
  <c r="AF47" i="8"/>
  <c r="AB47" i="8"/>
  <c r="AD37" i="8"/>
  <c r="S57" i="8"/>
  <c r="U57" i="8"/>
  <c r="V47" i="8"/>
  <c r="X37" i="8"/>
  <c r="T37" i="8"/>
  <c r="N37" i="8"/>
  <c r="H57" i="8"/>
  <c r="D57" i="8"/>
  <c r="F47" i="8"/>
  <c r="H37" i="8"/>
  <c r="D37" i="8"/>
  <c r="BB16" i="8"/>
  <c r="BD6" i="8"/>
  <c r="AZ16" i="8"/>
  <c r="AZ26" i="8"/>
  <c r="AA88" i="8"/>
  <c r="AS26" i="8"/>
  <c r="AU16" i="8"/>
  <c r="AQ16" i="8"/>
  <c r="AS6" i="8"/>
  <c r="AM37" i="8"/>
  <c r="AC57" i="8"/>
  <c r="AA47" i="8"/>
  <c r="W57" i="8"/>
  <c r="S37" i="8"/>
  <c r="C57" i="8"/>
  <c r="BA6" i="8"/>
  <c r="AV26" i="8"/>
  <c r="AR6" i="8"/>
  <c r="AS68" i="8"/>
  <c r="AJ88" i="8"/>
  <c r="AN68" i="8"/>
  <c r="AD78" i="8"/>
  <c r="AC68" i="8"/>
  <c r="V88" i="8"/>
  <c r="V78" i="8"/>
  <c r="W68" i="8"/>
  <c r="O88" i="8"/>
  <c r="P78" i="8"/>
  <c r="K78" i="8"/>
  <c r="M68" i="8"/>
  <c r="G88" i="8"/>
  <c r="C88" i="8"/>
  <c r="E78" i="8"/>
  <c r="G68" i="8"/>
  <c r="C68" i="8"/>
  <c r="AT57" i="8"/>
  <c r="AU47" i="8"/>
  <c r="AQ47" i="8"/>
  <c r="AS37" i="8"/>
  <c r="AM57" i="8"/>
  <c r="AI57" i="8"/>
  <c r="AK47" i="8"/>
  <c r="AI37" i="8"/>
  <c r="AE47" i="8"/>
  <c r="AC37" i="8"/>
  <c r="T57" i="8"/>
  <c r="M37" i="8"/>
  <c r="E47" i="8"/>
  <c r="AZ6" i="8"/>
  <c r="AR26" i="8"/>
  <c r="AR68" i="8"/>
  <c r="AN78" i="8"/>
  <c r="AM68" i="8"/>
  <c r="AC78" i="8"/>
  <c r="AA68" i="8"/>
  <c r="U88" i="8"/>
  <c r="U78" i="8"/>
  <c r="U68" i="8"/>
  <c r="N88" i="8"/>
  <c r="O78" i="8"/>
  <c r="P68" i="8"/>
  <c r="L68" i="8"/>
  <c r="F88" i="8"/>
  <c r="H78" i="8"/>
  <c r="D78" i="8"/>
  <c r="F68" i="8"/>
  <c r="AQ57" i="8"/>
  <c r="AS57" i="8"/>
  <c r="AT47" i="8"/>
  <c r="AV37" i="8"/>
  <c r="AR37" i="8"/>
  <c r="AL57" i="8"/>
  <c r="AN47" i="8"/>
  <c r="AJ47" i="8"/>
  <c r="AL37" i="8"/>
  <c r="AF57" i="8"/>
  <c r="AB57" i="8"/>
  <c r="AD47" i="8"/>
  <c r="AF37" i="8"/>
  <c r="AB37" i="8"/>
  <c r="X57" i="8"/>
  <c r="X47" i="8"/>
  <c r="T47" i="8"/>
  <c r="V37" i="8"/>
  <c r="P37" i="8"/>
  <c r="L37" i="8"/>
  <c r="F57" i="8"/>
  <c r="H47" i="8"/>
  <c r="D47" i="8"/>
  <c r="F37" i="8"/>
  <c r="BC26" i="8"/>
  <c r="BB26" i="8"/>
  <c r="BA26" i="8"/>
  <c r="AY6" i="8"/>
  <c r="AY16" i="8"/>
  <c r="AU26" i="8"/>
  <c r="AQ26" i="8"/>
  <c r="AS16" i="8"/>
  <c r="AU6" i="8"/>
  <c r="AQ6" i="8"/>
  <c r="AQ37" i="8"/>
  <c r="AE57" i="8"/>
  <c r="AC47" i="8"/>
  <c r="AA37" i="8"/>
  <c r="W47" i="8"/>
  <c r="U37" i="8"/>
  <c r="K37" i="8"/>
  <c r="G47" i="8"/>
  <c r="E37" i="8"/>
  <c r="BA16" i="8"/>
  <c r="BB6" i="8"/>
  <c r="AV16" i="8"/>
  <c r="AT6" i="8"/>
  <c r="W37" i="8"/>
  <c r="G37" i="8"/>
  <c r="BC6" i="8"/>
  <c r="AT16" i="8"/>
  <c r="AF41" i="7"/>
  <c r="AE41" i="7"/>
  <c r="AD41" i="7"/>
  <c r="AC41" i="7"/>
  <c r="AB41" i="7"/>
  <c r="AA41" i="7"/>
  <c r="AA32" i="7"/>
  <c r="AF32" i="7"/>
  <c r="AE32" i="7"/>
  <c r="AD32" i="7"/>
  <c r="AC32" i="7"/>
  <c r="AB32" i="7"/>
  <c r="X23" i="7"/>
  <c r="W23" i="7"/>
  <c r="V23" i="7"/>
  <c r="U23" i="7"/>
  <c r="T23" i="7"/>
  <c r="S23" i="7"/>
  <c r="S14" i="7"/>
  <c r="O23" i="7"/>
  <c r="P23" i="7"/>
  <c r="N23" i="7"/>
  <c r="M23" i="7"/>
  <c r="L23" i="7"/>
  <c r="K23" i="7"/>
  <c r="K14" i="7"/>
  <c r="H23" i="7"/>
  <c r="G23" i="7"/>
  <c r="F23" i="7"/>
  <c r="E23" i="7"/>
  <c r="D23" i="7"/>
  <c r="C23" i="7"/>
  <c r="C32" i="7"/>
  <c r="C5" i="8" l="1" a="1"/>
  <c r="C5" i="8" s="1"/>
  <c r="K5" i="8" a="1"/>
  <c r="K5" i="8" s="1"/>
  <c r="AA15" i="8" a="1"/>
  <c r="AA15" i="8" s="1"/>
  <c r="AI25" i="8" a="1"/>
  <c r="AI25" i="8" s="1"/>
  <c r="AQ25" i="8" a="1"/>
  <c r="AQ25" i="8" s="1"/>
  <c r="C46" i="8" a="1"/>
  <c r="C46" i="8" s="1"/>
  <c r="S46" i="8" a="1"/>
  <c r="S46" i="8" s="1"/>
  <c r="AA56" i="8" a="1"/>
  <c r="AA56" i="8" s="1"/>
  <c r="AI36" i="8" a="1"/>
  <c r="AI36" i="8" s="1"/>
  <c r="K77" i="8" a="1"/>
  <c r="K77" i="8" s="1"/>
  <c r="S87" i="8" a="1"/>
  <c r="S87" i="8" s="1"/>
  <c r="AA67" i="8" a="1"/>
  <c r="AA67" i="8" s="1"/>
  <c r="AQ77" i="8" a="1"/>
  <c r="AQ77" i="8" s="1"/>
  <c r="C13" i="7" a="1"/>
  <c r="C13" i="7" s="1"/>
  <c r="K40" i="7" a="1"/>
  <c r="K40" i="7" s="1"/>
  <c r="S31" i="7" a="1"/>
  <c r="S31" i="7" s="1"/>
  <c r="AA4" i="7" a="1"/>
  <c r="AA4" i="7" s="1"/>
  <c r="AI4" i="7" a="1"/>
  <c r="AI4" i="7" s="1"/>
  <c r="AQ31" i="7" a="1"/>
  <c r="AQ31" i="7" s="1"/>
  <c r="C15" i="8" a="1"/>
  <c r="C15" i="8" s="1"/>
  <c r="S15" i="8" a="1"/>
  <c r="S15" i="8" s="1"/>
  <c r="AI5" i="8" a="1"/>
  <c r="AI5" i="8" s="1"/>
  <c r="AA36" i="8" a="1"/>
  <c r="AA36" i="8" s="1"/>
  <c r="AQ36" i="8" a="1"/>
  <c r="AQ36" i="8" s="1"/>
  <c r="C77" i="8" a="1"/>
  <c r="C77" i="8" s="1"/>
  <c r="S67" i="8" a="1"/>
  <c r="S67" i="8" s="1"/>
  <c r="AI77" i="8" a="1"/>
  <c r="AI77" i="8" s="1"/>
  <c r="AQ87" i="8" a="1"/>
  <c r="AQ87" i="8" s="1"/>
  <c r="AY77" i="8" a="1"/>
  <c r="AY77" i="8" s="1"/>
  <c r="C31" i="7" a="1"/>
  <c r="C31" i="7" s="1"/>
  <c r="K31" i="7" a="1"/>
  <c r="K31" i="7" s="1"/>
  <c r="S40" i="7" a="1"/>
  <c r="S40" i="7" s="1"/>
  <c r="AQ4" i="7" a="1"/>
  <c r="AQ4" i="7" s="1"/>
  <c r="AQ22" i="7" a="1"/>
  <c r="AQ22" i="7" s="1"/>
  <c r="K15" i="8" a="1"/>
  <c r="K15" i="8" s="1"/>
  <c r="S25" i="8" a="1"/>
  <c r="S25" i="8" s="1"/>
  <c r="AA5" i="8" a="1"/>
  <c r="AA5" i="8" s="1"/>
  <c r="AQ5" i="8" a="1"/>
  <c r="AQ5" i="8" s="1"/>
  <c r="AY15" i="8" a="1"/>
  <c r="AY15" i="8" s="1"/>
  <c r="K36" i="8" a="1"/>
  <c r="K36" i="8" s="1"/>
  <c r="S36" i="8" a="1"/>
  <c r="S36" i="8" s="1"/>
  <c r="AQ46" i="8" a="1"/>
  <c r="AQ46" i="8" s="1"/>
  <c r="C87" i="8" a="1"/>
  <c r="C87" i="8" s="1"/>
  <c r="AA77" i="8" a="1"/>
  <c r="AA77" i="8" s="1"/>
  <c r="C40" i="7" a="1"/>
  <c r="C40" i="7" s="1"/>
  <c r="K4" i="7" a="1"/>
  <c r="K4" i="7" s="1"/>
  <c r="S4" i="7" a="1"/>
  <c r="S4" i="7" s="1"/>
  <c r="AI31" i="7" a="1"/>
  <c r="AI31" i="7" s="1"/>
  <c r="AQ13" i="7" a="1"/>
  <c r="AQ13" i="7" s="1"/>
  <c r="AA31" i="7" a="1"/>
  <c r="AA31" i="7" s="1"/>
  <c r="AI15" i="8" a="1"/>
  <c r="AI15" i="8" s="1"/>
  <c r="AA46" i="8" a="1"/>
  <c r="AA46" i="8" s="1"/>
  <c r="AI56" i="8" a="1"/>
  <c r="AI56" i="8" s="1"/>
  <c r="AQ56" i="8" a="1"/>
  <c r="AQ56" i="8" s="1"/>
  <c r="S77" i="8" a="1"/>
  <c r="S77" i="8" s="1"/>
  <c r="C4" i="6" a="1"/>
  <c r="C4" i="6" s="1"/>
  <c r="C4" i="7" a="1"/>
  <c r="C4" i="7" s="1"/>
  <c r="AA13" i="7" a="1"/>
  <c r="AA13" i="7" s="1"/>
  <c r="AQ40" i="7" a="1"/>
  <c r="AQ40" i="7" s="1"/>
  <c r="C57" i="6" a="1"/>
  <c r="C57" i="6" s="1"/>
  <c r="C44" i="6" a="1"/>
  <c r="C44" i="6" s="1"/>
  <c r="C30" i="6" a="1"/>
  <c r="C30" i="6" s="1"/>
  <c r="C31" i="5" a="1"/>
  <c r="C31" i="5" s="1"/>
  <c r="C17" i="6" a="1"/>
  <c r="C17" i="6" s="1"/>
  <c r="C44" i="5" a="1"/>
  <c r="C44" i="5" s="1"/>
  <c r="C5" i="5" a="1"/>
  <c r="C5" i="5" s="1"/>
  <c r="C57" i="5" a="1"/>
  <c r="C57" i="5" s="1"/>
  <c r="C18" i="5" a="1"/>
  <c r="C18"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<sst xmlns="http://schemas.openxmlformats.org/spreadsheetml/2006/main" count="1240" uniqueCount="322">
  <si>
    <t>Country/Region</t>
  </si>
  <si>
    <t>Metric</t>
  </si>
  <si>
    <t>United States</t>
  </si>
  <si>
    <t>Exports (% GDP)</t>
  </si>
  <si>
    <t>Imports (% GDP)</t>
  </si>
  <si>
    <t>Debt/GDP (%)</t>
  </si>
  <si>
    <t>Mexico</t>
  </si>
  <si>
    <t>Canada</t>
  </si>
  <si>
    <t>China</t>
  </si>
  <si>
    <t>Japan</t>
  </si>
  <si>
    <t>South Korea</t>
  </si>
  <si>
    <t>Vietnam</t>
  </si>
  <si>
    <t>United Kingdom</t>
  </si>
  <si>
    <t>AGOA Eligible Countries</t>
  </si>
  <si>
    <t>Angola</t>
  </si>
  <si>
    <t>Benin</t>
  </si>
  <si>
    <t>Botswana</t>
  </si>
  <si>
    <t>Cabo Verde</t>
  </si>
  <si>
    <t>Chad</t>
  </si>
  <si>
    <t>Comoros</t>
  </si>
  <si>
    <t>Republic of the Congo</t>
  </si>
  <si>
    <t>Democratic Republic of the Congo</t>
  </si>
  <si>
    <t>Côte d’Ivoire</t>
  </si>
  <si>
    <t>Djibouti</t>
  </si>
  <si>
    <t>Eswatini</t>
  </si>
  <si>
    <t>The Gambia</t>
  </si>
  <si>
    <t>Ghana</t>
  </si>
  <si>
    <t>Guinea-Bissau</t>
  </si>
  <si>
    <t>Kenya</t>
  </si>
  <si>
    <t>Lesotho</t>
  </si>
  <si>
    <t>Liberia</t>
  </si>
  <si>
    <t>Madagascar</t>
  </si>
  <si>
    <t>Malawi</t>
  </si>
  <si>
    <t>Mauritania</t>
  </si>
  <si>
    <t>Mauritius</t>
  </si>
  <si>
    <t>Mozambique</t>
  </si>
  <si>
    <t>Namibia</t>
  </si>
  <si>
    <t>Nigeria</t>
  </si>
  <si>
    <t xml:space="preserve">Rwanda </t>
  </si>
  <si>
    <t>Sao Tome &amp; Principe</t>
  </si>
  <si>
    <t>Senegal</t>
  </si>
  <si>
    <t>Sierra Leone</t>
  </si>
  <si>
    <t>South Africa</t>
  </si>
  <si>
    <t>Tanzania</t>
  </si>
  <si>
    <t>Togo</t>
  </si>
  <si>
    <t>Zambia</t>
  </si>
  <si>
    <t>Unemployment (% of total labor force)</t>
  </si>
  <si>
    <t>Inflation (annual %)</t>
  </si>
  <si>
    <t>Row Labels</t>
  </si>
  <si>
    <t>(blank)</t>
  </si>
  <si>
    <t>Grand Total</t>
  </si>
  <si>
    <t xml:space="preserve">Gov Foundations and Accountability
Governance Foundations and Political Accountability
</t>
  </si>
  <si>
    <t>Market and Trade Reform Index</t>
  </si>
  <si>
    <t>Market &amp; Trade Reform Index</t>
  </si>
  <si>
    <t>Goverance Foundations &amp; Political Accountability</t>
  </si>
  <si>
    <t>Whole Number</t>
  </si>
  <si>
    <t>Net FDI Inflows (% of GDP)</t>
  </si>
  <si>
    <t xml:space="preserve">Ease of Doing Business Index </t>
  </si>
  <si>
    <t xml:space="preserve">Infrastructure Quality Score	</t>
  </si>
  <si>
    <t xml:space="preserve">Credit Rating (S&amp;P, Moody's, Fitch avg)	</t>
  </si>
  <si>
    <t xml:space="preserve">Capital Account Openness Index	</t>
  </si>
  <si>
    <t xml:space="preserve">Median Age	</t>
  </si>
  <si>
    <t xml:space="preserve">Population Growth Rate (%)	</t>
  </si>
  <si>
    <t xml:space="preserve">Urbanization Rate (%)	</t>
  </si>
  <si>
    <t xml:space="preserve">Labor Force Participation Rate	</t>
  </si>
  <si>
    <t xml:space="preserve">Working-Age Population Share (15–64)	</t>
  </si>
  <si>
    <t xml:space="preserve">Real GDP Growth </t>
  </si>
  <si>
    <t xml:space="preserve">Inflation Rate (CPI YoY)	</t>
  </si>
  <si>
    <t xml:space="preserve">Fiscal Deficit (% of GDP)	</t>
  </si>
  <si>
    <t xml:space="preserve">Current Account Balance (% of GDP)	</t>
  </si>
  <si>
    <t xml:space="preserve">FX Reserves (Months of Import Cover)	</t>
  </si>
  <si>
    <t xml:space="preserve">Regulatory Quality (WGI score)	</t>
  </si>
  <si>
    <t xml:space="preserve">Government Effectiveness	</t>
  </si>
  <si>
    <t xml:space="preserve">Trade Openness (Exports + Imports as % of GDP)	</t>
  </si>
  <si>
    <t xml:space="preserve">Corruption Perceptions Index	</t>
  </si>
  <si>
    <t xml:space="preserve">Tax Burden (% of GDP)	</t>
  </si>
  <si>
    <t xml:space="preserve">GDP per Worker (PPP)	</t>
  </si>
  <si>
    <t xml:space="preserve">Total Factor Productivity (TFP) Growth	</t>
  </si>
  <si>
    <t xml:space="preserve">Value-Added per Sector (Agri/Industry/Services)	</t>
  </si>
  <si>
    <t xml:space="preserve">Education Index / Years of Schooling	</t>
  </si>
  <si>
    <t xml:space="preserve">Electricity Access (%)	</t>
  </si>
  <si>
    <t>Investment Potential | 25% Weight</t>
  </si>
  <si>
    <t>Productivity | 20% Weight</t>
  </si>
  <si>
    <t xml:space="preserve">Governement | Policy | 10% Weight </t>
  </si>
  <si>
    <t>Economic Trajectory | 25% Weight</t>
  </si>
  <si>
    <t xml:space="preserve">Demographics | 20% Weight </t>
  </si>
  <si>
    <t>Excel Method One</t>
  </si>
  <si>
    <t>Excel Method Two</t>
  </si>
  <si>
    <t>Excel Method Three</t>
  </si>
  <si>
    <t>ML Method</t>
  </si>
  <si>
    <t>Journal Averages</t>
  </si>
  <si>
    <t xml:space="preserve">Unemployment </t>
  </si>
  <si>
    <t xml:space="preserve"> (% of total labor force)</t>
  </si>
  <si>
    <t>Average</t>
  </si>
  <si>
    <t>Trend Excel Method</t>
  </si>
  <si>
    <t>Linear Trend Method</t>
  </si>
  <si>
    <t xml:space="preserve">Forecast.ETS Method </t>
  </si>
  <si>
    <t xml:space="preserve">Decimal  </t>
  </si>
  <si>
    <t>15-18 total sum</t>
  </si>
  <si>
    <t>12-14 total sum</t>
  </si>
  <si>
    <t>10-12 total sum</t>
  </si>
  <si>
    <t xml:space="preserve">5-9 total sum </t>
  </si>
  <si>
    <t>Total Sum</t>
  </si>
  <si>
    <t>1.Import restrictions to promote domestic production, although minimally enforced (−10)
2.Heavy reliance on petroleum sector &amp; there's challenges diversifying the economy  (−10)
3.Potential trade barriers through import restrictions (−10)</t>
  </si>
  <si>
    <t>1.Large U.S. trade partner &amp; actively seeking foreign investment (+15)
2.Privatization program extended to 2026 with plans for 73 more asset sales (+15)
3. Completed large IMF program in 2021, signaling macroeconomic reforms (+15)</t>
  </si>
  <si>
    <t>1.Strong support for a market based economy and trade/investment openness (+20)
2.Encouragement of foreign investment seen as key to growth (+15)
3.APIEX as a one-stop shop streamlines investment and trade processes (+15)
4.Significant improvements in administrative efficiency: company registration reduced from 15 to 1 day; construction permits from 90 to 30 days. (+20)</t>
  </si>
  <si>
    <t>1.Stable Political Environment (+20)
2.Stable Fiscal and Macroeconomic Policies (+20)
3.Economic recovery plan post-pandemic indicate responsive policy making. (+15)</t>
  </si>
  <si>
    <t xml:space="preserve">Heavy Reliance on Mining Sector: Limited economic diversification poses long-term risks. (-10)
There's likely low barriers but the lack of reform details suggests room for improvement. (-5)
</t>
  </si>
  <si>
    <t>1.Clear primary economic focus on private sector growth. (+20)
2.Diverse economic focus with areas like Sustainable tourism, renewable energy, blue and digital economies, and health sectors. (+15)
3. Open policies with no significant barriers to U.S. trade. (+20)
4.: Streamlined services and attractive incentives support ease of doing business. (+15)</t>
  </si>
  <si>
    <t xml:space="preserve">Lack of  negative details 
</t>
  </si>
  <si>
    <t>Economy is generally open and marketbased. (+15)
Government commits to private sector development and privatization efforts. (+10)</t>
  </si>
  <si>
    <t>Business climate remains challenging for the private sector. (-15)
Lack of significant reforms toward a fully market based economy. (-15)
Limited success in privatizing state owned enterprises beyond one partial case. (-10)</t>
  </si>
  <si>
    <t>1. WTO Accession signals a strong commitment to integrate with global trade systems and align with international trade norms. (+15)
2. COVID Economic Recovery indicates resilience &amp; potential for gradual reform (+5)</t>
  </si>
  <si>
    <t>1.Fragile and Underdeveloped Economy (-15)
2.Government Inefficiency and State Ownership: Can hinder private sector development and market-based reforms. (-15)
3.Poor Infrastructure and Energy Instability: Power outages and limited utilities. (-10)</t>
  </si>
  <si>
    <t>1.High political desire to improve investment climate and regulatory environment. (+10)
2.Established regulations to foster the digital sector and improve business operations. (+10)
3. Public-Private Dialogue Improvements (+10)</t>
  </si>
  <si>
    <t>1.Weak Rule of Law and Property Rights (-15)
2.Large Informal Sector reflects limited trust in regulatory enforcement. (-10)
3.Key Reforms Still in Progress. (-5)</t>
  </si>
  <si>
    <t>1.Large Market Based Economy: Indicates alignment with economic principles. (+15 points)
2.Progress on Fiscal and Structural Reforms (from IMF) suggests policy efforts to improve governance and macroeconomic stability. (+10 points)</t>
  </si>
  <si>
    <t>1.Arbitrary Tax Audits Resulting in Heavy Fines: Undermines investor confidence and signals poor regulatory transparency. (-15 points)
2.Price Controls on Agricultural Commodities (-10 points)
3.Decisions made "behind closed doors" with unpredictable market entry rules are a major deterrent to U.S. and foreign investors. (-20 points)</t>
  </si>
  <si>
    <t>1.Strong performance driven by commodities and open financial/capital markets. (+15)
2.Attracts International Capital (+10)
3.U.S. Company Presence: Multiple U.S. firms operating locally. (+5)</t>
  </si>
  <si>
    <t>1.Import Restrictions and barriers on several products,showing limit trade freedom. (-10)
2.Despite reform efforts, bureaucratic hurdles remain a significant obstacle. (-10)
3.Lack of Regulatory Transparency: Creates uncertainty and risk for foreign investors. (-10)</t>
  </si>
  <si>
    <t>1.Operates primarily under market based principles. (+10)
2.Government actively encourages foreign investment from all countries. (+10)
3.Telecom Sector Expansion (+10)
4.  Activly  improving the investment framework which reflects ongoing reform. (+10)</t>
  </si>
  <si>
    <t>1. Price Controls on Basic Goods: Indicates partial market distortions and state intervention. (-5)
2.State-Owned Enterprises (Utilities, Telecom): Dominance of state ownership in core infrastructure limits market openness. (-10)
3.Lack of Full Competition and Transparency: While reforms are underway, actual structural liberalization remains limited. (-5)</t>
  </si>
  <si>
    <t>1. Leveraging AGOA shows strong alignment with U.S. trade facilitation. (+20)
2. Infrastructure Expansion such as launching a national airline  (+10)
3.  Working with USAID and promoting AGOA shows openness. (+10)
4.Implementing WTO-compliant electronic advance ruling system. (+10)</t>
  </si>
  <si>
    <t xml:space="preserve">1.Challenging Business Climate Due to Corruption. (-10)
2. Limited FDI which eflects investor hesitation despite reforms. (-5)
</t>
  </si>
  <si>
    <t>1.Government Influence Over Firms: While not a direct trade barrier, this suggests limited economic 2.independence and market distortion,  reducing investor confidence and fair competition. (-10)</t>
  </si>
  <si>
    <t xml:space="preserve">1.Market-Based Economy (+20)
2.Few Barriers to Trade and Investment. (+20)
3.Improved Political Stability Since 2017 which boosts investor confidence. (+10)
Support for MSMEs which is important for inclusive growth and economic resilience. (+5)
Streamlined Business Processes: Short time to start a business from 25 to 2 days. (+10)
</t>
  </si>
  <si>
    <t xml:space="preserve">Market Based Economy. (+20 points)
</t>
  </si>
  <si>
    <t xml:space="preserve">1.Challenging Business and Investment Climate. (-10 )
2.Lack of Respect for Contract Sanctity. (-15 )
3.Inefficient Customs and Port Infrastructure which raises trade costs and slows logistics. (-10 )
4.Import Bans and Product Restrictions cause trade barriers for U.S. exports. (-15 )
5.Foreign Exchange Restrictions: Impede currency convertibility and repatriation of profits. (-10 )
6.Rising Inflation and Currency Depreciation shows economic instability. (-10 )
</t>
  </si>
  <si>
    <t>1.Market Based Economy with Openness to Foreign Investment. (+15 points)
2.Few Formal Restrictions on Private Investment. (+10 points)
3.Untapped Resource Potential (phosphates, bauxite, oil/gas). (+5 points)</t>
  </si>
  <si>
    <t>1.One of the most impoverished economies with small domestic demand and investment appeal.(-10)
2.Annoying administrative processes discourage investment and business operations. (-15 )
3.High Costs and Poor Infrastructure. (-15 )
4.Lack of regulatory transparency &amp; poor access to credit which reduces investor confidence and limits SME development. (-15 )</t>
  </si>
  <si>
    <t>1. Market Based Economy with Liberal Trade and Forex Regimes. (+20)
2.Regulatory Improvements and FDI Promotion. (+15 )
3.U.S.-Kenya Strategic Trade and Investment Partnership (since July 2022). (+10 )
4.On October 2022 a ban  was lifted on genetically engineered products. (+10 )</t>
  </si>
  <si>
    <t xml:space="preserve">1. Significant and persistent barrier to U.S. agricultural trade. (-20 )
2.Legal Challenge on GE Product Importation which adds uncertainty for U.S. exporters. (-5 )
</t>
  </si>
  <si>
    <t>1.Reinforcing Market Based Economy and Rule of Law. (+20 )
2.Removing Barriers to Trade. (+20 )
3.AGOA Apparel Success which is Major Contributor to GDP and Employment. (+15 )
4.No Major Barriers to Trade and Investment. (+15 )
5.Launch of National Single Window Project  which improves border &amp; trade efficiency. (+10 )</t>
  </si>
  <si>
    <t>1.General Market Based Economy. (+15 )
2.Reforms under IMF Extended Credit Facility Restoring Financial Stability. (+15 )</t>
  </si>
  <si>
    <t xml:space="preserve">1.Investment Act Restricts Ownership limiting foreign investor participation in important sectors. (-20 )
2.Non-Liberians Cannot Own Real Estate; Must Lease Land. (-15 points)
3.Limited Access to Finance and Business Inputs for SMEs which hinders private sector growth and overall economic dynamism. (-15)
</t>
  </si>
  <si>
    <t>1.Investment in Infrastructure and Growing Exports. (+15 )
2.Textile and Apparel Exports Under AGOA provides U.S. market access and employment. (+10 )
3.New Investment Law in May 2023 Shows improvements to investment climate. (+10 )</t>
  </si>
  <si>
    <t>1.Government limits competition (ex: Vanilla Export Restrictions): Disrupting key export sector and reduces market openness. (-20 points)
2.Bureaucratic Delays, Excessive Processes, and Poor Data Systematization. (-15 )
3.Foreign Worker Restriction (Max 20% of Workforce): Limits flexibility for foreign investors. (-10)</t>
  </si>
  <si>
    <t xml:space="preserve">1.High Transport Costs: Increases the cost of doing business and limits competitiveness. (-15 )
2.Poor Infrastructure and Utilities: Significant constraint on trade and investment. (-15 )
3.Limited Access to Technology and Credit: Hinders private sector growth and modernization. (-15 )
</t>
  </si>
  <si>
    <t>1.Market-Based Economy with Growing Private Sector. (+20 )
2.Government Emphasis on Private Sector-Led Development and Trade Reforms. (+15 )
3.Agriculture as a Key Export Sector. (+10 )</t>
  </si>
  <si>
    <t>1.Market Based Economy with No Foreign Investment Restrictions. (+25 )
2.Creation of Investment Promotion Agency to Address Bureaucratic Issues. (+15 )
3.Modernization of Customs Procedures and Simplification of Import/Export Processes. (+15 )
4.Enactment of National Competition Law and Industry Strategy. (+15 )</t>
  </si>
  <si>
    <t>1.Market Based Economy: Strong foundation for trade and investment. (+20 )
2.Active Trade Agreement Negotiations with EU, UK, Japan, South Korea, UAE: Demonstrates commitment to expanding trade relations and reducing barriers. (+15 )
3. Cooperation Agreement with South Africa: Enhances regional economic integration. (+10 )
4.Strong Property Rights Enforcement: Courts respect property ownership. (+15 )
5. Independent Judiciary with Transparent Legal System. (+15 )
6. Party to Key International Arbitration Conventions and Possesses Arbitration Centers: Facilitates international investment dispute resolution and legal certainty. (+15)</t>
  </si>
  <si>
    <t xml:space="preserve">1.Announced 20 Economic Reforms Aligned with U.S. Recommendations. (+20 )
2.$537 Million MCC Compact Focused on Connectivity and Coastal Resilience: Significant international support for infrastructure and economic resilience. (+15 )
3.Tourist and Business Visa Exemption for 29 Countries. (+15 )
</t>
  </si>
  <si>
    <t>1.Modern, Market Based Economy with Rules Based Trading System. (+20 )
2.Expansion of Main Port (Walvis Bay) to Become Regional Logistics Hub. (+15 )
3.Embrace of Renewable Energy to Address Energy Gaps. (+10 )
4.Strong Telecommunications Infrastructure and Quality Roads. (+10 )
5.Stable, Democratic Governance which encourages investor confidence. (+15 )
6.One-Stop Center for Investors since Oct 2022. (+10 )
7.Digital Nomad Visa Program which attracts foreign talent and currency inflows. (+10 )</t>
  </si>
  <si>
    <t>1. Market Based Economy: Nigeria maintains foundational market economy principles. (+20 )
2.Protection of Private Property Rights. (+15 )
3.Transformation of NNPC into Limited Liability Company. (+15 )</t>
  </si>
  <si>
    <t>1.Use import prohibitions to protect  sectors, limiting trade openness and distort markets. (-20 )
2. Food insecurity, corruption, and poverty exacerbate challenges signal policy inefficiencies. (-15)</t>
  </si>
  <si>
    <t>1. Efforts to Improve Market-Based Economy. (+20 )
2.New Laws aligned with OECD Best Practices. (+15 )
3.Promotion of Kigali as a Financial Services Hub. (+10 )
4.Modernization of Tax and Financial Regulations. (+10 )
5.Active Central Bank Regulatory Improvements (+5 )</t>
  </si>
  <si>
    <t xml:space="preserve">1.Suspension of AGOA Apparel Benefits Due to Barriers on Imports: A ongoing trade policy dispute with the U.S. that affects bilateral trade relations. (-15 )
</t>
  </si>
  <si>
    <t>1.Commitment to a Market Based Economic System. (+15 )
2.Participatibg in Oil Exploration Zones: future diversification and foreign attraction. (+5 )</t>
  </si>
  <si>
    <t>1.Fragile Economy and High Poverty Levels: Structural economic weakness undermines practical commercial engagement. (-10 )
2.Narrow Export Base and High Reliance on External Financing which signals vulnerability, low diversification, and limited resilience. (-15 )
3.No Clear Evidence of Active Economic Reform or Institutional Capacity Improvements: Suggests minimal progress on deepening market mechanisms. (-10 )</t>
  </si>
  <si>
    <t>1.Well-Developed, Market-Based Economy:. (+20 )
2.Largely Open to Foreign Investment. (+15 )
3.Equitable Treatment of Foreign and Local Firms with no ownership restrictions. (+15 )
4.Improved Business Climate like faster business registration. (+10 )
5.Expansion of “Single Window” System and Digital Government Services. (+10 )</t>
  </si>
  <si>
    <t>1.Long Standing Import Ban on Poultry Products. (-10 )</t>
  </si>
  <si>
    <t>1.Market-Based Economy with Open, Rules-Based Trade System. (+20 )
2.Positive Toward Foreign Direct Investment (FDI): Encouraging for U.S. investors. (+15 )
3.No Restrictions on Foreign Ownership: Clear signal of economic openness. (+10 )
4.Use of Public-Private Partnerships for Infrastructure Investment. (+10 )</t>
  </si>
  <si>
    <t>1.Traditional Economy Dominated by Agriculture and Mining. (-10 )
2.Weak Infrastructure which is a constraint to trade, investment, and economic scalability. (-10 )
3.Inability to Support Practical Commercial Activities which suggests systemic constraints in logistics, utilities, or market depth. (-10 )</t>
  </si>
  <si>
    <t>1. Most Advanced, Diversified Economy in Africa. (+20 )
2. Largest U.S. Trading Partner in Africa. (+10 )
3.Sophisticated Financial Sector &amp; Institutions. (+10 )
4.Open, Rules-Based Trading System. (+10 )
5.Stable Institutions &amp; Mature Private Sector. (+10 )
6.Good Infrastructure which supports trade and investment logistics. (+5 )</t>
  </si>
  <si>
    <t>1.Market Access Obstacles for U.S. Agricultural Products. (-10 )
2.Concerns over Revised Copyright Legislation: Potential weakening of IP protection. (-5 )
3.Electricity Shortages: Ongoing infrastructure bottleneck that affects productivity. (-10 )
4.Localization, Equity Transfer Requirements: While aimed at development, these can deter foreign investment due to compliance burdens or reduced ownership control. (-5 )</t>
  </si>
  <si>
    <t>1.New Tanzania Investment Act (2022): Indicates broad reform efforts aimed at improving the investment climate for both domestic and foreign investors. (+20 )
2.Removal of Ban on Domestic GE Trials: Signals movement toward science-based agricultural policy. (+10 )
3.Modest Improvements to the Business Climate: Positive direction. (+10 )</t>
  </si>
  <si>
    <t>1. Heavy Government Involvement suggests issues with state control. (-10 )
2.Discretionary Import Licensing: A non-tariff barrier that directly restricts U.S. exports. (-15 )
3.Strict Legal Liability for GE Crops limits full adoption of biotechnology, which affects agriculture-related trade and investment. (-10 )</t>
  </si>
  <si>
    <t>METRI Score</t>
  </si>
  <si>
    <t>GFPA Score</t>
  </si>
  <si>
    <t>1. Market Based Economy with No Significant Trade/Investment Barriers. (+30 )
2. Economic Diversification Across Agriculture, Services, and Industry. (+10 )
3. Port of Lomé as 4th Largest in Africa: Strong infrastructure and logistics capacity. (+15 )
4. SME-Led Export Growth in Organic and Fair-Trade Goods. (+15 )
5. Exports to the U.S.like shea butter, cashews, beeswax (+10 )</t>
  </si>
  <si>
    <t>1. Corporate Governance Reforms promote minority investor rights. (+15 )</t>
  </si>
  <si>
    <t>1. Massive Public Debt indicates fiscal instability and limits flexibility in economic policy. (-15 )
2. Inability to Implement Fiscal &amp; Macroeconomic Reforms: Suggests weak policy execution. (-20 )
3. High Production Costs due to poor infrastructure, small market size, and geography. (-15 )</t>
  </si>
  <si>
    <t>1.Some opposition parties participated in legislative elections.
2.A small local party won a seat on a regional council.
3.Courts are the official recourse for civil disputes.
4.The government revitalized its single procurement office.
5.An oversight authority was empowered to reduce corruption in public procurement.</t>
  </si>
  <si>
    <t>1.Corruption remains a concern.
2.Government accountability remains weak despite improvements</t>
  </si>
  <si>
    <t>1.Multiple active political parties indicate political pluralism.
2.Ongoing efforts to strengthen the rule of law.
3.Upholding the right to due process.
4.Relatively free media environment.</t>
  </si>
  <si>
    <t>1.Long tradition of rule of law.
2.Clear separation of powers.
3.Effective and responsible judiciary.
4.Political stability since 1964.
5.Regular parliamentary and presidential elections every five years.
6.Election of President Hakainde Hichilema after a decade of democratic backsliding.
7. New President commits to national reconciliation &amp; protecting fundamental freedoms.</t>
  </si>
  <si>
    <t>1.Violent clashes between supporters of political parties during 2021 elections.
2.Government acts against parties (targeted harassment, closure of independent media).
3.Inconsistent enforcement of public safety and health laws.
4.Media environment remains constrained with punitive government threats.
5.Police service plagued by corruption and bribery.
6.Zambia ranked 98 of 180 countries on Transparency International’s 2023 Corruption Perceptions Index .</t>
  </si>
  <si>
    <t xml:space="preserve">1.Limited observation efforts during the February 2020 presidential elections.
2.Government revoked observation credentials from a U.S.-financed neutral civil society organization, raising transparency concerns.
3.Corruption remains pervasive, especially in land dispute settlements.
4.Togo ranks 126/180 in Transparency International’s 2023 Corruption Perception Index.
</t>
  </si>
  <si>
    <t>1. National elections generally free, fair, and peaceful.
2. Government has established an anti-corruption body (HAPLUCIA) to fight corruption.</t>
  </si>
  <si>
    <t>1.Removal of the ban on political rallies
2.Emphasis on inter-party reconciliation with the opposition
3. Peaceful political rallies occurring throughout the country
4.Presidential commitment to eliminating corruption</t>
  </si>
  <si>
    <t xml:space="preserve">1.Need for concrete legislative, regulatory, electoral, and institutional reforms
2.Civil society, media, and opposition still limited and needs improvement
3.Persistent institutional and structural frameworks facilitating corruption
4.Tanzania ranked 87 of 180 in Corruption Perception Index
</t>
  </si>
  <si>
    <t>1. Commitment to democracy, rule of law, due process, and fair trial.
2. Highly liberal constitution guiding public life and societal aspirations.
3. Robust political and judicial institutional frameworks.
4. Established anti-corruption legislation like Prevention and Combating of Corrupt Activities Act, Prevention of Organized Crime Act.</t>
  </si>
  <si>
    <t>1. Enforcement deficiencies within police forces.
2. Mixed performance in combating corruption as legislation exists but enforcement lags.
3. Modest success in asset forfeiture recoveries, indicating weak implementation.
4. Ranked 83 of 180 in Transparency International's 2023 Corruption Perceptions Index.</t>
  </si>
  <si>
    <t>1.Constitutional republic protecting rights and freedoms.
2.Opposition party actively participates in elections (political pluralism).
3.Justice sector reforms after previous neglect.</t>
  </si>
  <si>
    <t>1. Concerns over the validity of election due to voting irregularities.
2. Fragile application of the rule of law across the country.
3. Ranked 108 of 180 on Transparency International's 2023 Corruption Perception Index.</t>
  </si>
  <si>
    <t xml:space="preserve">1. Corruption remains persistent across various sectors
2. Rent seeking by bureaucrats and opaque public procurement 
3. Corruption issues in police and judiciary 
</t>
  </si>
  <si>
    <t>1. Longstanding tradition of democratic pluralism and an open political system 
2. Peaceful transfer of power in 2024 despite turbulent elections
3. Reactivation of special courts to investigate corruption 
4. Creation of National Anti-Corruption Commission and asset declaration procedures</t>
  </si>
  <si>
    <t xml:space="preserve">1.Free and Competitive Elections such as the multi-party elections held in 2022 
2. Investigation into military abuse involved cooperation between local authorities and the Portuguese Judicial Police.
3.STP ranked 67/180 on Transparency International's 2023 Corruption Perceptions Index.
4. STP remains committed to macroeconomic and regulatory reforms.
</t>
  </si>
  <si>
    <t>1.Post-Election Instability such as the coup attempted after ADI took power in 2022.
2.Human Rights Concerns like the four detainees died in military custody.
3.Military Involvement in Politics as armed forces potentially entangled in politics.</t>
  </si>
  <si>
    <t>1.Engagement on human rights especially disability rights and gender equality.
2.Citizen participation is promoted via innovative processes.
3.Anti-corruption efforts like 2022 public procurement law aimed at reducing corruption.
4.Transparency International 2023 Ranking was 49 of180 which is above global median.</t>
  </si>
  <si>
    <t>1.Politically motivated imprisonments render critics ineligible for office.
2.Lack of political space suggests limited opposition or debate.
3.Enforced disappearances, torture, extrajudicial killings.
4.Transnational repression indicates systemic political control.</t>
  </si>
  <si>
    <t xml:space="preserve">1.Persistent corruption and bribery despite systems and frameworks.
2.Ranked 145/180 on the 2023 Corruption Perceptions Index (Transparency International).
</t>
  </si>
  <si>
    <t>1.Significant political pluralism.
2.Presidential and state elections were held.
3.Nigeria is a party to the UN Convention Against Corruption.</t>
  </si>
  <si>
    <t>1.Corruption needs additional legislation (-10 )
2."Relatively" Free of Political Influence however some degree of vulnerability. (-7 )</t>
  </si>
  <si>
    <t>1.Judicial Independence &amp; Due Process. (+20)
2.Namibia has one of the freest presses in Africa. (+20)
3.Peaceful Political Transition such as the one that occurred in 2024.(+18)
4.Anticorruption Legislation to combat public corruption. (+15)
5.Ranked 59 /180 by Transparency International in 2023. (+10)</t>
  </si>
  <si>
    <t>1.Mozambique is 145/180 in 2023 Corruption Perceptions Index (CPI). (−30)
2.Weak enforcement, judicial inefficiency, &amp; potential political interference. (−20)
3.Limited Impact of Reforms as they are new &amp; outcomes have yet emerged. (−10)</t>
  </si>
  <si>
    <t xml:space="preserve">1.Policy Commitment such as new strategy for Anti-Money Laundering (AML) and Countering the Financing of Terrorism (CFT). (+10)
2.Prosecution of Corruption such as high-profile corruption case in december 2022. (+8)
</t>
  </si>
  <si>
    <t xml:space="preserve">1.Political stability since 1968 with peaceful transitions of power.
2. Regular and fair elections held approximately every 5 years.
3. Judicial system retains independence and power, based on French/British traditions.
4. Existence of a commercial court to expedite commercial disputes.
</t>
  </si>
  <si>
    <t>1.Police overreach against civil society and opposition figures.
2.Concerns about impunity for law enforcement.
3.Ongoing corruption cases involving senior officials.
4.Ranked 55/180 on Transparency International’s 2023 CPI.</t>
  </si>
  <si>
    <t>1.No data on if reforms have had real implications.
2.Potential for Symbolic Reforms
3.No mention of civil society involvement or press freedom in the process.</t>
  </si>
  <si>
    <t xml:space="preserve">1.Judicial Reform Initiatives such as prison and anti-slavery court reforms.
2.Political Pluralism and the efforts to safeguard transparency in elections.
3.Anticorruption Measures to combat corruption.
</t>
  </si>
  <si>
    <t xml:space="preserve">1.Judicial Capacity Gaps as there is an insufficient staffing leads to delays to justice.
2. Ranked 115 of 180 in the 2023 Corruption Perceptions Index.
</t>
  </si>
  <si>
    <t>1. Malawi has an independent judiciary, which is foundational to rule of law.
2.Political Pluralism &amp; Freedoms.
3.Institutional Functionality.
4.Anticorruption Enforcement as ACB has arrested high profile figures.</t>
  </si>
  <si>
    <t>1.Constitution and law provide for judicial independence.
2.Presence of Transparency International data showing awareness of corruption levels.</t>
  </si>
  <si>
    <t>1.Erosion of political pluralism and freedom of expression.
2.Parliament and Supreme Court dominated by the president’s party and allies.
3.Limit opposition rallies and meetings.
4.Detention of political opponents, journalists, and activists.
5.High treatment for high-level officials &amp; unjust arrests and incarceration of opponents.
6.Ranked very low (145/180) on the Corruption Perceptions Index.</t>
  </si>
  <si>
    <t>1.Agencies enforcing rule of law and anticorruption are underfunded.
3.Justice is unevenly administered.
4.Delays in litigation and backlog of court cases.
5.Corruption is a major barrier to trade and investment.
6.Transparency International ranks Liberia 145 of 180 on corruption perception.</t>
  </si>
  <si>
    <t>1.Progress on rule of law reforms has been slow in certain areas.
2.Despite pursuing cases, DCEO has never won a major conviction.
3.Lesotho ranks 93 out of 180 countries in the 2023 Corruption Perceptions Index.</t>
  </si>
  <si>
    <t>1.Elections in October 2022 declared free and fair by local and international observers.
2. New administration hasn't interfered to protect politically connected individuals.
3. Progress on rule of law reforms.
4.Directorate on Corruption and Economic Offences investigates corruption complaints.
5.DCEO has pursued several high-profile corruption cases.</t>
  </si>
  <si>
    <t>1.Corruption remains a significant barrier to business ass there is difficulty for companies following legal standards to compete fairly
3. Kenya ranked 126/180 in Transparency International’s Corruption Perceptions Index</t>
  </si>
  <si>
    <t>1.Independent judicial system guaranteeing rights and freedoms
2. Constitution and laws protect political pluralism
3. Government campaigns actively against corruption
4. Anticorruption agencies coordinating more effectively and prosecuting officials</t>
  </si>
  <si>
    <t>1.Occasional intimidation of government critics.
2.Country remains vulnerable to political instability and factional conflicts.
3.Judicial system vulnerable to influence .
5.Transparency International’s 2023 Corruption Perceptions Index rank is 158/180.</t>
  </si>
  <si>
    <t xml:space="preserve">1.Freedom of assembly and association are recognized and usually respected.
2.Nongovernmental organizations generally operate freely.
3.Free and fair elections held in 2019.
4.Opposition parties operate openly.
5.Freedom of expression is generally the rule.
6.Progress toward political stability.
</t>
  </si>
  <si>
    <t>1.Corruption remains significant and public anti-corruption institutions are weak. Such as high level fraud in public contract and police soliciting bribes at roadblocks.</t>
  </si>
  <si>
    <t xml:space="preserve">1.The government has made efforts to reduce court backlogs by establishing a commercial court.
3.Introduction of plea bargaining in 2022 improves the criminal justice system.
4.Ranked 70 out of 180 in the 2023 Corruption Perceptions Index.
</t>
  </si>
  <si>
    <t>1.Commitment to respecting rights of expression, press, assembly, and due process.
3.Diverse and open political arena with at least 20 political parties.
4.Free, fair, and peaceful elections such as presidential in 2021 &amp; parliamentary in 2022.
5.Rising public awareness of corruption.
6.Improved government willingness to address corruption.</t>
  </si>
  <si>
    <t xml:space="preserve">1.Declining performance on rule of law and political pluralism.
2.High profile political murder (Thulani Maseko) and killings by security forces.
3.National dialogue promised but not materialized since 2021 protests.
4.Judicial capacity is limited which is causing significant case backlogs.
5.Low corruption ranking 130/180 by Transparency International.
</t>
  </si>
  <si>
    <t>1.Courts are generally independent of executive control or influence.
2.Judicial process is procedurally competent, fair, and reliable.
3.Government efforts on cutting costs and combating corruption continue.</t>
  </si>
  <si>
    <t>1.Opposition parties continue to boycott elections.
2.Clan dynamics and traditional conflict resolution methods undermine legal processes.
3.Djibouti’s ranking of 130 out of 180 in the Corruption Perception Index.</t>
  </si>
  <si>
    <t>1.Elections are recognized as triggers for violence, implying ongoing instability risks.
2.The ranking of 87/180 suggests significant room for improvement in corruption.
3.Prison overcrowding and related issues still exist.</t>
  </si>
  <si>
    <t>1.Government efforts to reduce election related violence through multi party dialogue.
2. Inclusion of opposition parties in the Independent Electoral Commission.
3.Ministry of Justice’s new guidelines improving prisoner health, safety, and legal access.
4.Government commitment to combating corruption with noticeable results.
5.Transparency International ranking of  87/180.</t>
  </si>
  <si>
    <t>1.Political pluralism and space for opposition
2.Freedom of the Press Act in 2023.
3.Anti-corruption efforts and financial oversight.</t>
  </si>
  <si>
    <t>1.Security forces excessive use of force during peaceful protests 
2.Slow prosecution of corrupt figures, reflecting weak enforcement.
3.Justice system capacity such as NGOs lack of capacity to prosecute corruption cases.
4.Corruption perception ranking is 162/180.</t>
  </si>
  <si>
    <t>1.Opposition Representation suggests limited political pluralism and inclusiveness 
2.Legal Framework exists, indicating that anticorruption measures are codified in law.
3.Presidential Admonishment and commitment to anticorruption.</t>
  </si>
  <si>
    <t xml:space="preserve">1.Authoritarian Dominance suggests suppression of effective political pluralism.
2.Regional Favoritism implies nepotism and regional bias in governance.
3.Weak Rule of Law suggests systemic issues in legal enforcement and fairness.
4.Corruption Prevalence points to widespread and unchecked corruption.
5.Low Global Ranking validates poor performance with credible external data.
6.Uneven Law Enforcement shows a sign of selective justice and weak institutions.
</t>
  </si>
  <si>
    <t>1.History of instability such as 21 coups or coup attempts since independence.
2.Opposition boycotted the 2020 parliamentary elections, indicating political tensions.
3.Constitutional amendment in 2018 allowed President Azali to extend his term.
4.Limiting religious freedom.
5.Ranked 162 out of 180 countries in the 2023 Corruption Perception Index.
6.Political elites abuse positions for personal gain, siphoning public funds.
7.Political environment is described as fragile, showing potential for instability.</t>
  </si>
  <si>
    <t>1.Domestic political environment is described as stable, though fragile.
2.Constitutional commitment (2018) to promote and strengthen anti-corruption efforts.
3.Despite political challenges, institutional frameworks exist.</t>
  </si>
  <si>
    <t>1.Military coup after President Idriss Deby Itno's death, dissolution of the constitution.
2.Extension of military government mandate beyond original transition timeline.
3.Violent suppression of widespread protests.
4.Concentration of executive, legislative, and judicial powers in the president’s office.
5.Ranking on Transparency International’s Corruption Perceptions Index (162 out of 180).
6.Significant unaccounted civilian expenditures (~$240 million, 13% of budget).
7. Over-reliance on emergency spending measures facilitating budgetary graft.</t>
  </si>
  <si>
    <t xml:space="preserve">1. 18-month transition period aimed at a National Dialogue &amp; return to civilian rule.
2.The "Inclusive National Dialogue" aims to prepare for elections.
3.Conducted of presidential elections in May 2024, with Mahamat Idriss Deby elected president.
</t>
  </si>
  <si>
    <t>1,Political and economic freedom.
2.Respect for Rule of Law as judiciary is independent and free from political influence.
3.Government commitment: Strong dedication to due process and protection.
4.Anti-corruption legal framework: Bribery is criminalized with severe penalties.
5.Ranked 30/180, which is within the top 17%.</t>
  </si>
  <si>
    <t xml:space="preserve">1.Corruption still exists and has not been eradicated entirely.
</t>
  </si>
  <si>
    <t xml:space="preserve">2.Room for improvement in court system speed and effectiveness
</t>
  </si>
  <si>
    <t xml:space="preserve">1.Long-standing, multi-party democracy with free and fair elections
2.Independent judiciary producing predictable, law-based decisions
3.Relatively efficient court system
4.Enforcement of contracts and respect for property rights
5.Ranked 39/180 in Transparency International’s 2023 Corruption Perceptions Index 
</t>
  </si>
  <si>
    <t>1.Corruption hotline alone might be insufficient without further enforcement.</t>
  </si>
  <si>
    <t>1.Inclusive elections held in 2023 which marks political stability and pluralism.
2.First inclusive elections since 2016 which shows progress after a period.
3.Les Démocrates winning 28 of 109 seats which indicates political diversity.
4.Female candidates winning the largest number of seats historically.
5.Transparency International CPI ranked the country 70/180.
6. Ministry of Interior operating a corruption hotline.</t>
  </si>
  <si>
    <t>1.Prioritization of strengthening rule of law and fighting impunity/corruption
2.Presidential elections held largely peacefully in August 2022
3.Increasingly vocal presence of women’s rights advocates in political life
4.Government efforts to recover illegally acquired assets</t>
  </si>
  <si>
    <t xml:space="preserve">1.Limited access to independent election information
2.Societal pressures discourage women’s political participation
3.Angola ranks 121/180 on the 2023 Corruption Perceptions Index </t>
  </si>
  <si>
    <t>METRI Positive Indicators:</t>
  </si>
  <si>
    <t>METRI Negative Indicators:</t>
  </si>
  <si>
    <t>GFPA Positive Indicators:</t>
  </si>
  <si>
    <t>GFPA Negative Indicators:</t>
  </si>
  <si>
    <r>
      <t xml:space="preserve">Capacity constraints at APIEX may slow progress or limit effectiveness. </t>
    </r>
    <r>
      <rPr>
        <i/>
        <sz val="9"/>
        <color theme="1"/>
        <rFont val="Aptos Narrow"/>
        <scheme val="minor"/>
      </rPr>
      <t>(-10)</t>
    </r>
  </si>
  <si>
    <t>Africa AGOA Eligible Countries</t>
  </si>
  <si>
    <t>Ranking</t>
  </si>
  <si>
    <t>No Data Released On Debt/GDP</t>
  </si>
  <si>
    <t>mL Time Series Upper 95%</t>
  </si>
  <si>
    <t>mL Time Series Lower 95%</t>
  </si>
  <si>
    <t xml:space="preserve">mL Time Series </t>
  </si>
  <si>
    <t>Year</t>
  </si>
  <si>
    <t>Trade Deficit ($ bn)</t>
  </si>
  <si>
    <t>Budget Deficit (% GDP)</t>
  </si>
  <si>
    <t>Fed Funds Rate Range (%)</t>
  </si>
  <si>
    <t>Dollar Index (year‑end / peak)</t>
  </si>
  <si>
    <t>–19.7</t>
  </si>
  <si>
    <t>&gt;18</t>
  </si>
  <si>
    <t>–22.3</t>
  </si>
  <si>
    <t>–27.5</t>
  </si>
  <si>
    <t>–52.4</t>
  </si>
  <si>
    <t>–106.7</t>
  </si>
  <si>
    <t>–117.7</t>
  </si>
  <si>
    <t>12–19</t>
  </si>
  <si>
    <t>8.7–9.6</t>
  </si>
  <si>
    <t>9.6–11.6</t>
  </si>
  <si>
    <t>7.5–8.6</t>
  </si>
  <si>
    <t>10–14</t>
  </si>
  <si>
    <t>−14.7 %</t>
  </si>
  <si>
    <t>0.00–0.25</t>
  </si>
  <si>
    <t>−12.1 %</t>
  </si>
  <si>
    <t>−5.4 %</t>
  </si>
  <si>
    <t>−6.3 %</t>
  </si>
  <si>
    <t>−6.4 % (≈ $1.83 tn)</t>
  </si>
  <si>
    <t>2025*</t>
  </si>
  <si>
    <t>0.00–0.10</t>
  </si>
  <si>
    <t>5.25–5.50</t>
  </si>
  <si>
    <t>4.25–5.00</t>
  </si>
  <si>
    <t xml:space="preserve">4.25–4.50 </t>
  </si>
  <si>
    <t>EU</t>
  </si>
  <si>
    <t xml:space="preserve">buy concessions </t>
  </si>
  <si>
    <t>750 billion in us energy</t>
  </si>
  <si>
    <t>+</t>
  </si>
  <si>
    <t xml:space="preserve">600 billion investment </t>
  </si>
  <si>
    <t>=</t>
  </si>
  <si>
    <t>15% tariff</t>
  </si>
  <si>
    <t>befire trump</t>
  </si>
  <si>
    <t>4 oercent</t>
  </si>
  <si>
    <t xml:space="preserve">buy concessions  like rice imports </t>
  </si>
  <si>
    <t xml:space="preserve">550 billion investment </t>
  </si>
  <si>
    <t xml:space="preserve">Phillipines </t>
  </si>
  <si>
    <t xml:space="preserve">reduce tariff us imports + military cooperation </t>
  </si>
  <si>
    <t>19% tariff</t>
  </si>
  <si>
    <t xml:space="preserve">Indonesia </t>
  </si>
  <si>
    <t>reduce tariff us imports by 15 billion in energy products + 50 boeing jets</t>
  </si>
  <si>
    <t xml:space="preserve">Vietnam </t>
  </si>
  <si>
    <t xml:space="preserve">reduce tariff us imports + limit trans shipments </t>
  </si>
  <si>
    <t>20% tariff</t>
  </si>
  <si>
    <t>Uk</t>
  </si>
  <si>
    <t xml:space="preserve">10billion in boeing + trading rules </t>
  </si>
  <si>
    <t>10% tariff</t>
  </si>
  <si>
    <t xml:space="preserve">struggle to find alternatives to us market </t>
  </si>
  <si>
    <t>china</t>
  </si>
  <si>
    <t>100+</t>
  </si>
  <si>
    <t xml:space="preserve">china iposed 100+ on us and resructed rare earth minerals  </t>
  </si>
  <si>
    <t>https://www.youtube.com/watch?v=E-SuG0E6_Jc</t>
  </si>
  <si>
    <t xml:space="preserve">mexico </t>
  </si>
  <si>
    <t>india</t>
  </si>
  <si>
    <t>paused for another 90 days</t>
  </si>
  <si>
    <t>Score Range</t>
  </si>
  <si>
    <t>Suggested Investment Probability</t>
  </si>
  <si>
    <t>Explanation</t>
  </si>
  <si>
    <t>15–18</t>
  </si>
  <si>
    <t>85% – 95%</t>
  </si>
  <si>
    <t>Strong fundamentals, high governance, likely attractive to both public and private capital.</t>
  </si>
  <si>
    <t>12–14</t>
  </si>
  <si>
    <t>65% – 80%</t>
  </si>
  <si>
    <t>Moderate to strong investment case; may lack in one area but still attractive.</t>
  </si>
  <si>
    <t>10–12</t>
  </si>
  <si>
    <t>40% – 60%</t>
  </si>
  <si>
    <t>Mixed or developing case; could be emerging opportunities but with caution.</t>
  </si>
  <si>
    <t>5–9</t>
  </si>
  <si>
    <t>10% – 30%</t>
  </si>
  <si>
    <t>High risk; investment unlikely unless conditions improve significantly.</t>
  </si>
  <si>
    <t>Côte d'Ivoire</t>
  </si>
  <si>
    <t>Eswatin!</t>
  </si>
  <si>
    <t>Rwanda</t>
  </si>
  <si>
    <t>The Gambla</t>
  </si>
  <si>
    <t>Zambla</t>
  </si>
  <si>
    <t>KEY</t>
  </si>
  <si>
    <t>TABLE</t>
  </si>
  <si>
    <t>Export Forecast</t>
  </si>
  <si>
    <t>Dilbouti</t>
  </si>
  <si>
    <t>AGAO Range: 0, 1,2,3,4</t>
  </si>
  <si>
    <t>Export Range: 0,1,2,3,4</t>
  </si>
  <si>
    <t>Resource Range: 0,1,2,3,4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</si>
</sst>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yyyy"/>
    <numFmt numFmtId="166" formatCode="0.000"/>
    <numFmt numFmtId="167" formatCode="0.0000"/>
  </numFmts>
  <fonts count="24">
    <font>
      <sz val="12"/>
      <color theme="1"/>
      <name val="Aptos Narrow"/>
      <family val="2"/>
      <scheme val="minor"/>
    </font>
    <font>
      <b/>
      <sz val="12"/>
      <color theme="1"/>
      <name val="Aptos Narrow"/>
      <family val="2"/>
      <scheme val="minor"/>
    </font>
    <font>
      <sz val="10"/>
      <color theme="1"/>
      <name val="Aptos Narrow"/>
      <family val="2"/>
      <scheme val="minor"/>
    </font>
    <font>
      <sz val="12"/>
      <color rgb="FF000000"/>
      <name val="Times New Roman"/>
      <family val="1"/>
    </font>
    <font>
      <b/>
      <sz val="12"/>
      <color theme="1"/>
      <name val="Aptos Narrow"/>
      <scheme val="minor"/>
    </font>
    <font>
      <i/>
      <sz val="12"/>
      <color theme="1"/>
      <name val="Aptos Narrow"/>
      <scheme val="minor"/>
    </font>
    <font>
      <b/>
      <sz val="15"/>
      <color theme="1"/>
      <name val="Aptos Narrow"/>
      <scheme val="minor"/>
    </font>
    <font>
      <b/>
      <i/>
      <sz val="15"/>
      <color theme="1"/>
      <name val="Aptos Narrow"/>
      <scheme val="minor"/>
    </font>
    <font>
      <sz val="12"/>
      <color theme="0"/>
      <name val="Aptos Narrow"/>
      <family val="2"/>
      <scheme val="minor"/>
    </font>
    <font>
      <i/>
      <sz val="9"/>
      <color theme="1"/>
      <name val="Aptos Narrow"/>
      <scheme val="minor"/>
    </font>
    <font>
      <sz val="9"/>
      <color theme="1"/>
      <name val="Aptos Narrow"/>
      <family val="2"/>
      <scheme val="minor"/>
    </font>
    <font>
      <b/>
      <sz val="10"/>
      <color theme="1"/>
      <name val="Aptos Narrow"/>
      <scheme val="minor"/>
    </font>
    <font>
      <sz val="10"/>
      <color theme="1"/>
      <name val="Aptos Narrow"/>
      <scheme val="minor"/>
    </font>
    <font>
      <sz val="9"/>
      <color theme="1"/>
      <name val="Aptos Narrow"/>
      <scheme val="minor"/>
    </font>
    <font>
      <sz val="12"/>
      <color rgb="FF000000"/>
      <name val="Aptos Narrow"/>
      <family val="2"/>
      <scheme val="minor"/>
    </font>
    <font>
      <sz val="12"/>
      <color rgb="FFFF0000"/>
      <name val="Aptos Narrow"/>
      <family val="2"/>
      <scheme val="minor"/>
    </font>
    <font>
      <b/>
      <sz val="11"/>
      <color theme="1"/>
      <name val="Aptos Narrow"/>
      <scheme val="minor"/>
    </font>
    <font>
      <b/>
      <sz val="9"/>
      <color theme="1"/>
      <name val="Aptos Narrow"/>
      <scheme val="minor"/>
    </font>
    <font>
      <sz val="13"/>
      <color theme="1"/>
      <name val="Aptos Narrow"/>
      <scheme val="minor"/>
    </font>
    <font>
      <b/>
      <sz val="12"/>
      <color theme="2" tint="-0.499984740745262"/>
      <name val="Aptos Narrow"/>
      <family val="2"/>
      <scheme val="minor"/>
    </font>
    <font>
      <sz val="12"/>
      <color theme="1"/>
      <name val="Aptos Narrow"/>
      <scheme val="minor"/>
    </font>
    <font>
      <sz val="12"/>
      <color theme="1"/>
      <name val="Helvetica"/>
      <family val="2"/>
    </font>
    <font>
      <b/>
      <sz val="12"/>
      <color rgb="FFFF0000"/>
      <name val="Aptos Narrow"/>
      <scheme val="minor"/>
    </font>
    <font>
      <i/>
      <sz val="12"/>
      <color theme="1"/>
      <name val="Helvetica"/>
      <family val="2"/>
    </font>
  </fonts>
  <fills count="18">
    <fill>
      <patternFill patternType="none"/>
    </fill>
    <fill>
      <patternFill patternType="gray125"/>
    </fill>
    <fill>
      <patternFill patternType="solid">
        <fgColor theme="6" tint="0.59999389629810485"/>
        <bgColor indexed="64"/>
      </patternFill>
    </fill>
    <fill>
      <patternFill patternType="solid">
        <fgColor theme="6" tint="0.79998168889431442"/>
        <bgColor indexed="64"/>
      </patternFill>
    </fill>
    <fill>
      <patternFill patternType="solid">
        <fgColor theme="0"/>
        <bgColor indexed="64"/>
      </patternFill>
    </fill>
    <fill>
      <patternFill patternType="solid">
        <fgColor rgb="FF000000"/>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rgb="FFC1F1C8"/>
        <bgColor indexed="64"/>
      </patternFill>
    </fill>
    <fill>
      <patternFill patternType="solid">
        <fgColor rgb="FF83CCEB"/>
        <bgColor indexed="64"/>
      </patternFill>
    </fill>
    <fill>
      <patternFill patternType="solid">
        <fgColor rgb="FFCBEDFB"/>
        <bgColor indexed="64"/>
      </patternFill>
    </fill>
    <fill>
      <patternFill patternType="solid">
        <fgColor theme="1" tint="0.249977111117893"/>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rgb="FFC00000"/>
        <bgColor indexed="64"/>
      </patternFill>
    </fill>
    <fill>
      <patternFill patternType="solid">
        <fgColor theme="1"/>
        <bgColor indexed="64"/>
      </patternFill>
    </fill>
    <fill>
      <patternFill patternType="solid">
        <fgColor rgb="FFFFFF00"/>
        <bgColor indexed="64"/>
      </patternFill>
    </fill>
    <fill>
      <patternFill patternType="solid">
        <fgColor rgb="FFFFC000"/>
        <bgColor indexed="64"/>
      </patternFill>
    </fill>
  </fills>
  <borders count="27">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90">
    <xf numFmtId="0" fontId="0" fillId="0" borderId="0" xfId="0"/>
    <xf numFmtId="0" fontId="0" fillId="0" borderId="1" xfId="0" applyBorder="1"/>
    <xf numFmtId="0" fontId="0" fillId="0" borderId="2" xfId="0" applyBorder="1"/>
    <xf numFmtId="0" fontId="1" fillId="0" borderId="0" xfId="0" applyFont="1"/>
    <xf numFmtId="0" fontId="2" fillId="0" borderId="2" xfId="0" applyFont="1" applyBorder="1"/>
    <xf numFmtId="0" fontId="4" fillId="0" borderId="3" xfId="0" applyFont="1" applyBorder="1"/>
    <xf numFmtId="0" fontId="4" fillId="0" borderId="1" xfId="0" applyFont="1" applyBorder="1"/>
    <xf numFmtId="0" fontId="2" fillId="0" borderId="3" xfId="0" applyFont="1" applyBorder="1"/>
    <xf numFmtId="0" fontId="6" fillId="0" borderId="1" xfId="0" applyFont="1" applyBorder="1"/>
    <xf numFmtId="0" fontId="0" fillId="0" borderId="0" xfId="0" applyAlignment="1">
      <alignment horizontal="left"/>
    </xf>
    <xf numFmtId="0" fontId="8" fillId="4" borderId="0" xfId="0" applyFont="1" applyFill="1" applyAlignment="1">
      <alignment horizontal="left"/>
    </xf>
    <xf numFmtId="0" fontId="8" fillId="4" borderId="0" xfId="0" applyFont="1" applyFill="1"/>
    <xf numFmtId="0" fontId="0" fillId="0" borderId="0" xfId="0" applyAlignment="1">
      <alignment horizontal="center"/>
    </xf>
    <xf numFmtId="164" fontId="0" fillId="0" borderId="0" xfId="0" applyNumberFormat="1" applyAlignment="1">
      <alignment horizontal="center"/>
    </xf>
    <xf numFmtId="0" fontId="0" fillId="0" borderId="0" xfId="0" pivotButton="1" applyAlignment="1">
      <alignment horizontal="left"/>
    </xf>
    <xf numFmtId="0" fontId="4" fillId="0" borderId="0" xfId="0" applyFont="1" applyAlignment="1">
      <alignment horizontal="left"/>
    </xf>
    <xf numFmtId="164" fontId="0" fillId="4" borderId="4" xfId="0" applyNumberFormat="1" applyFill="1" applyBorder="1" applyAlignment="1">
      <alignment horizontal="center"/>
    </xf>
    <xf numFmtId="164" fontId="0" fillId="4" borderId="5" xfId="0" applyNumberFormat="1" applyFill="1" applyBorder="1" applyAlignment="1">
      <alignment horizontal="center"/>
    </xf>
    <xf numFmtId="164" fontId="0" fillId="4" borderId="6" xfId="0" applyNumberFormat="1" applyFill="1" applyBorder="1" applyAlignment="1">
      <alignment horizontal="center"/>
    </xf>
    <xf numFmtId="164" fontId="0" fillId="4" borderId="10" xfId="0" applyNumberFormat="1" applyFill="1" applyBorder="1" applyAlignment="1">
      <alignment horizontal="center"/>
    </xf>
    <xf numFmtId="164" fontId="0" fillId="4" borderId="1" xfId="0" applyNumberFormat="1" applyFill="1" applyBorder="1" applyAlignment="1">
      <alignment horizontal="center"/>
    </xf>
    <xf numFmtId="164" fontId="0" fillId="4" borderId="3" xfId="0" applyNumberFormat="1" applyFill="1" applyBorder="1" applyAlignment="1">
      <alignment horizontal="center"/>
    </xf>
    <xf numFmtId="0" fontId="9" fillId="0" borderId="0" xfId="0" applyFont="1" applyAlignment="1">
      <alignment horizontal="right" vertical="center"/>
    </xf>
    <xf numFmtId="164" fontId="9" fillId="0" borderId="0" xfId="0" applyNumberFormat="1" applyFont="1" applyAlignment="1">
      <alignment horizontal="right" vertical="center"/>
    </xf>
    <xf numFmtId="0" fontId="0" fillId="0" borderId="0" xfId="0" applyAlignment="1">
      <alignment horizontal="left" wrapText="1"/>
    </xf>
    <xf numFmtId="164" fontId="0" fillId="5" borderId="4" xfId="0" applyNumberFormat="1" applyFill="1" applyBorder="1" applyAlignment="1">
      <alignment horizontal="center"/>
    </xf>
    <xf numFmtId="164" fontId="0" fillId="5" borderId="5" xfId="0" applyNumberFormat="1" applyFill="1" applyBorder="1" applyAlignment="1">
      <alignment horizontal="center"/>
    </xf>
    <xf numFmtId="164" fontId="0" fillId="5" borderId="6" xfId="0" applyNumberFormat="1" applyFill="1" applyBorder="1" applyAlignment="1">
      <alignment horizontal="center"/>
    </xf>
    <xf numFmtId="164" fontId="0" fillId="5" borderId="0" xfId="0" applyNumberFormat="1" applyFill="1" applyAlignment="1">
      <alignment horizontal="center"/>
    </xf>
    <xf numFmtId="0" fontId="0" fillId="5" borderId="0" xfId="0" applyFill="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11" fillId="0" borderId="0" xfId="0" applyFont="1" applyAlignment="1">
      <alignment horizontal="left"/>
    </xf>
    <xf numFmtId="0" fontId="12" fillId="0" borderId="0" xfId="0" applyFont="1" applyAlignment="1">
      <alignment horizontal="center"/>
    </xf>
    <xf numFmtId="0" fontId="12" fillId="0" borderId="0" xfId="0" applyFont="1" applyAlignment="1">
      <alignment horizontal="left"/>
    </xf>
    <xf numFmtId="0" fontId="12" fillId="7" borderId="0" xfId="0" applyFont="1" applyFill="1" applyAlignment="1">
      <alignment horizontal="center"/>
    </xf>
    <xf numFmtId="0" fontId="12" fillId="8" borderId="0" xfId="0" applyFont="1" applyFill="1" applyAlignment="1">
      <alignment horizontal="center"/>
    </xf>
    <xf numFmtId="0" fontId="12" fillId="6" borderId="0" xfId="0" applyFont="1" applyFill="1" applyAlignment="1">
      <alignment horizontal="center"/>
    </xf>
    <xf numFmtId="0" fontId="13" fillId="0" borderId="0" xfId="0" applyFont="1" applyAlignment="1">
      <alignment horizontal="left"/>
    </xf>
    <xf numFmtId="164" fontId="13" fillId="0" borderId="0" xfId="0" applyNumberFormat="1" applyFont="1" applyAlignment="1">
      <alignment horizontal="right"/>
    </xf>
    <xf numFmtId="164" fontId="0" fillId="6" borderId="2" xfId="0" applyNumberFormat="1" applyFill="1" applyBorder="1" applyAlignment="1">
      <alignment horizontal="center"/>
    </xf>
    <xf numFmtId="164" fontId="0" fillId="7" borderId="2" xfId="0" applyNumberFormat="1" applyFill="1" applyBorder="1" applyAlignment="1">
      <alignment horizontal="center"/>
    </xf>
    <xf numFmtId="164" fontId="0" fillId="0" borderId="2" xfId="0" applyNumberFormat="1" applyBorder="1" applyAlignment="1">
      <alignment horizontal="center"/>
    </xf>
    <xf numFmtId="164" fontId="0" fillId="3" borderId="2" xfId="0" applyNumberFormat="1" applyFill="1" applyBorder="1" applyAlignment="1">
      <alignment horizontal="center"/>
    </xf>
    <xf numFmtId="0" fontId="12" fillId="6" borderId="2" xfId="0" applyFont="1" applyFill="1" applyBorder="1" applyAlignment="1">
      <alignment horizontal="center"/>
    </xf>
    <xf numFmtId="0" fontId="12" fillId="7" borderId="2" xfId="0" applyFont="1" applyFill="1" applyBorder="1" applyAlignment="1">
      <alignment horizontal="center"/>
    </xf>
    <xf numFmtId="0" fontId="12" fillId="0" borderId="2" xfId="0" applyFont="1" applyBorder="1" applyAlignment="1">
      <alignment horizontal="center"/>
    </xf>
    <xf numFmtId="0" fontId="12" fillId="8" borderId="2" xfId="0" applyFont="1" applyFill="1" applyBorder="1" applyAlignment="1">
      <alignment horizontal="center"/>
    </xf>
    <xf numFmtId="0" fontId="12" fillId="0" borderId="2" xfId="0" applyFont="1" applyBorder="1" applyAlignment="1">
      <alignment horizontal="left"/>
    </xf>
    <xf numFmtId="0" fontId="0" fillId="0" borderId="1" xfId="0" applyBorder="1" applyAlignment="1">
      <alignment horizontal="center"/>
    </xf>
    <xf numFmtId="0" fontId="0" fillId="0" borderId="12" xfId="0" applyBorder="1" applyAlignment="1">
      <alignment horizontal="left"/>
    </xf>
    <xf numFmtId="0" fontId="0" fillId="5" borderId="0" xfId="0" applyFill="1" applyAlignment="1">
      <alignment horizontal="left"/>
    </xf>
    <xf numFmtId="0" fontId="5" fillId="0" borderId="0" xfId="0" applyFont="1" applyAlignment="1">
      <alignment horizontal="left"/>
    </xf>
    <xf numFmtId="0" fontId="4" fillId="0" borderId="12" xfId="0" applyFont="1" applyBorder="1" applyAlignment="1">
      <alignment horizontal="center" vertical="center"/>
    </xf>
    <xf numFmtId="0" fontId="4" fillId="0" borderId="0" xfId="0" applyFont="1" applyAlignment="1">
      <alignment horizontal="center" vertical="center"/>
    </xf>
    <xf numFmtId="0" fontId="4" fillId="0" borderId="3" xfId="0" applyFont="1" applyBorder="1" applyAlignment="1">
      <alignment horizontal="center"/>
    </xf>
    <xf numFmtId="0" fontId="0" fillId="0" borderId="3" xfId="0" applyBorder="1" applyAlignment="1">
      <alignment horizontal="center"/>
    </xf>
    <xf numFmtId="0" fontId="1" fillId="0" borderId="12" xfId="0" applyFont="1" applyBorder="1"/>
    <xf numFmtId="0" fontId="5" fillId="0" borderId="0" xfId="0" applyFont="1"/>
    <xf numFmtId="0" fontId="5" fillId="0" borderId="1" xfId="0" applyFont="1" applyBorder="1"/>
    <xf numFmtId="165" fontId="4" fillId="0" borderId="1" xfId="0" applyNumberFormat="1" applyFont="1" applyBorder="1"/>
    <xf numFmtId="165" fontId="0" fillId="0" borderId="0" xfId="0" applyNumberFormat="1"/>
    <xf numFmtId="166" fontId="0" fillId="0" borderId="0" xfId="0" applyNumberFormat="1"/>
    <xf numFmtId="165" fontId="5" fillId="0" borderId="0" xfId="0" applyNumberFormat="1" applyFont="1"/>
    <xf numFmtId="166" fontId="14" fillId="0" borderId="0" xfId="0" applyNumberFormat="1" applyFont="1"/>
    <xf numFmtId="0" fontId="4"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0" fillId="9" borderId="12" xfId="0" applyFill="1" applyBorder="1"/>
    <xf numFmtId="0" fontId="0" fillId="8" borderId="12" xfId="0" applyFill="1" applyBorder="1"/>
    <xf numFmtId="0" fontId="0" fillId="10" borderId="12" xfId="0" applyFill="1" applyBorder="1"/>
    <xf numFmtId="0" fontId="0" fillId="0" borderId="12" xfId="0" applyBorder="1"/>
    <xf numFmtId="0" fontId="16" fillId="0" borderId="0" xfId="0" applyFont="1" applyAlignment="1">
      <alignment horizontal="center"/>
    </xf>
    <xf numFmtId="0" fontId="2" fillId="0" borderId="0" xfId="0" applyFont="1" applyAlignment="1">
      <alignment horizontal="center"/>
    </xf>
    <xf numFmtId="0" fontId="8" fillId="4" borderId="4" xfId="0" applyFont="1" applyFill="1" applyBorder="1" applyAlignment="1">
      <alignment horizontal="left"/>
    </xf>
    <xf numFmtId="0" fontId="8" fillId="4" borderId="5" xfId="0" applyFont="1" applyFill="1" applyBorder="1" applyAlignment="1">
      <alignment horizontal="center"/>
    </xf>
    <xf numFmtId="164" fontId="0" fillId="0" borderId="6" xfId="0" applyNumberFormat="1" applyBorder="1" applyAlignment="1">
      <alignment horizontal="center"/>
    </xf>
    <xf numFmtId="0" fontId="7" fillId="0" borderId="3" xfId="0" applyFont="1" applyBorder="1" applyAlignment="1">
      <alignment horizontal="center" vertical="center" wrapText="1"/>
    </xf>
    <xf numFmtId="0" fontId="5" fillId="0" borderId="3" xfId="0" applyFont="1" applyBorder="1" applyAlignment="1">
      <alignment horizontal="center" vertical="center"/>
    </xf>
    <xf numFmtId="0" fontId="0" fillId="0" borderId="0" xfId="0" applyAlignment="1">
      <alignment horizontal="center" vertical="center" wrapText="1"/>
    </xf>
    <xf numFmtId="0" fontId="5" fillId="0" borderId="6" xfId="0" applyFont="1" applyBorder="1" applyAlignment="1">
      <alignment horizontal="center" vertical="center"/>
    </xf>
    <xf numFmtId="0" fontId="3" fillId="0" borderId="5" xfId="0" applyFont="1" applyBorder="1"/>
    <xf numFmtId="0" fontId="3" fillId="0" borderId="1" xfId="0" applyFont="1" applyBorder="1"/>
    <xf numFmtId="0" fontId="6" fillId="0" borderId="12" xfId="0" applyFont="1" applyBorder="1" applyAlignment="1">
      <alignment horizontal="center" vertical="center"/>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6" fillId="0" borderId="12" xfId="0" applyFont="1" applyBorder="1" applyAlignment="1">
      <alignment horizontal="center" vertical="center" wrapText="1"/>
    </xf>
    <xf numFmtId="0" fontId="13" fillId="0" borderId="12" xfId="0" applyFont="1" applyBorder="1" applyAlignment="1">
      <alignment horizontal="center" vertical="center" wrapText="1"/>
    </xf>
    <xf numFmtId="0" fontId="13" fillId="0" borderId="13" xfId="0" applyFont="1" applyBorder="1" applyAlignment="1">
      <alignment horizontal="center" vertical="center" wrapText="1"/>
    </xf>
    <xf numFmtId="0" fontId="17" fillId="0" borderId="12" xfId="0" applyFont="1" applyBorder="1" applyAlignment="1">
      <alignment horizontal="center" vertical="center" wrapText="1"/>
    </xf>
    <xf numFmtId="0" fontId="13" fillId="0" borderId="12" xfId="0" applyFont="1" applyBorder="1" applyAlignment="1">
      <alignment horizontal="center" vertical="center"/>
    </xf>
    <xf numFmtId="0" fontId="6" fillId="0" borderId="0" xfId="0" applyFont="1"/>
    <xf numFmtId="0" fontId="5" fillId="0" borderId="0" xfId="0" applyFont="1" applyAlignment="1">
      <alignment horizontal="center" vertical="center"/>
    </xf>
    <xf numFmtId="0" fontId="13" fillId="0" borderId="0" xfId="0" applyFont="1" applyAlignment="1">
      <alignment horizontal="center" vertical="center"/>
    </xf>
    <xf numFmtId="0" fontId="3" fillId="0" borderId="14" xfId="0" applyFont="1" applyBorder="1"/>
    <xf numFmtId="0" fontId="5" fillId="0" borderId="15" xfId="0" applyFont="1" applyBorder="1" applyAlignment="1">
      <alignment horizontal="center" vertical="center"/>
    </xf>
    <xf numFmtId="0" fontId="5" fillId="0" borderId="16" xfId="0" applyFont="1" applyBorder="1" applyAlignment="1">
      <alignment horizontal="center" vertical="center"/>
    </xf>
    <xf numFmtId="0" fontId="13" fillId="0" borderId="15" xfId="0" applyFont="1" applyBorder="1" applyAlignment="1">
      <alignment horizontal="center" vertical="center" wrapText="1"/>
    </xf>
    <xf numFmtId="0" fontId="18" fillId="6" borderId="0" xfId="0" applyFont="1" applyFill="1"/>
    <xf numFmtId="0" fontId="18" fillId="6" borderId="2" xfId="0" applyFont="1" applyFill="1" applyBorder="1"/>
    <xf numFmtId="0" fontId="18" fillId="7" borderId="12" xfId="0" applyFont="1" applyFill="1" applyBorder="1"/>
    <xf numFmtId="0" fontId="4" fillId="0" borderId="0" xfId="0" applyFont="1"/>
    <xf numFmtId="165" fontId="4" fillId="0" borderId="2" xfId="0" applyNumberFormat="1" applyFont="1" applyBorder="1"/>
    <xf numFmtId="0" fontId="2" fillId="0" borderId="0" xfId="0" applyFont="1"/>
    <xf numFmtId="0" fontId="0" fillId="0" borderId="1" xfId="0" applyBorder="1" applyAlignment="1">
      <alignment horizontal="right"/>
    </xf>
    <xf numFmtId="0" fontId="18" fillId="8" borderId="12" xfId="0" applyFont="1" applyFill="1" applyBorder="1"/>
    <xf numFmtId="0" fontId="18" fillId="0" borderId="0" xfId="0" applyFont="1"/>
    <xf numFmtId="0" fontId="10" fillId="0" borderId="0" xfId="0" applyFont="1" applyAlignment="1">
      <alignment horizontal="right"/>
    </xf>
    <xf numFmtId="164" fontId="10" fillId="0" borderId="0" xfId="0" applyNumberFormat="1" applyFont="1" applyAlignment="1">
      <alignment horizontal="right"/>
    </xf>
    <xf numFmtId="164" fontId="10" fillId="0" borderId="0" xfId="0" applyNumberFormat="1" applyFont="1" applyAlignment="1">
      <alignment horizontal="left"/>
    </xf>
    <xf numFmtId="166" fontId="0" fillId="0" borderId="0" xfId="0" quotePrefix="1" applyNumberFormat="1"/>
    <xf numFmtId="2" fontId="0" fillId="0" borderId="0" xfId="0" applyNumberFormat="1"/>
    <xf numFmtId="166" fontId="0" fillId="0" borderId="1" xfId="0" applyNumberFormat="1" applyBorder="1"/>
    <xf numFmtId="2" fontId="0" fillId="3" borderId="0" xfId="0" applyNumberFormat="1" applyFill="1"/>
    <xf numFmtId="2" fontId="0" fillId="8" borderId="0" xfId="0" applyNumberFormat="1" applyFill="1"/>
    <xf numFmtId="2" fontId="0" fillId="8" borderId="2" xfId="0" applyNumberFormat="1" applyFill="1" applyBorder="1"/>
    <xf numFmtId="2" fontId="0" fillId="2" borderId="0" xfId="0" applyNumberFormat="1" applyFill="1"/>
    <xf numFmtId="2" fontId="0" fillId="2" borderId="2" xfId="0" applyNumberFormat="1" applyFill="1" applyBorder="1"/>
    <xf numFmtId="2" fontId="0" fillId="3" borderId="1" xfId="0" applyNumberFormat="1" applyFill="1" applyBorder="1"/>
    <xf numFmtId="2" fontId="0" fillId="8" borderId="1" xfId="0" applyNumberFormat="1" applyFill="1" applyBorder="1"/>
    <xf numFmtId="2" fontId="0" fillId="2" borderId="1" xfId="0" applyNumberFormat="1" applyFill="1" applyBorder="1"/>
    <xf numFmtId="2" fontId="0" fillId="0" borderId="2" xfId="0" applyNumberFormat="1" applyBorder="1"/>
    <xf numFmtId="2" fontId="0" fillId="9" borderId="12" xfId="0" applyNumberFormat="1" applyFill="1" applyBorder="1"/>
    <xf numFmtId="2" fontId="0" fillId="0" borderId="0" xfId="0" applyNumberFormat="1" applyAlignment="1">
      <alignment horizontal="left"/>
    </xf>
    <xf numFmtId="2" fontId="0" fillId="8" borderId="12" xfId="0" applyNumberFormat="1" applyFill="1" applyBorder="1"/>
    <xf numFmtId="2" fontId="0" fillId="10" borderId="12" xfId="0" applyNumberFormat="1" applyFill="1" applyBorder="1"/>
    <xf numFmtId="2" fontId="0" fillId="10" borderId="0" xfId="0" applyNumberFormat="1" applyFill="1"/>
    <xf numFmtId="2" fontId="0" fillId="10" borderId="2" xfId="0" applyNumberFormat="1" applyFill="1" applyBorder="1"/>
    <xf numFmtId="2" fontId="0" fillId="9" borderId="0" xfId="0" applyNumberFormat="1" applyFill="1"/>
    <xf numFmtId="2" fontId="0" fillId="9" borderId="2" xfId="0" applyNumberFormat="1" applyFill="1" applyBorder="1"/>
    <xf numFmtId="2" fontId="0" fillId="8" borderId="10" xfId="0" applyNumberFormat="1" applyFill="1" applyBorder="1"/>
    <xf numFmtId="2" fontId="0" fillId="8" borderId="3" xfId="0" applyNumberFormat="1" applyFill="1" applyBorder="1"/>
    <xf numFmtId="2" fontId="0" fillId="11" borderId="0" xfId="0" applyNumberFormat="1" applyFill="1"/>
    <xf numFmtId="2" fontId="0" fillId="11" borderId="2" xfId="0" applyNumberFormat="1" applyFill="1" applyBorder="1"/>
    <xf numFmtId="0" fontId="3" fillId="12" borderId="5" xfId="0" applyFont="1" applyFill="1" applyBorder="1"/>
    <xf numFmtId="0" fontId="15" fillId="11" borderId="9" xfId="0" applyFont="1" applyFill="1" applyBorder="1"/>
    <xf numFmtId="0" fontId="19" fillId="11" borderId="7" xfId="0" applyFont="1" applyFill="1" applyBorder="1"/>
    <xf numFmtId="0" fontId="15" fillId="11" borderId="17" xfId="0" applyFont="1" applyFill="1" applyBorder="1"/>
    <xf numFmtId="0" fontId="15" fillId="11" borderId="18" xfId="0" applyFont="1" applyFill="1" applyBorder="1"/>
    <xf numFmtId="2" fontId="0" fillId="11" borderId="19" xfId="0" applyNumberFormat="1" applyFill="1" applyBorder="1"/>
    <xf numFmtId="2" fontId="0" fillId="11" borderId="18" xfId="0" applyNumberFormat="1" applyFill="1" applyBorder="1"/>
    <xf numFmtId="0" fontId="0" fillId="0" borderId="19" xfId="0" applyBorder="1"/>
    <xf numFmtId="0" fontId="20" fillId="6" borderId="0" xfId="0" applyFont="1" applyFill="1"/>
    <xf numFmtId="0" fontId="3" fillId="0" borderId="0" xfId="0" applyFont="1"/>
    <xf numFmtId="0" fontId="20" fillId="7" borderId="0" xfId="0" applyFont="1" applyFill="1"/>
    <xf numFmtId="0" fontId="20" fillId="6" borderId="2" xfId="0" applyFont="1" applyFill="1" applyBorder="1"/>
    <xf numFmtId="0" fontId="20" fillId="8" borderId="0" xfId="0" applyFont="1" applyFill="1"/>
    <xf numFmtId="0" fontId="2" fillId="13" borderId="2" xfId="0" applyFont="1" applyFill="1" applyBorder="1"/>
    <xf numFmtId="0" fontId="1" fillId="0" borderId="0" xfId="0" applyFont="1" applyAlignment="1">
      <alignment horizontal="center"/>
    </xf>
    <xf numFmtId="2" fontId="0" fillId="0" borderId="1" xfId="0" applyNumberFormat="1" applyBorder="1"/>
    <xf numFmtId="0" fontId="0" fillId="10" borderId="0" xfId="0" applyFill="1"/>
    <xf numFmtId="0" fontId="1" fillId="10" borderId="12" xfId="0" applyFont="1" applyFill="1" applyBorder="1"/>
    <xf numFmtId="0" fontId="5" fillId="10" borderId="1" xfId="0" applyFont="1" applyFill="1" applyBorder="1"/>
    <xf numFmtId="0" fontId="1" fillId="10" borderId="0" xfId="0" applyFont="1" applyFill="1"/>
    <xf numFmtId="165" fontId="5" fillId="10" borderId="0" xfId="0" applyNumberFormat="1" applyFont="1" applyFill="1"/>
    <xf numFmtId="165" fontId="0" fillId="10" borderId="0" xfId="0" applyNumberFormat="1" applyFill="1"/>
    <xf numFmtId="166" fontId="0" fillId="10" borderId="0" xfId="0" applyNumberFormat="1" applyFill="1"/>
    <xf numFmtId="2" fontId="0" fillId="10" borderId="1" xfId="0" applyNumberFormat="1" applyFill="1" applyBorder="1"/>
    <xf numFmtId="0" fontId="0" fillId="10" borderId="1" xfId="0" applyFill="1" applyBorder="1"/>
    <xf numFmtId="167" fontId="0" fillId="10" borderId="0" xfId="0" applyNumberFormat="1" applyFill="1"/>
    <xf numFmtId="2" fontId="5" fillId="0" borderId="1" xfId="0" applyNumberFormat="1" applyFont="1" applyBorder="1"/>
    <xf numFmtId="9" fontId="0" fillId="0" borderId="0" xfId="0" applyNumberFormat="1"/>
    <xf numFmtId="0" fontId="20" fillId="0" borderId="0" xfId="0" applyFont="1"/>
    <xf numFmtId="0" fontId="21" fillId="0" borderId="0" xfId="0" applyFont="1"/>
    <xf numFmtId="0" fontId="23" fillId="0" borderId="0" xfId="0" applyFont="1"/>
    <xf numFmtId="0" fontId="22" fillId="14" borderId="20" xfId="0" applyFont="1" applyFill="1" applyBorder="1"/>
    <xf numFmtId="0" fontId="1" fillId="0" borderId="21" xfId="0" applyFont="1" applyBorder="1"/>
    <xf numFmtId="0" fontId="1" fillId="0" borderId="22" xfId="0" applyFont="1" applyBorder="1"/>
    <xf numFmtId="0" fontId="22" fillId="14" borderId="23" xfId="0" applyFont="1" applyFill="1" applyBorder="1"/>
    <xf numFmtId="0" fontId="20" fillId="0" borderId="24" xfId="0" applyFont="1" applyBorder="1"/>
    <xf numFmtId="0" fontId="0" fillId="14" borderId="23" xfId="0" applyFill="1" applyBorder="1"/>
    <xf numFmtId="0" fontId="0" fillId="14" borderId="25" xfId="0" applyFill="1" applyBorder="1"/>
    <xf numFmtId="0" fontId="20" fillId="0" borderId="19" xfId="0" applyFont="1" applyBorder="1"/>
    <xf numFmtId="0" fontId="20" fillId="0" borderId="26" xfId="0" applyFont="1" applyBorder="1"/>
    <xf numFmtId="0" fontId="23" fillId="13" borderId="0" xfId="0" applyFont="1" applyFill="1"/>
    <xf numFmtId="0" fontId="21" fillId="13" borderId="0" xfId="0" applyFont="1" applyFill="1"/>
    <xf numFmtId="0" fontId="21" fillId="15" borderId="0" xfId="0" applyFont="1" applyFill="1"/>
    <xf numFmtId="0" fontId="15" fillId="0" borderId="0" xfId="0" applyFont="1"/>
    <xf numFmtId="0" fontId="23" fillId="16" borderId="0" xfId="0" applyFont="1" applyFill="1"/>
    <xf numFmtId="0" fontId="0" fillId="16" borderId="0" xfId="0" applyFill="1"/>
    <xf numFmtId="0" fontId="23" fillId="17" borderId="0" xfId="0" applyFont="1" applyFill="1"/>
    <xf numFmtId="0" fontId="0" fillId="17" borderId="0" xfId="0" applyFill="1"/>
    <xf numFmtId="0" fontId="15" fillId="17" borderId="0" xfId="0" applyFont="1" applyFill="1"/>
    <xf numFmtId="0" fontId="21" fillId="17" borderId="0" xfId="0" applyFont="1" applyFill="1"/>
  </cellXfs>
  <cellStyles count="1">
    <cellStyle name="Normal" xfId="0" builtinId="0"/>
  </cellStyles>
  <dxfs count="12">
    <dxf>
      <border>
        <left style="thin">
          <color indexed="64"/>
        </left>
        <top style="thin">
          <color indexed="64"/>
        </top>
        <bottom style="thin">
          <color indexed="64"/>
        </bottom>
      </border>
    </dxf>
    <dxf>
      <border>
        <left style="thin">
          <color indexed="64"/>
        </left>
        <top style="thin">
          <color indexed="64"/>
        </top>
        <bottom style="thin">
          <color indexed="64"/>
        </bottom>
      </border>
    </dxf>
    <dxf>
      <alignment horizontal="left"/>
    </dxf>
    <dxf>
      <alignment horizontal="left"/>
    </dxf>
    <dxf>
      <alignment horizontal="left"/>
    </dxf>
    <dxf>
      <alignment horizontal="center"/>
    </dxf>
    <dxf>
      <alignment horizontal="center"/>
    </dxf>
    <dxf>
      <fill>
        <patternFill patternType="solid">
          <bgColor theme="0"/>
        </patternFill>
      </fill>
    </dxf>
    <dxf>
      <font>
        <color theme="0"/>
      </font>
    </dxf>
    <dxf>
      <font>
        <color theme="0"/>
      </font>
    </dxf>
    <dxf>
      <fill>
        <patternFill patternType="solid">
          <bgColor theme="0"/>
        </patternFill>
      </fill>
    </dxf>
    <dxf>
      <numFmt numFmtId="164" formatCode="0.0"/>
    </dxf>
  </dxfs>
  <tableStyles count="0" defaultTableStyle="TableStyleMedium2" defaultPivotStyle="PivotStyleLight16"/>
  <colors>
    <mruColors>
      <color rgb="FFCBEDFB"/>
      <color rgb="FFC1F1C8"/>
      <color rgb="FF83CCEB"/>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71130</xdr:colOff>
      <xdr:row>2</xdr:row>
      <xdr:rowOff>212725</xdr:rowOff>
    </xdr:from>
    <xdr:to>
      <xdr:col>9</xdr:col>
      <xdr:colOff>349</xdr:colOff>
      <xdr:row>4</xdr:row>
      <xdr:rowOff>4931</xdr:rowOff>
    </xdr:to>
    <xdr:pic>
      <xdr:nvPicPr>
        <xdr:cNvPr id="10" name="Picture 9">
          <a:extLst>
            <a:ext uri="{FF2B5EF4-FFF2-40B4-BE49-F238E27FC236}">
              <a16:creationId xmlns:a16="http://schemas.microsoft.com/office/drawing/2014/main" id="{DBDD75C1-98CD-9DAC-2200-E1B0380FCBB2}"/>
            </a:ext>
          </a:extLst>
        </xdr:cNvPr>
        <xdr:cNvPicPr>
          <a:picLocks noChangeAspect="1"/>
        </xdr:cNvPicPr>
      </xdr:nvPicPr>
      <xdr:blipFill>
        <a:blip xmlns:r="http://schemas.openxmlformats.org/officeDocument/2006/relationships" r:embed="rId1"/>
        <a:stretch>
          <a:fillRect/>
        </a:stretch>
      </xdr:blipFill>
      <xdr:spPr>
        <a:xfrm>
          <a:off x="19872205" y="622402"/>
          <a:ext cx="147714" cy="214129"/>
        </a:xfrm>
        <a:prstGeom prst="rect">
          <a:avLst/>
        </a:prstGeom>
      </xdr:spPr>
    </xdr:pic>
    <xdr:clientData/>
  </xdr:twoCellAnchor>
  <xdr:twoCellAnchor editAs="oneCell">
    <xdr:from>
      <xdr:col>6</xdr:col>
      <xdr:colOff>68280</xdr:colOff>
      <xdr:row>4</xdr:row>
      <xdr:rowOff>3174</xdr:rowOff>
    </xdr:from>
    <xdr:to>
      <xdr:col>7</xdr:col>
      <xdr:colOff>3928</xdr:colOff>
      <xdr:row>5</xdr:row>
      <xdr:rowOff>14744</xdr:rowOff>
    </xdr:to>
    <xdr:pic>
      <xdr:nvPicPr>
        <xdr:cNvPr id="11" name="Picture 10">
          <a:extLst>
            <a:ext uri="{FF2B5EF4-FFF2-40B4-BE49-F238E27FC236}">
              <a16:creationId xmlns:a16="http://schemas.microsoft.com/office/drawing/2014/main" id="{DD919C47-0E9C-684C-92FA-C3EBC70680F2}"/>
            </a:ext>
          </a:extLst>
        </xdr:cNvPr>
        <xdr:cNvPicPr>
          <a:picLocks noChangeAspect="1"/>
        </xdr:cNvPicPr>
      </xdr:nvPicPr>
      <xdr:blipFill>
        <a:blip xmlns:r="http://schemas.openxmlformats.org/officeDocument/2006/relationships" r:embed="rId1"/>
        <a:stretch>
          <a:fillRect/>
        </a:stretch>
      </xdr:blipFill>
      <xdr:spPr>
        <a:xfrm>
          <a:off x="19432366" y="836185"/>
          <a:ext cx="154143" cy="216408"/>
        </a:xfrm>
        <a:prstGeom prst="rect">
          <a:avLst/>
        </a:prstGeom>
      </xdr:spPr>
    </xdr:pic>
    <xdr:clientData/>
  </xdr:twoCellAnchor>
  <xdr:twoCellAnchor editAs="oneCell">
    <xdr:from>
      <xdr:col>11</xdr:col>
      <xdr:colOff>75747</xdr:colOff>
      <xdr:row>7</xdr:row>
      <xdr:rowOff>0</xdr:rowOff>
    </xdr:from>
    <xdr:to>
      <xdr:col>12</xdr:col>
      <xdr:colOff>3928</xdr:colOff>
      <xdr:row>8</xdr:row>
      <xdr:rowOff>1088</xdr:rowOff>
    </xdr:to>
    <xdr:pic>
      <xdr:nvPicPr>
        <xdr:cNvPr id="12" name="Picture 11">
          <a:extLst>
            <a:ext uri="{FF2B5EF4-FFF2-40B4-BE49-F238E27FC236}">
              <a16:creationId xmlns:a16="http://schemas.microsoft.com/office/drawing/2014/main" id="{D8DDF467-7F3E-3040-9843-FACCECFBBF16}"/>
            </a:ext>
          </a:extLst>
        </xdr:cNvPr>
        <xdr:cNvPicPr>
          <a:picLocks noChangeAspect="1"/>
        </xdr:cNvPicPr>
      </xdr:nvPicPr>
      <xdr:blipFill>
        <a:blip xmlns:r="http://schemas.openxmlformats.org/officeDocument/2006/relationships" r:embed="rId1"/>
        <a:stretch>
          <a:fillRect/>
        </a:stretch>
      </xdr:blipFill>
      <xdr:spPr>
        <a:xfrm>
          <a:off x="20532306" y="1447527"/>
          <a:ext cx="146676" cy="205926"/>
        </a:xfrm>
        <a:prstGeom prst="rect">
          <a:avLst/>
        </a:prstGeom>
      </xdr:spPr>
    </xdr:pic>
    <xdr:clientData/>
  </xdr:twoCellAnchor>
  <xdr:twoCellAnchor editAs="oneCell">
    <xdr:from>
      <xdr:col>7</xdr:col>
      <xdr:colOff>69142</xdr:colOff>
      <xdr:row>11</xdr:row>
      <xdr:rowOff>200025</xdr:rowOff>
    </xdr:from>
    <xdr:to>
      <xdr:col>8</xdr:col>
      <xdr:colOff>9705</xdr:colOff>
      <xdr:row>13</xdr:row>
      <xdr:rowOff>13656</xdr:rowOff>
    </xdr:to>
    <xdr:pic>
      <xdr:nvPicPr>
        <xdr:cNvPr id="13" name="Picture 12">
          <a:extLst>
            <a:ext uri="{FF2B5EF4-FFF2-40B4-BE49-F238E27FC236}">
              <a16:creationId xmlns:a16="http://schemas.microsoft.com/office/drawing/2014/main" id="{247F082E-B375-5B4F-98A2-C342046A3B2D}"/>
            </a:ext>
          </a:extLst>
        </xdr:cNvPr>
        <xdr:cNvPicPr>
          <a:picLocks noChangeAspect="1"/>
        </xdr:cNvPicPr>
      </xdr:nvPicPr>
      <xdr:blipFill>
        <a:blip xmlns:r="http://schemas.openxmlformats.org/officeDocument/2006/relationships" r:embed="rId1"/>
        <a:stretch>
          <a:fillRect/>
        </a:stretch>
      </xdr:blipFill>
      <xdr:spPr>
        <a:xfrm>
          <a:off x="19651723" y="2466907"/>
          <a:ext cx="159057" cy="223308"/>
        </a:xfrm>
        <a:prstGeom prst="rect">
          <a:avLst/>
        </a:prstGeom>
      </xdr:spPr>
    </xdr:pic>
    <xdr:clientData/>
  </xdr:twoCellAnchor>
  <xdr:twoCellAnchor editAs="oneCell">
    <xdr:from>
      <xdr:col>9</xdr:col>
      <xdr:colOff>68279</xdr:colOff>
      <xdr:row>18</xdr:row>
      <xdr:rowOff>2084</xdr:rowOff>
    </xdr:from>
    <xdr:to>
      <xdr:col>10</xdr:col>
      <xdr:colOff>3928</xdr:colOff>
      <xdr:row>19</xdr:row>
      <xdr:rowOff>13655</xdr:rowOff>
    </xdr:to>
    <xdr:pic>
      <xdr:nvPicPr>
        <xdr:cNvPr id="14" name="Picture 13">
          <a:extLst>
            <a:ext uri="{FF2B5EF4-FFF2-40B4-BE49-F238E27FC236}">
              <a16:creationId xmlns:a16="http://schemas.microsoft.com/office/drawing/2014/main" id="{36922F07-6736-7847-BC45-B9053C9EE59C}"/>
            </a:ext>
          </a:extLst>
        </xdr:cNvPr>
        <xdr:cNvPicPr>
          <a:picLocks noChangeAspect="1"/>
        </xdr:cNvPicPr>
      </xdr:nvPicPr>
      <xdr:blipFill>
        <a:blip xmlns:r="http://schemas.openxmlformats.org/officeDocument/2006/relationships" r:embed="rId1"/>
        <a:stretch>
          <a:fillRect/>
        </a:stretch>
      </xdr:blipFill>
      <xdr:spPr>
        <a:xfrm>
          <a:off x="20087849" y="3702837"/>
          <a:ext cx="154144" cy="216409"/>
        </a:xfrm>
        <a:prstGeom prst="rect">
          <a:avLst/>
        </a:prstGeom>
      </xdr:spPr>
    </xdr:pic>
    <xdr:clientData/>
  </xdr:twoCellAnchor>
  <xdr:twoCellAnchor editAs="oneCell">
    <xdr:from>
      <xdr:col>9</xdr:col>
      <xdr:colOff>70216</xdr:colOff>
      <xdr:row>24</xdr:row>
      <xdr:rowOff>105</xdr:rowOff>
    </xdr:from>
    <xdr:to>
      <xdr:col>10</xdr:col>
      <xdr:colOff>1826</xdr:colOff>
      <xdr:row>25</xdr:row>
      <xdr:rowOff>3021</xdr:rowOff>
    </xdr:to>
    <xdr:pic>
      <xdr:nvPicPr>
        <xdr:cNvPr id="15" name="Picture 14">
          <a:extLst>
            <a:ext uri="{FF2B5EF4-FFF2-40B4-BE49-F238E27FC236}">
              <a16:creationId xmlns:a16="http://schemas.microsoft.com/office/drawing/2014/main" id="{CB79E616-10A8-384B-BDF0-6745BDBFEED0}"/>
            </a:ext>
          </a:extLst>
        </xdr:cNvPr>
        <xdr:cNvPicPr>
          <a:picLocks noChangeAspect="1"/>
        </xdr:cNvPicPr>
      </xdr:nvPicPr>
      <xdr:blipFill>
        <a:blip xmlns:r="http://schemas.openxmlformats.org/officeDocument/2006/relationships" r:embed="rId1"/>
        <a:stretch>
          <a:fillRect/>
        </a:stretch>
      </xdr:blipFill>
      <xdr:spPr>
        <a:xfrm>
          <a:off x="20070613" y="4857224"/>
          <a:ext cx="146081" cy="204771"/>
        </a:xfrm>
        <a:prstGeom prst="rect">
          <a:avLst/>
        </a:prstGeom>
      </xdr:spPr>
    </xdr:pic>
    <xdr:clientData/>
  </xdr:twoCellAnchor>
  <xdr:twoCellAnchor editAs="oneCell">
    <xdr:from>
      <xdr:col>7</xdr:col>
      <xdr:colOff>68280</xdr:colOff>
      <xdr:row>26</xdr:row>
      <xdr:rowOff>4663</xdr:rowOff>
    </xdr:from>
    <xdr:to>
      <xdr:col>8</xdr:col>
      <xdr:colOff>4816</xdr:colOff>
      <xdr:row>27</xdr:row>
      <xdr:rowOff>13655</xdr:rowOff>
    </xdr:to>
    <xdr:pic>
      <xdr:nvPicPr>
        <xdr:cNvPr id="16" name="Picture 15">
          <a:extLst>
            <a:ext uri="{FF2B5EF4-FFF2-40B4-BE49-F238E27FC236}">
              <a16:creationId xmlns:a16="http://schemas.microsoft.com/office/drawing/2014/main" id="{4DA8ED73-A362-8B4A-9AD9-F3A840CE0E5E}"/>
            </a:ext>
          </a:extLst>
        </xdr:cNvPr>
        <xdr:cNvPicPr>
          <a:picLocks noChangeAspect="1"/>
        </xdr:cNvPicPr>
      </xdr:nvPicPr>
      <xdr:blipFill>
        <a:blip xmlns:r="http://schemas.openxmlformats.org/officeDocument/2006/relationships" r:embed="rId1"/>
        <a:stretch>
          <a:fillRect/>
        </a:stretch>
      </xdr:blipFill>
      <xdr:spPr>
        <a:xfrm>
          <a:off x="19626280" y="5155219"/>
          <a:ext cx="148203" cy="206548"/>
        </a:xfrm>
        <a:prstGeom prst="rect">
          <a:avLst/>
        </a:prstGeom>
      </xdr:spPr>
    </xdr:pic>
    <xdr:clientData/>
  </xdr:twoCellAnchor>
  <xdr:twoCellAnchor editAs="oneCell">
    <xdr:from>
      <xdr:col>10</xdr:col>
      <xdr:colOff>72256</xdr:colOff>
      <xdr:row>26</xdr:row>
      <xdr:rowOff>198763</xdr:rowOff>
    </xdr:from>
    <xdr:to>
      <xdr:col>11</xdr:col>
      <xdr:colOff>3867</xdr:colOff>
      <xdr:row>28</xdr:row>
      <xdr:rowOff>3174</xdr:rowOff>
    </xdr:to>
    <xdr:pic>
      <xdr:nvPicPr>
        <xdr:cNvPr id="17" name="Picture 16">
          <a:extLst>
            <a:ext uri="{FF2B5EF4-FFF2-40B4-BE49-F238E27FC236}">
              <a16:creationId xmlns:a16="http://schemas.microsoft.com/office/drawing/2014/main" id="{215BE198-1E6F-974F-A5E1-25B78AE1447E}"/>
            </a:ext>
          </a:extLst>
        </xdr:cNvPr>
        <xdr:cNvPicPr>
          <a:picLocks noChangeAspect="1"/>
        </xdr:cNvPicPr>
      </xdr:nvPicPr>
      <xdr:blipFill>
        <a:blip xmlns:r="http://schemas.openxmlformats.org/officeDocument/2006/relationships" r:embed="rId1"/>
        <a:stretch>
          <a:fillRect/>
        </a:stretch>
      </xdr:blipFill>
      <xdr:spPr>
        <a:xfrm>
          <a:off x="20290656" y="5494663"/>
          <a:ext cx="147511" cy="210812"/>
        </a:xfrm>
        <a:prstGeom prst="rect">
          <a:avLst/>
        </a:prstGeom>
      </xdr:spPr>
    </xdr:pic>
    <xdr:clientData/>
  </xdr:twoCellAnchor>
  <xdr:twoCellAnchor editAs="oneCell">
    <xdr:from>
      <xdr:col>6</xdr:col>
      <xdr:colOff>68280</xdr:colOff>
      <xdr:row>27</xdr:row>
      <xdr:rowOff>202221</xdr:rowOff>
    </xdr:from>
    <xdr:to>
      <xdr:col>7</xdr:col>
      <xdr:colOff>7042</xdr:colOff>
      <xdr:row>29</xdr:row>
      <xdr:rowOff>16832</xdr:rowOff>
    </xdr:to>
    <xdr:pic>
      <xdr:nvPicPr>
        <xdr:cNvPr id="18" name="Picture 17">
          <a:extLst>
            <a:ext uri="{FF2B5EF4-FFF2-40B4-BE49-F238E27FC236}">
              <a16:creationId xmlns:a16="http://schemas.microsoft.com/office/drawing/2014/main" id="{0C39B73E-348A-EA44-A58B-38EA1DE93424}"/>
            </a:ext>
          </a:extLst>
        </xdr:cNvPr>
        <xdr:cNvPicPr>
          <a:picLocks noChangeAspect="1"/>
        </xdr:cNvPicPr>
      </xdr:nvPicPr>
      <xdr:blipFill>
        <a:blip xmlns:r="http://schemas.openxmlformats.org/officeDocument/2006/relationships" r:embed="rId1"/>
        <a:stretch>
          <a:fillRect/>
        </a:stretch>
      </xdr:blipFill>
      <xdr:spPr>
        <a:xfrm>
          <a:off x="19432366" y="5746522"/>
          <a:ext cx="157257" cy="224288"/>
        </a:xfrm>
        <a:prstGeom prst="rect">
          <a:avLst/>
        </a:prstGeom>
      </xdr:spPr>
    </xdr:pic>
    <xdr:clientData/>
  </xdr:twoCellAnchor>
  <xdr:twoCellAnchor editAs="oneCell">
    <xdr:from>
      <xdr:col>6</xdr:col>
      <xdr:colOff>100845</xdr:colOff>
      <xdr:row>32</xdr:row>
      <xdr:rowOff>194985</xdr:rowOff>
    </xdr:from>
    <xdr:to>
      <xdr:col>7</xdr:col>
      <xdr:colOff>33258</xdr:colOff>
      <xdr:row>34</xdr:row>
      <xdr:rowOff>5037</xdr:rowOff>
    </xdr:to>
    <xdr:pic>
      <xdr:nvPicPr>
        <xdr:cNvPr id="19" name="Picture 18">
          <a:extLst>
            <a:ext uri="{FF2B5EF4-FFF2-40B4-BE49-F238E27FC236}">
              <a16:creationId xmlns:a16="http://schemas.microsoft.com/office/drawing/2014/main" id="{AEC22900-048F-F54C-885F-4C0CC55B036E}"/>
            </a:ext>
          </a:extLst>
        </xdr:cNvPr>
        <xdr:cNvPicPr>
          <a:picLocks noChangeAspect="1"/>
        </xdr:cNvPicPr>
      </xdr:nvPicPr>
      <xdr:blipFill>
        <a:blip xmlns:r="http://schemas.openxmlformats.org/officeDocument/2006/relationships" r:embed="rId1"/>
        <a:stretch>
          <a:fillRect/>
        </a:stretch>
      </xdr:blipFill>
      <xdr:spPr>
        <a:xfrm>
          <a:off x="19465631" y="6637250"/>
          <a:ext cx="149507" cy="211676"/>
        </a:xfrm>
        <a:prstGeom prst="rect">
          <a:avLst/>
        </a:prstGeom>
      </xdr:spPr>
    </xdr:pic>
    <xdr:clientData/>
  </xdr:twoCellAnchor>
  <xdr:twoCellAnchor editAs="oneCell">
    <xdr:from>
      <xdr:col>9</xdr:col>
      <xdr:colOff>75431</xdr:colOff>
      <xdr:row>30</xdr:row>
      <xdr:rowOff>198763</xdr:rowOff>
    </xdr:from>
    <xdr:to>
      <xdr:col>10</xdr:col>
      <xdr:colOff>7042</xdr:colOff>
      <xdr:row>32</xdr:row>
      <xdr:rowOff>3175</xdr:rowOff>
    </xdr:to>
    <xdr:pic>
      <xdr:nvPicPr>
        <xdr:cNvPr id="20" name="Picture 19">
          <a:extLst>
            <a:ext uri="{FF2B5EF4-FFF2-40B4-BE49-F238E27FC236}">
              <a16:creationId xmlns:a16="http://schemas.microsoft.com/office/drawing/2014/main" id="{220E97EE-7FEF-8648-AC80-0E0DCD6AB5DE}"/>
            </a:ext>
          </a:extLst>
        </xdr:cNvPr>
        <xdr:cNvPicPr>
          <a:picLocks noChangeAspect="1"/>
        </xdr:cNvPicPr>
      </xdr:nvPicPr>
      <xdr:blipFill>
        <a:blip xmlns:r="http://schemas.openxmlformats.org/officeDocument/2006/relationships" r:embed="rId1"/>
        <a:stretch>
          <a:fillRect/>
        </a:stretch>
      </xdr:blipFill>
      <xdr:spPr>
        <a:xfrm>
          <a:off x="20077931" y="6307463"/>
          <a:ext cx="147511" cy="210812"/>
        </a:xfrm>
        <a:prstGeom prst="rect">
          <a:avLst/>
        </a:prstGeom>
      </xdr:spPr>
    </xdr:pic>
    <xdr:clientData/>
  </xdr:twoCellAnchor>
  <xdr:twoCellAnchor editAs="oneCell">
    <xdr:from>
      <xdr:col>7</xdr:col>
      <xdr:colOff>68280</xdr:colOff>
      <xdr:row>30</xdr:row>
      <xdr:rowOff>1908</xdr:rowOff>
    </xdr:from>
    <xdr:to>
      <xdr:col>8</xdr:col>
      <xdr:colOff>3868</xdr:colOff>
      <xdr:row>31</xdr:row>
      <xdr:rowOff>16831</xdr:rowOff>
    </xdr:to>
    <xdr:pic>
      <xdr:nvPicPr>
        <xdr:cNvPr id="21" name="Picture 20">
          <a:extLst>
            <a:ext uri="{FF2B5EF4-FFF2-40B4-BE49-F238E27FC236}">
              <a16:creationId xmlns:a16="http://schemas.microsoft.com/office/drawing/2014/main" id="{65DFE6E1-5EC3-BC4F-9AE3-F3206C6A4363}"/>
            </a:ext>
          </a:extLst>
        </xdr:cNvPr>
        <xdr:cNvPicPr>
          <a:picLocks noChangeAspect="1"/>
        </xdr:cNvPicPr>
      </xdr:nvPicPr>
      <xdr:blipFill>
        <a:blip xmlns:r="http://schemas.openxmlformats.org/officeDocument/2006/relationships" r:embed="rId1"/>
        <a:stretch>
          <a:fillRect/>
        </a:stretch>
      </xdr:blipFill>
      <xdr:spPr>
        <a:xfrm>
          <a:off x="19650861" y="6160725"/>
          <a:ext cx="154082" cy="219762"/>
        </a:xfrm>
        <a:prstGeom prst="rect">
          <a:avLst/>
        </a:prstGeom>
      </xdr:spPr>
    </xdr:pic>
    <xdr:clientData/>
  </xdr:twoCellAnchor>
  <xdr:twoCellAnchor editAs="oneCell">
    <xdr:from>
      <xdr:col>9</xdr:col>
      <xdr:colOff>69081</xdr:colOff>
      <xdr:row>28</xdr:row>
      <xdr:rowOff>195588</xdr:rowOff>
    </xdr:from>
    <xdr:to>
      <xdr:col>10</xdr:col>
      <xdr:colOff>692</xdr:colOff>
      <xdr:row>30</xdr:row>
      <xdr:rowOff>1591</xdr:rowOff>
    </xdr:to>
    <xdr:pic>
      <xdr:nvPicPr>
        <xdr:cNvPr id="22" name="Picture 21">
          <a:extLst>
            <a:ext uri="{FF2B5EF4-FFF2-40B4-BE49-F238E27FC236}">
              <a16:creationId xmlns:a16="http://schemas.microsoft.com/office/drawing/2014/main" id="{40DE631C-AECF-1C42-B32A-C0A5E4D069CE}"/>
            </a:ext>
          </a:extLst>
        </xdr:cNvPr>
        <xdr:cNvPicPr>
          <a:picLocks noChangeAspect="1"/>
        </xdr:cNvPicPr>
      </xdr:nvPicPr>
      <xdr:blipFill>
        <a:blip xmlns:r="http://schemas.openxmlformats.org/officeDocument/2006/relationships" r:embed="rId1"/>
        <a:stretch>
          <a:fillRect/>
        </a:stretch>
      </xdr:blipFill>
      <xdr:spPr>
        <a:xfrm>
          <a:off x="20071581" y="5897888"/>
          <a:ext cx="147511" cy="210812"/>
        </a:xfrm>
        <a:prstGeom prst="rect">
          <a:avLst/>
        </a:prstGeom>
      </xdr:spPr>
    </xdr:pic>
    <xdr:clientData/>
  </xdr:twoCellAnchor>
  <xdr:twoCellAnchor editAs="oneCell">
    <xdr:from>
      <xdr:col>7</xdr:col>
      <xdr:colOff>79569</xdr:colOff>
      <xdr:row>26</xdr:row>
      <xdr:rowOff>1840</xdr:rowOff>
    </xdr:from>
    <xdr:to>
      <xdr:col>8</xdr:col>
      <xdr:colOff>16105</xdr:colOff>
      <xdr:row>27</xdr:row>
      <xdr:rowOff>10832</xdr:rowOff>
    </xdr:to>
    <xdr:pic>
      <xdr:nvPicPr>
        <xdr:cNvPr id="23" name="Picture 22">
          <a:extLst>
            <a:ext uri="{FF2B5EF4-FFF2-40B4-BE49-F238E27FC236}">
              <a16:creationId xmlns:a16="http://schemas.microsoft.com/office/drawing/2014/main" id="{56FB929B-84F8-6B44-B04D-E06DDEBACC74}"/>
            </a:ext>
          </a:extLst>
        </xdr:cNvPr>
        <xdr:cNvPicPr>
          <a:picLocks noChangeAspect="1"/>
        </xdr:cNvPicPr>
      </xdr:nvPicPr>
      <xdr:blipFill>
        <a:blip xmlns:r="http://schemas.openxmlformats.org/officeDocument/2006/relationships" r:embed="rId1"/>
        <a:stretch>
          <a:fillRect/>
        </a:stretch>
      </xdr:blipFill>
      <xdr:spPr>
        <a:xfrm>
          <a:off x="19637569" y="5152396"/>
          <a:ext cx="148203" cy="206548"/>
        </a:xfrm>
        <a:prstGeom prst="rect">
          <a:avLst/>
        </a:prstGeom>
      </xdr:spPr>
    </xdr:pic>
    <xdr:clientData/>
  </xdr:twoCellAnchor>
  <xdr:twoCellAnchor editAs="oneCell">
    <xdr:from>
      <xdr:col>6</xdr:col>
      <xdr:colOff>86033</xdr:colOff>
      <xdr:row>28</xdr:row>
      <xdr:rowOff>3301</xdr:rowOff>
    </xdr:from>
    <xdr:to>
      <xdr:col>7</xdr:col>
      <xdr:colOff>24795</xdr:colOff>
      <xdr:row>29</xdr:row>
      <xdr:rowOff>15468</xdr:rowOff>
    </xdr:to>
    <xdr:pic>
      <xdr:nvPicPr>
        <xdr:cNvPr id="24" name="Picture 23">
          <a:extLst>
            <a:ext uri="{FF2B5EF4-FFF2-40B4-BE49-F238E27FC236}">
              <a16:creationId xmlns:a16="http://schemas.microsoft.com/office/drawing/2014/main" id="{C54DD16E-2B48-144C-A821-FCEC3B7AAAF1}"/>
            </a:ext>
          </a:extLst>
        </xdr:cNvPr>
        <xdr:cNvPicPr>
          <a:picLocks noChangeAspect="1"/>
        </xdr:cNvPicPr>
      </xdr:nvPicPr>
      <xdr:blipFill>
        <a:blip xmlns:r="http://schemas.openxmlformats.org/officeDocument/2006/relationships" r:embed="rId1"/>
        <a:stretch>
          <a:fillRect/>
        </a:stretch>
      </xdr:blipFill>
      <xdr:spPr>
        <a:xfrm>
          <a:off x="19432366" y="5548968"/>
          <a:ext cx="150429" cy="209722"/>
        </a:xfrm>
        <a:prstGeom prst="rect">
          <a:avLst/>
        </a:prstGeom>
      </xdr:spPr>
    </xdr:pic>
    <xdr:clientData/>
  </xdr:twoCellAnchor>
  <xdr:twoCellAnchor editAs="oneCell">
    <xdr:from>
      <xdr:col>6</xdr:col>
      <xdr:colOff>91076</xdr:colOff>
      <xdr:row>33</xdr:row>
      <xdr:rowOff>5029</xdr:rowOff>
    </xdr:from>
    <xdr:to>
      <xdr:col>7</xdr:col>
      <xdr:colOff>23489</xdr:colOff>
      <xdr:row>34</xdr:row>
      <xdr:rowOff>12636</xdr:rowOff>
    </xdr:to>
    <xdr:pic>
      <xdr:nvPicPr>
        <xdr:cNvPr id="25" name="Picture 24">
          <a:extLst>
            <a:ext uri="{FF2B5EF4-FFF2-40B4-BE49-F238E27FC236}">
              <a16:creationId xmlns:a16="http://schemas.microsoft.com/office/drawing/2014/main" id="{59C059A9-4CEB-2540-8BB2-C25F9452489D}"/>
            </a:ext>
          </a:extLst>
        </xdr:cNvPr>
        <xdr:cNvPicPr>
          <a:picLocks noChangeAspect="1"/>
        </xdr:cNvPicPr>
      </xdr:nvPicPr>
      <xdr:blipFill>
        <a:blip xmlns:r="http://schemas.openxmlformats.org/officeDocument/2006/relationships" r:embed="rId1"/>
        <a:stretch>
          <a:fillRect/>
        </a:stretch>
      </xdr:blipFill>
      <xdr:spPr>
        <a:xfrm>
          <a:off x="19437409" y="6538473"/>
          <a:ext cx="144080" cy="205163"/>
        </a:xfrm>
        <a:prstGeom prst="rect">
          <a:avLst/>
        </a:prstGeom>
      </xdr:spPr>
    </xdr:pic>
    <xdr:clientData/>
  </xdr:twoCellAnchor>
  <xdr:twoCellAnchor editAs="oneCell">
    <xdr:from>
      <xdr:col>20</xdr:col>
      <xdr:colOff>198494</xdr:colOff>
      <xdr:row>3</xdr:row>
      <xdr:rowOff>2924</xdr:rowOff>
    </xdr:from>
    <xdr:to>
      <xdr:col>21</xdr:col>
      <xdr:colOff>123479</xdr:colOff>
      <xdr:row>4</xdr:row>
      <xdr:rowOff>5386</xdr:rowOff>
    </xdr:to>
    <xdr:pic>
      <xdr:nvPicPr>
        <xdr:cNvPr id="26" name="Picture 25">
          <a:extLst>
            <a:ext uri="{FF2B5EF4-FFF2-40B4-BE49-F238E27FC236}">
              <a16:creationId xmlns:a16="http://schemas.microsoft.com/office/drawing/2014/main" id="{FB45D2E1-7163-EB44-B0EE-B49238E074E1}"/>
            </a:ext>
          </a:extLst>
        </xdr:cNvPr>
        <xdr:cNvPicPr>
          <a:picLocks noChangeAspect="1"/>
        </xdr:cNvPicPr>
      </xdr:nvPicPr>
      <xdr:blipFill>
        <a:blip xmlns:r="http://schemas.openxmlformats.org/officeDocument/2006/relationships" r:embed="rId1"/>
        <a:stretch>
          <a:fillRect/>
        </a:stretch>
      </xdr:blipFill>
      <xdr:spPr>
        <a:xfrm>
          <a:off x="25039694" y="625224"/>
          <a:ext cx="140885" cy="205662"/>
        </a:xfrm>
        <a:prstGeom prst="rect">
          <a:avLst/>
        </a:prstGeom>
      </xdr:spPr>
    </xdr:pic>
    <xdr:clientData/>
  </xdr:twoCellAnchor>
  <xdr:twoCellAnchor editAs="oneCell">
    <xdr:from>
      <xdr:col>23</xdr:col>
      <xdr:colOff>196024</xdr:colOff>
      <xdr:row>5</xdr:row>
      <xdr:rowOff>199773</xdr:rowOff>
    </xdr:from>
    <xdr:to>
      <xdr:col>24</xdr:col>
      <xdr:colOff>128164</xdr:colOff>
      <xdr:row>7</xdr:row>
      <xdr:rowOff>3174</xdr:rowOff>
    </xdr:to>
    <xdr:pic>
      <xdr:nvPicPr>
        <xdr:cNvPr id="27" name="Picture 26">
          <a:extLst>
            <a:ext uri="{FF2B5EF4-FFF2-40B4-BE49-F238E27FC236}">
              <a16:creationId xmlns:a16="http://schemas.microsoft.com/office/drawing/2014/main" id="{87975C5C-DC95-BB4E-BC4F-110DBF61250D}"/>
            </a:ext>
          </a:extLst>
        </xdr:cNvPr>
        <xdr:cNvPicPr>
          <a:picLocks noChangeAspect="1"/>
        </xdr:cNvPicPr>
      </xdr:nvPicPr>
      <xdr:blipFill>
        <a:blip xmlns:r="http://schemas.openxmlformats.org/officeDocument/2006/relationships" r:embed="rId1"/>
        <a:stretch>
          <a:fillRect/>
        </a:stretch>
      </xdr:blipFill>
      <xdr:spPr>
        <a:xfrm>
          <a:off x="25735724" y="1215773"/>
          <a:ext cx="148040" cy="209801"/>
        </a:xfrm>
        <a:prstGeom prst="rect">
          <a:avLst/>
        </a:prstGeom>
      </xdr:spPr>
    </xdr:pic>
    <xdr:clientData/>
  </xdr:twoCellAnchor>
  <xdr:twoCellAnchor editAs="oneCell">
    <xdr:from>
      <xdr:col>16</xdr:col>
      <xdr:colOff>182619</xdr:colOff>
      <xdr:row>6</xdr:row>
      <xdr:rowOff>183905</xdr:rowOff>
    </xdr:from>
    <xdr:to>
      <xdr:col>17</xdr:col>
      <xdr:colOff>120650</xdr:colOff>
      <xdr:row>8</xdr:row>
      <xdr:rowOff>2212</xdr:rowOff>
    </xdr:to>
    <xdr:pic>
      <xdr:nvPicPr>
        <xdr:cNvPr id="28" name="Picture 27">
          <a:extLst>
            <a:ext uri="{FF2B5EF4-FFF2-40B4-BE49-F238E27FC236}">
              <a16:creationId xmlns:a16="http://schemas.microsoft.com/office/drawing/2014/main" id="{CA0A9C69-D6A2-DF4B-8468-2FF427A81491}"/>
            </a:ext>
          </a:extLst>
        </xdr:cNvPr>
        <xdr:cNvPicPr>
          <a:picLocks noChangeAspect="1"/>
        </xdr:cNvPicPr>
      </xdr:nvPicPr>
      <xdr:blipFill>
        <a:blip xmlns:r="http://schemas.openxmlformats.org/officeDocument/2006/relationships" r:embed="rId1"/>
        <a:stretch>
          <a:fillRect/>
        </a:stretch>
      </xdr:blipFill>
      <xdr:spPr>
        <a:xfrm>
          <a:off x="24211019" y="1403105"/>
          <a:ext cx="153931" cy="224707"/>
        </a:xfrm>
        <a:prstGeom prst="rect">
          <a:avLst/>
        </a:prstGeom>
      </xdr:spPr>
    </xdr:pic>
    <xdr:clientData/>
  </xdr:twoCellAnchor>
  <xdr:twoCellAnchor editAs="oneCell">
    <xdr:from>
      <xdr:col>17</xdr:col>
      <xdr:colOff>198494</xdr:colOff>
      <xdr:row>7</xdr:row>
      <xdr:rowOff>196350</xdr:rowOff>
    </xdr:from>
    <xdr:to>
      <xdr:col>18</xdr:col>
      <xdr:colOff>130175</xdr:colOff>
      <xdr:row>9</xdr:row>
      <xdr:rowOff>5386</xdr:rowOff>
    </xdr:to>
    <xdr:pic>
      <xdr:nvPicPr>
        <xdr:cNvPr id="29" name="Picture 28">
          <a:extLst>
            <a:ext uri="{FF2B5EF4-FFF2-40B4-BE49-F238E27FC236}">
              <a16:creationId xmlns:a16="http://schemas.microsoft.com/office/drawing/2014/main" id="{5084BEBC-B8F8-FE40-AB33-77C3F8155846}"/>
            </a:ext>
          </a:extLst>
        </xdr:cNvPr>
        <xdr:cNvPicPr>
          <a:picLocks noChangeAspect="1"/>
        </xdr:cNvPicPr>
      </xdr:nvPicPr>
      <xdr:blipFill>
        <a:blip xmlns:r="http://schemas.openxmlformats.org/officeDocument/2006/relationships" r:embed="rId1"/>
        <a:stretch>
          <a:fillRect/>
        </a:stretch>
      </xdr:blipFill>
      <xdr:spPr>
        <a:xfrm>
          <a:off x="24442794" y="1618750"/>
          <a:ext cx="147581" cy="215436"/>
        </a:xfrm>
        <a:prstGeom prst="rect">
          <a:avLst/>
        </a:prstGeom>
      </xdr:spPr>
    </xdr:pic>
    <xdr:clientData/>
  </xdr:twoCellAnchor>
  <xdr:twoCellAnchor editAs="oneCell">
    <xdr:from>
      <xdr:col>21</xdr:col>
      <xdr:colOff>157219</xdr:colOff>
      <xdr:row>8</xdr:row>
      <xdr:rowOff>199774</xdr:rowOff>
    </xdr:from>
    <xdr:to>
      <xdr:col>22</xdr:col>
      <xdr:colOff>85725</xdr:colOff>
      <xdr:row>10</xdr:row>
      <xdr:rowOff>4176</xdr:rowOff>
    </xdr:to>
    <xdr:pic>
      <xdr:nvPicPr>
        <xdr:cNvPr id="30" name="Picture 29">
          <a:extLst>
            <a:ext uri="{FF2B5EF4-FFF2-40B4-BE49-F238E27FC236}">
              <a16:creationId xmlns:a16="http://schemas.microsoft.com/office/drawing/2014/main" id="{EEC7C2EE-BEAD-3E40-B4A8-19BAADACF252}"/>
            </a:ext>
          </a:extLst>
        </xdr:cNvPr>
        <xdr:cNvPicPr>
          <a:picLocks noChangeAspect="1"/>
        </xdr:cNvPicPr>
      </xdr:nvPicPr>
      <xdr:blipFill>
        <a:blip xmlns:r="http://schemas.openxmlformats.org/officeDocument/2006/relationships" r:embed="rId1"/>
        <a:stretch>
          <a:fillRect/>
        </a:stretch>
      </xdr:blipFill>
      <xdr:spPr>
        <a:xfrm>
          <a:off x="25265119" y="1825374"/>
          <a:ext cx="144406" cy="210802"/>
        </a:xfrm>
        <a:prstGeom prst="rect">
          <a:avLst/>
        </a:prstGeom>
      </xdr:spPr>
    </xdr:pic>
    <xdr:clientData/>
  </xdr:twoCellAnchor>
  <xdr:twoCellAnchor editAs="oneCell">
    <xdr:from>
      <xdr:col>17</xdr:col>
      <xdr:colOff>185794</xdr:colOff>
      <xdr:row>17</xdr:row>
      <xdr:rowOff>200984</xdr:rowOff>
    </xdr:from>
    <xdr:to>
      <xdr:col>18</xdr:col>
      <xdr:colOff>114300</xdr:colOff>
      <xdr:row>19</xdr:row>
      <xdr:rowOff>5386</xdr:rowOff>
    </xdr:to>
    <xdr:pic>
      <xdr:nvPicPr>
        <xdr:cNvPr id="31" name="Picture 30">
          <a:extLst>
            <a:ext uri="{FF2B5EF4-FFF2-40B4-BE49-F238E27FC236}">
              <a16:creationId xmlns:a16="http://schemas.microsoft.com/office/drawing/2014/main" id="{B4102100-73B7-134A-BBD3-B0F7E45FF8A2}"/>
            </a:ext>
          </a:extLst>
        </xdr:cNvPr>
        <xdr:cNvPicPr>
          <a:picLocks noChangeAspect="1"/>
        </xdr:cNvPicPr>
      </xdr:nvPicPr>
      <xdr:blipFill>
        <a:blip xmlns:r="http://schemas.openxmlformats.org/officeDocument/2006/relationships" r:embed="rId1"/>
        <a:stretch>
          <a:fillRect/>
        </a:stretch>
      </xdr:blipFill>
      <xdr:spPr>
        <a:xfrm>
          <a:off x="24430094" y="3655384"/>
          <a:ext cx="144406" cy="210802"/>
        </a:xfrm>
        <a:prstGeom prst="rect">
          <a:avLst/>
        </a:prstGeom>
      </xdr:spPr>
    </xdr:pic>
    <xdr:clientData/>
  </xdr:twoCellAnchor>
  <xdr:twoCellAnchor editAs="oneCell">
    <xdr:from>
      <xdr:col>22</xdr:col>
      <xdr:colOff>198494</xdr:colOff>
      <xdr:row>18</xdr:row>
      <xdr:rowOff>196349</xdr:rowOff>
    </xdr:from>
    <xdr:to>
      <xdr:col>23</xdr:col>
      <xdr:colOff>130175</xdr:colOff>
      <xdr:row>20</xdr:row>
      <xdr:rowOff>5386</xdr:rowOff>
    </xdr:to>
    <xdr:pic>
      <xdr:nvPicPr>
        <xdr:cNvPr id="32" name="Picture 31">
          <a:extLst>
            <a:ext uri="{FF2B5EF4-FFF2-40B4-BE49-F238E27FC236}">
              <a16:creationId xmlns:a16="http://schemas.microsoft.com/office/drawing/2014/main" id="{EBD26944-A29A-4348-846B-1B2B11EF6401}"/>
            </a:ext>
          </a:extLst>
        </xdr:cNvPr>
        <xdr:cNvPicPr>
          <a:picLocks noChangeAspect="1"/>
        </xdr:cNvPicPr>
      </xdr:nvPicPr>
      <xdr:blipFill>
        <a:blip xmlns:r="http://schemas.openxmlformats.org/officeDocument/2006/relationships" r:embed="rId1"/>
        <a:stretch>
          <a:fillRect/>
        </a:stretch>
      </xdr:blipFill>
      <xdr:spPr>
        <a:xfrm>
          <a:off x="25522294" y="3853949"/>
          <a:ext cx="147581" cy="215437"/>
        </a:xfrm>
        <a:prstGeom prst="rect">
          <a:avLst/>
        </a:prstGeom>
      </xdr:spPr>
    </xdr:pic>
    <xdr:clientData/>
  </xdr:twoCellAnchor>
  <xdr:twoCellAnchor editAs="oneCell">
    <xdr:from>
      <xdr:col>23</xdr:col>
      <xdr:colOff>134994</xdr:colOff>
      <xdr:row>19</xdr:row>
      <xdr:rowOff>196850</xdr:rowOff>
    </xdr:from>
    <xdr:to>
      <xdr:col>24</xdr:col>
      <xdr:colOff>63500</xdr:colOff>
      <xdr:row>21</xdr:row>
      <xdr:rowOff>3175</xdr:rowOff>
    </xdr:to>
    <xdr:pic>
      <xdr:nvPicPr>
        <xdr:cNvPr id="33" name="Picture 32">
          <a:extLst>
            <a:ext uri="{FF2B5EF4-FFF2-40B4-BE49-F238E27FC236}">
              <a16:creationId xmlns:a16="http://schemas.microsoft.com/office/drawing/2014/main" id="{7A15E33A-D16A-5644-ABC0-9EA6D18902AE}"/>
            </a:ext>
          </a:extLst>
        </xdr:cNvPr>
        <xdr:cNvPicPr>
          <a:picLocks noChangeAspect="1"/>
        </xdr:cNvPicPr>
      </xdr:nvPicPr>
      <xdr:blipFill>
        <a:blip xmlns:r="http://schemas.openxmlformats.org/officeDocument/2006/relationships" r:embed="rId1"/>
        <a:stretch>
          <a:fillRect/>
        </a:stretch>
      </xdr:blipFill>
      <xdr:spPr>
        <a:xfrm>
          <a:off x="25674694" y="4057650"/>
          <a:ext cx="144406" cy="212725"/>
        </a:xfrm>
        <a:prstGeom prst="rect">
          <a:avLst/>
        </a:prstGeom>
      </xdr:spPr>
    </xdr:pic>
    <xdr:clientData/>
  </xdr:twoCellAnchor>
  <xdr:twoCellAnchor editAs="oneCell">
    <xdr:from>
      <xdr:col>18</xdr:col>
      <xdr:colOff>205549</xdr:colOff>
      <xdr:row>21</xdr:row>
      <xdr:rowOff>176635</xdr:rowOff>
    </xdr:from>
    <xdr:to>
      <xdr:col>19</xdr:col>
      <xdr:colOff>155575</xdr:colOff>
      <xdr:row>23</xdr:row>
      <xdr:rowOff>5386</xdr:rowOff>
    </xdr:to>
    <xdr:pic>
      <xdr:nvPicPr>
        <xdr:cNvPr id="34" name="Picture 33">
          <a:extLst>
            <a:ext uri="{FF2B5EF4-FFF2-40B4-BE49-F238E27FC236}">
              <a16:creationId xmlns:a16="http://schemas.microsoft.com/office/drawing/2014/main" id="{2775BE23-00EC-734B-BE9B-6544BB6717CD}"/>
            </a:ext>
          </a:extLst>
        </xdr:cNvPr>
        <xdr:cNvPicPr>
          <a:picLocks noChangeAspect="1"/>
        </xdr:cNvPicPr>
      </xdr:nvPicPr>
      <xdr:blipFill>
        <a:blip xmlns:r="http://schemas.openxmlformats.org/officeDocument/2006/relationships" r:embed="rId1"/>
        <a:stretch>
          <a:fillRect/>
        </a:stretch>
      </xdr:blipFill>
      <xdr:spPr>
        <a:xfrm>
          <a:off x="24665749" y="4443835"/>
          <a:ext cx="165926" cy="235151"/>
        </a:xfrm>
        <a:prstGeom prst="rect">
          <a:avLst/>
        </a:prstGeom>
      </xdr:spPr>
    </xdr:pic>
    <xdr:clientData/>
  </xdr:twoCellAnchor>
  <xdr:twoCellAnchor editAs="oneCell">
    <xdr:from>
      <xdr:col>22</xdr:col>
      <xdr:colOff>209551</xdr:colOff>
      <xdr:row>22</xdr:row>
      <xdr:rowOff>200026</xdr:rowOff>
    </xdr:from>
    <xdr:to>
      <xdr:col>23</xdr:col>
      <xdr:colOff>137199</xdr:colOff>
      <xdr:row>24</xdr:row>
      <xdr:rowOff>3176</xdr:rowOff>
    </xdr:to>
    <xdr:pic>
      <xdr:nvPicPr>
        <xdr:cNvPr id="35" name="Picture 34">
          <a:extLst>
            <a:ext uri="{FF2B5EF4-FFF2-40B4-BE49-F238E27FC236}">
              <a16:creationId xmlns:a16="http://schemas.microsoft.com/office/drawing/2014/main" id="{4AC0F8C2-081F-0346-8E29-260A8BC2940C}"/>
            </a:ext>
          </a:extLst>
        </xdr:cNvPr>
        <xdr:cNvPicPr>
          <a:picLocks noChangeAspect="1"/>
        </xdr:cNvPicPr>
      </xdr:nvPicPr>
      <xdr:blipFill>
        <a:blip xmlns:r="http://schemas.openxmlformats.org/officeDocument/2006/relationships" r:embed="rId1"/>
        <a:stretch>
          <a:fillRect/>
        </a:stretch>
      </xdr:blipFill>
      <xdr:spPr>
        <a:xfrm>
          <a:off x="25533351" y="4670426"/>
          <a:ext cx="143548" cy="209550"/>
        </a:xfrm>
        <a:prstGeom prst="rect">
          <a:avLst/>
        </a:prstGeom>
      </xdr:spPr>
    </xdr:pic>
    <xdr:clientData/>
  </xdr:twoCellAnchor>
  <xdr:twoCellAnchor editAs="oneCell">
    <xdr:from>
      <xdr:col>19</xdr:col>
      <xdr:colOff>198494</xdr:colOff>
      <xdr:row>23</xdr:row>
      <xdr:rowOff>170000</xdr:rowOff>
    </xdr:from>
    <xdr:to>
      <xdr:col>20</xdr:col>
      <xdr:colOff>146050</xdr:colOff>
      <xdr:row>25</xdr:row>
      <xdr:rowOff>2211</xdr:rowOff>
    </xdr:to>
    <xdr:pic>
      <xdr:nvPicPr>
        <xdr:cNvPr id="36" name="Picture 35">
          <a:extLst>
            <a:ext uri="{FF2B5EF4-FFF2-40B4-BE49-F238E27FC236}">
              <a16:creationId xmlns:a16="http://schemas.microsoft.com/office/drawing/2014/main" id="{24F1406B-D59B-2A4B-99EC-B6A4CCAD3379}"/>
            </a:ext>
          </a:extLst>
        </xdr:cNvPr>
        <xdr:cNvPicPr>
          <a:picLocks noChangeAspect="1"/>
        </xdr:cNvPicPr>
      </xdr:nvPicPr>
      <xdr:blipFill>
        <a:blip xmlns:r="http://schemas.openxmlformats.org/officeDocument/2006/relationships" r:embed="rId1"/>
        <a:stretch>
          <a:fillRect/>
        </a:stretch>
      </xdr:blipFill>
      <xdr:spPr>
        <a:xfrm>
          <a:off x="24874594" y="4843600"/>
          <a:ext cx="163456" cy="238611"/>
        </a:xfrm>
        <a:prstGeom prst="rect">
          <a:avLst/>
        </a:prstGeom>
      </xdr:spPr>
    </xdr:pic>
    <xdr:clientData/>
  </xdr:twoCellAnchor>
  <xdr:twoCellAnchor editAs="oneCell">
    <xdr:from>
      <xdr:col>17</xdr:col>
      <xdr:colOff>205549</xdr:colOff>
      <xdr:row>24</xdr:row>
      <xdr:rowOff>184150</xdr:rowOff>
    </xdr:from>
    <xdr:to>
      <xdr:col>18</xdr:col>
      <xdr:colOff>134768</xdr:colOff>
      <xdr:row>26</xdr:row>
      <xdr:rowOff>5387</xdr:rowOff>
    </xdr:to>
    <xdr:pic>
      <xdr:nvPicPr>
        <xdr:cNvPr id="37" name="Picture 36">
          <a:extLst>
            <a:ext uri="{FF2B5EF4-FFF2-40B4-BE49-F238E27FC236}">
              <a16:creationId xmlns:a16="http://schemas.microsoft.com/office/drawing/2014/main" id="{6A405483-411C-3245-8A19-E0FC5A2CAFEA}"/>
            </a:ext>
          </a:extLst>
        </xdr:cNvPr>
        <xdr:cNvPicPr>
          <a:picLocks noChangeAspect="1"/>
        </xdr:cNvPicPr>
      </xdr:nvPicPr>
      <xdr:blipFill>
        <a:blip xmlns:r="http://schemas.openxmlformats.org/officeDocument/2006/relationships" r:embed="rId1"/>
        <a:stretch>
          <a:fillRect/>
        </a:stretch>
      </xdr:blipFill>
      <xdr:spPr>
        <a:xfrm>
          <a:off x="24449849" y="5060950"/>
          <a:ext cx="145119" cy="227637"/>
        </a:xfrm>
        <a:prstGeom prst="rect">
          <a:avLst/>
        </a:prstGeom>
      </xdr:spPr>
    </xdr:pic>
    <xdr:clientData/>
  </xdr:twoCellAnchor>
  <xdr:twoCellAnchor editAs="oneCell">
    <xdr:from>
      <xdr:col>18</xdr:col>
      <xdr:colOff>211194</xdr:colOff>
      <xdr:row>25</xdr:row>
      <xdr:rowOff>196850</xdr:rowOff>
    </xdr:from>
    <xdr:to>
      <xdr:col>19</xdr:col>
      <xdr:colOff>136179</xdr:colOff>
      <xdr:row>27</xdr:row>
      <xdr:rowOff>5385</xdr:rowOff>
    </xdr:to>
    <xdr:pic>
      <xdr:nvPicPr>
        <xdr:cNvPr id="38" name="Picture 37">
          <a:extLst>
            <a:ext uri="{FF2B5EF4-FFF2-40B4-BE49-F238E27FC236}">
              <a16:creationId xmlns:a16="http://schemas.microsoft.com/office/drawing/2014/main" id="{F93FE046-67C7-4F4B-8147-C184CC88B8F4}"/>
            </a:ext>
          </a:extLst>
        </xdr:cNvPr>
        <xdr:cNvPicPr>
          <a:picLocks noChangeAspect="1"/>
        </xdr:cNvPicPr>
      </xdr:nvPicPr>
      <xdr:blipFill>
        <a:blip xmlns:r="http://schemas.openxmlformats.org/officeDocument/2006/relationships" r:embed="rId1"/>
        <a:stretch>
          <a:fillRect/>
        </a:stretch>
      </xdr:blipFill>
      <xdr:spPr>
        <a:xfrm>
          <a:off x="24671394" y="5276850"/>
          <a:ext cx="140885" cy="214935"/>
        </a:xfrm>
        <a:prstGeom prst="rect">
          <a:avLst/>
        </a:prstGeom>
      </xdr:spPr>
    </xdr:pic>
    <xdr:clientData/>
  </xdr:twoCellAnchor>
  <xdr:twoCellAnchor editAs="oneCell">
    <xdr:from>
      <xdr:col>21</xdr:col>
      <xdr:colOff>122294</xdr:colOff>
      <xdr:row>26</xdr:row>
      <xdr:rowOff>196850</xdr:rowOff>
    </xdr:from>
    <xdr:to>
      <xdr:col>22</xdr:col>
      <xdr:colOff>47279</xdr:colOff>
      <xdr:row>28</xdr:row>
      <xdr:rowOff>3175</xdr:rowOff>
    </xdr:to>
    <xdr:pic>
      <xdr:nvPicPr>
        <xdr:cNvPr id="39" name="Picture 38">
          <a:extLst>
            <a:ext uri="{FF2B5EF4-FFF2-40B4-BE49-F238E27FC236}">
              <a16:creationId xmlns:a16="http://schemas.microsoft.com/office/drawing/2014/main" id="{2A0874BB-6951-954E-BADE-6FEC7C5FD958}"/>
            </a:ext>
          </a:extLst>
        </xdr:cNvPr>
        <xdr:cNvPicPr>
          <a:picLocks noChangeAspect="1"/>
        </xdr:cNvPicPr>
      </xdr:nvPicPr>
      <xdr:blipFill>
        <a:blip xmlns:r="http://schemas.openxmlformats.org/officeDocument/2006/relationships" r:embed="rId1"/>
        <a:stretch>
          <a:fillRect/>
        </a:stretch>
      </xdr:blipFill>
      <xdr:spPr>
        <a:xfrm>
          <a:off x="25230194" y="5480050"/>
          <a:ext cx="140885" cy="212725"/>
        </a:xfrm>
        <a:prstGeom prst="rect">
          <a:avLst/>
        </a:prstGeom>
      </xdr:spPr>
    </xdr:pic>
    <xdr:clientData/>
  </xdr:twoCellAnchor>
  <xdr:twoCellAnchor editAs="oneCell">
    <xdr:from>
      <xdr:col>20</xdr:col>
      <xdr:colOff>160394</xdr:colOff>
      <xdr:row>27</xdr:row>
      <xdr:rowOff>184149</xdr:rowOff>
    </xdr:from>
    <xdr:to>
      <xdr:col>21</xdr:col>
      <xdr:colOff>85379</xdr:colOff>
      <xdr:row>29</xdr:row>
      <xdr:rowOff>34924</xdr:rowOff>
    </xdr:to>
    <xdr:pic>
      <xdr:nvPicPr>
        <xdr:cNvPr id="40" name="Picture 39">
          <a:extLst>
            <a:ext uri="{FF2B5EF4-FFF2-40B4-BE49-F238E27FC236}">
              <a16:creationId xmlns:a16="http://schemas.microsoft.com/office/drawing/2014/main" id="{6F5E320D-466A-F04C-8872-17E738536EEA}"/>
            </a:ext>
          </a:extLst>
        </xdr:cNvPr>
        <xdr:cNvPicPr>
          <a:picLocks noChangeAspect="1"/>
        </xdr:cNvPicPr>
      </xdr:nvPicPr>
      <xdr:blipFill>
        <a:blip xmlns:r="http://schemas.openxmlformats.org/officeDocument/2006/relationships" r:embed="rId1"/>
        <a:stretch>
          <a:fillRect/>
        </a:stretch>
      </xdr:blipFill>
      <xdr:spPr>
        <a:xfrm>
          <a:off x="25052394" y="5670549"/>
          <a:ext cx="140885" cy="257175"/>
        </a:xfrm>
        <a:prstGeom prst="rect">
          <a:avLst/>
        </a:prstGeom>
      </xdr:spPr>
    </xdr:pic>
    <xdr:clientData/>
  </xdr:twoCellAnchor>
  <xdr:twoCellAnchor editAs="oneCell">
    <xdr:from>
      <xdr:col>20</xdr:col>
      <xdr:colOff>211194</xdr:colOff>
      <xdr:row>29</xdr:row>
      <xdr:rowOff>2924</xdr:rowOff>
    </xdr:from>
    <xdr:to>
      <xdr:col>21</xdr:col>
      <xdr:colOff>136179</xdr:colOff>
      <xdr:row>30</xdr:row>
      <xdr:rowOff>5386</xdr:rowOff>
    </xdr:to>
    <xdr:pic>
      <xdr:nvPicPr>
        <xdr:cNvPr id="41" name="Picture 40">
          <a:extLst>
            <a:ext uri="{FF2B5EF4-FFF2-40B4-BE49-F238E27FC236}">
              <a16:creationId xmlns:a16="http://schemas.microsoft.com/office/drawing/2014/main" id="{F67E227D-1EE6-6941-A91D-CE09F20A234A}"/>
            </a:ext>
          </a:extLst>
        </xdr:cNvPr>
        <xdr:cNvPicPr>
          <a:picLocks noChangeAspect="1"/>
        </xdr:cNvPicPr>
      </xdr:nvPicPr>
      <xdr:blipFill>
        <a:blip xmlns:r="http://schemas.openxmlformats.org/officeDocument/2006/relationships" r:embed="rId1"/>
        <a:stretch>
          <a:fillRect/>
        </a:stretch>
      </xdr:blipFill>
      <xdr:spPr>
        <a:xfrm>
          <a:off x="25103194" y="5908424"/>
          <a:ext cx="140885" cy="205662"/>
        </a:xfrm>
        <a:prstGeom prst="rect">
          <a:avLst/>
        </a:prstGeom>
      </xdr:spPr>
    </xdr:pic>
    <xdr:clientData/>
  </xdr:twoCellAnchor>
  <xdr:twoCellAnchor editAs="oneCell">
    <xdr:from>
      <xdr:col>20</xdr:col>
      <xdr:colOff>211194</xdr:colOff>
      <xdr:row>30</xdr:row>
      <xdr:rowOff>2924</xdr:rowOff>
    </xdr:from>
    <xdr:to>
      <xdr:col>21</xdr:col>
      <xdr:colOff>136179</xdr:colOff>
      <xdr:row>31</xdr:row>
      <xdr:rowOff>5386</xdr:rowOff>
    </xdr:to>
    <xdr:pic>
      <xdr:nvPicPr>
        <xdr:cNvPr id="42" name="Picture 41">
          <a:extLst>
            <a:ext uri="{FF2B5EF4-FFF2-40B4-BE49-F238E27FC236}">
              <a16:creationId xmlns:a16="http://schemas.microsoft.com/office/drawing/2014/main" id="{712E7DCF-EB61-A44F-80F0-F855E3F37C56}"/>
            </a:ext>
          </a:extLst>
        </xdr:cNvPr>
        <xdr:cNvPicPr>
          <a:picLocks noChangeAspect="1"/>
        </xdr:cNvPicPr>
      </xdr:nvPicPr>
      <xdr:blipFill>
        <a:blip xmlns:r="http://schemas.openxmlformats.org/officeDocument/2006/relationships" r:embed="rId1"/>
        <a:stretch>
          <a:fillRect/>
        </a:stretch>
      </xdr:blipFill>
      <xdr:spPr>
        <a:xfrm>
          <a:off x="25046750" y="5943702"/>
          <a:ext cx="136651" cy="200017"/>
        </a:xfrm>
        <a:prstGeom prst="rect">
          <a:avLst/>
        </a:prstGeom>
      </xdr:spPr>
    </xdr:pic>
    <xdr:clientData/>
  </xdr:twoCellAnchor>
  <xdr:twoCellAnchor editAs="oneCell">
    <xdr:from>
      <xdr:col>19</xdr:col>
      <xdr:colOff>205550</xdr:colOff>
      <xdr:row>30</xdr:row>
      <xdr:rowOff>155575</xdr:rowOff>
    </xdr:from>
    <xdr:to>
      <xdr:col>20</xdr:col>
      <xdr:colOff>134768</xdr:colOff>
      <xdr:row>32</xdr:row>
      <xdr:rowOff>5386</xdr:rowOff>
    </xdr:to>
    <xdr:pic>
      <xdr:nvPicPr>
        <xdr:cNvPr id="43" name="Picture 42">
          <a:extLst>
            <a:ext uri="{FF2B5EF4-FFF2-40B4-BE49-F238E27FC236}">
              <a16:creationId xmlns:a16="http://schemas.microsoft.com/office/drawing/2014/main" id="{14823EE3-28B9-0840-B1E9-730D1D8BFD95}"/>
            </a:ext>
          </a:extLst>
        </xdr:cNvPr>
        <xdr:cNvPicPr>
          <a:picLocks noChangeAspect="1"/>
        </xdr:cNvPicPr>
      </xdr:nvPicPr>
      <xdr:blipFill>
        <a:blip xmlns:r="http://schemas.openxmlformats.org/officeDocument/2006/relationships" r:embed="rId1"/>
        <a:stretch>
          <a:fillRect/>
        </a:stretch>
      </xdr:blipFill>
      <xdr:spPr>
        <a:xfrm>
          <a:off x="24881650" y="6251575"/>
          <a:ext cx="145118" cy="256211"/>
        </a:xfrm>
        <a:prstGeom prst="rect">
          <a:avLst/>
        </a:prstGeom>
      </xdr:spPr>
    </xdr:pic>
    <xdr:clientData/>
  </xdr:twoCellAnchor>
  <xdr:twoCellAnchor editAs="oneCell">
    <xdr:from>
      <xdr:col>20</xdr:col>
      <xdr:colOff>197083</xdr:colOff>
      <xdr:row>31</xdr:row>
      <xdr:rowOff>196850</xdr:rowOff>
    </xdr:from>
    <xdr:to>
      <xdr:col>21</xdr:col>
      <xdr:colOff>122068</xdr:colOff>
      <xdr:row>33</xdr:row>
      <xdr:rowOff>3175</xdr:rowOff>
    </xdr:to>
    <xdr:pic>
      <xdr:nvPicPr>
        <xdr:cNvPr id="44" name="Picture 43">
          <a:extLst>
            <a:ext uri="{FF2B5EF4-FFF2-40B4-BE49-F238E27FC236}">
              <a16:creationId xmlns:a16="http://schemas.microsoft.com/office/drawing/2014/main" id="{E68EF3E4-AE17-7E4E-A55C-4D5659E3944D}"/>
            </a:ext>
          </a:extLst>
        </xdr:cNvPr>
        <xdr:cNvPicPr>
          <a:picLocks noChangeAspect="1"/>
        </xdr:cNvPicPr>
      </xdr:nvPicPr>
      <xdr:blipFill>
        <a:blip xmlns:r="http://schemas.openxmlformats.org/officeDocument/2006/relationships" r:embed="rId1"/>
        <a:stretch>
          <a:fillRect/>
        </a:stretch>
      </xdr:blipFill>
      <xdr:spPr>
        <a:xfrm>
          <a:off x="25089083" y="6496050"/>
          <a:ext cx="140885" cy="212725"/>
        </a:xfrm>
        <a:prstGeom prst="rect">
          <a:avLst/>
        </a:prstGeom>
      </xdr:spPr>
    </xdr:pic>
    <xdr:clientData/>
  </xdr:twoCellAnchor>
  <xdr:twoCellAnchor editAs="oneCell">
    <xdr:from>
      <xdr:col>19</xdr:col>
      <xdr:colOff>211194</xdr:colOff>
      <xdr:row>33</xdr:row>
      <xdr:rowOff>199774</xdr:rowOff>
    </xdr:from>
    <xdr:to>
      <xdr:col>20</xdr:col>
      <xdr:colOff>136179</xdr:colOff>
      <xdr:row>35</xdr:row>
      <xdr:rowOff>3175</xdr:rowOff>
    </xdr:to>
    <xdr:pic>
      <xdr:nvPicPr>
        <xdr:cNvPr id="45" name="Picture 44">
          <a:extLst>
            <a:ext uri="{FF2B5EF4-FFF2-40B4-BE49-F238E27FC236}">
              <a16:creationId xmlns:a16="http://schemas.microsoft.com/office/drawing/2014/main" id="{34E12DEE-2EE4-394E-8B3B-C123FCC2C582}"/>
            </a:ext>
          </a:extLst>
        </xdr:cNvPr>
        <xdr:cNvPicPr>
          <a:picLocks noChangeAspect="1"/>
        </xdr:cNvPicPr>
      </xdr:nvPicPr>
      <xdr:blipFill>
        <a:blip xmlns:r="http://schemas.openxmlformats.org/officeDocument/2006/relationships" r:embed="rId1"/>
        <a:stretch>
          <a:fillRect/>
        </a:stretch>
      </xdr:blipFill>
      <xdr:spPr>
        <a:xfrm>
          <a:off x="24887294" y="6905374"/>
          <a:ext cx="140885" cy="209801"/>
        </a:xfrm>
        <a:prstGeom prst="rect">
          <a:avLst/>
        </a:prstGeom>
      </xdr:spPr>
    </xdr:pic>
    <xdr:clientData/>
  </xdr:twoCellAnchor>
  <xdr:twoCellAnchor editAs="oneCell">
    <xdr:from>
      <xdr:col>20</xdr:col>
      <xdr:colOff>210137</xdr:colOff>
      <xdr:row>29</xdr:row>
      <xdr:rowOff>123576</xdr:rowOff>
    </xdr:from>
    <xdr:to>
      <xdr:col>21</xdr:col>
      <xdr:colOff>135122</xdr:colOff>
      <xdr:row>30</xdr:row>
      <xdr:rowOff>126037</xdr:rowOff>
    </xdr:to>
    <xdr:pic>
      <xdr:nvPicPr>
        <xdr:cNvPr id="48" name="Picture 47">
          <a:extLst>
            <a:ext uri="{FF2B5EF4-FFF2-40B4-BE49-F238E27FC236}">
              <a16:creationId xmlns:a16="http://schemas.microsoft.com/office/drawing/2014/main" id="{DDABBBB6-29EC-CB42-BD0D-8367DDC2863B}"/>
            </a:ext>
          </a:extLst>
        </xdr:cNvPr>
        <xdr:cNvPicPr>
          <a:picLocks noChangeAspect="1"/>
        </xdr:cNvPicPr>
      </xdr:nvPicPr>
      <xdr:blipFill>
        <a:blip xmlns:r="http://schemas.openxmlformats.org/officeDocument/2006/relationships" r:embed="rId1"/>
        <a:stretch>
          <a:fillRect/>
        </a:stretch>
      </xdr:blipFill>
      <xdr:spPr>
        <a:xfrm>
          <a:off x="25102137" y="6016376"/>
          <a:ext cx="140885" cy="205661"/>
        </a:xfrm>
        <a:prstGeom prst="rect">
          <a:avLst/>
        </a:prstGeom>
      </xdr:spPr>
    </xdr:pic>
    <xdr:clientData/>
  </xdr:twoCellAnchor>
  <xdr:twoCellAnchor editAs="oneCell">
    <xdr:from>
      <xdr:col>23</xdr:col>
      <xdr:colOff>194614</xdr:colOff>
      <xdr:row>6</xdr:row>
      <xdr:rowOff>4570</xdr:rowOff>
    </xdr:from>
    <xdr:to>
      <xdr:col>24</xdr:col>
      <xdr:colOff>126754</xdr:colOff>
      <xdr:row>7</xdr:row>
      <xdr:rowOff>7878</xdr:rowOff>
    </xdr:to>
    <xdr:pic>
      <xdr:nvPicPr>
        <xdr:cNvPr id="2" name="Picture 1">
          <a:extLst>
            <a:ext uri="{FF2B5EF4-FFF2-40B4-BE49-F238E27FC236}">
              <a16:creationId xmlns:a16="http://schemas.microsoft.com/office/drawing/2014/main" id="{3F9FC280-5534-A849-8A94-317BD5B14CBF}"/>
            </a:ext>
          </a:extLst>
        </xdr:cNvPr>
        <xdr:cNvPicPr>
          <a:picLocks noChangeAspect="1"/>
        </xdr:cNvPicPr>
      </xdr:nvPicPr>
      <xdr:blipFill>
        <a:blip xmlns:r="http://schemas.openxmlformats.org/officeDocument/2006/relationships" r:embed="rId1"/>
        <a:stretch>
          <a:fillRect/>
        </a:stretch>
      </xdr:blipFill>
      <xdr:spPr>
        <a:xfrm>
          <a:off x="25676929" y="1204014"/>
          <a:ext cx="143806" cy="203216"/>
        </a:xfrm>
        <a:prstGeom prst="rect">
          <a:avLst/>
        </a:prstGeom>
      </xdr:spPr>
    </xdr:pic>
    <xdr:clientData/>
  </xdr:twoCellAnchor>
  <xdr:twoCellAnchor editAs="oneCell">
    <xdr:from>
      <xdr:col>21</xdr:col>
      <xdr:colOff>194379</xdr:colOff>
      <xdr:row>9</xdr:row>
      <xdr:rowOff>2689</xdr:rowOff>
    </xdr:from>
    <xdr:to>
      <xdr:col>22</xdr:col>
      <xdr:colOff>122885</xdr:colOff>
      <xdr:row>10</xdr:row>
      <xdr:rowOff>6999</xdr:rowOff>
    </xdr:to>
    <xdr:pic>
      <xdr:nvPicPr>
        <xdr:cNvPr id="3" name="Picture 2">
          <a:extLst>
            <a:ext uri="{FF2B5EF4-FFF2-40B4-BE49-F238E27FC236}">
              <a16:creationId xmlns:a16="http://schemas.microsoft.com/office/drawing/2014/main" id="{A222579F-AD75-F043-9C1B-1C6240A300F9}"/>
            </a:ext>
          </a:extLst>
        </xdr:cNvPr>
        <xdr:cNvPicPr>
          <a:picLocks noChangeAspect="1"/>
        </xdr:cNvPicPr>
      </xdr:nvPicPr>
      <xdr:blipFill>
        <a:blip xmlns:r="http://schemas.openxmlformats.org/officeDocument/2006/relationships" r:embed="rId1"/>
        <a:stretch>
          <a:fillRect/>
        </a:stretch>
      </xdr:blipFill>
      <xdr:spPr>
        <a:xfrm>
          <a:off x="25253360" y="1801856"/>
          <a:ext cx="140173" cy="204217"/>
        </a:xfrm>
        <a:prstGeom prst="rect">
          <a:avLst/>
        </a:prstGeom>
      </xdr:spPr>
    </xdr:pic>
    <xdr:clientData/>
  </xdr:twoCellAnchor>
  <xdr:twoCellAnchor editAs="oneCell">
    <xdr:from>
      <xdr:col>23</xdr:col>
      <xdr:colOff>157102</xdr:colOff>
      <xdr:row>20</xdr:row>
      <xdr:rowOff>707</xdr:rowOff>
    </xdr:from>
    <xdr:to>
      <xdr:col>24</xdr:col>
      <xdr:colOff>85608</xdr:colOff>
      <xdr:row>21</xdr:row>
      <xdr:rowOff>6939</xdr:rowOff>
    </xdr:to>
    <xdr:pic>
      <xdr:nvPicPr>
        <xdr:cNvPr id="4" name="Picture 3">
          <a:extLst>
            <a:ext uri="{FF2B5EF4-FFF2-40B4-BE49-F238E27FC236}">
              <a16:creationId xmlns:a16="http://schemas.microsoft.com/office/drawing/2014/main" id="{1BD4EE07-6211-ED4D-B979-30AB5CB847CF}"/>
            </a:ext>
          </a:extLst>
        </xdr:cNvPr>
        <xdr:cNvPicPr>
          <a:picLocks noChangeAspect="1"/>
        </xdr:cNvPicPr>
      </xdr:nvPicPr>
      <xdr:blipFill>
        <a:blip xmlns:r="http://schemas.openxmlformats.org/officeDocument/2006/relationships" r:embed="rId1"/>
        <a:stretch>
          <a:fillRect/>
        </a:stretch>
      </xdr:blipFill>
      <xdr:spPr>
        <a:xfrm>
          <a:off x="25639417" y="3998855"/>
          <a:ext cx="140172" cy="206140"/>
        </a:xfrm>
        <a:prstGeom prst="rect">
          <a:avLst/>
        </a:prstGeom>
      </xdr:spPr>
    </xdr:pic>
    <xdr:clientData/>
  </xdr:twoCellAnchor>
  <xdr:twoCellAnchor editAs="oneCell">
    <xdr:from>
      <xdr:col>23</xdr:col>
      <xdr:colOff>4000</xdr:colOff>
      <xdr:row>23</xdr:row>
      <xdr:rowOff>13761</xdr:rowOff>
    </xdr:from>
    <xdr:to>
      <xdr:col>23</xdr:col>
      <xdr:colOff>143315</xdr:colOff>
      <xdr:row>24</xdr:row>
      <xdr:rowOff>16818</xdr:rowOff>
    </xdr:to>
    <xdr:pic>
      <xdr:nvPicPr>
        <xdr:cNvPr id="5" name="Picture 4">
          <a:extLst>
            <a:ext uri="{FF2B5EF4-FFF2-40B4-BE49-F238E27FC236}">
              <a16:creationId xmlns:a16="http://schemas.microsoft.com/office/drawing/2014/main" id="{618A4BA4-0577-C347-907F-4C081723E01A}"/>
            </a:ext>
          </a:extLst>
        </xdr:cNvPr>
        <xdr:cNvPicPr>
          <a:picLocks noChangeAspect="1"/>
        </xdr:cNvPicPr>
      </xdr:nvPicPr>
      <xdr:blipFill>
        <a:blip xmlns:r="http://schemas.openxmlformats.org/officeDocument/2006/relationships" r:embed="rId1"/>
        <a:stretch>
          <a:fillRect/>
        </a:stretch>
      </xdr:blipFill>
      <xdr:spPr>
        <a:xfrm>
          <a:off x="25486315" y="4611631"/>
          <a:ext cx="139315" cy="202965"/>
        </a:xfrm>
        <a:prstGeom prst="rect">
          <a:avLst/>
        </a:prstGeom>
      </xdr:spPr>
    </xdr:pic>
    <xdr:clientData/>
  </xdr:twoCellAnchor>
  <xdr:twoCellAnchor editAs="oneCell">
    <xdr:from>
      <xdr:col>19</xdr:col>
      <xdr:colOff>191910</xdr:colOff>
      <xdr:row>23</xdr:row>
      <xdr:rowOff>175176</xdr:rowOff>
    </xdr:from>
    <xdr:to>
      <xdr:col>20</xdr:col>
      <xdr:colOff>139466</xdr:colOff>
      <xdr:row>25</xdr:row>
      <xdr:rowOff>7387</xdr:rowOff>
    </xdr:to>
    <xdr:pic>
      <xdr:nvPicPr>
        <xdr:cNvPr id="6" name="Picture 5">
          <a:extLst>
            <a:ext uri="{FF2B5EF4-FFF2-40B4-BE49-F238E27FC236}">
              <a16:creationId xmlns:a16="http://schemas.microsoft.com/office/drawing/2014/main" id="{E4FD967D-2CE6-B943-A6AD-2F0499DF63EA}"/>
            </a:ext>
          </a:extLst>
        </xdr:cNvPr>
        <xdr:cNvPicPr>
          <a:picLocks noChangeAspect="1"/>
        </xdr:cNvPicPr>
      </xdr:nvPicPr>
      <xdr:blipFill>
        <a:blip xmlns:r="http://schemas.openxmlformats.org/officeDocument/2006/relationships" r:embed="rId1"/>
        <a:stretch>
          <a:fillRect/>
        </a:stretch>
      </xdr:blipFill>
      <xdr:spPr>
        <a:xfrm>
          <a:off x="24827558" y="4773046"/>
          <a:ext cx="159223" cy="232026"/>
        </a:xfrm>
        <a:prstGeom prst="rect">
          <a:avLst/>
        </a:prstGeom>
      </xdr:spPr>
    </xdr:pic>
    <xdr:clientData/>
  </xdr:twoCellAnchor>
  <xdr:twoCellAnchor editAs="oneCell">
    <xdr:from>
      <xdr:col>21</xdr:col>
      <xdr:colOff>124177</xdr:colOff>
      <xdr:row>27</xdr:row>
      <xdr:rowOff>237</xdr:rowOff>
    </xdr:from>
    <xdr:to>
      <xdr:col>22</xdr:col>
      <xdr:colOff>49162</xdr:colOff>
      <xdr:row>28</xdr:row>
      <xdr:rowOff>6469</xdr:rowOff>
    </xdr:to>
    <xdr:pic>
      <xdr:nvPicPr>
        <xdr:cNvPr id="7" name="Picture 6">
          <a:extLst>
            <a:ext uri="{FF2B5EF4-FFF2-40B4-BE49-F238E27FC236}">
              <a16:creationId xmlns:a16="http://schemas.microsoft.com/office/drawing/2014/main" id="{4323D5A4-D281-E34B-987E-C18D824E28BA}"/>
            </a:ext>
          </a:extLst>
        </xdr:cNvPr>
        <xdr:cNvPicPr>
          <a:picLocks noChangeAspect="1"/>
        </xdr:cNvPicPr>
      </xdr:nvPicPr>
      <xdr:blipFill>
        <a:blip xmlns:r="http://schemas.openxmlformats.org/officeDocument/2006/relationships" r:embed="rId1"/>
        <a:stretch>
          <a:fillRect/>
        </a:stretch>
      </xdr:blipFill>
      <xdr:spPr>
        <a:xfrm>
          <a:off x="25183158" y="5397737"/>
          <a:ext cx="136652" cy="206139"/>
        </a:xfrm>
        <a:prstGeom prst="rect">
          <a:avLst/>
        </a:prstGeom>
      </xdr:spPr>
    </xdr:pic>
    <xdr:clientData/>
  </xdr:twoCellAnchor>
  <xdr:twoCellAnchor editAs="oneCell">
    <xdr:from>
      <xdr:col>20</xdr:col>
      <xdr:colOff>199435</xdr:colOff>
      <xdr:row>30</xdr:row>
      <xdr:rowOff>5276</xdr:rowOff>
    </xdr:from>
    <xdr:to>
      <xdr:col>21</xdr:col>
      <xdr:colOff>124420</xdr:colOff>
      <xdr:row>31</xdr:row>
      <xdr:rowOff>7738</xdr:rowOff>
    </xdr:to>
    <xdr:pic>
      <xdr:nvPicPr>
        <xdr:cNvPr id="8" name="Picture 7">
          <a:extLst>
            <a:ext uri="{FF2B5EF4-FFF2-40B4-BE49-F238E27FC236}">
              <a16:creationId xmlns:a16="http://schemas.microsoft.com/office/drawing/2014/main" id="{D74D3BE0-94BC-AB46-B112-4D93634819B7}"/>
            </a:ext>
          </a:extLst>
        </xdr:cNvPr>
        <xdr:cNvPicPr>
          <a:picLocks noChangeAspect="1"/>
        </xdr:cNvPicPr>
      </xdr:nvPicPr>
      <xdr:blipFill>
        <a:blip xmlns:r="http://schemas.openxmlformats.org/officeDocument/2006/relationships" r:embed="rId1"/>
        <a:stretch>
          <a:fillRect/>
        </a:stretch>
      </xdr:blipFill>
      <xdr:spPr>
        <a:xfrm>
          <a:off x="25046750" y="6002498"/>
          <a:ext cx="136651" cy="202370"/>
        </a:xfrm>
        <a:prstGeom prst="rect">
          <a:avLst/>
        </a:prstGeom>
      </xdr:spPr>
    </xdr:pic>
    <xdr:clientData/>
  </xdr:twoCellAnchor>
  <xdr:twoCellAnchor editAs="oneCell">
    <xdr:from>
      <xdr:col>20</xdr:col>
      <xdr:colOff>194732</xdr:colOff>
      <xdr:row>32</xdr:row>
      <xdr:rowOff>4941</xdr:rowOff>
    </xdr:from>
    <xdr:to>
      <xdr:col>21</xdr:col>
      <xdr:colOff>119717</xdr:colOff>
      <xdr:row>33</xdr:row>
      <xdr:rowOff>11173</xdr:rowOff>
    </xdr:to>
    <xdr:pic>
      <xdr:nvPicPr>
        <xdr:cNvPr id="9" name="Picture 8">
          <a:extLst>
            <a:ext uri="{FF2B5EF4-FFF2-40B4-BE49-F238E27FC236}">
              <a16:creationId xmlns:a16="http://schemas.microsoft.com/office/drawing/2014/main" id="{69C6C73F-BEB0-8448-9C25-DD751B51FB7F}"/>
            </a:ext>
          </a:extLst>
        </xdr:cNvPr>
        <xdr:cNvPicPr>
          <a:picLocks noChangeAspect="1"/>
        </xdr:cNvPicPr>
      </xdr:nvPicPr>
      <xdr:blipFill>
        <a:blip xmlns:r="http://schemas.openxmlformats.org/officeDocument/2006/relationships" r:embed="rId1"/>
        <a:stretch>
          <a:fillRect/>
        </a:stretch>
      </xdr:blipFill>
      <xdr:spPr>
        <a:xfrm>
          <a:off x="25042047" y="6401978"/>
          <a:ext cx="136651" cy="206139"/>
        </a:xfrm>
        <a:prstGeom prst="rect">
          <a:avLst/>
        </a:prstGeom>
      </xdr:spPr>
    </xdr:pic>
    <xdr:clientData/>
  </xdr:twoCellAnchor>
  <xdr:twoCellAnchor editAs="oneCell">
    <xdr:from>
      <xdr:col>20</xdr:col>
      <xdr:colOff>4702</xdr:colOff>
      <xdr:row>34</xdr:row>
      <xdr:rowOff>2691</xdr:rowOff>
    </xdr:from>
    <xdr:to>
      <xdr:col>20</xdr:col>
      <xdr:colOff>141354</xdr:colOff>
      <xdr:row>35</xdr:row>
      <xdr:rowOff>6000</xdr:rowOff>
    </xdr:to>
    <xdr:pic>
      <xdr:nvPicPr>
        <xdr:cNvPr id="46" name="Picture 45">
          <a:extLst>
            <a:ext uri="{FF2B5EF4-FFF2-40B4-BE49-F238E27FC236}">
              <a16:creationId xmlns:a16="http://schemas.microsoft.com/office/drawing/2014/main" id="{7E411C5C-8AD9-3C40-83D3-E380EB75196D}"/>
            </a:ext>
          </a:extLst>
        </xdr:cNvPr>
        <xdr:cNvPicPr>
          <a:picLocks noChangeAspect="1"/>
        </xdr:cNvPicPr>
      </xdr:nvPicPr>
      <xdr:blipFill>
        <a:blip xmlns:r="http://schemas.openxmlformats.org/officeDocument/2006/relationships" r:embed="rId1"/>
        <a:stretch>
          <a:fillRect/>
        </a:stretch>
      </xdr:blipFill>
      <xdr:spPr>
        <a:xfrm>
          <a:off x="24852017" y="6799543"/>
          <a:ext cx="136652" cy="203216"/>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860.944966087962" createdVersion="8" refreshedVersion="8" minRefreshableVersion="3" recordCount="33" xr:uid="{0884E1E6-6443-2545-B182-C869D99A3559}">
  <cacheSource type="worksheet">
    <worksheetSource ref="A1:C1048576" sheet="Africa Scores"/>
  </cacheSource>
  <cacheFields count="3">
    <cacheField name="AGOA Eligible Countries" numFmtId="0">
      <sharedItems containsBlank="1" count="33">
        <s v="Angola"/>
        <s v="Benin"/>
        <s v="Botswana"/>
        <s v="Cabo Verde"/>
        <s v="Chad"/>
        <s v="Comoros"/>
        <s v="Republic of the Congo"/>
        <s v="Democratic Republic of the Congo"/>
        <s v="Côte d’Ivoire"/>
        <s v="Djibouti"/>
        <s v="Eswatini"/>
        <s v="The Gambia"/>
        <s v="Ghana"/>
        <s v="Guinea-Bissau"/>
        <s v="Kenya"/>
        <s v="Lesotho"/>
        <s v="Liberia"/>
        <s v="Madagascar"/>
        <s v="Malawi"/>
        <s v="Mauritania"/>
        <s v="Mauritius"/>
        <s v="Mozambique"/>
        <s v="Namibia"/>
        <s v="Nigeria"/>
        <s v="Rwanda "/>
        <s v="Sao Tome &amp; Principe"/>
        <s v="Senegal"/>
        <s v="Sierra Leone"/>
        <s v="South Africa"/>
        <s v="Tanzania"/>
        <s v="Togo"/>
        <s v="Zambia"/>
        <m/>
      </sharedItems>
    </cacheField>
    <cacheField name="Market Economy and Trade Reform Index" numFmtId="0">
      <sharedItems containsString="0" containsBlank="1" containsNumber="1" minValue="3.5" maxValue="9"/>
    </cacheField>
    <cacheField name="Governance Foundations and Political Accountability_x000a__x000a_Governance Foundations and Political Accountability_x000a__x000a_" numFmtId="0">
      <sharedItems containsString="0" containsBlank="1" containsNumber="1" minValue="1.5" maxValue="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
  <r>
    <x v="0"/>
    <n v="6.5"/>
    <n v="5.5"/>
  </r>
  <r>
    <x v="1"/>
    <n v="8.5"/>
    <n v="7"/>
  </r>
  <r>
    <x v="2"/>
    <n v="8"/>
    <n v="9"/>
  </r>
  <r>
    <x v="3"/>
    <n v="9"/>
    <n v="8.5"/>
  </r>
  <r>
    <x v="4"/>
    <n v="3.5"/>
    <n v="1.5"/>
  </r>
  <r>
    <x v="5"/>
    <n v="4"/>
    <n v="2.5"/>
  </r>
  <r>
    <x v="6"/>
    <n v="6"/>
    <n v="2.8"/>
  </r>
  <r>
    <x v="7"/>
    <n v="4"/>
    <n v="3.3"/>
  </r>
  <r>
    <x v="8"/>
    <n v="7"/>
    <n v="6.5"/>
  </r>
  <r>
    <x v="9"/>
    <n v="7"/>
    <n v="4"/>
  </r>
  <r>
    <x v="10"/>
    <n v="7.5"/>
    <n v="4"/>
  </r>
  <r>
    <x v="11"/>
    <n v="7"/>
    <n v="5.5"/>
  </r>
  <r>
    <x v="12"/>
    <n v="4"/>
    <n v="5"/>
  </r>
  <r>
    <x v="13"/>
    <n v="4"/>
    <n v="4"/>
  </r>
  <r>
    <x v="14"/>
    <n v="7"/>
    <n v="5"/>
  </r>
  <r>
    <x v="15"/>
    <n v="9"/>
    <n v="5"/>
  </r>
  <r>
    <x v="16"/>
    <n v="4"/>
    <n v="4"/>
  </r>
  <r>
    <x v="17"/>
    <n v="5.5"/>
    <n v="2.5"/>
  </r>
  <r>
    <x v="18"/>
    <n v="5"/>
    <n v="6.8"/>
  </r>
  <r>
    <x v="19"/>
    <n v="9"/>
    <n v="7.2"/>
  </r>
  <r>
    <x v="20"/>
    <n v="9"/>
    <n v="6.5"/>
  </r>
  <r>
    <x v="21"/>
    <n v="8"/>
    <n v="3.8"/>
  </r>
  <r>
    <x v="22"/>
    <n v="9"/>
    <n v="7.6"/>
  </r>
  <r>
    <x v="23"/>
    <n v="5.5"/>
    <n v="4.5"/>
  </r>
  <r>
    <x v="24"/>
    <n v="7.5"/>
    <n v="3.8"/>
  </r>
  <r>
    <x v="25"/>
    <n v="4.5"/>
    <n v="6.1"/>
  </r>
  <r>
    <x v="26"/>
    <n v="8.5"/>
    <n v="5.4"/>
  </r>
  <r>
    <x v="27"/>
    <n v="5.5"/>
    <n v="5.5"/>
  </r>
  <r>
    <x v="28"/>
    <n v="7.5"/>
    <n v="5.5"/>
  </r>
  <r>
    <x v="29"/>
    <n v="5.5"/>
    <n v="4.5"/>
  </r>
  <r>
    <x v="30"/>
    <n v="8.5"/>
    <n v="4"/>
  </r>
  <r>
    <x v="31"/>
    <n v="4"/>
    <n v="4.5"/>
  </r>
  <r>
    <x v="32"/>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E473EC-A99F-1340-A122-CD3EB069F12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C35" firstHeaderRow="0" firstDataRow="1" firstDataCol="1"/>
  <pivotFields count="3">
    <pivotField axis="axisRow" showAll="0">
      <items count="34">
        <item x="0"/>
        <item x="1"/>
        <item x="2"/>
        <item x="3"/>
        <item x="4"/>
        <item x="5"/>
        <item x="8"/>
        <item x="7"/>
        <item x="9"/>
        <item x="10"/>
        <item x="12"/>
        <item x="13"/>
        <item x="14"/>
        <item x="15"/>
        <item x="16"/>
        <item x="17"/>
        <item x="18"/>
        <item x="19"/>
        <item x="20"/>
        <item x="21"/>
        <item x="22"/>
        <item x="23"/>
        <item x="6"/>
        <item x="24"/>
        <item x="25"/>
        <item x="26"/>
        <item x="27"/>
        <item x="28"/>
        <item x="29"/>
        <item x="11"/>
        <item x="30"/>
        <item x="31"/>
        <item x="32"/>
        <item t="default"/>
      </items>
    </pivotField>
    <pivotField dataField="1" showAll="0"/>
    <pivotField dataField="1" showAll="0"/>
  </pivotFields>
  <rowFields count="1">
    <field x="0"/>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Fields count="1">
    <field x="-2"/>
  </colFields>
  <colItems count="2">
    <i>
      <x/>
    </i>
    <i i="1">
      <x v="1"/>
    </i>
  </colItems>
  <dataFields count="2">
    <dataField name="Gov Foundations and Accountability_x000a__x000a_Governance Foundations and Political Accountability_x000a__x000a_" fld="2" baseField="0" baseItem="0"/>
    <dataField name="Market and Trade Reform Index" fld="1" baseField="0" baseItem="0"/>
  </dataFields>
  <formats count="12">
    <format dxfId="11">
      <pivotArea collapsedLevelsAreSubtotals="1" fieldPosition="0">
        <references count="1">
          <reference field="0" count="32">
            <x v="0"/>
            <x v="1"/>
            <x v="2"/>
            <x v="3"/>
            <x v="4"/>
            <x v="5"/>
            <x v="6"/>
            <x v="7"/>
            <x v="8"/>
            <x v="9"/>
            <x v="10"/>
            <x v="11"/>
            <x v="12"/>
            <x v="13"/>
            <x v="14"/>
            <x v="15"/>
            <x v="16"/>
            <x v="17"/>
            <x v="18"/>
            <x v="19"/>
            <x v="20"/>
            <x v="21"/>
            <x v="22"/>
            <x v="23"/>
            <x v="24"/>
            <x v="25"/>
            <x v="26"/>
            <x v="27"/>
            <x v="28"/>
            <x v="29"/>
            <x v="30"/>
            <x v="31"/>
          </reference>
        </references>
      </pivotArea>
    </format>
    <format dxfId="10">
      <pivotArea dataOnly="0" fieldPosition="0">
        <references count="1">
          <reference field="0" count="1">
            <x v="32"/>
          </reference>
        </references>
      </pivotArea>
    </format>
    <format dxfId="9">
      <pivotArea dataOnly="0" fieldPosition="0">
        <references count="1">
          <reference field="0" count="1">
            <x v="32"/>
          </reference>
        </references>
      </pivotArea>
    </format>
    <format dxfId="8">
      <pivotArea dataOnly="0" grandRow="1" fieldPosition="0"/>
    </format>
    <format dxfId="7">
      <pivotArea dataOnly="0" grandRow="1" fieldPosition="0"/>
    </format>
    <format dxfId="6">
      <pivotArea collapsedLevelsAreSubtotals="1" fieldPosition="0">
        <references count="1">
          <reference field="0" count="0"/>
        </references>
      </pivotArea>
    </format>
    <format dxfId="5">
      <pivotArea dataOnly="0" labelOnly="1" outline="0" fieldPosition="0">
        <references count="1">
          <reference field="4294967294" count="2">
            <x v="0"/>
            <x v="1"/>
          </reference>
        </references>
      </pivotArea>
    </format>
    <format dxfId="4">
      <pivotArea field="0" type="button" dataOnly="0" labelOnly="1" outline="0" axis="axisRow" fieldPosition="0"/>
    </format>
    <format dxfId="3">
      <pivotArea dataOnly="0" labelOnly="1" fieldPosition="0">
        <references count="1">
          <reference field="0" count="0"/>
        </references>
      </pivotArea>
    </format>
    <format dxfId="2">
      <pivotArea dataOnly="0" labelOnly="1" grandRow="1" outline="0" fieldPosition="0"/>
    </format>
    <format dxfId="1">
      <pivotArea collapsedLevelsAreSubtotals="1" fieldPosition="0">
        <references count="1">
          <reference field="0" count="1">
            <x v="32"/>
          </reference>
        </references>
      </pivotArea>
    </format>
    <format dxfId="0">
      <pivotArea dataOnly="0" labelOnly="1" fieldPosition="0">
        <references count="1">
          <reference field="0" count="1">
            <x v="3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30282-D811-6C4B-9B19-FC1608863055}">
  <dimension ref="A1:BO127"/>
  <sheetViews>
    <sheetView showGridLines="0" zoomScaleNormal="100" workbookViewId="0">
      <pane ySplit="1" topLeftCell="A2" activePane="bottomLeft" state="frozen"/>
      <selection activeCell="AT1" sqref="AT1"/>
      <selection pane="bottomLeft" activeCell="C7" sqref="C7:BO7"/>
    </sheetView>
  </sheetViews>
  <sheetFormatPr baseColWidth="10" defaultRowHeight="16"/>
  <cols>
    <col min="1" max="1" width="29" bestFit="1" customWidth="1"/>
    <col min="2" max="2" width="27" bestFit="1" customWidth="1"/>
    <col min="3" max="67" width="9" style="117" bestFit="1" customWidth="1"/>
  </cols>
  <sheetData>
    <row r="1" spans="1:67" s="107" customFormat="1">
      <c r="A1" s="6" t="s">
        <v>0</v>
      </c>
      <c r="B1" s="5" t="s">
        <v>1</v>
      </c>
      <c r="C1" s="66">
        <f>DATE(1960,1,1)</f>
        <v>21916</v>
      </c>
      <c r="D1" s="66">
        <f>DATE(1961,1,1)</f>
        <v>22282</v>
      </c>
      <c r="E1" s="66">
        <f>DATE(1962,1,1)</f>
        <v>22647</v>
      </c>
      <c r="F1" s="66">
        <f>DATE(1963,1,1)</f>
        <v>23012</v>
      </c>
      <c r="G1" s="66">
        <f>DATE(1964,1,1)</f>
        <v>23377</v>
      </c>
      <c r="H1" s="66">
        <f>DATE(1965,1,1)</f>
        <v>23743</v>
      </c>
      <c r="I1" s="66">
        <f>DATE(1966,1,1)</f>
        <v>24108</v>
      </c>
      <c r="J1" s="66">
        <f>DATE(1967,1,1)</f>
        <v>24473</v>
      </c>
      <c r="K1" s="66">
        <f>DATE(1968,1,1)</f>
        <v>24838</v>
      </c>
      <c r="L1" s="66">
        <f>DATE(1969,1,1)</f>
        <v>25204</v>
      </c>
      <c r="M1" s="66">
        <f>DATE(1970,1,1)</f>
        <v>25569</v>
      </c>
      <c r="N1" s="66">
        <f>DATE(1971,1,1)</f>
        <v>25934</v>
      </c>
      <c r="O1" s="66">
        <f>DATE(1972,1,1)</f>
        <v>26299</v>
      </c>
      <c r="P1" s="66">
        <f>DATE(1973,1,1)</f>
        <v>26665</v>
      </c>
      <c r="Q1" s="66">
        <f>DATE(1974,1,1)</f>
        <v>27030</v>
      </c>
      <c r="R1" s="66">
        <f>DATE(1975,1,1)</f>
        <v>27395</v>
      </c>
      <c r="S1" s="66">
        <f>DATE(1976,1,1)</f>
        <v>27760</v>
      </c>
      <c r="T1" s="66">
        <f>DATE(1977,1,1)</f>
        <v>28126</v>
      </c>
      <c r="U1" s="66">
        <f>DATE(1978,1,1)</f>
        <v>28491</v>
      </c>
      <c r="V1" s="66">
        <f>DATE(1979,1,1)</f>
        <v>28856</v>
      </c>
      <c r="W1" s="66">
        <f>DATE(1980,1,1)</f>
        <v>29221</v>
      </c>
      <c r="X1" s="66">
        <f>DATE(1981,1,1)</f>
        <v>29587</v>
      </c>
      <c r="Y1" s="66">
        <f>DATE(1982,1,1)</f>
        <v>29952</v>
      </c>
      <c r="Z1" s="66">
        <f>DATE(1983,1,1)</f>
        <v>30317</v>
      </c>
      <c r="AA1" s="66">
        <f>DATE(1984,1,1)</f>
        <v>30682</v>
      </c>
      <c r="AB1" s="66">
        <f>DATE(1985,1,1)</f>
        <v>31048</v>
      </c>
      <c r="AC1" s="66">
        <f>DATE(1986,1,1)</f>
        <v>31413</v>
      </c>
      <c r="AD1" s="66">
        <f>DATE(1987,1,1)</f>
        <v>31778</v>
      </c>
      <c r="AE1" s="66">
        <f>DATE(1988,1,1)</f>
        <v>32143</v>
      </c>
      <c r="AF1" s="66">
        <f>DATE(1989,1,1)</f>
        <v>32509</v>
      </c>
      <c r="AG1" s="66">
        <f>DATE(1990,1,1)</f>
        <v>32874</v>
      </c>
      <c r="AH1" s="66">
        <f>DATE(1991,1,1)</f>
        <v>33239</v>
      </c>
      <c r="AI1" s="66">
        <f>DATE(1992,1,1)</f>
        <v>33604</v>
      </c>
      <c r="AJ1" s="66">
        <f>DATE(1993,1,1)</f>
        <v>33970</v>
      </c>
      <c r="AK1" s="66">
        <f>DATE(1994,1,1)</f>
        <v>34335</v>
      </c>
      <c r="AL1" s="66">
        <f>DATE(1995,1,1)</f>
        <v>34700</v>
      </c>
      <c r="AM1" s="66">
        <f>DATE(1996,1,1)</f>
        <v>35065</v>
      </c>
      <c r="AN1" s="66">
        <f>DATE(1997,1,1)</f>
        <v>35431</v>
      </c>
      <c r="AO1" s="66">
        <f>DATE(1998,1,1)</f>
        <v>35796</v>
      </c>
      <c r="AP1" s="66">
        <f>DATE(1999,1,1)</f>
        <v>36161</v>
      </c>
      <c r="AQ1" s="66">
        <f>DATE(2000,1,1)</f>
        <v>36526</v>
      </c>
      <c r="AR1" s="66">
        <f>DATE(2001,1,1)</f>
        <v>36892</v>
      </c>
      <c r="AS1" s="66">
        <f>DATE(2002,1,1)</f>
        <v>37257</v>
      </c>
      <c r="AT1" s="66">
        <f>DATE(2003,1,1)</f>
        <v>37622</v>
      </c>
      <c r="AU1" s="66">
        <f>DATE(2004,1,1)</f>
        <v>37987</v>
      </c>
      <c r="AV1" s="66">
        <f>DATE(2005,1,1)</f>
        <v>38353</v>
      </c>
      <c r="AW1" s="66">
        <f>DATE(2006,1,1)</f>
        <v>38718</v>
      </c>
      <c r="AX1" s="66">
        <f>DATE(2007,1,1)</f>
        <v>39083</v>
      </c>
      <c r="AY1" s="66">
        <f>DATE(2008,1,1)</f>
        <v>39448</v>
      </c>
      <c r="AZ1" s="66">
        <f>DATE(2009,1,1)</f>
        <v>39814</v>
      </c>
      <c r="BA1" s="66">
        <f>DATE(2010,1,1)</f>
        <v>40179</v>
      </c>
      <c r="BB1" s="66">
        <f>DATE(2011,1,1)</f>
        <v>40544</v>
      </c>
      <c r="BC1" s="66">
        <f>DATE(2012,1,1)</f>
        <v>40909</v>
      </c>
      <c r="BD1" s="66">
        <f>DATE(2013,1,1)</f>
        <v>41275</v>
      </c>
      <c r="BE1" s="66">
        <f>DATE(2014,1,1)</f>
        <v>41640</v>
      </c>
      <c r="BF1" s="66">
        <f>DATE(2015,1,1)</f>
        <v>42005</v>
      </c>
      <c r="BG1" s="66">
        <f>DATE(2016,1,1)</f>
        <v>42370</v>
      </c>
      <c r="BH1" s="66">
        <f>DATE(2017,1,1)</f>
        <v>42736</v>
      </c>
      <c r="BI1" s="66">
        <f>DATE(2018,1,1)</f>
        <v>43101</v>
      </c>
      <c r="BJ1" s="66">
        <f>DATE(2019,1,1)</f>
        <v>43466</v>
      </c>
      <c r="BK1" s="66">
        <f>DATE(2020,1,1)</f>
        <v>43831</v>
      </c>
      <c r="BL1" s="66">
        <f>DATE(2021,1,1)</f>
        <v>44197</v>
      </c>
      <c r="BM1" s="66">
        <f>DATE(2022,1,1)</f>
        <v>44562</v>
      </c>
      <c r="BN1" s="66">
        <f>DATE(2023,1,1)</f>
        <v>44927</v>
      </c>
      <c r="BO1" s="108">
        <f>DATE(2024,1,1)</f>
        <v>45292</v>
      </c>
    </row>
    <row r="2" spans="1:67">
      <c r="A2" s="3" t="s">
        <v>2</v>
      </c>
      <c r="B2" s="4" t="s">
        <v>3</v>
      </c>
      <c r="C2" s="119">
        <v>4.9862601283784249</v>
      </c>
      <c r="D2" s="119">
        <v>4.9057944362506962</v>
      </c>
      <c r="E2" s="119">
        <v>4.8064453748680824</v>
      </c>
      <c r="F2" s="119">
        <v>4.8676269640414267</v>
      </c>
      <c r="G2" s="119">
        <v>5.107553455192547</v>
      </c>
      <c r="H2" s="119">
        <v>4.9960741232785075</v>
      </c>
      <c r="I2" s="119">
        <v>5.0265204006344293</v>
      </c>
      <c r="J2" s="119">
        <v>5.0499737111146228</v>
      </c>
      <c r="K2" s="119">
        <v>5.0875117610456426</v>
      </c>
      <c r="L2" s="119">
        <v>5.0980335408759139</v>
      </c>
      <c r="M2" s="119">
        <v>5.5631075288152552</v>
      </c>
      <c r="N2" s="119">
        <v>5.4052453105550065</v>
      </c>
      <c r="O2" s="119">
        <v>5.538460335702168</v>
      </c>
      <c r="P2" s="119">
        <v>6.6837802797296995</v>
      </c>
      <c r="Q2" s="119">
        <v>8.1961219044512745</v>
      </c>
      <c r="R2" s="119">
        <v>8.2322791090768366</v>
      </c>
      <c r="S2" s="119">
        <v>7.9808926173206967</v>
      </c>
      <c r="T2" s="119">
        <v>7.6542900319238978</v>
      </c>
      <c r="U2" s="119">
        <v>7.9470607021009956</v>
      </c>
      <c r="V2" s="119">
        <v>8.7590343515648765</v>
      </c>
      <c r="W2" s="119">
        <v>9.8264554701332418</v>
      </c>
      <c r="X2" s="119">
        <v>9.5177766670273325</v>
      </c>
      <c r="Y2" s="119">
        <v>8.4697329885348633</v>
      </c>
      <c r="Z2" s="119">
        <v>7.6222648194652898</v>
      </c>
      <c r="AA2" s="119">
        <v>7.4890783242475196</v>
      </c>
      <c r="AB2" s="119">
        <v>6.9880725396458478</v>
      </c>
      <c r="AC2" s="119">
        <v>7.009254675758811</v>
      </c>
      <c r="AD2" s="119">
        <v>7.4959193362188898</v>
      </c>
      <c r="AE2" s="119">
        <v>8.4905235199958451</v>
      </c>
      <c r="AF2" s="119">
        <v>8.9387901970724499</v>
      </c>
      <c r="AG2" s="119">
        <v>9.2547320675133786</v>
      </c>
      <c r="AH2" s="120">
        <v>9.6609051223188089</v>
      </c>
      <c r="AI2" s="120">
        <v>9.7089149056481379</v>
      </c>
      <c r="AJ2" s="120">
        <v>9.5471803916828595</v>
      </c>
      <c r="AK2" s="120">
        <v>9.8931474155633214</v>
      </c>
      <c r="AL2" s="120">
        <v>10.639223880260989</v>
      </c>
      <c r="AM2" s="120">
        <v>10.746635564283558</v>
      </c>
      <c r="AN2" s="120">
        <v>11.119757711757387</v>
      </c>
      <c r="AO2" s="120">
        <v>10.515262528196255</v>
      </c>
      <c r="AP2" s="120">
        <v>10.309337222925725</v>
      </c>
      <c r="AQ2" s="120">
        <v>10.69277272979134</v>
      </c>
      <c r="AR2" s="120">
        <v>9.7034482087339651</v>
      </c>
      <c r="AS2" s="120">
        <v>9.1313856537971798</v>
      </c>
      <c r="AT2" s="120">
        <v>9.0356524054135434</v>
      </c>
      <c r="AU2" s="120">
        <v>9.6287478730798792</v>
      </c>
      <c r="AV2" s="120">
        <v>9.9820564103755789</v>
      </c>
      <c r="AW2" s="120">
        <v>10.641389509223027</v>
      </c>
      <c r="AX2" s="120">
        <v>11.463789295014559</v>
      </c>
      <c r="AY2" s="120">
        <v>12.425843924608097</v>
      </c>
      <c r="AZ2" s="120">
        <v>10.932219059353711</v>
      </c>
      <c r="BA2" s="120">
        <v>12.341355432208621</v>
      </c>
      <c r="BB2" s="120">
        <v>13.563463782582932</v>
      </c>
      <c r="BC2" s="120">
        <v>13.644051268705429</v>
      </c>
      <c r="BD2" s="120">
        <v>13.553491881815447</v>
      </c>
      <c r="BE2" s="120">
        <v>13.508214213223454</v>
      </c>
      <c r="BF2" s="120">
        <v>12.411148630127141</v>
      </c>
      <c r="BG2" s="120">
        <v>11.888159227325328</v>
      </c>
      <c r="BH2" s="120">
        <v>12.177481026766024</v>
      </c>
      <c r="BI2" s="120">
        <v>12.287110759626648</v>
      </c>
      <c r="BJ2" s="120">
        <v>11.789197409728569</v>
      </c>
      <c r="BK2" s="120">
        <v>10.073655627337226</v>
      </c>
      <c r="BL2" s="120">
        <v>10.790978199515557</v>
      </c>
      <c r="BM2" s="120">
        <v>11.602227917037226</v>
      </c>
      <c r="BN2" s="120">
        <v>11.011511285660118</v>
      </c>
      <c r="BO2" s="121">
        <v>10.896875061033295</v>
      </c>
    </row>
    <row r="3" spans="1:67">
      <c r="B3" s="4" t="s">
        <v>4</v>
      </c>
      <c r="C3" s="119">
        <v>4.211172771022059</v>
      </c>
      <c r="D3" s="119">
        <v>4.0324130196962464</v>
      </c>
      <c r="E3" s="119">
        <v>4.128291088680303</v>
      </c>
      <c r="F3" s="119">
        <v>4.0939509141154238</v>
      </c>
      <c r="G3" s="119">
        <v>4.0989943260724564</v>
      </c>
      <c r="H3" s="119">
        <v>4.2405971311271209</v>
      </c>
      <c r="I3" s="119">
        <v>4.5519982034777628</v>
      </c>
      <c r="J3" s="119">
        <v>4.6369556389446442</v>
      </c>
      <c r="K3" s="119">
        <v>4.9441447323350092</v>
      </c>
      <c r="L3" s="119">
        <v>4.9575288223174336</v>
      </c>
      <c r="M3" s="119">
        <v>5.195177876144947</v>
      </c>
      <c r="N3" s="119">
        <v>5.3519337253723656</v>
      </c>
      <c r="O3" s="119">
        <v>5.8021593138979446</v>
      </c>
      <c r="P3" s="119">
        <v>6.3954353097007379</v>
      </c>
      <c r="Q3" s="119">
        <v>8.2488644180882886</v>
      </c>
      <c r="R3" s="119">
        <v>7.2840945240797108</v>
      </c>
      <c r="S3" s="119">
        <v>8.0679530183430028</v>
      </c>
      <c r="T3" s="119">
        <v>8.7636046432314707</v>
      </c>
      <c r="U3" s="119">
        <v>9.0257735268640609</v>
      </c>
      <c r="V3" s="119">
        <v>9.6171288527187073</v>
      </c>
      <c r="W3" s="119">
        <v>10.283389219289351</v>
      </c>
      <c r="X3" s="119">
        <v>9.908136503399863</v>
      </c>
      <c r="Y3" s="119">
        <v>9.0670792923835801</v>
      </c>
      <c r="Z3" s="119">
        <v>9.0433286608450434</v>
      </c>
      <c r="AA3" s="119">
        <v>10.033329098157747</v>
      </c>
      <c r="AB3" s="119">
        <v>9.6158335866571374</v>
      </c>
      <c r="AC3" s="119">
        <v>9.8887224756754417</v>
      </c>
      <c r="AD3" s="119">
        <v>10.47766164835131</v>
      </c>
      <c r="AE3" s="119">
        <v>10.579577185865659</v>
      </c>
      <c r="AF3" s="119">
        <v>10.476338188947068</v>
      </c>
      <c r="AG3" s="119">
        <v>10.560335286218143</v>
      </c>
      <c r="AH3" s="120">
        <v>10.125543001778626</v>
      </c>
      <c r="AI3" s="120">
        <v>10.241679596744151</v>
      </c>
      <c r="AJ3" s="120">
        <v>10.497438310292294</v>
      </c>
      <c r="AK3" s="120">
        <v>11.162311746181954</v>
      </c>
      <c r="AL3" s="120">
        <v>11.814157768795807</v>
      </c>
      <c r="AM3" s="120">
        <v>11.940436425957641</v>
      </c>
      <c r="AN3" s="120">
        <v>12.308570090860423</v>
      </c>
      <c r="AO3" s="120">
        <v>12.310631451567431</v>
      </c>
      <c r="AP3" s="120">
        <v>13.004232506698044</v>
      </c>
      <c r="AQ3" s="120">
        <v>14.410212827062304</v>
      </c>
      <c r="AR3" s="120">
        <v>13.263734806763491</v>
      </c>
      <c r="AS3" s="120">
        <v>13.154998559809272</v>
      </c>
      <c r="AT3" s="120">
        <v>13.591644881267758</v>
      </c>
      <c r="AU3" s="120">
        <v>14.819308784110527</v>
      </c>
      <c r="AV3" s="120">
        <v>15.656500933301338</v>
      </c>
      <c r="AW3" s="120">
        <v>16.333896296667323</v>
      </c>
      <c r="AX3" s="120">
        <v>16.548226268095263</v>
      </c>
      <c r="AY3" s="120">
        <v>17.441943601097964</v>
      </c>
      <c r="AZ3" s="120">
        <v>13.827308576483311</v>
      </c>
      <c r="BA3" s="120">
        <v>15.878527508625009</v>
      </c>
      <c r="BB3" s="120">
        <v>17.279014793331065</v>
      </c>
      <c r="BC3" s="120">
        <v>17.037788306487585</v>
      </c>
      <c r="BD3" s="120">
        <v>16.387814403007273</v>
      </c>
      <c r="BE3" s="120">
        <v>16.3983551242045</v>
      </c>
      <c r="BF3" s="120">
        <v>15.277065303949671</v>
      </c>
      <c r="BG3" s="120">
        <v>14.564438559221198</v>
      </c>
      <c r="BH3" s="120">
        <v>14.947857195521419</v>
      </c>
      <c r="BI3" s="120">
        <v>15.158248370635203</v>
      </c>
      <c r="BJ3" s="120">
        <v>14.469283214814199</v>
      </c>
      <c r="BK3" s="120">
        <v>13.006122242070084</v>
      </c>
      <c r="BL3" s="120">
        <v>14.422677831260962</v>
      </c>
      <c r="BM3" s="120">
        <v>15.289461913039748</v>
      </c>
      <c r="BN3" s="120">
        <v>13.887851858334505</v>
      </c>
      <c r="BO3" s="121">
        <v>13.991116636040088</v>
      </c>
    </row>
    <row r="4" spans="1:67">
      <c r="B4" s="4" t="s">
        <v>5</v>
      </c>
      <c r="C4" s="122"/>
      <c r="D4" s="122"/>
      <c r="E4" s="122"/>
      <c r="F4" s="122"/>
      <c r="G4" s="122"/>
      <c r="H4" s="122"/>
      <c r="I4" s="122"/>
      <c r="J4" s="122"/>
      <c r="K4" s="122"/>
      <c r="L4" s="122"/>
      <c r="M4" s="122"/>
      <c r="N4" s="122"/>
      <c r="O4" s="122"/>
      <c r="P4" s="122"/>
      <c r="Q4" s="122"/>
      <c r="R4" s="122"/>
      <c r="S4" s="122"/>
      <c r="T4" s="122"/>
      <c r="U4" s="122"/>
      <c r="V4" s="122"/>
      <c r="W4" s="122"/>
      <c r="X4" s="122"/>
      <c r="Y4" s="122"/>
      <c r="Z4" s="122"/>
      <c r="AA4" s="122"/>
      <c r="AB4" s="122"/>
      <c r="AC4" s="122"/>
      <c r="AD4" s="122"/>
      <c r="AE4" s="122"/>
      <c r="AF4" s="122"/>
      <c r="AG4" s="119">
        <v>40.933943570707001</v>
      </c>
      <c r="AH4" s="120">
        <v>44.061597280602598</v>
      </c>
      <c r="AI4" s="120">
        <v>46.050144417603597</v>
      </c>
      <c r="AJ4" s="120">
        <v>48.246140333559865</v>
      </c>
      <c r="AK4" s="120">
        <v>47.353482170743476</v>
      </c>
      <c r="AL4" s="120">
        <v>47.20953528708862</v>
      </c>
      <c r="AM4" s="120">
        <v>46.741768550010768</v>
      </c>
      <c r="AN4" s="120">
        <v>44.117482470523058</v>
      </c>
      <c r="AO4" s="120">
        <v>41.129154433991111</v>
      </c>
      <c r="AP4" s="120">
        <v>37.727288018529833</v>
      </c>
      <c r="AQ4" s="120">
        <v>33.267641873652323</v>
      </c>
      <c r="AR4" s="120">
        <v>52.443680164552234</v>
      </c>
      <c r="AS4" s="120">
        <v>53.862538461510312</v>
      </c>
      <c r="AT4" s="120">
        <v>56.250365514622771</v>
      </c>
      <c r="AU4" s="120">
        <v>56.662273405452446</v>
      </c>
      <c r="AV4" s="120">
        <v>56.538857415836262</v>
      </c>
      <c r="AW4" s="120">
        <v>55.467351613030011</v>
      </c>
      <c r="AX4" s="120">
        <v>55.659921897043482</v>
      </c>
      <c r="AY4" s="120">
        <v>63.815112152029585</v>
      </c>
      <c r="AZ4" s="120">
        <v>75.842037476411733</v>
      </c>
      <c r="BA4" s="120">
        <v>84.964373976134311</v>
      </c>
      <c r="BB4" s="120">
        <v>89.546794778269273</v>
      </c>
      <c r="BC4" s="120">
        <v>93.649274607988076</v>
      </c>
      <c r="BD4" s="120">
        <v>95.322505611887863</v>
      </c>
      <c r="BE4" s="120">
        <v>95.454198507531004</v>
      </c>
      <c r="BF4" s="120">
        <v>95.956156153759665</v>
      </c>
      <c r="BG4" s="120">
        <v>97.928934848036789</v>
      </c>
      <c r="BH4" s="120">
        <v>97.021634906854956</v>
      </c>
      <c r="BI4" s="120">
        <v>98.449772459208518</v>
      </c>
      <c r="BJ4" s="120">
        <v>100.05821731884457</v>
      </c>
      <c r="BK4" s="120">
        <v>124.51469635463532</v>
      </c>
      <c r="BL4" s="120">
        <v>118.40094816257185</v>
      </c>
      <c r="BM4" s="120">
        <v>112.81761339195728</v>
      </c>
      <c r="BN4" s="120">
        <v>114.75555333018359</v>
      </c>
      <c r="BO4" s="123"/>
    </row>
    <row r="5" spans="1:67">
      <c r="B5" s="153" t="s">
        <v>46</v>
      </c>
      <c r="C5" s="122"/>
      <c r="D5" s="122"/>
      <c r="E5" s="122"/>
      <c r="F5" s="122"/>
      <c r="G5" s="122"/>
      <c r="H5" s="122"/>
      <c r="I5" s="122"/>
      <c r="J5" s="122"/>
      <c r="K5" s="122"/>
      <c r="L5" s="122"/>
      <c r="M5" s="122"/>
      <c r="N5" s="122"/>
      <c r="O5" s="122"/>
      <c r="P5" s="122"/>
      <c r="Q5" s="122"/>
      <c r="R5" s="122"/>
      <c r="S5" s="122"/>
      <c r="T5" s="122"/>
      <c r="U5" s="122"/>
      <c r="V5" s="122"/>
      <c r="W5" s="122"/>
      <c r="X5" s="122"/>
      <c r="Y5" s="122"/>
      <c r="Z5" s="122"/>
      <c r="AA5" s="122"/>
      <c r="AB5" s="122"/>
      <c r="AC5" s="122"/>
      <c r="AD5" s="122"/>
      <c r="AE5" s="122"/>
      <c r="AF5" s="122"/>
      <c r="AG5" s="122"/>
      <c r="AH5" s="120">
        <v>6.8</v>
      </c>
      <c r="AI5" s="120">
        <v>7.5</v>
      </c>
      <c r="AJ5" s="120">
        <v>6.9</v>
      </c>
      <c r="AK5" s="120">
        <v>6.1189999999999998</v>
      </c>
      <c r="AL5" s="120">
        <v>5.65</v>
      </c>
      <c r="AM5" s="120">
        <v>5.4509999999999996</v>
      </c>
      <c r="AN5" s="120">
        <v>5</v>
      </c>
      <c r="AO5" s="120">
        <v>4.5110000000000001</v>
      </c>
      <c r="AP5" s="120">
        <v>4.2190000000000003</v>
      </c>
      <c r="AQ5" s="120">
        <v>3.992</v>
      </c>
      <c r="AR5" s="120">
        <v>4.7309999999999999</v>
      </c>
      <c r="AS5" s="120">
        <v>5.7830000000000004</v>
      </c>
      <c r="AT5" s="120">
        <v>5.9889999999999999</v>
      </c>
      <c r="AU5" s="120">
        <v>5.5289999999999999</v>
      </c>
      <c r="AV5" s="120">
        <v>5.0839999999999996</v>
      </c>
      <c r="AW5" s="120">
        <v>4.6230000000000002</v>
      </c>
      <c r="AX5" s="120">
        <v>4.6219999999999999</v>
      </c>
      <c r="AY5" s="120">
        <v>5.7839999999999998</v>
      </c>
      <c r="AZ5" s="120">
        <v>9.2539999999999996</v>
      </c>
      <c r="BA5" s="120">
        <v>9.6329999999999991</v>
      </c>
      <c r="BB5" s="120">
        <v>8.9489999999999998</v>
      </c>
      <c r="BC5" s="120">
        <v>8.0690000000000008</v>
      </c>
      <c r="BD5" s="120">
        <v>7.375</v>
      </c>
      <c r="BE5" s="120">
        <v>6.1680000000000001</v>
      </c>
      <c r="BF5" s="120">
        <v>5.28</v>
      </c>
      <c r="BG5" s="120">
        <v>4.8689999999999998</v>
      </c>
      <c r="BH5" s="120">
        <v>4.3550000000000004</v>
      </c>
      <c r="BI5" s="120">
        <v>3.8959999999999999</v>
      </c>
      <c r="BJ5" s="120">
        <v>3.669</v>
      </c>
      <c r="BK5" s="120">
        <v>8.0549999999999997</v>
      </c>
      <c r="BL5" s="120">
        <v>5.3490000000000002</v>
      </c>
      <c r="BM5" s="120">
        <v>3.65</v>
      </c>
      <c r="BN5" s="120">
        <v>3.6379999999999999</v>
      </c>
      <c r="BO5" s="121">
        <v>4.1059999999999999</v>
      </c>
    </row>
    <row r="6" spans="1:67">
      <c r="A6" s="1"/>
      <c r="B6" s="7" t="s">
        <v>47</v>
      </c>
      <c r="C6" s="124">
        <v>1.45797598627791</v>
      </c>
      <c r="D6" s="124">
        <v>1.07072414764724</v>
      </c>
      <c r="E6" s="124">
        <v>1.1987733482018601</v>
      </c>
      <c r="F6" s="124">
        <v>1.2396694214875299</v>
      </c>
      <c r="G6" s="124">
        <v>1.2789115646259099</v>
      </c>
      <c r="H6" s="124">
        <v>1.5851692638366199</v>
      </c>
      <c r="I6" s="124">
        <v>3.0150753768844001</v>
      </c>
      <c r="J6" s="124">
        <v>2.7727856225930898</v>
      </c>
      <c r="K6" s="124">
        <v>4.2717961528853703</v>
      </c>
      <c r="L6" s="124">
        <v>5.4623862002874501</v>
      </c>
      <c r="M6" s="124">
        <v>5.8382553384825098</v>
      </c>
      <c r="N6" s="124">
        <v>4.2927666881305102</v>
      </c>
      <c r="O6" s="124">
        <v>3.2722782465528302</v>
      </c>
      <c r="P6" s="124">
        <v>6.1777600637703802</v>
      </c>
      <c r="Q6" s="124">
        <v>11.0548048048048</v>
      </c>
      <c r="R6" s="124">
        <v>9.1431468649653507</v>
      </c>
      <c r="S6" s="124">
        <v>5.7448126354908498</v>
      </c>
      <c r="T6" s="124">
        <v>6.5016839947284</v>
      </c>
      <c r="U6" s="124">
        <v>7.6309638388560597</v>
      </c>
      <c r="V6" s="124">
        <v>11.2544711292795</v>
      </c>
      <c r="W6" s="124">
        <v>13.549201974968399</v>
      </c>
      <c r="X6" s="124">
        <v>10.3347153402771</v>
      </c>
      <c r="Y6" s="124">
        <v>6.1314270002749298</v>
      </c>
      <c r="Z6" s="124">
        <v>3.21243523316065</v>
      </c>
      <c r="AA6" s="124">
        <v>4.3005354752342901</v>
      </c>
      <c r="AB6" s="124">
        <v>3.5456441520936499</v>
      </c>
      <c r="AC6" s="124">
        <v>1.8980477223427601</v>
      </c>
      <c r="AD6" s="124">
        <v>3.6645632175168998</v>
      </c>
      <c r="AE6" s="124">
        <v>4.0777411074441297</v>
      </c>
      <c r="AF6" s="124">
        <v>4.8270030300894398</v>
      </c>
      <c r="AG6" s="124">
        <v>5.3979564399032496</v>
      </c>
      <c r="AH6" s="125">
        <v>4.2349639645384904</v>
      </c>
      <c r="AI6" s="125">
        <v>3.0288196781496901</v>
      </c>
      <c r="AJ6" s="125">
        <v>2.9516569663855901</v>
      </c>
      <c r="AK6" s="125">
        <v>2.60744159215453</v>
      </c>
      <c r="AL6" s="125">
        <v>2.8054196885366198</v>
      </c>
      <c r="AM6" s="125">
        <v>2.9312041999344101</v>
      </c>
      <c r="AN6" s="125">
        <v>2.3376899373073501</v>
      </c>
      <c r="AO6" s="125">
        <v>1.5522790987436399</v>
      </c>
      <c r="AP6" s="125">
        <v>2.1880271969735801</v>
      </c>
      <c r="AQ6" s="125">
        <v>3.3768572714992899</v>
      </c>
      <c r="AR6" s="125">
        <v>2.8261711188540701</v>
      </c>
      <c r="AS6" s="125">
        <v>1.5860316265060099</v>
      </c>
      <c r="AT6" s="125">
        <v>2.2700949733611502</v>
      </c>
      <c r="AU6" s="125">
        <v>2.6772366930917202</v>
      </c>
      <c r="AV6" s="125">
        <v>3.3927468454955001</v>
      </c>
      <c r="AW6" s="125">
        <v>3.2259441007040399</v>
      </c>
      <c r="AX6" s="125">
        <v>2.8526724815013802</v>
      </c>
      <c r="AY6" s="125">
        <v>3.8391002966509999</v>
      </c>
      <c r="AZ6" s="125">
        <v>-0.355546266299747</v>
      </c>
      <c r="BA6" s="125">
        <v>1.6400434423899</v>
      </c>
      <c r="BB6" s="125">
        <v>3.1568415686220002</v>
      </c>
      <c r="BC6" s="125">
        <v>2.0693372652606699</v>
      </c>
      <c r="BD6" s="125">
        <v>1.46483265562717</v>
      </c>
      <c r="BE6" s="125">
        <v>1.62222297740817</v>
      </c>
      <c r="BF6" s="125">
        <v>0.118627135552451</v>
      </c>
      <c r="BG6" s="125">
        <v>1.26158320570536</v>
      </c>
      <c r="BH6" s="125">
        <v>2.1301100036596101</v>
      </c>
      <c r="BI6" s="125">
        <v>2.44258329692817</v>
      </c>
      <c r="BJ6" s="125">
        <v>1.8122100752602099</v>
      </c>
      <c r="BK6" s="125">
        <v>1.23358439630629</v>
      </c>
      <c r="BL6" s="125">
        <v>4.6978588636374203</v>
      </c>
      <c r="BM6" s="125">
        <v>8.0027998205212096</v>
      </c>
      <c r="BN6" s="125">
        <v>4.1163383837448801</v>
      </c>
      <c r="BO6" s="121">
        <v>2.9495252048520699</v>
      </c>
    </row>
    <row r="7" spans="1:67">
      <c r="A7" s="3" t="s">
        <v>6</v>
      </c>
      <c r="B7" s="4" t="s">
        <v>3</v>
      </c>
      <c r="C7" s="119">
        <v>8.5055214723926387</v>
      </c>
      <c r="D7" s="119">
        <v>8.4124858757062153</v>
      </c>
      <c r="E7" s="119">
        <v>8.5691052631578959</v>
      </c>
      <c r="F7" s="119">
        <v>8.3201415094339612</v>
      </c>
      <c r="G7" s="119">
        <v>7.6330677290836659</v>
      </c>
      <c r="H7" s="119">
        <v>7.6342490842490838</v>
      </c>
      <c r="I7" s="119">
        <v>7.4710197368421047</v>
      </c>
      <c r="J7" s="119">
        <v>6.8677409638554217</v>
      </c>
      <c r="K7" s="119">
        <v>7.0379291553133525</v>
      </c>
      <c r="L7" s="119">
        <v>7.5464778325123145</v>
      </c>
      <c r="M7" s="119">
        <v>7.7546171171171174</v>
      </c>
      <c r="N7" s="119">
        <v>7.6404081632653069</v>
      </c>
      <c r="O7" s="119">
        <v>8.0601769911504437</v>
      </c>
      <c r="P7" s="119">
        <v>8.4120115774240229</v>
      </c>
      <c r="Q7" s="119">
        <v>8.408666666666667</v>
      </c>
      <c r="R7" s="119">
        <v>6.8944545454545452</v>
      </c>
      <c r="S7" s="119">
        <v>8.48983223924143</v>
      </c>
      <c r="T7" s="119">
        <v>10.319091400757166</v>
      </c>
      <c r="U7" s="119">
        <v>10.47097133076594</v>
      </c>
      <c r="V7" s="119">
        <v>11.189162320730118</v>
      </c>
      <c r="W7" s="119">
        <v>10.142620097202345</v>
      </c>
      <c r="X7" s="119">
        <v>9.8615684272643271</v>
      </c>
      <c r="Y7" s="119">
        <v>14.42686588250729</v>
      </c>
      <c r="Z7" s="119">
        <v>18.115034750119367</v>
      </c>
      <c r="AA7" s="119">
        <v>16.567142895815234</v>
      </c>
      <c r="AB7" s="119">
        <v>14.566314890479662</v>
      </c>
      <c r="AC7" s="119">
        <v>16.682179926955971</v>
      </c>
      <c r="AD7" s="119">
        <v>18.53656700425887</v>
      </c>
      <c r="AE7" s="119">
        <v>20.096056146416899</v>
      </c>
      <c r="AF7" s="119">
        <v>19.132199302995943</v>
      </c>
      <c r="AG7" s="119">
        <v>18.70447104917174</v>
      </c>
      <c r="AH7" s="120">
        <v>16.433390033604354</v>
      </c>
      <c r="AI7" s="120">
        <v>15.256744442975048</v>
      </c>
      <c r="AJ7" s="120">
        <v>11.595984689680021</v>
      </c>
      <c r="AK7" s="120">
        <v>12.75459571252717</v>
      </c>
      <c r="AL7" s="120">
        <v>22.865926921195754</v>
      </c>
      <c r="AM7" s="120">
        <v>24.72313195214161</v>
      </c>
      <c r="AN7" s="120">
        <v>23.255572146927129</v>
      </c>
      <c r="AO7" s="120">
        <v>23.22174939516405</v>
      </c>
      <c r="AP7" s="120">
        <v>23.416859249037376</v>
      </c>
      <c r="AQ7" s="120">
        <v>24.231173468130294</v>
      </c>
      <c r="AR7" s="120">
        <v>21.541210205035703</v>
      </c>
      <c r="AS7" s="120">
        <v>21.851761923637564</v>
      </c>
      <c r="AT7" s="120">
        <v>23.655593503327193</v>
      </c>
      <c r="AU7" s="120">
        <v>25.103356008005491</v>
      </c>
      <c r="AV7" s="120">
        <v>25.487073828511402</v>
      </c>
      <c r="AW7" s="120">
        <v>26.554748170575927</v>
      </c>
      <c r="AX7" s="120">
        <v>26.78106133014883</v>
      </c>
      <c r="AY7" s="120">
        <v>27.020061228249986</v>
      </c>
      <c r="AZ7" s="120">
        <v>26.513269723288701</v>
      </c>
      <c r="BA7" s="120">
        <v>29.017460119654064</v>
      </c>
      <c r="BB7" s="120">
        <v>30.442966223498964</v>
      </c>
      <c r="BC7" s="120">
        <v>31.539450395229213</v>
      </c>
      <c r="BD7" s="120">
        <v>30.755800580720837</v>
      </c>
      <c r="BE7" s="120">
        <v>31.462992196518613</v>
      </c>
      <c r="BF7" s="120">
        <v>34.162772685547097</v>
      </c>
      <c r="BG7" s="120">
        <v>36.815677251480814</v>
      </c>
      <c r="BH7" s="120">
        <v>37.514088619887431</v>
      </c>
      <c r="BI7" s="120">
        <v>39.043930445162957</v>
      </c>
      <c r="BJ7" s="120">
        <v>38.529650792000901</v>
      </c>
      <c r="BK7" s="120">
        <v>39.23537208715365</v>
      </c>
      <c r="BL7" s="120">
        <v>40.569193199499402</v>
      </c>
      <c r="BM7" s="120">
        <v>42.946044830206318</v>
      </c>
      <c r="BN7" s="120">
        <v>36.166670343334417</v>
      </c>
      <c r="BO7" s="121">
        <v>36.785744070192607</v>
      </c>
    </row>
    <row r="8" spans="1:67">
      <c r="B8" s="4" t="s">
        <v>4</v>
      </c>
      <c r="C8" s="119">
        <v>11.663680981595093</v>
      </c>
      <c r="D8" s="119">
        <v>10.615254237288136</v>
      </c>
      <c r="E8" s="119">
        <v>10.108736842105264</v>
      </c>
      <c r="F8" s="119">
        <v>9.953584905660378</v>
      </c>
      <c r="G8" s="119">
        <v>9.8534262948207179</v>
      </c>
      <c r="H8" s="119">
        <v>9.5226739926739921</v>
      </c>
      <c r="I8" s="119">
        <v>9.0138486842105259</v>
      </c>
      <c r="J8" s="119">
        <v>9.0094578313253013</v>
      </c>
      <c r="K8" s="119">
        <v>9.3536512261580391</v>
      </c>
      <c r="L8" s="119">
        <v>9.2709852216748772</v>
      </c>
      <c r="M8" s="119">
        <v>9.6576801801801793</v>
      </c>
      <c r="N8" s="119">
        <v>8.7192857142857143</v>
      </c>
      <c r="O8" s="119">
        <v>8.8299115044247785</v>
      </c>
      <c r="P8" s="119">
        <v>9.4648046309696081</v>
      </c>
      <c r="Q8" s="119">
        <v>10.572444444444445</v>
      </c>
      <c r="R8" s="119">
        <v>9.6200909090909086</v>
      </c>
      <c r="S8" s="119">
        <v>9.8672428884026253</v>
      </c>
      <c r="T8" s="119">
        <v>10.222195781503515</v>
      </c>
      <c r="U8" s="119">
        <v>11.03976893453145</v>
      </c>
      <c r="V8" s="119">
        <v>12.450955019556714</v>
      </c>
      <c r="W8" s="119">
        <v>12.291999553219354</v>
      </c>
      <c r="X8" s="119">
        <v>12.255706516329143</v>
      </c>
      <c r="Y8" s="119">
        <v>9.7071477392361363</v>
      </c>
      <c r="Z8" s="119">
        <v>8.9810672857428333</v>
      </c>
      <c r="AA8" s="119">
        <v>9.1052744488281814</v>
      </c>
      <c r="AB8" s="119">
        <v>9.7649774991862728</v>
      </c>
      <c r="AC8" s="119">
        <v>12.924042663022769</v>
      </c>
      <c r="AD8" s="119">
        <v>12.725753838526099</v>
      </c>
      <c r="AE8" s="119">
        <v>18.694280801486212</v>
      </c>
      <c r="AF8" s="119">
        <v>19.197450774451209</v>
      </c>
      <c r="AG8" s="119">
        <v>19.81522536415795</v>
      </c>
      <c r="AH8" s="120">
        <v>19.353145123815214</v>
      </c>
      <c r="AI8" s="120">
        <v>20.296751461136971</v>
      </c>
      <c r="AJ8" s="120">
        <v>14.567138883990193</v>
      </c>
      <c r="AK8" s="120">
        <v>16.403876421631001</v>
      </c>
      <c r="AL8" s="120">
        <v>20.799904805143946</v>
      </c>
      <c r="AM8" s="120">
        <v>23.044691581765115</v>
      </c>
      <c r="AN8" s="120">
        <v>23.23630342464638</v>
      </c>
      <c r="AO8" s="120">
        <v>24.810134744853841</v>
      </c>
      <c r="AP8" s="120">
        <v>24.595390327073133</v>
      </c>
      <c r="AQ8" s="120">
        <v>25.679235719119454</v>
      </c>
      <c r="AR8" s="120">
        <v>23.198898807281605</v>
      </c>
      <c r="AS8" s="120">
        <v>23.358067336014461</v>
      </c>
      <c r="AT8" s="120">
        <v>25.044823365718294</v>
      </c>
      <c r="AU8" s="120">
        <v>26.937264025557674</v>
      </c>
      <c r="AV8" s="120">
        <v>27.075570823277182</v>
      </c>
      <c r="AW8" s="120">
        <v>27.927367918041018</v>
      </c>
      <c r="AX8" s="120">
        <v>28.477463068888003</v>
      </c>
      <c r="AY8" s="120">
        <v>29.345220644927299</v>
      </c>
      <c r="AZ8" s="120">
        <v>28.07847240806155</v>
      </c>
      <c r="BA8" s="120">
        <v>30.255924418218012</v>
      </c>
      <c r="BB8" s="120">
        <v>31.719421044808211</v>
      </c>
      <c r="BC8" s="120">
        <v>32.718481502557239</v>
      </c>
      <c r="BD8" s="120">
        <v>31.935874185464368</v>
      </c>
      <c r="BE8" s="120">
        <v>32.635416831534933</v>
      </c>
      <c r="BF8" s="120">
        <v>36.250201987055</v>
      </c>
      <c r="BG8" s="120">
        <v>38.874626157374259</v>
      </c>
      <c r="BH8" s="120">
        <v>39.438037420837951</v>
      </c>
      <c r="BI8" s="120">
        <v>41.168731218370105</v>
      </c>
      <c r="BJ8" s="120">
        <v>38.932321465111905</v>
      </c>
      <c r="BK8" s="120">
        <v>37.619183612066436</v>
      </c>
      <c r="BL8" s="120">
        <v>42.500104433177704</v>
      </c>
      <c r="BM8" s="120">
        <v>45.88088995264885</v>
      </c>
      <c r="BN8" s="120">
        <v>37.602862777398052</v>
      </c>
      <c r="BO8" s="121">
        <v>37.925851535676514</v>
      </c>
    </row>
    <row r="9" spans="1:67">
      <c r="B9" s="4" t="s">
        <v>5</v>
      </c>
      <c r="C9" s="122"/>
      <c r="D9" s="122"/>
      <c r="E9" s="122"/>
      <c r="F9" s="122"/>
      <c r="G9" s="122"/>
      <c r="H9" s="122"/>
      <c r="I9" s="122"/>
      <c r="J9" s="122"/>
      <c r="K9" s="122"/>
      <c r="L9" s="122"/>
      <c r="M9" s="122"/>
      <c r="N9" s="122"/>
      <c r="O9" s="122"/>
      <c r="P9" s="122"/>
      <c r="Q9" s="122"/>
      <c r="R9" s="122"/>
      <c r="S9" s="122"/>
      <c r="T9" s="122"/>
      <c r="U9" s="122"/>
      <c r="V9" s="122"/>
      <c r="W9" s="122"/>
      <c r="X9" s="122"/>
      <c r="Y9" s="122"/>
      <c r="Z9" s="122"/>
      <c r="AA9" s="122"/>
      <c r="AB9" s="122"/>
      <c r="AC9" s="122"/>
      <c r="AD9" s="122"/>
      <c r="AE9" s="122"/>
      <c r="AF9" s="122"/>
      <c r="AG9" s="119">
        <v>46.62685739348332</v>
      </c>
      <c r="AH9" s="120">
        <v>38.218236485497428</v>
      </c>
      <c r="AI9" s="120">
        <v>28.147054023812785</v>
      </c>
      <c r="AJ9" s="120">
        <v>19.244173342511775</v>
      </c>
      <c r="AK9" s="120">
        <v>26.84388139967156</v>
      </c>
      <c r="AL9" s="120">
        <v>30.743498891931871</v>
      </c>
      <c r="AM9" s="120">
        <v>23.932346834463893</v>
      </c>
      <c r="AN9" s="120">
        <v>19.740505270761858</v>
      </c>
      <c r="AO9" s="120">
        <v>21.008217378995155</v>
      </c>
      <c r="AP9" s="120">
        <v>19.478524462819134</v>
      </c>
      <c r="AQ9" s="120">
        <v>18.191863334019732</v>
      </c>
      <c r="AR9" s="122"/>
      <c r="AS9" s="122"/>
      <c r="AT9" s="122"/>
      <c r="AU9" s="122"/>
      <c r="AV9" s="122"/>
      <c r="AW9" s="122"/>
      <c r="AX9" s="122"/>
      <c r="AY9" s="122"/>
      <c r="AZ9" s="122"/>
      <c r="BA9" s="122"/>
      <c r="BB9" s="122"/>
      <c r="BC9" s="122"/>
      <c r="BD9" s="122"/>
      <c r="BE9" s="122"/>
      <c r="BF9" s="122"/>
      <c r="BG9" s="122"/>
      <c r="BH9" s="122"/>
      <c r="BI9" s="122"/>
      <c r="BJ9" s="120">
        <v>41.327394062723663</v>
      </c>
      <c r="BK9" s="120">
        <v>45.837346411212266</v>
      </c>
      <c r="BL9" s="120">
        <v>44.860955804819618</v>
      </c>
      <c r="BM9" s="120">
        <v>43.98352705487487</v>
      </c>
      <c r="BN9" s="120">
        <v>45.143193852102272</v>
      </c>
      <c r="BO9" s="123"/>
    </row>
    <row r="10" spans="1:67">
      <c r="B10" s="4" t="s">
        <v>46</v>
      </c>
      <c r="C10" s="122"/>
      <c r="D10" s="122"/>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c r="AC10" s="122"/>
      <c r="AD10" s="122"/>
      <c r="AE10" s="122"/>
      <c r="AF10" s="122"/>
      <c r="AG10" s="122"/>
      <c r="AH10" s="120">
        <v>3.145</v>
      </c>
      <c r="AI10" s="120">
        <v>3.2349999999999999</v>
      </c>
      <c r="AJ10" s="120">
        <v>3.3650000000000002</v>
      </c>
      <c r="AK10" s="120">
        <v>4.4359999999999999</v>
      </c>
      <c r="AL10" s="120">
        <v>7.0949999999999998</v>
      </c>
      <c r="AM10" s="120">
        <v>5.4649999999999999</v>
      </c>
      <c r="AN10" s="120">
        <v>4.2350000000000003</v>
      </c>
      <c r="AO10" s="120">
        <v>3.7330000000000001</v>
      </c>
      <c r="AP10" s="120">
        <v>2.5979999999999999</v>
      </c>
      <c r="AQ10" s="120">
        <v>2.6459999999999999</v>
      </c>
      <c r="AR10" s="120">
        <v>2.6269999999999998</v>
      </c>
      <c r="AS10" s="120">
        <v>3.0030000000000001</v>
      </c>
      <c r="AT10" s="120">
        <v>3.4550000000000001</v>
      </c>
      <c r="AU10" s="120">
        <v>3.9369999999999998</v>
      </c>
      <c r="AV10" s="120">
        <v>3.5579999999999998</v>
      </c>
      <c r="AW10" s="120">
        <v>3.5659999999999998</v>
      </c>
      <c r="AX10" s="120">
        <v>3.6280000000000001</v>
      </c>
      <c r="AY10" s="120">
        <v>3.8740000000000001</v>
      </c>
      <c r="AZ10" s="120">
        <v>5.3559999999999999</v>
      </c>
      <c r="BA10" s="120">
        <v>5.3029999999999999</v>
      </c>
      <c r="BB10" s="120">
        <v>5.1749999999999998</v>
      </c>
      <c r="BC10" s="120">
        <v>4.8920000000000003</v>
      </c>
      <c r="BD10" s="120">
        <v>4.9210000000000003</v>
      </c>
      <c r="BE10" s="120">
        <v>4.819</v>
      </c>
      <c r="BF10" s="120">
        <v>4.3109999999999999</v>
      </c>
      <c r="BG10" s="120">
        <v>3.8530000000000002</v>
      </c>
      <c r="BH10" s="120">
        <v>3.419</v>
      </c>
      <c r="BI10" s="120">
        <v>3.2749999999999999</v>
      </c>
      <c r="BJ10" s="120">
        <v>3.4769999999999999</v>
      </c>
      <c r="BK10" s="120">
        <v>4.4400000000000004</v>
      </c>
      <c r="BL10" s="120">
        <v>4.0190000000000001</v>
      </c>
      <c r="BM10" s="120">
        <v>3.2559999999999998</v>
      </c>
      <c r="BN10" s="120">
        <v>2.7650000000000001</v>
      </c>
      <c r="BO10" s="121">
        <v>2.7109999999999999</v>
      </c>
    </row>
    <row r="11" spans="1:67">
      <c r="A11" s="1"/>
      <c r="B11" s="7" t="s">
        <v>47</v>
      </c>
      <c r="C11" s="124">
        <v>4.92751886903116</v>
      </c>
      <c r="D11" s="124">
        <v>1.6087596908193</v>
      </c>
      <c r="E11" s="124">
        <v>1.1989841781508199</v>
      </c>
      <c r="F11" s="124">
        <v>0.59405500846196502</v>
      </c>
      <c r="G11" s="124">
        <v>2.3379031723436201</v>
      </c>
      <c r="H11" s="124">
        <v>3.5680386574293599</v>
      </c>
      <c r="I11" s="124">
        <v>4.2157883773843503</v>
      </c>
      <c r="J11" s="124">
        <v>3.0169484750214801</v>
      </c>
      <c r="K11" s="124">
        <v>2.33395093467026</v>
      </c>
      <c r="L11" s="124">
        <v>3.3670033671167801</v>
      </c>
      <c r="M11" s="124">
        <v>5.0034120548343104</v>
      </c>
      <c r="N11" s="124">
        <v>5.4690289937683803</v>
      </c>
      <c r="O11" s="124">
        <v>4.9436923637787498</v>
      </c>
      <c r="P11" s="124">
        <v>12.0819394612938</v>
      </c>
      <c r="Q11" s="124">
        <v>23.784015442578699</v>
      </c>
      <c r="R11" s="124">
        <v>14.944534640926699</v>
      </c>
      <c r="S11" s="124">
        <v>15.824722489347</v>
      </c>
      <c r="T11" s="124">
        <v>29.0641247103461</v>
      </c>
      <c r="U11" s="124">
        <v>17.457292567826499</v>
      </c>
      <c r="V11" s="124">
        <v>18.191246298764302</v>
      </c>
      <c r="W11" s="124">
        <v>26.351651356283401</v>
      </c>
      <c r="X11" s="124">
        <v>27.933762598239898</v>
      </c>
      <c r="Y11" s="124">
        <v>58.913419853104799</v>
      </c>
      <c r="Z11" s="124">
        <v>101.87493843599199</v>
      </c>
      <c r="AA11" s="124">
        <v>65.448807127760205</v>
      </c>
      <c r="AB11" s="124">
        <v>57.748448400870203</v>
      </c>
      <c r="AC11" s="124">
        <v>86.233316992353807</v>
      </c>
      <c r="AD11" s="124">
        <v>131.82738392309</v>
      </c>
      <c r="AE11" s="124">
        <v>114.162258549066</v>
      </c>
      <c r="AF11" s="124">
        <v>20.007876713997799</v>
      </c>
      <c r="AG11" s="124">
        <v>26.651672564677099</v>
      </c>
      <c r="AH11" s="125">
        <v>22.662359455061001</v>
      </c>
      <c r="AI11" s="125">
        <v>15.5078962533573</v>
      </c>
      <c r="AJ11" s="125">
        <v>9.7514604535755307</v>
      </c>
      <c r="AK11" s="125">
        <v>6.9658123719112304</v>
      </c>
      <c r="AL11" s="125">
        <v>34.9992712889592</v>
      </c>
      <c r="AM11" s="125">
        <v>34.378383223516799</v>
      </c>
      <c r="AN11" s="125">
        <v>20.625628725924699</v>
      </c>
      <c r="AO11" s="125">
        <v>15.928395011935301</v>
      </c>
      <c r="AP11" s="125">
        <v>16.585616970753801</v>
      </c>
      <c r="AQ11" s="125">
        <v>9.4915614943540305</v>
      </c>
      <c r="AR11" s="125">
        <v>6.3677380623503703</v>
      </c>
      <c r="AS11" s="125">
        <v>5.0307273315129502</v>
      </c>
      <c r="AT11" s="125">
        <v>4.5469001211871802</v>
      </c>
      <c r="AU11" s="125">
        <v>4.6884088484314299</v>
      </c>
      <c r="AV11" s="125">
        <v>3.9880571459743699</v>
      </c>
      <c r="AW11" s="125">
        <v>3.62946762439132</v>
      </c>
      <c r="AX11" s="125">
        <v>3.96684905458235</v>
      </c>
      <c r="AY11" s="125">
        <v>5.1249827457589596</v>
      </c>
      <c r="AZ11" s="125">
        <v>5.2973558422885603</v>
      </c>
      <c r="BA11" s="125">
        <v>4.1567272268017401</v>
      </c>
      <c r="BB11" s="125">
        <v>3.4073782460574198</v>
      </c>
      <c r="BC11" s="125">
        <v>4.1115098107028896</v>
      </c>
      <c r="BD11" s="125">
        <v>3.8063906974720401</v>
      </c>
      <c r="BE11" s="125">
        <v>4.0186160807867903</v>
      </c>
      <c r="BF11" s="125">
        <v>2.72064064964023</v>
      </c>
      <c r="BG11" s="125">
        <v>2.8217078474766</v>
      </c>
      <c r="BH11" s="125">
        <v>6.0414572401898603</v>
      </c>
      <c r="BI11" s="125">
        <v>4.8993501535655097</v>
      </c>
      <c r="BJ11" s="125">
        <v>3.6359614212704598</v>
      </c>
      <c r="BK11" s="125">
        <v>3.3968341557000601</v>
      </c>
      <c r="BL11" s="125">
        <v>5.6892084768375302</v>
      </c>
      <c r="BM11" s="125">
        <v>7.8962761916854998</v>
      </c>
      <c r="BN11" s="125">
        <v>5.5279608731438898</v>
      </c>
      <c r="BO11" s="121">
        <v>4.7222558845293197</v>
      </c>
    </row>
    <row r="12" spans="1:67">
      <c r="A12" s="3" t="s">
        <v>7</v>
      </c>
      <c r="B12" s="4" t="s">
        <v>3</v>
      </c>
      <c r="C12" s="122"/>
      <c r="D12" s="119">
        <v>17.582919076064755</v>
      </c>
      <c r="E12" s="119">
        <v>17.572224563118873</v>
      </c>
      <c r="F12" s="119">
        <v>17.931889748754248</v>
      </c>
      <c r="G12" s="119">
        <v>18.984906037408759</v>
      </c>
      <c r="H12" s="119">
        <v>18.291957368822899</v>
      </c>
      <c r="I12" s="119">
        <v>19.060963881513931</v>
      </c>
      <c r="J12" s="119">
        <v>19.93935993837556</v>
      </c>
      <c r="K12" s="119">
        <v>20.8229173491378</v>
      </c>
      <c r="L12" s="119">
        <v>20.844120869375626</v>
      </c>
      <c r="M12" s="119">
        <v>21.844322792895962</v>
      </c>
      <c r="N12" s="119">
        <v>20.99567959061865</v>
      </c>
      <c r="O12" s="119">
        <v>21.213900577738904</v>
      </c>
      <c r="P12" s="119">
        <v>22.688998852004502</v>
      </c>
      <c r="Q12" s="119">
        <v>23.993651262596018</v>
      </c>
      <c r="R12" s="119">
        <v>21.959784111328243</v>
      </c>
      <c r="S12" s="119">
        <v>21.682752457420204</v>
      </c>
      <c r="T12" s="119">
        <v>22.702047637188834</v>
      </c>
      <c r="U12" s="119">
        <v>24.530956894702875</v>
      </c>
      <c r="V12" s="119">
        <v>26.328513519022618</v>
      </c>
      <c r="W12" s="119">
        <v>27.507498620446324</v>
      </c>
      <c r="X12" s="119">
        <v>26.384658402966675</v>
      </c>
      <c r="Y12" s="119">
        <v>25.192629211630656</v>
      </c>
      <c r="Z12" s="119">
        <v>24.924996914430025</v>
      </c>
      <c r="AA12" s="119">
        <v>27.936560848164234</v>
      </c>
      <c r="AB12" s="119">
        <v>27.546912466726798</v>
      </c>
      <c r="AC12" s="119">
        <v>26.987638379887208</v>
      </c>
      <c r="AD12" s="119">
        <v>26.003419601069755</v>
      </c>
      <c r="AE12" s="119">
        <v>26.05288932419197</v>
      </c>
      <c r="AF12" s="119">
        <v>25.046345999502666</v>
      </c>
      <c r="AG12" s="119">
        <v>25.07429895859244</v>
      </c>
      <c r="AH12" s="119">
        <v>24.353316528279088</v>
      </c>
      <c r="AI12" s="119">
        <v>26.199132560172373</v>
      </c>
      <c r="AJ12" s="119">
        <v>29.142599362548303</v>
      </c>
      <c r="AK12" s="119">
        <v>32.781588237968009</v>
      </c>
      <c r="AL12" s="120">
        <v>36.098054281938531</v>
      </c>
      <c r="AM12" s="120">
        <v>37.098439931428622</v>
      </c>
      <c r="AN12" s="120">
        <v>38.132970189492724</v>
      </c>
      <c r="AO12" s="120">
        <v>40.029174760429925</v>
      </c>
      <c r="AP12" s="120">
        <v>41.861184998367925</v>
      </c>
      <c r="AQ12" s="120">
        <v>44.209235821106027</v>
      </c>
      <c r="AR12" s="120">
        <v>42.039955090932125</v>
      </c>
      <c r="AS12" s="120">
        <v>40.058658593081766</v>
      </c>
      <c r="AT12" s="120">
        <v>36.865985198550774</v>
      </c>
      <c r="AU12" s="120">
        <v>37.327771306048255</v>
      </c>
      <c r="AV12" s="120">
        <v>36.856707323507123</v>
      </c>
      <c r="AW12" s="120">
        <v>35.402459216851291</v>
      </c>
      <c r="AX12" s="120">
        <v>34.229555163977025</v>
      </c>
      <c r="AY12" s="120">
        <v>34.395005552068746</v>
      </c>
      <c r="AZ12" s="120">
        <v>28.515834316574324</v>
      </c>
      <c r="BA12" s="120">
        <v>29.167381933031862</v>
      </c>
      <c r="BB12" s="120">
        <v>30.678391917310716</v>
      </c>
      <c r="BC12" s="120">
        <v>30.353025522587778</v>
      </c>
      <c r="BD12" s="120">
        <v>30.331938668386737</v>
      </c>
      <c r="BE12" s="120">
        <v>31.736575873340829</v>
      </c>
      <c r="BF12" s="120">
        <v>31.849960963444303</v>
      </c>
      <c r="BG12" s="120">
        <v>31.50257240933621</v>
      </c>
      <c r="BH12" s="120">
        <v>31.454410150978141</v>
      </c>
      <c r="BI12" s="120">
        <v>32.325403726485817</v>
      </c>
      <c r="BJ12" s="120">
        <v>32.352695820256457</v>
      </c>
      <c r="BK12" s="120">
        <v>29.473647234934425</v>
      </c>
      <c r="BL12" s="120">
        <v>31.175078298329449</v>
      </c>
      <c r="BM12" s="120">
        <v>33.943190666937923</v>
      </c>
      <c r="BN12" s="120">
        <v>33.349876099679257</v>
      </c>
      <c r="BO12" s="121">
        <v>32.461335343923686</v>
      </c>
    </row>
    <row r="13" spans="1:67">
      <c r="B13" s="4" t="s">
        <v>4</v>
      </c>
      <c r="C13" s="122"/>
      <c r="D13" s="119">
        <v>18.227545931384228</v>
      </c>
      <c r="E13" s="119">
        <v>17.939095306104377</v>
      </c>
      <c r="F13" s="119">
        <v>17.399889812336454</v>
      </c>
      <c r="G13" s="119">
        <v>18.016651482674582</v>
      </c>
      <c r="H13" s="119">
        <v>18.602594729484977</v>
      </c>
      <c r="I13" s="119">
        <v>19.244329808502577</v>
      </c>
      <c r="J13" s="119">
        <v>19.184859625846844</v>
      </c>
      <c r="K13" s="119">
        <v>19.904467607725167</v>
      </c>
      <c r="L13" s="119">
        <v>21.041778619736107</v>
      </c>
      <c r="M13" s="119">
        <v>19.647953725194949</v>
      </c>
      <c r="N13" s="119">
        <v>19.691279002357842</v>
      </c>
      <c r="O13" s="119">
        <v>20.63518586856317</v>
      </c>
      <c r="P13" s="119">
        <v>21.599283398260948</v>
      </c>
      <c r="Q13" s="119">
        <v>24.090850707712971</v>
      </c>
      <c r="R13" s="119">
        <v>23.895870413589797</v>
      </c>
      <c r="S13" s="119">
        <v>22.582591822148292</v>
      </c>
      <c r="T13" s="119">
        <v>23.05633119667133</v>
      </c>
      <c r="U13" s="119">
        <v>24.313561105003139</v>
      </c>
      <c r="V13" s="119">
        <v>25.909533863852118</v>
      </c>
      <c r="W13" s="119">
        <v>25.810477103934797</v>
      </c>
      <c r="X13" s="119">
        <v>25.717915723290929</v>
      </c>
      <c r="Y13" s="119">
        <v>21.423253585312008</v>
      </c>
      <c r="Z13" s="119">
        <v>21.783886678882357</v>
      </c>
      <c r="AA13" s="119">
        <v>24.540137579926665</v>
      </c>
      <c r="AB13" s="119">
        <v>25.295034068160323</v>
      </c>
      <c r="AC13" s="119">
        <v>26.077511725499875</v>
      </c>
      <c r="AD13" s="119">
        <v>24.862972197459328</v>
      </c>
      <c r="AE13" s="119">
        <v>25.312891812650946</v>
      </c>
      <c r="AF13" s="119">
        <v>25.020288007814418</v>
      </c>
      <c r="AG13" s="119">
        <v>24.920165463457277</v>
      </c>
      <c r="AH13" s="119">
        <v>24.87015031926278</v>
      </c>
      <c r="AI13" s="119">
        <v>26.538898384824815</v>
      </c>
      <c r="AJ13" s="119">
        <v>29.108196782756409</v>
      </c>
      <c r="AK13" s="119">
        <v>31.609955907532083</v>
      </c>
      <c r="AL13" s="120">
        <v>32.963693798016166</v>
      </c>
      <c r="AM13" s="120">
        <v>33.161633524610565</v>
      </c>
      <c r="AN13" s="120">
        <v>36.203639892159515</v>
      </c>
      <c r="AO13" s="120">
        <v>38.05201060243116</v>
      </c>
      <c r="AP13" s="120">
        <v>38.253844314561611</v>
      </c>
      <c r="AQ13" s="120">
        <v>38.556122029215331</v>
      </c>
      <c r="AR13" s="120">
        <v>36.304263303437637</v>
      </c>
      <c r="AS13" s="120">
        <v>35.648373484841507</v>
      </c>
      <c r="AT13" s="120">
        <v>32.97410941850994</v>
      </c>
      <c r="AU13" s="120">
        <v>32.864648684907962</v>
      </c>
      <c r="AV13" s="120">
        <v>32.902425693228558</v>
      </c>
      <c r="AW13" s="120">
        <v>32.649705260147513</v>
      </c>
      <c r="AX13" s="120">
        <v>32.053864584257695</v>
      </c>
      <c r="AY13" s="120">
        <v>32.628602809829573</v>
      </c>
      <c r="AZ13" s="120">
        <v>29.958557505915355</v>
      </c>
      <c r="BA13" s="120">
        <v>31.040739571416399</v>
      </c>
      <c r="BB13" s="120">
        <v>31.820346853522114</v>
      </c>
      <c r="BC13" s="120">
        <v>32.242523416912718</v>
      </c>
      <c r="BD13" s="120">
        <v>31.89913623295373</v>
      </c>
      <c r="BE13" s="120">
        <v>32.642086283151464</v>
      </c>
      <c r="BF13" s="120">
        <v>34.314941103533783</v>
      </c>
      <c r="BG13" s="120">
        <v>33.861112112219352</v>
      </c>
      <c r="BH13" s="120">
        <v>33.646650699486742</v>
      </c>
      <c r="BI13" s="120">
        <v>34.274482124390339</v>
      </c>
      <c r="BJ13" s="120">
        <v>33.818789460239465</v>
      </c>
      <c r="BK13" s="120">
        <v>31.683123728341844</v>
      </c>
      <c r="BL13" s="120">
        <v>31.071758417612649</v>
      </c>
      <c r="BM13" s="120">
        <v>33.374430889461024</v>
      </c>
      <c r="BN13" s="120">
        <v>33.282455237387559</v>
      </c>
      <c r="BO13" s="121">
        <v>32.717698647347973</v>
      </c>
    </row>
    <row r="14" spans="1:67">
      <c r="B14" s="4" t="s">
        <v>5</v>
      </c>
      <c r="C14" s="122"/>
      <c r="D14" s="122"/>
      <c r="E14" s="122"/>
      <c r="F14" s="122"/>
      <c r="G14" s="122"/>
      <c r="H14" s="122"/>
      <c r="I14" s="122"/>
      <c r="J14" s="122"/>
      <c r="K14" s="122"/>
      <c r="L14" s="122"/>
      <c r="M14" s="122"/>
      <c r="N14" s="122"/>
      <c r="O14" s="122"/>
      <c r="P14" s="122"/>
      <c r="Q14" s="122"/>
      <c r="R14" s="122"/>
      <c r="S14" s="122"/>
      <c r="T14" s="122"/>
      <c r="U14" s="122"/>
      <c r="V14" s="122"/>
      <c r="W14" s="122"/>
      <c r="X14" s="122"/>
      <c r="Y14" s="122"/>
      <c r="Z14" s="122"/>
      <c r="AA14" s="122"/>
      <c r="AB14" s="122"/>
      <c r="AC14" s="122"/>
      <c r="AD14" s="122"/>
      <c r="AE14" s="122"/>
      <c r="AF14" s="122"/>
      <c r="AG14" s="122"/>
      <c r="AH14" s="122"/>
      <c r="AI14" s="122"/>
      <c r="AJ14" s="122"/>
      <c r="AK14" s="122"/>
      <c r="AL14" s="120">
        <v>77.312621975635537</v>
      </c>
      <c r="AM14" s="120">
        <v>78.038667928925818</v>
      </c>
      <c r="AN14" s="120">
        <v>74.928409573324359</v>
      </c>
      <c r="AO14" s="120">
        <v>72.482799756309944</v>
      </c>
      <c r="AP14" s="120">
        <v>66.245831750034981</v>
      </c>
      <c r="AQ14" s="120">
        <v>58.737974238357126</v>
      </c>
      <c r="AR14" s="120">
        <v>57.458356450436199</v>
      </c>
      <c r="AS14" s="120">
        <v>54.149119492798356</v>
      </c>
      <c r="AT14" s="120">
        <v>51.271337055745327</v>
      </c>
      <c r="AU14" s="120">
        <v>46.800985832402503</v>
      </c>
      <c r="AV14" s="120">
        <v>46.061651424161823</v>
      </c>
      <c r="AW14" s="120">
        <v>43.291678192992791</v>
      </c>
      <c r="AX14" s="120">
        <v>39.158563949139861</v>
      </c>
      <c r="AY14" s="120">
        <v>45.320511273113503</v>
      </c>
      <c r="AZ14" s="120">
        <v>53.192446672699759</v>
      </c>
      <c r="BA14" s="120">
        <v>53.149732960554509</v>
      </c>
      <c r="BB14" s="120">
        <v>54.119385839172566</v>
      </c>
      <c r="BC14" s="120">
        <v>55.725164937705408</v>
      </c>
      <c r="BD14" s="120">
        <v>53.200869076550973</v>
      </c>
      <c r="BE14" s="120">
        <v>51.482708129793167</v>
      </c>
      <c r="BF14" s="120">
        <v>55.99158377887926</v>
      </c>
      <c r="BG14" s="120">
        <v>56.023624399108776</v>
      </c>
      <c r="BH14" s="120">
        <v>54.462565184914233</v>
      </c>
      <c r="BI14" s="120">
        <v>53.151535645658221</v>
      </c>
      <c r="BJ14" s="120">
        <v>53.362324691395912</v>
      </c>
      <c r="BK14" s="120">
        <v>74.554047104154591</v>
      </c>
      <c r="BL14" s="120">
        <v>70.55008766415834</v>
      </c>
      <c r="BM14" s="120">
        <v>60.606747248276008</v>
      </c>
      <c r="BN14" s="120">
        <v>61.344667855109911</v>
      </c>
      <c r="BO14" s="123"/>
    </row>
    <row r="15" spans="1:67">
      <c r="B15" s="4" t="s">
        <v>46</v>
      </c>
      <c r="C15" s="122"/>
      <c r="D15" s="122"/>
      <c r="E15" s="122"/>
      <c r="F15" s="122"/>
      <c r="G15" s="122"/>
      <c r="H15" s="122"/>
      <c r="I15" s="122"/>
      <c r="J15" s="122"/>
      <c r="K15" s="122"/>
      <c r="L15" s="122"/>
      <c r="M15" s="122"/>
      <c r="N15" s="122"/>
      <c r="O15" s="122"/>
      <c r="P15" s="122"/>
      <c r="Q15" s="122"/>
      <c r="R15" s="122"/>
      <c r="S15" s="122"/>
      <c r="T15" s="122"/>
      <c r="U15" s="122"/>
      <c r="V15" s="122"/>
      <c r="W15" s="122"/>
      <c r="X15" s="122"/>
      <c r="Y15" s="122"/>
      <c r="Z15" s="122"/>
      <c r="AA15" s="122"/>
      <c r="AB15" s="122"/>
      <c r="AC15" s="122"/>
      <c r="AD15" s="122"/>
      <c r="AE15" s="122"/>
      <c r="AF15" s="122"/>
      <c r="AG15" s="122"/>
      <c r="AH15" s="119">
        <v>10.316000000000001</v>
      </c>
      <c r="AI15" s="119">
        <v>11.196999999999999</v>
      </c>
      <c r="AJ15" s="119">
        <v>11.377000000000001</v>
      </c>
      <c r="AK15" s="119">
        <v>10.395</v>
      </c>
      <c r="AL15" s="120">
        <v>9.4890000000000008</v>
      </c>
      <c r="AM15" s="120">
        <v>9.6199999999999992</v>
      </c>
      <c r="AN15" s="120">
        <v>9.1</v>
      </c>
      <c r="AO15" s="120">
        <v>8.2780000000000005</v>
      </c>
      <c r="AP15" s="120">
        <v>7.5830000000000002</v>
      </c>
      <c r="AQ15" s="120">
        <v>6.8289999999999997</v>
      </c>
      <c r="AR15" s="120">
        <v>7.2190000000000003</v>
      </c>
      <c r="AS15" s="120">
        <v>7.665</v>
      </c>
      <c r="AT15" s="120">
        <v>7.5739999999999998</v>
      </c>
      <c r="AU15" s="120">
        <v>7.1849999999999996</v>
      </c>
      <c r="AV15" s="120">
        <v>6.758</v>
      </c>
      <c r="AW15" s="120">
        <v>6.484</v>
      </c>
      <c r="AX15" s="120">
        <v>6.1559999999999997</v>
      </c>
      <c r="AY15" s="120">
        <v>6.2839999999999998</v>
      </c>
      <c r="AZ15" s="120">
        <v>8.4600000000000009</v>
      </c>
      <c r="BA15" s="120">
        <v>8.1780000000000008</v>
      </c>
      <c r="BB15" s="120">
        <v>7.6369999999999996</v>
      </c>
      <c r="BC15" s="120">
        <v>7.3920000000000003</v>
      </c>
      <c r="BD15" s="120">
        <v>7.1429999999999998</v>
      </c>
      <c r="BE15" s="120">
        <v>7.0229999999999997</v>
      </c>
      <c r="BF15" s="120">
        <v>6.9450000000000003</v>
      </c>
      <c r="BG15" s="120">
        <v>7.0380000000000003</v>
      </c>
      <c r="BH15" s="120">
        <v>6.4260000000000002</v>
      </c>
      <c r="BI15" s="120">
        <v>5.8369999999999997</v>
      </c>
      <c r="BJ15" s="120">
        <v>5.69</v>
      </c>
      <c r="BK15" s="120">
        <v>9.657</v>
      </c>
      <c r="BL15" s="120">
        <v>7.5270000000000001</v>
      </c>
      <c r="BM15" s="120">
        <v>5.2789999999999999</v>
      </c>
      <c r="BN15" s="120">
        <v>5.415</v>
      </c>
      <c r="BO15" s="121">
        <v>6.45</v>
      </c>
    </row>
    <row r="16" spans="1:67">
      <c r="A16" s="1"/>
      <c r="B16" s="7" t="s">
        <v>47</v>
      </c>
      <c r="C16" s="124">
        <v>1.35869565217392</v>
      </c>
      <c r="D16" s="124">
        <v>1.0187667560321101</v>
      </c>
      <c r="E16" s="124">
        <v>1.0615711252653499</v>
      </c>
      <c r="F16" s="124">
        <v>1.6281512605042801</v>
      </c>
      <c r="G16" s="124">
        <v>1.9121447028423699</v>
      </c>
      <c r="H16" s="124">
        <v>2.33265720081135</v>
      </c>
      <c r="I16" s="124">
        <v>3.8156590683845302</v>
      </c>
      <c r="J16" s="124">
        <v>3.5799522673031201</v>
      </c>
      <c r="K16" s="124">
        <v>4.0552995391704698</v>
      </c>
      <c r="L16" s="124">
        <v>4.5615589016829201</v>
      </c>
      <c r="M16" s="124">
        <v>3.34603981363832</v>
      </c>
      <c r="N16" s="124">
        <v>2.7049180327868498</v>
      </c>
      <c r="O16" s="124">
        <v>4.9880287310455103</v>
      </c>
      <c r="P16" s="124">
        <v>7.4876472824021096</v>
      </c>
      <c r="Q16" s="124">
        <v>10.997171145686</v>
      </c>
      <c r="R16" s="124">
        <v>10.672188595093999</v>
      </c>
      <c r="S16" s="124">
        <v>7.5417386298214799</v>
      </c>
      <c r="T16" s="124">
        <v>7.9764453961457003</v>
      </c>
      <c r="U16" s="124">
        <v>8.97372335151214</v>
      </c>
      <c r="V16" s="124">
        <v>9.1446769790718108</v>
      </c>
      <c r="W16" s="124">
        <v>10.1292205085453</v>
      </c>
      <c r="X16" s="124">
        <v>12.4716124148372</v>
      </c>
      <c r="Y16" s="124">
        <v>10.7689718997139</v>
      </c>
      <c r="Z16" s="124">
        <v>5.8635880297736804</v>
      </c>
      <c r="AA16" s="124">
        <v>4.3047783039173702</v>
      </c>
      <c r="AB16" s="124">
        <v>3.9620305406520502</v>
      </c>
      <c r="AC16" s="124">
        <v>4.1947862908562099</v>
      </c>
      <c r="AD16" s="124">
        <v>4.3561087122173996</v>
      </c>
      <c r="AE16" s="124">
        <v>4.02823414871611</v>
      </c>
      <c r="AF16" s="124">
        <v>4.98362189985958</v>
      </c>
      <c r="AG16" s="124">
        <v>4.7804769333630404</v>
      </c>
      <c r="AH16" s="125">
        <v>5.6258640859300497</v>
      </c>
      <c r="AI16" s="125">
        <v>1.49013290374545</v>
      </c>
      <c r="AJ16" s="125">
        <v>1.86507936507939</v>
      </c>
      <c r="AK16" s="125">
        <v>0.165562913907291</v>
      </c>
      <c r="AL16" s="125">
        <v>2.1487603305784901</v>
      </c>
      <c r="AM16" s="125">
        <v>1.57053112507138</v>
      </c>
      <c r="AN16" s="125">
        <v>1.6212163808453099</v>
      </c>
      <c r="AO16" s="125">
        <v>0.99594245665801995</v>
      </c>
      <c r="AP16" s="125">
        <v>1.7348429510591801</v>
      </c>
      <c r="AQ16" s="125">
        <v>2.7194399569197598</v>
      </c>
      <c r="AR16" s="125">
        <v>2.5251201397990601</v>
      </c>
      <c r="AS16" s="125">
        <v>2.2583944094085502</v>
      </c>
      <c r="AT16" s="125">
        <v>2.75856321360112</v>
      </c>
      <c r="AU16" s="125">
        <v>1.85725871857256</v>
      </c>
      <c r="AV16" s="125">
        <v>2.21355203439767</v>
      </c>
      <c r="AW16" s="125">
        <v>2.0020253953416098</v>
      </c>
      <c r="AX16" s="125">
        <v>2.1383839926683699</v>
      </c>
      <c r="AY16" s="125">
        <v>2.37027067444299</v>
      </c>
      <c r="AZ16" s="125">
        <v>0.29946680300929901</v>
      </c>
      <c r="BA16" s="125">
        <v>1.7768715409262701</v>
      </c>
      <c r="BB16" s="125">
        <v>2.91213508872351</v>
      </c>
      <c r="BC16" s="125">
        <v>1.51567823124517</v>
      </c>
      <c r="BD16" s="125">
        <v>0.93829189781531697</v>
      </c>
      <c r="BE16" s="125">
        <v>1.9066359071786101</v>
      </c>
      <c r="BF16" s="125">
        <v>1.1252413609427701</v>
      </c>
      <c r="BG16" s="125">
        <v>1.4287595470108501</v>
      </c>
      <c r="BH16" s="125">
        <v>1.5968841285297699</v>
      </c>
      <c r="BI16" s="125">
        <v>2.2682256724810301</v>
      </c>
      <c r="BJ16" s="125">
        <v>1.9492690241159301</v>
      </c>
      <c r="BK16" s="125">
        <v>0.71699963230782704</v>
      </c>
      <c r="BL16" s="125">
        <v>3.3951931852752799</v>
      </c>
      <c r="BM16" s="125">
        <v>6.8028011534161301</v>
      </c>
      <c r="BN16" s="125">
        <v>3.87900159788426</v>
      </c>
      <c r="BO16" s="121">
        <v>2.3815838328117298</v>
      </c>
    </row>
    <row r="17" spans="1:67">
      <c r="A17" s="3" t="s">
        <v>8</v>
      </c>
      <c r="B17" s="4" t="s">
        <v>3</v>
      </c>
      <c r="C17" s="119">
        <v>3.1464970172673592</v>
      </c>
      <c r="D17" s="119">
        <v>3.0014772438982913</v>
      </c>
      <c r="E17" s="119">
        <v>3.1818780924959218</v>
      </c>
      <c r="F17" s="119">
        <v>3.2794271541689977</v>
      </c>
      <c r="G17" s="119">
        <v>3.241055882216338</v>
      </c>
      <c r="H17" s="119">
        <v>3.1836864491135159</v>
      </c>
      <c r="I17" s="119">
        <v>3.0845477882663843</v>
      </c>
      <c r="J17" s="119">
        <v>2.952801149949928</v>
      </c>
      <c r="K17" s="119">
        <v>2.9792763490328489</v>
      </c>
      <c r="L17" s="119">
        <v>2.7732640949839751</v>
      </c>
      <c r="M17" s="119">
        <v>2.4519117386266096</v>
      </c>
      <c r="N17" s="119">
        <v>2.7115273498634593</v>
      </c>
      <c r="O17" s="119">
        <v>3.1063054589712498</v>
      </c>
      <c r="P17" s="119">
        <v>4.2945319825632113</v>
      </c>
      <c r="Q17" s="119">
        <v>4.9945611839449899</v>
      </c>
      <c r="R17" s="119">
        <v>4.8718223240515055</v>
      </c>
      <c r="S17" s="119">
        <v>4.8253916518572959</v>
      </c>
      <c r="T17" s="119">
        <v>4.7202138233734718</v>
      </c>
      <c r="U17" s="119">
        <v>7.2109217325227961</v>
      </c>
      <c r="V17" s="119">
        <v>7.818969614335801</v>
      </c>
      <c r="W17" s="119">
        <v>10.134196749135061</v>
      </c>
      <c r="X17" s="119">
        <v>12.419828179667117</v>
      </c>
      <c r="Y17" s="119">
        <v>10.998649038449699</v>
      </c>
      <c r="Z17" s="119">
        <v>9.4995366121600817</v>
      </c>
      <c r="AA17" s="119">
        <v>9.5085368639257286</v>
      </c>
      <c r="AB17" s="119">
        <v>8.3212985690291692</v>
      </c>
      <c r="AC17" s="119">
        <v>8.6962158863823191</v>
      </c>
      <c r="AD17" s="119">
        <v>12.460124829953838</v>
      </c>
      <c r="AE17" s="119">
        <v>14.357717044389206</v>
      </c>
      <c r="AF17" s="119">
        <v>11.823504929726903</v>
      </c>
      <c r="AG17" s="119">
        <v>13.58826411725261</v>
      </c>
      <c r="AH17" s="120">
        <v>14.445032311133668</v>
      </c>
      <c r="AI17" s="120">
        <v>15.60024102132688</v>
      </c>
      <c r="AJ17" s="120">
        <v>16.633997520983566</v>
      </c>
      <c r="AK17" s="120">
        <v>18.451577825970709</v>
      </c>
      <c r="AL17" s="120">
        <v>17.862429172975567</v>
      </c>
      <c r="AM17" s="120">
        <v>17.824710464342907</v>
      </c>
      <c r="AN17" s="120">
        <v>19.369294593850796</v>
      </c>
      <c r="AO17" s="120">
        <v>18.199226751481707</v>
      </c>
      <c r="AP17" s="120">
        <v>18.000690586431222</v>
      </c>
      <c r="AQ17" s="120">
        <v>20.681599363293049</v>
      </c>
      <c r="AR17" s="120">
        <v>20.077687382994597</v>
      </c>
      <c r="AS17" s="120">
        <v>22.35182337158076</v>
      </c>
      <c r="AT17" s="120">
        <v>26.602373851451134</v>
      </c>
      <c r="AU17" s="120">
        <v>30.609716246440438</v>
      </c>
      <c r="AV17" s="120">
        <v>33.368797749892188</v>
      </c>
      <c r="AW17" s="120">
        <v>35.52684686817009</v>
      </c>
      <c r="AX17" s="120">
        <v>34.906695619464863</v>
      </c>
      <c r="AY17" s="120">
        <v>32.092513602143022</v>
      </c>
      <c r="AZ17" s="120">
        <v>24.330771812540306</v>
      </c>
      <c r="BA17" s="120">
        <v>26.722745150226363</v>
      </c>
      <c r="BB17" s="120">
        <v>26.151882894806732</v>
      </c>
      <c r="BC17" s="120">
        <v>25.076704329517451</v>
      </c>
      <c r="BD17" s="120">
        <v>24.163343090563004</v>
      </c>
      <c r="BE17" s="120">
        <v>23.071976694689205</v>
      </c>
      <c r="BF17" s="120">
        <v>20.939064223380967</v>
      </c>
      <c r="BG17" s="120">
        <v>19.20365073649613</v>
      </c>
      <c r="BH17" s="120">
        <v>19.335630165810873</v>
      </c>
      <c r="BI17" s="120">
        <v>18.770519802903305</v>
      </c>
      <c r="BJ17" s="120">
        <v>18.055706959795994</v>
      </c>
      <c r="BK17" s="120">
        <v>18.203582168467541</v>
      </c>
      <c r="BL17" s="120">
        <v>19.526242224500713</v>
      </c>
      <c r="BM17" s="120">
        <v>20.29773169141902</v>
      </c>
      <c r="BN17" s="120">
        <v>19.102471716083109</v>
      </c>
      <c r="BO17" s="121">
        <v>20.022916636229979</v>
      </c>
    </row>
    <row r="18" spans="1:67">
      <c r="B18" s="4" t="s">
        <v>4</v>
      </c>
      <c r="C18" s="119">
        <v>3.1590792624109141</v>
      </c>
      <c r="D18" s="119">
        <v>2.8070682928253299</v>
      </c>
      <c r="E18" s="119">
        <v>2.3836449261440715</v>
      </c>
      <c r="F18" s="119">
        <v>2.3826351443200897</v>
      </c>
      <c r="G18" s="119">
        <v>2.4758506891423915</v>
      </c>
      <c r="H18" s="119">
        <v>2.7157840224384064</v>
      </c>
      <c r="I18" s="119">
        <v>2.8434414417019025</v>
      </c>
      <c r="J18" s="119">
        <v>2.6295363451318572</v>
      </c>
      <c r="K18" s="119">
        <v>2.5996218398649424</v>
      </c>
      <c r="L18" s="119">
        <v>2.1681126940580961</v>
      </c>
      <c r="M18" s="119">
        <v>2.3735745914163093</v>
      </c>
      <c r="N18" s="119">
        <v>2.2340426474085664</v>
      </c>
      <c r="O18" s="119">
        <v>2.56116672626638</v>
      </c>
      <c r="P18" s="119">
        <v>3.7890072955357534</v>
      </c>
      <c r="Q18" s="119">
        <v>5.342945382100841</v>
      </c>
      <c r="R18" s="119">
        <v>5.1042650711657851</v>
      </c>
      <c r="S18" s="119">
        <v>4.766511704882082</v>
      </c>
      <c r="T18" s="119">
        <v>4.5999854990336058</v>
      </c>
      <c r="U18" s="119">
        <v>8.1860024967433773</v>
      </c>
      <c r="V18" s="119">
        <v>8.6996374415660291</v>
      </c>
      <c r="W18" s="119">
        <v>11.40685945557804</v>
      </c>
      <c r="X18" s="119">
        <v>11.323997411369749</v>
      </c>
      <c r="Y18" s="119">
        <v>8.6568257231959667</v>
      </c>
      <c r="Z18" s="119">
        <v>8.3871768939669611</v>
      </c>
      <c r="AA18" s="119">
        <v>9.4878029491651574</v>
      </c>
      <c r="AB18" s="119">
        <v>12.353038715366885</v>
      </c>
      <c r="AC18" s="119">
        <v>11.14883825055035</v>
      </c>
      <c r="AD18" s="119">
        <v>12.35370884451587</v>
      </c>
      <c r="AE18" s="119">
        <v>15.655621873934658</v>
      </c>
      <c r="AF18" s="119">
        <v>13.238049961685066</v>
      </c>
      <c r="AG18" s="119">
        <v>10.637718362715235</v>
      </c>
      <c r="AH18" s="120">
        <v>11.427949183576564</v>
      </c>
      <c r="AI18" s="120">
        <v>14.433853032053886</v>
      </c>
      <c r="AJ18" s="120">
        <v>19.274644137231046</v>
      </c>
      <c r="AK18" s="120">
        <v>17.153885698907253</v>
      </c>
      <c r="AL18" s="120">
        <v>16.242522985956718</v>
      </c>
      <c r="AM18" s="120">
        <v>15.80404076695762</v>
      </c>
      <c r="AN18" s="120">
        <v>14.944281728151326</v>
      </c>
      <c r="AO18" s="120">
        <v>13.972513184267079</v>
      </c>
      <c r="AP18" s="120">
        <v>15.224847489574181</v>
      </c>
      <c r="AQ18" s="120">
        <v>18.32934311420679</v>
      </c>
      <c r="AR18" s="120">
        <v>18.004959568838853</v>
      </c>
      <c r="AS18" s="120">
        <v>19.842618967160512</v>
      </c>
      <c r="AT18" s="120">
        <v>24.475106278729179</v>
      </c>
      <c r="AU18" s="120">
        <v>28.030617794403451</v>
      </c>
      <c r="AV18" s="120">
        <v>27.991277190931481</v>
      </c>
      <c r="AW18" s="120">
        <v>28.04273299399263</v>
      </c>
      <c r="AX18" s="120">
        <v>26.359768381152726</v>
      </c>
      <c r="AY18" s="120">
        <v>24.61861939817787</v>
      </c>
      <c r="AZ18" s="120">
        <v>20.088992620571638</v>
      </c>
      <c r="BA18" s="120">
        <v>23.131327083719221</v>
      </c>
      <c r="BB18" s="120">
        <v>23.793944330537599</v>
      </c>
      <c r="BC18" s="120">
        <v>22.403508748892534</v>
      </c>
      <c r="BD18" s="120">
        <v>21.752698288951368</v>
      </c>
      <c r="BE18" s="120">
        <v>20.996479786550857</v>
      </c>
      <c r="BF18" s="120">
        <v>17.758120612842355</v>
      </c>
      <c r="BG18" s="120">
        <v>16.97351995641079</v>
      </c>
      <c r="BH18" s="120">
        <v>17.615222450116587</v>
      </c>
      <c r="BI18" s="120">
        <v>18.123864588511491</v>
      </c>
      <c r="BJ18" s="120">
        <v>17.143713314106147</v>
      </c>
      <c r="BK18" s="120">
        <v>15.835368617934314</v>
      </c>
      <c r="BL18" s="120">
        <v>16.994448951755672</v>
      </c>
      <c r="BM18" s="120">
        <v>17.142988184939519</v>
      </c>
      <c r="BN18" s="120">
        <v>17.002720652974332</v>
      </c>
      <c r="BO18" s="121">
        <v>17.17550350263231</v>
      </c>
    </row>
    <row r="19" spans="1:67">
      <c r="B19" s="4" t="s">
        <v>5</v>
      </c>
      <c r="C19" s="122"/>
      <c r="D19" s="122"/>
      <c r="E19" s="122"/>
      <c r="F19" s="122"/>
      <c r="G19" s="122"/>
      <c r="H19" s="122"/>
      <c r="I19" s="122"/>
      <c r="J19" s="122"/>
      <c r="K19" s="122"/>
      <c r="L19" s="122"/>
      <c r="M19" s="122"/>
      <c r="N19" s="122"/>
      <c r="O19" s="122"/>
      <c r="P19" s="122"/>
      <c r="Q19" s="122"/>
      <c r="R19" s="122"/>
      <c r="S19" s="122"/>
      <c r="T19" s="122"/>
      <c r="U19" s="122"/>
      <c r="V19" s="122"/>
      <c r="W19" s="122"/>
      <c r="X19" s="122"/>
      <c r="Y19" s="122"/>
      <c r="Z19" s="122"/>
      <c r="AA19" s="122"/>
      <c r="AB19" s="122"/>
      <c r="AC19" s="122"/>
      <c r="AD19" s="122"/>
      <c r="AE19" s="122"/>
      <c r="AF19" s="122"/>
      <c r="AG19" s="119">
        <v>52.012692092328749</v>
      </c>
      <c r="AH19" s="120">
        <v>38.176187362757105</v>
      </c>
      <c r="AI19" s="120">
        <v>38.914934350362543</v>
      </c>
      <c r="AJ19" s="120">
        <v>42.115941833641294</v>
      </c>
      <c r="AK19" s="120">
        <v>55.111905849120824</v>
      </c>
      <c r="AL19" s="120">
        <v>60.771222370586656</v>
      </c>
      <c r="AM19" s="120">
        <v>65.41006169032498</v>
      </c>
      <c r="AN19" s="120">
        <v>72.996717477509705</v>
      </c>
      <c r="AO19" s="120">
        <v>80.478283771738688</v>
      </c>
      <c r="AP19" s="120">
        <v>90.653794128390956</v>
      </c>
      <c r="AQ19" s="120">
        <v>98.933823069353139</v>
      </c>
      <c r="AR19" s="120">
        <v>102.84675801306076</v>
      </c>
      <c r="AS19" s="120">
        <v>111.87624969326686</v>
      </c>
      <c r="AT19" s="120">
        <v>121.91532087991533</v>
      </c>
      <c r="AU19" s="120">
        <v>127.54762978302455</v>
      </c>
      <c r="AV19" s="120">
        <v>128.20749288847125</v>
      </c>
      <c r="AW19" s="120">
        <v>128.59966791872941</v>
      </c>
      <c r="AX19" s="120">
        <v>132.22204647404129</v>
      </c>
      <c r="AY19" s="120">
        <v>138.57427421802504</v>
      </c>
      <c r="AZ19" s="120">
        <v>156.98448534201427</v>
      </c>
      <c r="BA19" s="120">
        <v>160.49809843360617</v>
      </c>
      <c r="BB19" s="120">
        <v>175.56764121902773</v>
      </c>
      <c r="BC19" s="120">
        <v>183.70620932486696</v>
      </c>
      <c r="BD19" s="120">
        <v>186.56429734897108</v>
      </c>
      <c r="BE19" s="120">
        <v>192.11285034434505</v>
      </c>
      <c r="BF19" s="120">
        <v>194.58406121714253</v>
      </c>
      <c r="BG19" s="120">
        <v>193.23043783523028</v>
      </c>
      <c r="BH19" s="120">
        <v>193.48915965885155</v>
      </c>
      <c r="BI19" s="120">
        <v>197.33560941098943</v>
      </c>
      <c r="BJ19" s="120">
        <v>198.01030917487168</v>
      </c>
      <c r="BK19" s="120">
        <v>215.82038966285305</v>
      </c>
      <c r="BL19" s="120">
        <v>216.13500538721891</v>
      </c>
      <c r="BM19" s="120">
        <v>215.90635961078024</v>
      </c>
      <c r="BN19" s="122"/>
      <c r="BO19" s="123"/>
    </row>
    <row r="20" spans="1:67">
      <c r="B20" s="4" t="s">
        <v>46</v>
      </c>
      <c r="C20" s="122"/>
      <c r="D20" s="122"/>
      <c r="E20" s="122"/>
      <c r="F20" s="122"/>
      <c r="G20" s="122"/>
      <c r="H20" s="122"/>
      <c r="I20" s="122"/>
      <c r="J20" s="122"/>
      <c r="K20" s="122"/>
      <c r="L20" s="122"/>
      <c r="M20" s="122"/>
      <c r="N20" s="122"/>
      <c r="O20" s="122"/>
      <c r="P20" s="122"/>
      <c r="Q20" s="122"/>
      <c r="R20" s="122"/>
      <c r="S20" s="122"/>
      <c r="T20" s="122"/>
      <c r="U20" s="122"/>
      <c r="V20" s="122"/>
      <c r="W20" s="122"/>
      <c r="X20" s="122"/>
      <c r="Y20" s="122"/>
      <c r="Z20" s="122"/>
      <c r="AA20" s="122"/>
      <c r="AB20" s="122"/>
      <c r="AC20" s="122"/>
      <c r="AD20" s="122"/>
      <c r="AE20" s="122"/>
      <c r="AF20" s="122"/>
      <c r="AG20" s="122"/>
      <c r="AH20" s="120">
        <v>2.37</v>
      </c>
      <c r="AI20" s="120">
        <v>2.37</v>
      </c>
      <c r="AJ20" s="120">
        <v>2.69</v>
      </c>
      <c r="AK20" s="120">
        <v>2.9</v>
      </c>
      <c r="AL20" s="120">
        <v>3</v>
      </c>
      <c r="AM20" s="120">
        <v>3.12</v>
      </c>
      <c r="AN20" s="120">
        <v>3.23</v>
      </c>
      <c r="AO20" s="120">
        <v>3.24</v>
      </c>
      <c r="AP20" s="120">
        <v>3.25</v>
      </c>
      <c r="AQ20" s="120">
        <v>3.26</v>
      </c>
      <c r="AR20" s="120">
        <v>3.8</v>
      </c>
      <c r="AS20" s="120">
        <v>4.24</v>
      </c>
      <c r="AT20" s="120">
        <v>4.58</v>
      </c>
      <c r="AU20" s="120">
        <v>4.49</v>
      </c>
      <c r="AV20" s="120">
        <v>4.5199999999999996</v>
      </c>
      <c r="AW20" s="120">
        <v>4.43</v>
      </c>
      <c r="AX20" s="120">
        <v>4.3499999999999996</v>
      </c>
      <c r="AY20" s="120">
        <v>4.59</v>
      </c>
      <c r="AZ20" s="120">
        <v>4.72</v>
      </c>
      <c r="BA20" s="120">
        <v>4.53</v>
      </c>
      <c r="BB20" s="120">
        <v>4.55</v>
      </c>
      <c r="BC20" s="120">
        <v>4.58</v>
      </c>
      <c r="BD20" s="120">
        <v>4.5999999999999996</v>
      </c>
      <c r="BE20" s="120">
        <v>4.63</v>
      </c>
      <c r="BF20" s="120">
        <v>4.6500000000000004</v>
      </c>
      <c r="BG20" s="120">
        <v>4.5599999999999996</v>
      </c>
      <c r="BH20" s="120">
        <v>4.47</v>
      </c>
      <c r="BI20" s="120">
        <v>4.3099999999999996</v>
      </c>
      <c r="BJ20" s="120">
        <v>4.5599999999999996</v>
      </c>
      <c r="BK20" s="120">
        <v>5</v>
      </c>
      <c r="BL20" s="120">
        <v>4.55</v>
      </c>
      <c r="BM20" s="120">
        <v>4.9800000000000004</v>
      </c>
      <c r="BN20" s="120">
        <v>4.67</v>
      </c>
      <c r="BO20" s="121">
        <v>4.5709999999999997</v>
      </c>
    </row>
    <row r="21" spans="1:67">
      <c r="A21" s="1"/>
      <c r="B21" s="7" t="s">
        <v>47</v>
      </c>
      <c r="C21" s="126"/>
      <c r="D21" s="126"/>
      <c r="E21" s="126"/>
      <c r="F21" s="126"/>
      <c r="G21" s="126"/>
      <c r="H21" s="126"/>
      <c r="I21" s="126"/>
      <c r="J21" s="126"/>
      <c r="K21" s="126"/>
      <c r="L21" s="126"/>
      <c r="M21" s="126"/>
      <c r="N21" s="126"/>
      <c r="O21" s="126"/>
      <c r="P21" s="126"/>
      <c r="Q21" s="126"/>
      <c r="R21" s="126"/>
      <c r="S21" s="126"/>
      <c r="T21" s="126"/>
      <c r="U21" s="126"/>
      <c r="V21" s="126"/>
      <c r="W21" s="126"/>
      <c r="X21" s="126"/>
      <c r="Y21" s="126"/>
      <c r="Z21" s="126"/>
      <c r="AA21" s="126"/>
      <c r="AB21" s="126"/>
      <c r="AC21" s="126"/>
      <c r="AD21" s="124">
        <v>7.2338355306560898</v>
      </c>
      <c r="AE21" s="124">
        <v>18.811817944875301</v>
      </c>
      <c r="AF21" s="124">
        <v>18.245638362164801</v>
      </c>
      <c r="AG21" s="124">
        <v>3.0522901207523301</v>
      </c>
      <c r="AH21" s="125">
        <v>3.55668565220452</v>
      </c>
      <c r="AI21" s="125">
        <v>6.3539813402486898</v>
      </c>
      <c r="AJ21" s="125">
        <v>14.6100786356602</v>
      </c>
      <c r="AK21" s="125">
        <v>24.256989724336101</v>
      </c>
      <c r="AL21" s="125">
        <v>16.7912251650916</v>
      </c>
      <c r="AM21" s="125">
        <v>8.3131602889390894</v>
      </c>
      <c r="AN21" s="125">
        <v>2.7864650553188199</v>
      </c>
      <c r="AO21" s="125">
        <v>-0.77318601154931799</v>
      </c>
      <c r="AP21" s="125">
        <v>-1.40147268276465</v>
      </c>
      <c r="AQ21" s="125">
        <v>0.34781122686458699</v>
      </c>
      <c r="AR21" s="125">
        <v>0.71912560912011403</v>
      </c>
      <c r="AS21" s="125">
        <v>-0.73197090235024398</v>
      </c>
      <c r="AT21" s="125">
        <v>1.1276034872963701</v>
      </c>
      <c r="AU21" s="125">
        <v>3.82463743108159</v>
      </c>
      <c r="AV21" s="125">
        <v>1.7764140766757099</v>
      </c>
      <c r="AW21" s="125">
        <v>1.6494309945586001</v>
      </c>
      <c r="AX21" s="125">
        <v>4.8167676737883403</v>
      </c>
      <c r="AY21" s="125">
        <v>5.92525137041092</v>
      </c>
      <c r="AZ21" s="125">
        <v>-0.72816525093289797</v>
      </c>
      <c r="BA21" s="125">
        <v>3.1753247526919899</v>
      </c>
      <c r="BB21" s="125">
        <v>5.5538989225749296</v>
      </c>
      <c r="BC21" s="125">
        <v>2.61952432645541</v>
      </c>
      <c r="BD21" s="125">
        <v>2.6210500174811502</v>
      </c>
      <c r="BE21" s="125">
        <v>1.92164162788521</v>
      </c>
      <c r="BF21" s="125">
        <v>1.4370238093565499</v>
      </c>
      <c r="BG21" s="125">
        <v>2.00000182191943</v>
      </c>
      <c r="BH21" s="125">
        <v>1.59313600071436</v>
      </c>
      <c r="BI21" s="125">
        <v>2.0747903996557602</v>
      </c>
      <c r="BJ21" s="125">
        <v>2.8992341635822698</v>
      </c>
      <c r="BK21" s="125">
        <v>2.4194218945778201</v>
      </c>
      <c r="BL21" s="125">
        <v>0.98101513554488196</v>
      </c>
      <c r="BM21" s="125">
        <v>1.97357555739051</v>
      </c>
      <c r="BN21" s="125">
        <v>0.23483682889305099</v>
      </c>
      <c r="BO21" s="121">
        <v>0.21812893843917699</v>
      </c>
    </row>
    <row r="22" spans="1:67">
      <c r="A22" s="3" t="s">
        <v>9</v>
      </c>
      <c r="B22" s="4" t="s">
        <v>3</v>
      </c>
      <c r="C22" s="122"/>
      <c r="D22" s="122"/>
      <c r="E22" s="122"/>
      <c r="F22" s="122"/>
      <c r="G22" s="122"/>
      <c r="H22" s="122"/>
      <c r="I22" s="122"/>
      <c r="J22" s="122"/>
      <c r="K22" s="122"/>
      <c r="L22" s="122"/>
      <c r="M22" s="119">
        <v>10.140141538875326</v>
      </c>
      <c r="N22" s="119">
        <v>10.990490659977418</v>
      </c>
      <c r="O22" s="119">
        <v>9.9315515751712447</v>
      </c>
      <c r="P22" s="119">
        <v>9.4178927700571347</v>
      </c>
      <c r="Q22" s="119">
        <v>12.761579594563615</v>
      </c>
      <c r="R22" s="119">
        <v>12.008024829299531</v>
      </c>
      <c r="S22" s="119">
        <v>12.7207365025142</v>
      </c>
      <c r="T22" s="119">
        <v>12.28760896222246</v>
      </c>
      <c r="U22" s="119">
        <v>10.433647370322349</v>
      </c>
      <c r="V22" s="119">
        <v>10.854073197698336</v>
      </c>
      <c r="W22" s="119">
        <v>12.848221952944419</v>
      </c>
      <c r="X22" s="119">
        <v>13.823598706411392</v>
      </c>
      <c r="Y22" s="119">
        <v>13.62984342354641</v>
      </c>
      <c r="Z22" s="119">
        <v>13.009265379048324</v>
      </c>
      <c r="AA22" s="119">
        <v>14.099759872566034</v>
      </c>
      <c r="AB22" s="119">
        <v>13.619371360297865</v>
      </c>
      <c r="AC22" s="119">
        <v>10.700771756073244</v>
      </c>
      <c r="AD22" s="119">
        <v>9.7529957966421357</v>
      </c>
      <c r="AE22" s="119">
        <v>9.4092147903383925</v>
      </c>
      <c r="AF22" s="119">
        <v>9.9347520164030225</v>
      </c>
      <c r="AG22" s="119">
        <v>10.050095914740911</v>
      </c>
      <c r="AH22" s="120">
        <v>9.6161747136709632</v>
      </c>
      <c r="AI22" s="120">
        <v>9.5182850247103499</v>
      </c>
      <c r="AJ22" s="120">
        <v>8.9139139952642008</v>
      </c>
      <c r="AK22" s="120">
        <v>8.8398271262150487</v>
      </c>
      <c r="AL22" s="120">
        <v>8.8164704326095862</v>
      </c>
      <c r="AM22" s="120">
        <v>9.3157450835299951</v>
      </c>
      <c r="AN22" s="120">
        <v>10.383695639775445</v>
      </c>
      <c r="AO22" s="120">
        <v>10.373806098594326</v>
      </c>
      <c r="AP22" s="120">
        <v>9.8055390015602093</v>
      </c>
      <c r="AQ22" s="120">
        <v>10.463494202750487</v>
      </c>
      <c r="AR22" s="120">
        <v>10.076799963284385</v>
      </c>
      <c r="AS22" s="120">
        <v>10.855445607228663</v>
      </c>
      <c r="AT22" s="120">
        <v>11.465801576659365</v>
      </c>
      <c r="AU22" s="120">
        <v>12.786264624786245</v>
      </c>
      <c r="AV22" s="120">
        <v>13.815895722115934</v>
      </c>
      <c r="AW22" s="120">
        <v>15.657374046611713</v>
      </c>
      <c r="AX22" s="120">
        <v>17.289127370722944</v>
      </c>
      <c r="AY22" s="120">
        <v>17.235543376407051</v>
      </c>
      <c r="AZ22" s="120">
        <v>12.41956574797995</v>
      </c>
      <c r="BA22" s="120">
        <v>14.918503449642811</v>
      </c>
      <c r="BB22" s="120">
        <v>14.774462261349861</v>
      </c>
      <c r="BC22" s="120">
        <v>14.414774612982434</v>
      </c>
      <c r="BD22" s="120">
        <v>15.784156731877259</v>
      </c>
      <c r="BE22" s="120">
        <v>17.418655348479504</v>
      </c>
      <c r="BF22" s="120">
        <v>17.436759837652868</v>
      </c>
      <c r="BG22" s="120">
        <v>16.057969236059801</v>
      </c>
      <c r="BH22" s="120">
        <v>17.591439104783635</v>
      </c>
      <c r="BI22" s="120">
        <v>18.31494559852225</v>
      </c>
      <c r="BJ22" s="120">
        <v>17.463526427522105</v>
      </c>
      <c r="BK22" s="120">
        <v>15.533182864322168</v>
      </c>
      <c r="BL22" s="120">
        <v>18.109191938861802</v>
      </c>
      <c r="BM22" s="120">
        <v>21.546424123916605</v>
      </c>
      <c r="BN22" s="120">
        <v>21.851591240259332</v>
      </c>
      <c r="BO22" s="123"/>
    </row>
    <row r="23" spans="1:67">
      <c r="B23" s="4" t="s">
        <v>4</v>
      </c>
      <c r="C23" s="122"/>
      <c r="D23" s="122"/>
      <c r="E23" s="122"/>
      <c r="F23" s="122"/>
      <c r="G23" s="122"/>
      <c r="H23" s="122"/>
      <c r="I23" s="122"/>
      <c r="J23" s="122"/>
      <c r="K23" s="122"/>
      <c r="L23" s="122"/>
      <c r="M23" s="119">
        <v>9.0103612270228357</v>
      </c>
      <c r="N23" s="119">
        <v>8.5045073021592774</v>
      </c>
      <c r="O23" s="119">
        <v>7.8281563786972361</v>
      </c>
      <c r="P23" s="119">
        <v>9.470290038354225</v>
      </c>
      <c r="Q23" s="119">
        <v>13.571248116926531</v>
      </c>
      <c r="R23" s="119">
        <v>12.06741402357339</v>
      </c>
      <c r="S23" s="119">
        <v>12.067521950276047</v>
      </c>
      <c r="T23" s="119">
        <v>10.839526918280932</v>
      </c>
      <c r="U23" s="119">
        <v>8.8745942853130444</v>
      </c>
      <c r="V23" s="119">
        <v>11.798354523134741</v>
      </c>
      <c r="W23" s="119">
        <v>13.801142551876222</v>
      </c>
      <c r="X23" s="119">
        <v>13.223232886369654</v>
      </c>
      <c r="Y23" s="119">
        <v>13.093069265764189</v>
      </c>
      <c r="Z23" s="119">
        <v>11.507927436713191</v>
      </c>
      <c r="AA23" s="119">
        <v>11.703741057786999</v>
      </c>
      <c r="AB23" s="119">
        <v>10.491889870394802</v>
      </c>
      <c r="AC23" s="119">
        <v>7.0983197588643634</v>
      </c>
      <c r="AD23" s="119">
        <v>7.0357888194431419</v>
      </c>
      <c r="AE23" s="119">
        <v>7.4792999621286729</v>
      </c>
      <c r="AF23" s="119">
        <v>8.6067617246950494</v>
      </c>
      <c r="AG23" s="119">
        <v>9.2856178181818976</v>
      </c>
      <c r="AH23" s="120">
        <v>8.1432765406458731</v>
      </c>
      <c r="AI23" s="120">
        <v>7.4997837993086334</v>
      </c>
      <c r="AJ23" s="120">
        <v>6.8094251352533153</v>
      </c>
      <c r="AK23" s="120">
        <v>6.9704791060606617</v>
      </c>
      <c r="AL23" s="120">
        <v>7.5736345014076516</v>
      </c>
      <c r="AM23" s="120">
        <v>8.9381231420221869</v>
      </c>
      <c r="AN23" s="120">
        <v>9.3998219835914352</v>
      </c>
      <c r="AO23" s="120">
        <v>8.6293801237433776</v>
      </c>
      <c r="AP23" s="120">
        <v>8.3200917151308946</v>
      </c>
      <c r="AQ23" s="120">
        <v>9.0988773811549386</v>
      </c>
      <c r="AR23" s="120">
        <v>9.4828045087226869</v>
      </c>
      <c r="AS23" s="120">
        <v>9.5916764589295997</v>
      </c>
      <c r="AT23" s="120">
        <v>9.8603236911524856</v>
      </c>
      <c r="AU23" s="120">
        <v>10.878088798111223</v>
      </c>
      <c r="AV23" s="120">
        <v>12.414058855740565</v>
      </c>
      <c r="AW23" s="120">
        <v>14.359002052057457</v>
      </c>
      <c r="AX23" s="120">
        <v>15.527450681156063</v>
      </c>
      <c r="AY23" s="120">
        <v>16.893933164817501</v>
      </c>
      <c r="AZ23" s="120">
        <v>11.970600785875575</v>
      </c>
      <c r="BA23" s="120">
        <v>13.579969244196096</v>
      </c>
      <c r="BB23" s="120">
        <v>15.420498467279756</v>
      </c>
      <c r="BC23" s="120">
        <v>16.056136304192801</v>
      </c>
      <c r="BD23" s="120">
        <v>18.194611919073814</v>
      </c>
      <c r="BE23" s="120">
        <v>20.012779220178448</v>
      </c>
      <c r="BF23" s="120">
        <v>17.990648516826962</v>
      </c>
      <c r="BG23" s="120">
        <v>15.252277609528614</v>
      </c>
      <c r="BH23" s="120">
        <v>16.831774467384957</v>
      </c>
      <c r="BI23" s="120">
        <v>18.294986203584752</v>
      </c>
      <c r="BJ23" s="120">
        <v>17.752891680892358</v>
      </c>
      <c r="BK23" s="120">
        <v>15.802025772450829</v>
      </c>
      <c r="BL23" s="120">
        <v>18.629254289208042</v>
      </c>
      <c r="BM23" s="120">
        <v>25.266562712977205</v>
      </c>
      <c r="BN23" s="120">
        <v>23.299288323865436</v>
      </c>
      <c r="BO23" s="123"/>
    </row>
    <row r="24" spans="1:67">
      <c r="B24" s="4" t="s">
        <v>5</v>
      </c>
      <c r="C24" s="122"/>
      <c r="D24" s="122"/>
      <c r="E24" s="122"/>
      <c r="F24" s="122"/>
      <c r="G24" s="122"/>
      <c r="H24" s="122"/>
      <c r="I24" s="122"/>
      <c r="J24" s="122"/>
      <c r="K24" s="122"/>
      <c r="L24" s="122"/>
      <c r="M24" s="122"/>
      <c r="N24" s="122"/>
      <c r="O24" s="122"/>
      <c r="P24" s="122"/>
      <c r="Q24" s="122"/>
      <c r="R24" s="122"/>
      <c r="S24" s="122"/>
      <c r="T24" s="122"/>
      <c r="U24" s="122"/>
      <c r="V24" s="122"/>
      <c r="W24" s="122"/>
      <c r="X24" s="122"/>
      <c r="Y24" s="122"/>
      <c r="Z24" s="122"/>
      <c r="AA24" s="122"/>
      <c r="AB24" s="122"/>
      <c r="AC24" s="122"/>
      <c r="AD24" s="122"/>
      <c r="AE24" s="122"/>
      <c r="AF24" s="122"/>
      <c r="AG24" s="119">
        <v>7.4428015688370639</v>
      </c>
      <c r="AH24" s="120">
        <v>10.242860165184007</v>
      </c>
      <c r="AI24" s="120">
        <v>9.9938459498567411</v>
      </c>
      <c r="AJ24" s="120">
        <v>9.2004189334836806</v>
      </c>
      <c r="AK24" s="120">
        <v>8.1789368617000999</v>
      </c>
      <c r="AL24" s="120">
        <v>7.2168897692572438</v>
      </c>
      <c r="AM24" s="120">
        <v>6.8629801840029216</v>
      </c>
      <c r="AN24" s="120">
        <v>8.6798604727880981</v>
      </c>
      <c r="AO24" s="122"/>
      <c r="AP24" s="122"/>
      <c r="AQ24" s="122"/>
      <c r="AR24" s="122"/>
      <c r="AS24" s="122"/>
      <c r="AT24" s="122"/>
      <c r="AU24" s="122"/>
      <c r="AV24" s="122"/>
      <c r="AW24" s="122"/>
      <c r="AX24" s="122"/>
      <c r="AY24" s="122"/>
      <c r="AZ24" s="122"/>
      <c r="BA24" s="122"/>
      <c r="BB24" s="122"/>
      <c r="BC24" s="120">
        <v>32.409020579935692</v>
      </c>
      <c r="BD24" s="120">
        <v>34.92985930149743</v>
      </c>
      <c r="BE24" s="120">
        <v>36.500264021550564</v>
      </c>
      <c r="BF24" s="120">
        <v>37.492957109714091</v>
      </c>
      <c r="BG24" s="120">
        <v>38.065514156892235</v>
      </c>
      <c r="BH24" s="120">
        <v>37.348635137547667</v>
      </c>
      <c r="BI24" s="120">
        <v>37.555643179394231</v>
      </c>
      <c r="BJ24" s="120">
        <v>39.969480137043988</v>
      </c>
      <c r="BK24" s="120">
        <v>46.431596642337851</v>
      </c>
      <c r="BL24" s="120">
        <v>48.955278643503974</v>
      </c>
      <c r="BM24" s="120">
        <v>51.179132319815693</v>
      </c>
      <c r="BN24" s="120">
        <v>52.296554903428806</v>
      </c>
      <c r="BO24" s="123"/>
    </row>
    <row r="25" spans="1:67">
      <c r="B25" s="4" t="s">
        <v>46</v>
      </c>
      <c r="C25" s="122"/>
      <c r="D25" s="122"/>
      <c r="E25" s="122"/>
      <c r="F25" s="122"/>
      <c r="G25" s="122"/>
      <c r="H25" s="122"/>
      <c r="I25" s="122"/>
      <c r="J25" s="122"/>
      <c r="K25" s="122"/>
      <c r="L25" s="122"/>
      <c r="M25" s="122"/>
      <c r="N25" s="122"/>
      <c r="O25" s="122"/>
      <c r="P25" s="122"/>
      <c r="Q25" s="122"/>
      <c r="R25" s="122"/>
      <c r="S25" s="122"/>
      <c r="T25" s="122"/>
      <c r="U25" s="122"/>
      <c r="V25" s="122"/>
      <c r="W25" s="122"/>
      <c r="X25" s="122"/>
      <c r="Y25" s="122"/>
      <c r="Z25" s="122"/>
      <c r="AA25" s="122"/>
      <c r="AB25" s="122"/>
      <c r="AC25" s="122"/>
      <c r="AD25" s="122"/>
      <c r="AE25" s="122"/>
      <c r="AF25" s="122"/>
      <c r="AG25" s="122"/>
      <c r="AH25" s="120">
        <v>2.0590000000000002</v>
      </c>
      <c r="AI25" s="120">
        <v>2.1579999999999999</v>
      </c>
      <c r="AJ25" s="120">
        <v>2.5390000000000001</v>
      </c>
      <c r="AK25" s="120">
        <v>2.89</v>
      </c>
      <c r="AL25" s="120">
        <v>3.15</v>
      </c>
      <c r="AM25" s="120">
        <v>3.383</v>
      </c>
      <c r="AN25" s="120">
        <v>3.3740000000000001</v>
      </c>
      <c r="AO25" s="120">
        <v>4.0780000000000003</v>
      </c>
      <c r="AP25" s="120">
        <v>4.6769999999999996</v>
      </c>
      <c r="AQ25" s="120">
        <v>4.7480000000000002</v>
      </c>
      <c r="AR25" s="120">
        <v>5.0199999999999996</v>
      </c>
      <c r="AS25" s="120">
        <v>5.3860000000000001</v>
      </c>
      <c r="AT25" s="120">
        <v>5.2510000000000003</v>
      </c>
      <c r="AU25" s="120">
        <v>4.734</v>
      </c>
      <c r="AV25" s="120">
        <v>4.4459999999999997</v>
      </c>
      <c r="AW25" s="120">
        <v>4.1920000000000002</v>
      </c>
      <c r="AX25" s="120">
        <v>3.8879999999999999</v>
      </c>
      <c r="AY25" s="120">
        <v>4.0019999999999998</v>
      </c>
      <c r="AZ25" s="120">
        <v>5.0679999999999996</v>
      </c>
      <c r="BA25" s="120">
        <v>5.1020000000000003</v>
      </c>
      <c r="BB25" s="120">
        <v>4.55</v>
      </c>
      <c r="BC25" s="120">
        <v>4.3579999999999997</v>
      </c>
      <c r="BD25" s="120">
        <v>4.0380000000000003</v>
      </c>
      <c r="BE25" s="120">
        <v>3.589</v>
      </c>
      <c r="BF25" s="120">
        <v>3.3849999999999998</v>
      </c>
      <c r="BG25" s="120">
        <v>3.1320000000000001</v>
      </c>
      <c r="BH25" s="120">
        <v>2.8220000000000001</v>
      </c>
      <c r="BI25" s="120">
        <v>2.4670000000000001</v>
      </c>
      <c r="BJ25" s="120">
        <v>2.351</v>
      </c>
      <c r="BK25" s="120">
        <v>2.8090000000000002</v>
      </c>
      <c r="BL25" s="120">
        <v>2.8279999999999998</v>
      </c>
      <c r="BM25" s="120">
        <v>2.6</v>
      </c>
      <c r="BN25" s="120">
        <v>2.6</v>
      </c>
      <c r="BO25" s="121">
        <v>2.5630000000000002</v>
      </c>
    </row>
    <row r="26" spans="1:67">
      <c r="A26" s="1"/>
      <c r="B26" s="7" t="s">
        <v>47</v>
      </c>
      <c r="C26" s="124">
        <v>3.5745115253591</v>
      </c>
      <c r="D26" s="124">
        <v>5.3684617848005498</v>
      </c>
      <c r="E26" s="124">
        <v>6.8354403481972996</v>
      </c>
      <c r="F26" s="124">
        <v>6.7069055639799</v>
      </c>
      <c r="G26" s="124">
        <v>3.8003894530575302</v>
      </c>
      <c r="H26" s="124">
        <v>6.65599094260621</v>
      </c>
      <c r="I26" s="124">
        <v>5.0408320588767603</v>
      </c>
      <c r="J26" s="124">
        <v>3.9898480888151799</v>
      </c>
      <c r="K26" s="124">
        <v>5.3394329573934396</v>
      </c>
      <c r="L26" s="124">
        <v>5.2498209110202696</v>
      </c>
      <c r="M26" s="124">
        <v>6.9241738348578101</v>
      </c>
      <c r="N26" s="124">
        <v>6.3953488372092604</v>
      </c>
      <c r="O26" s="124">
        <v>4.8435171385990499</v>
      </c>
      <c r="P26" s="124">
        <v>11.6086235489221</v>
      </c>
      <c r="Q26" s="124">
        <v>23.2222458076842</v>
      </c>
      <c r="R26" s="124">
        <v>11.7312661498708</v>
      </c>
      <c r="S26" s="124">
        <v>9.3740363860623397</v>
      </c>
      <c r="T26" s="124">
        <v>8.1618268959684208</v>
      </c>
      <c r="U26" s="124">
        <v>4.2095660106868102</v>
      </c>
      <c r="V26" s="124">
        <v>3.7018509254626899</v>
      </c>
      <c r="W26" s="124">
        <v>7.7785817655571803</v>
      </c>
      <c r="X26" s="124">
        <v>4.9121629182052304</v>
      </c>
      <c r="Y26" s="124">
        <v>2.7410409556314002</v>
      </c>
      <c r="Z26" s="124">
        <v>1.89971971348485</v>
      </c>
      <c r="AA26" s="124">
        <v>2.2616136919315499</v>
      </c>
      <c r="AB26" s="124">
        <v>2.0322773460849</v>
      </c>
      <c r="AC26" s="124">
        <v>0.59558679945324899</v>
      </c>
      <c r="AD26" s="124">
        <v>0.126176841696583</v>
      </c>
      <c r="AE26" s="124">
        <v>0.67855758045755799</v>
      </c>
      <c r="AF26" s="124">
        <v>2.27228962064317</v>
      </c>
      <c r="AG26" s="124">
        <v>3.0785162869515998</v>
      </c>
      <c r="AH26" s="125">
        <v>3.25143848753308</v>
      </c>
      <c r="AI26" s="125">
        <v>1.7602830605927</v>
      </c>
      <c r="AJ26" s="125">
        <v>1.24304589707924</v>
      </c>
      <c r="AK26" s="125">
        <v>0.69545805786900405</v>
      </c>
      <c r="AL26" s="125">
        <v>-0.12789904502044599</v>
      </c>
      <c r="AM26" s="125">
        <v>0.13660035857590899</v>
      </c>
      <c r="AN26" s="125">
        <v>1.7478045869213299</v>
      </c>
      <c r="AO26" s="125">
        <v>0.66197419138591096</v>
      </c>
      <c r="AP26" s="125">
        <v>-0.34129692832755398</v>
      </c>
      <c r="AQ26" s="125">
        <v>-0.67657868359517503</v>
      </c>
      <c r="AR26" s="125">
        <v>-0.74005550416273802</v>
      </c>
      <c r="AS26" s="125">
        <v>-0.92349402694232097</v>
      </c>
      <c r="AT26" s="125">
        <v>-0.25654181631602502</v>
      </c>
      <c r="AU26" s="125">
        <v>-8.5733882031027199E-3</v>
      </c>
      <c r="AV26" s="125">
        <v>-0.28294606876439099</v>
      </c>
      <c r="AW26" s="125">
        <v>0.249355116079085</v>
      </c>
      <c r="AX26" s="125">
        <v>6.0039454498669001E-2</v>
      </c>
      <c r="AY26" s="125">
        <v>1.3800788616491999</v>
      </c>
      <c r="AZ26" s="125">
        <v>-1.3528367295171899</v>
      </c>
      <c r="BA26" s="125">
        <v>-0.72824320751777905</v>
      </c>
      <c r="BB26" s="125">
        <v>-0.27245561610123997</v>
      </c>
      <c r="BC26" s="125">
        <v>-4.4064510443260201E-2</v>
      </c>
      <c r="BD26" s="125">
        <v>0.33503791218474099</v>
      </c>
      <c r="BE26" s="125">
        <v>2.7592267135325299</v>
      </c>
      <c r="BF26" s="125">
        <v>0.79527963057983897</v>
      </c>
      <c r="BG26" s="125">
        <v>-0.127258844489754</v>
      </c>
      <c r="BH26" s="125">
        <v>0.48419979612638497</v>
      </c>
      <c r="BI26" s="125">
        <v>0.98909459802184796</v>
      </c>
      <c r="BJ26" s="125">
        <v>0.46877615938395001</v>
      </c>
      <c r="BK26" s="125">
        <v>-2.4995834027731E-2</v>
      </c>
      <c r="BL26" s="125">
        <v>-0.23335277939826399</v>
      </c>
      <c r="BM26" s="125">
        <v>2.4977027817225501</v>
      </c>
      <c r="BN26" s="125">
        <v>3.2681336593316299</v>
      </c>
      <c r="BO26" s="121">
        <v>2.73853681635241</v>
      </c>
    </row>
    <row r="27" spans="1:67">
      <c r="A27" s="3" t="s">
        <v>10</v>
      </c>
      <c r="B27" s="4" t="s">
        <v>3</v>
      </c>
      <c r="C27" s="119">
        <v>2.6410564225690276</v>
      </c>
      <c r="D27" s="119">
        <v>4.0437520715942989</v>
      </c>
      <c r="E27" s="119">
        <v>3.8808417600437282</v>
      </c>
      <c r="F27" s="119">
        <v>3.9537126325940211</v>
      </c>
      <c r="G27" s="119">
        <v>4.9614708665675273</v>
      </c>
      <c r="H27" s="119">
        <v>7.132547510223719</v>
      </c>
      <c r="I27" s="119">
        <v>8.4419848044273529</v>
      </c>
      <c r="J27" s="119">
        <v>9.1123629719853838</v>
      </c>
      <c r="K27" s="119">
        <v>10.142359265166283</v>
      </c>
      <c r="L27" s="119">
        <v>10.611470149590998</v>
      </c>
      <c r="M27" s="119">
        <v>11.438890080812415</v>
      </c>
      <c r="N27" s="119">
        <v>12.675974403723094</v>
      </c>
      <c r="O27" s="119">
        <v>16.599104904280995</v>
      </c>
      <c r="P27" s="119">
        <v>23.924881949595644</v>
      </c>
      <c r="Q27" s="119">
        <v>22.230234029095509</v>
      </c>
      <c r="R27" s="119">
        <v>22.652604423536555</v>
      </c>
      <c r="S27" s="119">
        <v>25.531341551047483</v>
      </c>
      <c r="T27" s="119">
        <v>26.048871190503061</v>
      </c>
      <c r="U27" s="119">
        <v>24.995925182372936</v>
      </c>
      <c r="V27" s="119">
        <v>23.654802282554016</v>
      </c>
      <c r="W27" s="119">
        <v>28.439198390941744</v>
      </c>
      <c r="X27" s="119">
        <v>29.939923253163897</v>
      </c>
      <c r="Y27" s="119">
        <v>27.367831220564671</v>
      </c>
      <c r="Z27" s="119">
        <v>27.885681719033901</v>
      </c>
      <c r="AA27" s="119">
        <v>28.903962652354647</v>
      </c>
      <c r="AB27" s="119">
        <v>26.871644859791878</v>
      </c>
      <c r="AC27" s="119">
        <v>31.967708169475788</v>
      </c>
      <c r="AD27" s="119">
        <v>34.815255493525768</v>
      </c>
      <c r="AE27" s="119">
        <v>32.489261596482613</v>
      </c>
      <c r="AF27" s="119">
        <v>27.358569086704726</v>
      </c>
      <c r="AG27" s="119">
        <v>24.994340738406493</v>
      </c>
      <c r="AH27" s="120">
        <v>23.776574751599195</v>
      </c>
      <c r="AI27" s="120">
        <v>24.07238863619331</v>
      </c>
      <c r="AJ27" s="120">
        <v>23.672470416233452</v>
      </c>
      <c r="AK27" s="120">
        <v>24.070842597479579</v>
      </c>
      <c r="AL27" s="120">
        <v>25.724251971675251</v>
      </c>
      <c r="AM27" s="120">
        <v>24.801971433687907</v>
      </c>
      <c r="AN27" s="120">
        <v>28.345514719692812</v>
      </c>
      <c r="AO27" s="120">
        <v>39.536681103460751</v>
      </c>
      <c r="AP27" s="120">
        <v>32.590822939438972</v>
      </c>
      <c r="AQ27" s="120">
        <v>33.939168957317172</v>
      </c>
      <c r="AR27" s="120">
        <v>31.78774104825413</v>
      </c>
      <c r="AS27" s="120">
        <v>29.77275440963793</v>
      </c>
      <c r="AT27" s="120">
        <v>31.397837263320056</v>
      </c>
      <c r="AU27" s="120">
        <v>36.754336448713353</v>
      </c>
      <c r="AV27" s="120">
        <v>35.283082795740924</v>
      </c>
      <c r="AW27" s="120">
        <v>35.626418616121789</v>
      </c>
      <c r="AX27" s="120">
        <v>37.392179690512691</v>
      </c>
      <c r="AY27" s="120">
        <v>47.641885209577232</v>
      </c>
      <c r="AZ27" s="120">
        <v>45.185351911319863</v>
      </c>
      <c r="BA27" s="120">
        <v>47.103736910741418</v>
      </c>
      <c r="BB27" s="120">
        <v>53.337731900333573</v>
      </c>
      <c r="BC27" s="120">
        <v>54.094051335195317</v>
      </c>
      <c r="BD27" s="120">
        <v>51.292071109702697</v>
      </c>
      <c r="BE27" s="120">
        <v>47.831420866297883</v>
      </c>
      <c r="BF27" s="120">
        <v>42.989561527710997</v>
      </c>
      <c r="BG27" s="120">
        <v>40.132650911120507</v>
      </c>
      <c r="BH27" s="120">
        <v>40.934206940988446</v>
      </c>
      <c r="BI27" s="120">
        <v>41.713290843089368</v>
      </c>
      <c r="BJ27" s="120">
        <v>39.275861067360893</v>
      </c>
      <c r="BK27" s="120">
        <v>36.359590549145985</v>
      </c>
      <c r="BL27" s="120">
        <v>41.877229504780431</v>
      </c>
      <c r="BM27" s="120">
        <v>48.271764221040875</v>
      </c>
      <c r="BN27" s="120">
        <v>43.995669868669616</v>
      </c>
      <c r="BO27" s="123"/>
    </row>
    <row r="28" spans="1:67">
      <c r="B28" s="4" t="s">
        <v>4</v>
      </c>
      <c r="C28" s="119">
        <v>11.964785914365745</v>
      </c>
      <c r="D28" s="119">
        <v>13.954259197878688</v>
      </c>
      <c r="E28" s="119">
        <v>15.605356654823721</v>
      </c>
      <c r="F28" s="119">
        <v>14.657666345226616</v>
      </c>
      <c r="G28" s="119">
        <v>12.383398675138571</v>
      </c>
      <c r="H28" s="119">
        <v>14.325234544142409</v>
      </c>
      <c r="I28" s="119">
        <v>18.215927211331021</v>
      </c>
      <c r="J28" s="119">
        <v>19.678745432399513</v>
      </c>
      <c r="K28" s="119">
        <v>22.635713863784041</v>
      </c>
      <c r="L28" s="119">
        <v>22.452207710037513</v>
      </c>
      <c r="M28" s="119">
        <v>21.12207680755203</v>
      </c>
      <c r="N28" s="119">
        <v>23.013379872018618</v>
      </c>
      <c r="O28" s="119">
        <v>21.442463153455023</v>
      </c>
      <c r="P28" s="119">
        <v>27.653646445823458</v>
      </c>
      <c r="Q28" s="119">
        <v>33.300442757748257</v>
      </c>
      <c r="R28" s="119">
        <v>31.328957851208315</v>
      </c>
      <c r="S28" s="119">
        <v>28.349040959593168</v>
      </c>
      <c r="T28" s="119">
        <v>27.876569880858337</v>
      </c>
      <c r="U28" s="119">
        <v>29.221809219026419</v>
      </c>
      <c r="V28" s="119">
        <v>30.889782515438718</v>
      </c>
      <c r="W28" s="119">
        <v>37.09166245018892</v>
      </c>
      <c r="X28" s="119">
        <v>37.191412085412061</v>
      </c>
      <c r="Y28" s="119">
        <v>32.861087933303772</v>
      </c>
      <c r="Z28" s="119">
        <v>30.026542264185863</v>
      </c>
      <c r="AA28" s="119">
        <v>28.463837600345077</v>
      </c>
      <c r="AB28" s="119">
        <v>25.785404920248222</v>
      </c>
      <c r="AC28" s="119">
        <v>28.139316294091032</v>
      </c>
      <c r="AD28" s="119">
        <v>28.184897344076887</v>
      </c>
      <c r="AE28" s="119">
        <v>26.214376275303149</v>
      </c>
      <c r="AF28" s="119">
        <v>25.55509047549544</v>
      </c>
      <c r="AG28" s="119">
        <v>25.755972640087915</v>
      </c>
      <c r="AH28" s="120">
        <v>26.048504398899542</v>
      </c>
      <c r="AI28" s="120">
        <v>24.687037005009714</v>
      </c>
      <c r="AJ28" s="120">
        <v>23.246207817532323</v>
      </c>
      <c r="AK28" s="120">
        <v>24.595147189185095</v>
      </c>
      <c r="AL28" s="120">
        <v>26.739769989528334</v>
      </c>
      <c r="AM28" s="120">
        <v>27.852001493732619</v>
      </c>
      <c r="AN28" s="120">
        <v>29.177523026676294</v>
      </c>
      <c r="AO28" s="120">
        <v>28.960790952901007</v>
      </c>
      <c r="AP28" s="120">
        <v>27.171930821214872</v>
      </c>
      <c r="AQ28" s="120">
        <v>32.155991150866193</v>
      </c>
      <c r="AR28" s="120">
        <v>30.436056169736332</v>
      </c>
      <c r="AS28" s="120">
        <v>28.580284993283772</v>
      </c>
      <c r="AT28" s="120">
        <v>29.776764015692081</v>
      </c>
      <c r="AU28" s="120">
        <v>33.261378416959545</v>
      </c>
      <c r="AV28" s="120">
        <v>33.041728227899213</v>
      </c>
      <c r="AW28" s="120">
        <v>35.025454914297562</v>
      </c>
      <c r="AX28" s="120">
        <v>36.482345597278858</v>
      </c>
      <c r="AY28" s="120">
        <v>47.874467225169624</v>
      </c>
      <c r="AZ28" s="120">
        <v>40.948267458427139</v>
      </c>
      <c r="BA28" s="120">
        <v>44.29585958443419</v>
      </c>
      <c r="BB28" s="120">
        <v>52.228581681014809</v>
      </c>
      <c r="BC28" s="120">
        <v>51.364276402506079</v>
      </c>
      <c r="BD28" s="120">
        <v>46.660033844185484</v>
      </c>
      <c r="BE28" s="120">
        <v>42.783021031858837</v>
      </c>
      <c r="BF28" s="120">
        <v>36.142932861380956</v>
      </c>
      <c r="BG28" s="120">
        <v>33.471158554477547</v>
      </c>
      <c r="BH28" s="120">
        <v>36.18671086565319</v>
      </c>
      <c r="BI28" s="120">
        <v>37.275574670346941</v>
      </c>
      <c r="BJ28" s="120">
        <v>36.481277897858149</v>
      </c>
      <c r="BK28" s="120">
        <v>32.674454541810171</v>
      </c>
      <c r="BL28" s="120">
        <v>38.322227422046502</v>
      </c>
      <c r="BM28" s="120">
        <v>48.264645067645603</v>
      </c>
      <c r="BN28" s="120">
        <v>43.944009321703682</v>
      </c>
      <c r="BO28" s="123"/>
    </row>
    <row r="29" spans="1:67">
      <c r="B29" s="4" t="s">
        <v>46</v>
      </c>
      <c r="C29" s="122"/>
      <c r="D29" s="122"/>
      <c r="E29" s="122"/>
      <c r="F29" s="122"/>
      <c r="G29" s="122"/>
      <c r="H29" s="122"/>
      <c r="I29" s="122"/>
      <c r="J29" s="122"/>
      <c r="K29" s="122"/>
      <c r="L29" s="122"/>
      <c r="M29" s="122"/>
      <c r="N29" s="122"/>
      <c r="O29" s="122"/>
      <c r="P29" s="122"/>
      <c r="Q29" s="122"/>
      <c r="R29" s="122"/>
      <c r="S29" s="122"/>
      <c r="T29" s="122"/>
      <c r="U29" s="122"/>
      <c r="V29" s="122"/>
      <c r="W29" s="122"/>
      <c r="X29" s="122"/>
      <c r="Y29" s="122"/>
      <c r="Z29" s="122"/>
      <c r="AA29" s="122"/>
      <c r="AB29" s="122"/>
      <c r="AC29" s="122"/>
      <c r="AD29" s="122"/>
      <c r="AE29" s="122"/>
      <c r="AF29" s="122"/>
      <c r="AG29" s="122"/>
      <c r="AH29" s="120">
        <v>2.407</v>
      </c>
      <c r="AI29" s="120">
        <v>2.5129999999999999</v>
      </c>
      <c r="AJ29" s="120">
        <v>2.8780000000000001</v>
      </c>
      <c r="AK29" s="120">
        <v>2.476</v>
      </c>
      <c r="AL29" s="120">
        <v>2.0630000000000002</v>
      </c>
      <c r="AM29" s="120">
        <v>2.048</v>
      </c>
      <c r="AN29" s="120">
        <v>2.6080000000000001</v>
      </c>
      <c r="AO29" s="120">
        <v>6.9630000000000001</v>
      </c>
      <c r="AP29" s="120">
        <v>6.3419999999999996</v>
      </c>
      <c r="AQ29" s="120">
        <v>4.0629999999999997</v>
      </c>
      <c r="AR29" s="120">
        <v>3.6989999999999998</v>
      </c>
      <c r="AS29" s="120">
        <v>3.0459999999999998</v>
      </c>
      <c r="AT29" s="120">
        <v>3.3479999999999999</v>
      </c>
      <c r="AU29" s="120">
        <v>3.42</v>
      </c>
      <c r="AV29" s="120">
        <v>3.4820000000000002</v>
      </c>
      <c r="AW29" s="120">
        <v>3.254</v>
      </c>
      <c r="AX29" s="120">
        <v>3.0129999999999999</v>
      </c>
      <c r="AY29" s="120">
        <v>2.9590000000000001</v>
      </c>
      <c r="AZ29" s="120">
        <v>3.363</v>
      </c>
      <c r="BA29" s="120">
        <v>3.3239999999999998</v>
      </c>
      <c r="BB29" s="120">
        <v>2.992</v>
      </c>
      <c r="BC29" s="120">
        <v>2.8119999999999998</v>
      </c>
      <c r="BD29" s="120">
        <v>2.7469999999999999</v>
      </c>
      <c r="BE29" s="120">
        <v>3.0819999999999999</v>
      </c>
      <c r="BF29" s="120">
        <v>3.5459999999999998</v>
      </c>
      <c r="BG29" s="120">
        <v>3.65</v>
      </c>
      <c r="BH29" s="120">
        <v>3.653</v>
      </c>
      <c r="BI29" s="120">
        <v>3.8239999999999998</v>
      </c>
      <c r="BJ29" s="120">
        <v>3.746</v>
      </c>
      <c r="BK29" s="120">
        <v>3.931</v>
      </c>
      <c r="BL29" s="120">
        <v>3.6389999999999998</v>
      </c>
      <c r="BM29" s="120">
        <v>2.8570000000000002</v>
      </c>
      <c r="BN29" s="120">
        <v>2.6749999999999998</v>
      </c>
      <c r="BO29" s="121">
        <v>2.6040000000000001</v>
      </c>
    </row>
    <row r="30" spans="1:67">
      <c r="A30" s="1"/>
      <c r="B30" s="7" t="s">
        <v>47</v>
      </c>
      <c r="C30" s="124">
        <v>7.9655657548259198</v>
      </c>
      <c r="D30" s="124">
        <v>8.1956528825409194</v>
      </c>
      <c r="E30" s="124">
        <v>6.6183109749239097</v>
      </c>
      <c r="F30" s="124">
        <v>20.6916473186476</v>
      </c>
      <c r="G30" s="124">
        <v>29.462831450079801</v>
      </c>
      <c r="H30" s="124">
        <v>13.548194710465401</v>
      </c>
      <c r="I30" s="124">
        <v>11.261384877580999</v>
      </c>
      <c r="J30" s="124">
        <v>10.8824400571964</v>
      </c>
      <c r="K30" s="124">
        <v>10.771821396935101</v>
      </c>
      <c r="L30" s="124">
        <v>12.3895647111187</v>
      </c>
      <c r="M30" s="124">
        <v>15.9503423646945</v>
      </c>
      <c r="N30" s="124">
        <v>13.5117023313079</v>
      </c>
      <c r="O30" s="124">
        <v>11.688986680684501</v>
      </c>
      <c r="P30" s="124">
        <v>3.2210290469232601</v>
      </c>
      <c r="Q30" s="124">
        <v>24.304199540239701</v>
      </c>
      <c r="R30" s="124">
        <v>25.2492564056733</v>
      </c>
      <c r="S30" s="124">
        <v>15.3273205213194</v>
      </c>
      <c r="T30" s="124">
        <v>10.0966653313387</v>
      </c>
      <c r="U30" s="124">
        <v>14.4602850195024</v>
      </c>
      <c r="V30" s="124">
        <v>18.323496342179102</v>
      </c>
      <c r="W30" s="124">
        <v>28.6976086362017</v>
      </c>
      <c r="X30" s="124">
        <v>21.351640253999999</v>
      </c>
      <c r="Y30" s="124">
        <v>7.1908466400686999</v>
      </c>
      <c r="Z30" s="124">
        <v>3.4206141949892102</v>
      </c>
      <c r="AA30" s="124">
        <v>2.2739564000186299</v>
      </c>
      <c r="AB30" s="124">
        <v>2.4591087921527399</v>
      </c>
      <c r="AC30" s="124">
        <v>2.7499809606335699</v>
      </c>
      <c r="AD30" s="124">
        <v>3.04966077087423</v>
      </c>
      <c r="AE30" s="124">
        <v>7.1460977372160501</v>
      </c>
      <c r="AF30" s="124">
        <v>5.7001654456140098</v>
      </c>
      <c r="AG30" s="124">
        <v>8.5732722572867708</v>
      </c>
      <c r="AH30" s="125">
        <v>9.3327904816149498</v>
      </c>
      <c r="AI30" s="125">
        <v>6.2132814635518399</v>
      </c>
      <c r="AJ30" s="125">
        <v>4.80099660215354</v>
      </c>
      <c r="AK30" s="125">
        <v>6.2658595003967896</v>
      </c>
      <c r="AL30" s="125">
        <v>4.4807410855724799</v>
      </c>
      <c r="AM30" s="125">
        <v>4.9245435429275402</v>
      </c>
      <c r="AN30" s="125">
        <v>4.4389318457462998</v>
      </c>
      <c r="AO30" s="125">
        <v>7.5135800807930702</v>
      </c>
      <c r="AP30" s="125">
        <v>0.81295725444637001</v>
      </c>
      <c r="AQ30" s="125">
        <v>2.2591658008015698</v>
      </c>
      <c r="AR30" s="125">
        <v>4.0665758789779201</v>
      </c>
      <c r="AS30" s="125">
        <v>2.7622621029659902</v>
      </c>
      <c r="AT30" s="125">
        <v>3.51487451459939</v>
      </c>
      <c r="AU30" s="125">
        <v>3.5906629888257799</v>
      </c>
      <c r="AV30" s="125">
        <v>2.75379162735039</v>
      </c>
      <c r="AW30" s="125">
        <v>2.24234028518921</v>
      </c>
      <c r="AX30" s="125">
        <v>2.5345738213793201</v>
      </c>
      <c r="AY30" s="125">
        <v>4.6738965553340801</v>
      </c>
      <c r="AZ30" s="125">
        <v>2.7564965449393002</v>
      </c>
      <c r="BA30" s="125">
        <v>2.93928652655686</v>
      </c>
      <c r="BB30" s="125">
        <v>4.0259650043609003</v>
      </c>
      <c r="BC30" s="125">
        <v>2.1870710443331398</v>
      </c>
      <c r="BD30" s="125">
        <v>1.3013475454741299</v>
      </c>
      <c r="BE30" s="125">
        <v>1.2747744640132199</v>
      </c>
      <c r="BF30" s="125">
        <v>0.70633177245574996</v>
      </c>
      <c r="BG30" s="125">
        <v>0.971685739912168</v>
      </c>
      <c r="BH30" s="125">
        <v>1.9443323078636601</v>
      </c>
      <c r="BI30" s="125">
        <v>1.4758393500264499</v>
      </c>
      <c r="BJ30" s="125">
        <v>0.38300030360813597</v>
      </c>
      <c r="BK30" s="125">
        <v>0.53728802341173698</v>
      </c>
      <c r="BL30" s="125">
        <v>2.4983333333333899</v>
      </c>
      <c r="BM30" s="125">
        <v>5.0895136506284198</v>
      </c>
      <c r="BN30" s="125">
        <v>3.5974562502901</v>
      </c>
      <c r="BO30" s="121">
        <v>2.3217432864354199</v>
      </c>
    </row>
    <row r="31" spans="1:67">
      <c r="A31" s="3" t="s">
        <v>11</v>
      </c>
      <c r="B31" s="4" t="s">
        <v>3</v>
      </c>
      <c r="C31" s="122"/>
      <c r="D31" s="122"/>
      <c r="E31" s="122"/>
      <c r="F31" s="122"/>
      <c r="G31" s="122"/>
      <c r="H31" s="122"/>
      <c r="I31" s="122"/>
      <c r="J31" s="122"/>
      <c r="K31" s="122"/>
      <c r="L31" s="122"/>
      <c r="M31" s="122"/>
      <c r="N31" s="122"/>
      <c r="O31" s="122"/>
      <c r="P31" s="122"/>
      <c r="Q31" s="122"/>
      <c r="R31" s="122"/>
      <c r="S31" s="122"/>
      <c r="T31" s="122"/>
      <c r="U31" s="122"/>
      <c r="V31" s="122"/>
      <c r="W31" s="122"/>
      <c r="X31" s="122"/>
      <c r="Y31" s="122"/>
      <c r="Z31" s="122"/>
      <c r="AA31" s="122"/>
      <c r="AB31" s="122"/>
      <c r="AC31" s="119">
        <v>6.6225392988313851</v>
      </c>
      <c r="AD31" s="119">
        <v>6.0014283728222999</v>
      </c>
      <c r="AE31" s="119">
        <v>3.9452982256809337</v>
      </c>
      <c r="AF31" s="119">
        <v>23.849357790196844</v>
      </c>
      <c r="AG31" s="119">
        <v>36.038613639137168</v>
      </c>
      <c r="AH31" s="120">
        <v>30.915039338000444</v>
      </c>
      <c r="AI31" s="120">
        <v>34.745595818405526</v>
      </c>
      <c r="AJ31" s="120">
        <v>28.722782666942347</v>
      </c>
      <c r="AK31" s="120">
        <v>34.013128644403864</v>
      </c>
      <c r="AL31" s="120">
        <v>32.812855333956627</v>
      </c>
      <c r="AM31" s="120">
        <v>40.868487424458529</v>
      </c>
      <c r="AN31" s="120">
        <v>43.102706753012377</v>
      </c>
      <c r="AO31" s="120">
        <v>44.848303376295299</v>
      </c>
      <c r="AP31" s="120">
        <v>49.96624597316611</v>
      </c>
      <c r="AQ31" s="120">
        <v>53.921497008916639</v>
      </c>
      <c r="AR31" s="120">
        <v>55.061933282082705</v>
      </c>
      <c r="AS31" s="120">
        <v>54.739133688092842</v>
      </c>
      <c r="AT31" s="120">
        <v>56.673257914753286</v>
      </c>
      <c r="AU31" s="120">
        <v>59.731041414385707</v>
      </c>
      <c r="AV31" s="120">
        <v>63.699492670139314</v>
      </c>
      <c r="AW31" s="120">
        <v>67.716814326018664</v>
      </c>
      <c r="AX31" s="120">
        <v>70.517874602271959</v>
      </c>
      <c r="AY31" s="120">
        <v>70.336691940271535</v>
      </c>
      <c r="AZ31" s="120">
        <v>62.608884066486503</v>
      </c>
      <c r="BA31" s="120">
        <v>54.175845966851455</v>
      </c>
      <c r="BB31" s="120">
        <v>61.180155721195639</v>
      </c>
      <c r="BC31" s="120">
        <v>63.473924903863256</v>
      </c>
      <c r="BD31" s="120">
        <v>66.800445991910948</v>
      </c>
      <c r="BE31" s="120">
        <v>69.598575950205372</v>
      </c>
      <c r="BF31" s="120">
        <v>72.922851836949505</v>
      </c>
      <c r="BG31" s="120">
        <v>74.107286255618291</v>
      </c>
      <c r="BH31" s="120">
        <v>81.762521835565494</v>
      </c>
      <c r="BI31" s="120">
        <v>84.423456083336461</v>
      </c>
      <c r="BJ31" s="120">
        <v>85.15758740734114</v>
      </c>
      <c r="BK31" s="120">
        <v>84.381598008956985</v>
      </c>
      <c r="BL31" s="120">
        <v>93.850207127557468</v>
      </c>
      <c r="BM31" s="120">
        <v>93.420129043510968</v>
      </c>
      <c r="BN31" s="120">
        <v>86.467419237129704</v>
      </c>
      <c r="BO31" s="123"/>
    </row>
    <row r="32" spans="1:67">
      <c r="B32" s="4" t="s">
        <v>4</v>
      </c>
      <c r="C32" s="122"/>
      <c r="D32" s="122"/>
      <c r="E32" s="122"/>
      <c r="F32" s="122"/>
      <c r="G32" s="122"/>
      <c r="H32" s="122"/>
      <c r="I32" s="122"/>
      <c r="J32" s="122"/>
      <c r="K32" s="122"/>
      <c r="L32" s="122"/>
      <c r="M32" s="122"/>
      <c r="N32" s="122"/>
      <c r="O32" s="122"/>
      <c r="P32" s="122"/>
      <c r="Q32" s="122"/>
      <c r="R32" s="122"/>
      <c r="S32" s="122"/>
      <c r="T32" s="122"/>
      <c r="U32" s="122"/>
      <c r="V32" s="122"/>
      <c r="W32" s="122"/>
      <c r="X32" s="122"/>
      <c r="Y32" s="122"/>
      <c r="Z32" s="122"/>
      <c r="AA32" s="122"/>
      <c r="AB32" s="122"/>
      <c r="AC32" s="119">
        <v>16.596155025041735</v>
      </c>
      <c r="AD32" s="119">
        <v>14.797178202090592</v>
      </c>
      <c r="AE32" s="119">
        <v>15.005188861219196</v>
      </c>
      <c r="AF32" s="119">
        <v>34.055104364788377</v>
      </c>
      <c r="AG32" s="119">
        <v>45.277084301751877</v>
      </c>
      <c r="AH32" s="120">
        <v>36.031913056174794</v>
      </c>
      <c r="AI32" s="120">
        <v>38.831289308073679</v>
      </c>
      <c r="AJ32" s="120">
        <v>37.489484484307489</v>
      </c>
      <c r="AK32" s="120">
        <v>43.460069298284921</v>
      </c>
      <c r="AL32" s="120">
        <v>41.908410586652224</v>
      </c>
      <c r="AM32" s="120">
        <v>51.837259377435338</v>
      </c>
      <c r="AN32" s="120">
        <v>51.241777315439244</v>
      </c>
      <c r="AO32" s="120">
        <v>52.152945135547633</v>
      </c>
      <c r="AP32" s="120">
        <v>52.821160630791461</v>
      </c>
      <c r="AQ32" s="120">
        <v>57.495597410595813</v>
      </c>
      <c r="AR32" s="120">
        <v>56.894004716442105</v>
      </c>
      <c r="AS32" s="120">
        <v>61.957734964405844</v>
      </c>
      <c r="AT32" s="120">
        <v>67.65469652437146</v>
      </c>
      <c r="AU32" s="120">
        <v>73.285456454361551</v>
      </c>
      <c r="AV32" s="120">
        <v>67.015353374886899</v>
      </c>
      <c r="AW32" s="120">
        <v>70.59680754357953</v>
      </c>
      <c r="AX32" s="120">
        <v>84.08750939428235</v>
      </c>
      <c r="AY32" s="120">
        <v>83.98078768748681</v>
      </c>
      <c r="AZ32" s="120">
        <v>72.097433655271075</v>
      </c>
      <c r="BA32" s="120">
        <v>59.801841572862728</v>
      </c>
      <c r="BB32" s="120">
        <v>64.080422219633675</v>
      </c>
      <c r="BC32" s="120">
        <v>59.750191842121446</v>
      </c>
      <c r="BD32" s="120">
        <v>64.045908874831582</v>
      </c>
      <c r="BE32" s="120">
        <v>65.811945504155645</v>
      </c>
      <c r="BF32" s="120">
        <v>71.991376358287724</v>
      </c>
      <c r="BG32" s="120">
        <v>71.302221717499776</v>
      </c>
      <c r="BH32" s="120">
        <v>79.217561823304109</v>
      </c>
      <c r="BI32" s="120">
        <v>80.240480692556488</v>
      </c>
      <c r="BJ32" s="120">
        <v>79.546627624066844</v>
      </c>
      <c r="BK32" s="120">
        <v>78.864264805977925</v>
      </c>
      <c r="BL32" s="120">
        <v>92.825625709256826</v>
      </c>
      <c r="BM32" s="120">
        <v>89.733490104324858</v>
      </c>
      <c r="BN32" s="120">
        <v>78.350652032764202</v>
      </c>
      <c r="BO32" s="123"/>
    </row>
    <row r="33" spans="1:67">
      <c r="B33" s="4" t="s">
        <v>46</v>
      </c>
      <c r="C33" s="122"/>
      <c r="D33" s="122"/>
      <c r="E33" s="122"/>
      <c r="F33" s="122"/>
      <c r="G33" s="122"/>
      <c r="H33" s="122"/>
      <c r="I33" s="122"/>
      <c r="J33" s="122"/>
      <c r="K33" s="122"/>
      <c r="L33" s="122"/>
      <c r="M33" s="122"/>
      <c r="N33" s="122"/>
      <c r="O33" s="122"/>
      <c r="P33" s="122"/>
      <c r="Q33" s="122"/>
      <c r="R33" s="122"/>
      <c r="S33" s="122"/>
      <c r="T33" s="122"/>
      <c r="U33" s="122"/>
      <c r="V33" s="122"/>
      <c r="W33" s="122"/>
      <c r="X33" s="122"/>
      <c r="Y33" s="122"/>
      <c r="Z33" s="122"/>
      <c r="AA33" s="122"/>
      <c r="AB33" s="122"/>
      <c r="AC33" s="122"/>
      <c r="AD33" s="122"/>
      <c r="AE33" s="122"/>
      <c r="AF33" s="122"/>
      <c r="AG33" s="122"/>
      <c r="AH33" s="119">
        <v>2.1419999999999999</v>
      </c>
      <c r="AI33" s="119">
        <v>2.11</v>
      </c>
      <c r="AJ33" s="119">
        <v>2.0379999999999998</v>
      </c>
      <c r="AK33" s="119">
        <v>1.972</v>
      </c>
      <c r="AL33" s="119">
        <v>1.9550000000000001</v>
      </c>
      <c r="AM33" s="120">
        <v>1.93</v>
      </c>
      <c r="AN33" s="120">
        <v>2.87</v>
      </c>
      <c r="AO33" s="120">
        <v>2.29</v>
      </c>
      <c r="AP33" s="120">
        <v>2.33</v>
      </c>
      <c r="AQ33" s="120">
        <v>2.2599999999999998</v>
      </c>
      <c r="AR33" s="120">
        <v>2.76</v>
      </c>
      <c r="AS33" s="120">
        <v>2.12</v>
      </c>
      <c r="AT33" s="120">
        <v>2.25</v>
      </c>
      <c r="AU33" s="120">
        <v>2.14</v>
      </c>
      <c r="AV33" s="120">
        <v>2.0779999999999998</v>
      </c>
      <c r="AW33" s="120">
        <v>2.0459999999999998</v>
      </c>
      <c r="AX33" s="120">
        <v>2.0259999999999998</v>
      </c>
      <c r="AY33" s="120">
        <v>1.889</v>
      </c>
      <c r="AZ33" s="120">
        <v>1.7370000000000001</v>
      </c>
      <c r="BA33" s="120">
        <v>1.1140000000000001</v>
      </c>
      <c r="BB33" s="120">
        <v>0.999</v>
      </c>
      <c r="BC33" s="120">
        <v>1.0269999999999999</v>
      </c>
      <c r="BD33" s="120">
        <v>1.3160000000000001</v>
      </c>
      <c r="BE33" s="120">
        <v>1.256</v>
      </c>
      <c r="BF33" s="120">
        <v>1.8480000000000001</v>
      </c>
      <c r="BG33" s="120">
        <v>1.8480000000000001</v>
      </c>
      <c r="BH33" s="120">
        <v>1.8740000000000001</v>
      </c>
      <c r="BI33" s="120">
        <v>1.161</v>
      </c>
      <c r="BJ33" s="120">
        <v>1.681</v>
      </c>
      <c r="BK33" s="120">
        <v>2.1030000000000002</v>
      </c>
      <c r="BL33" s="120">
        <v>2.3849999999999998</v>
      </c>
      <c r="BM33" s="120">
        <v>1.5229999999999999</v>
      </c>
      <c r="BN33" s="120">
        <v>1.645</v>
      </c>
      <c r="BO33" s="121">
        <v>1.431</v>
      </c>
    </row>
    <row r="34" spans="1:67">
      <c r="A34" s="1"/>
      <c r="B34" s="7" t="s">
        <v>47</v>
      </c>
      <c r="C34" s="126"/>
      <c r="D34" s="126"/>
      <c r="E34" s="126"/>
      <c r="F34" s="126"/>
      <c r="G34" s="126"/>
      <c r="H34" s="126"/>
      <c r="I34" s="126"/>
      <c r="J34" s="126"/>
      <c r="K34" s="126"/>
      <c r="L34" s="126"/>
      <c r="M34" s="126"/>
      <c r="N34" s="126"/>
      <c r="O34" s="126"/>
      <c r="P34" s="126"/>
      <c r="Q34" s="126"/>
      <c r="R34" s="126"/>
      <c r="S34" s="126"/>
      <c r="T34" s="126"/>
      <c r="U34" s="126"/>
      <c r="V34" s="126"/>
      <c r="W34" s="126"/>
      <c r="X34" s="126"/>
      <c r="Y34" s="126"/>
      <c r="Z34" s="126"/>
      <c r="AA34" s="126"/>
      <c r="AB34" s="126"/>
      <c r="AC34" s="126"/>
      <c r="AD34" s="126"/>
      <c r="AE34" s="126"/>
      <c r="AF34" s="126"/>
      <c r="AG34" s="126"/>
      <c r="AH34" s="126"/>
      <c r="AI34" s="126"/>
      <c r="AJ34" s="126"/>
      <c r="AK34" s="126"/>
      <c r="AL34" s="126"/>
      <c r="AM34" s="125">
        <v>5.6749999999999403</v>
      </c>
      <c r="AN34" s="125">
        <v>3.2095260626137398</v>
      </c>
      <c r="AO34" s="125">
        <v>7.2661980440095997</v>
      </c>
      <c r="AP34" s="125">
        <v>4.1171023577173598</v>
      </c>
      <c r="AQ34" s="125">
        <v>-1.71033727851109</v>
      </c>
      <c r="AR34" s="125">
        <v>-0.43154451172817998</v>
      </c>
      <c r="AS34" s="125">
        <v>3.83082838168467</v>
      </c>
      <c r="AT34" s="125">
        <v>3.23464817293927</v>
      </c>
      <c r="AU34" s="125">
        <v>7.7549474870960102</v>
      </c>
      <c r="AV34" s="125">
        <v>8.2845724312867706</v>
      </c>
      <c r="AW34" s="125">
        <v>7.41801715108463</v>
      </c>
      <c r="AX34" s="125">
        <v>8.3444488977383706</v>
      </c>
      <c r="AY34" s="125">
        <v>23.1154483474477</v>
      </c>
      <c r="AZ34" s="125">
        <v>6.71698269988629</v>
      </c>
      <c r="BA34" s="125">
        <v>9.2074664877841297</v>
      </c>
      <c r="BB34" s="125">
        <v>18.677732277070699</v>
      </c>
      <c r="BC34" s="125">
        <v>9.0947033955719192</v>
      </c>
      <c r="BD34" s="125">
        <v>6.5926747589919197</v>
      </c>
      <c r="BE34" s="125">
        <v>4.0845544663761704</v>
      </c>
      <c r="BF34" s="125">
        <v>0.631200905175754</v>
      </c>
      <c r="BG34" s="125">
        <v>2.6682481696908198</v>
      </c>
      <c r="BH34" s="125">
        <v>3.5202568881161702</v>
      </c>
      <c r="BI34" s="125">
        <v>3.53962805942641</v>
      </c>
      <c r="BJ34" s="125">
        <v>2.7958236745225</v>
      </c>
      <c r="BK34" s="125">
        <v>3.2209343665251402</v>
      </c>
      <c r="BL34" s="125">
        <v>1.8347155481044399</v>
      </c>
      <c r="BM34" s="125">
        <v>3.1565074996312901</v>
      </c>
      <c r="BN34" s="125">
        <v>3.2528928266766202</v>
      </c>
      <c r="BO34" s="121">
        <v>3.62109273885843</v>
      </c>
    </row>
    <row r="35" spans="1:67">
      <c r="A35" s="3" t="s">
        <v>12</v>
      </c>
      <c r="B35" s="4" t="s">
        <v>3</v>
      </c>
      <c r="C35" s="122"/>
      <c r="D35" s="122"/>
      <c r="E35" s="122"/>
      <c r="F35" s="122"/>
      <c r="G35" s="122"/>
      <c r="H35" s="122"/>
      <c r="I35" s="122"/>
      <c r="J35" s="122"/>
      <c r="K35" s="122"/>
      <c r="L35" s="122"/>
      <c r="M35" s="119">
        <v>22.027856237718314</v>
      </c>
      <c r="N35" s="119">
        <v>22.111429510351627</v>
      </c>
      <c r="O35" s="119">
        <v>20.843265641990183</v>
      </c>
      <c r="P35" s="119">
        <v>22.674618927653512</v>
      </c>
      <c r="Q35" s="119">
        <v>27.092116394316363</v>
      </c>
      <c r="R35" s="119">
        <v>25.658809963943845</v>
      </c>
      <c r="S35" s="119">
        <v>28.295364233294706</v>
      </c>
      <c r="T35" s="119">
        <v>29.971345878421392</v>
      </c>
      <c r="U35" s="119">
        <v>28.296763015020293</v>
      </c>
      <c r="V35" s="119">
        <v>27.656818126998985</v>
      </c>
      <c r="W35" s="119">
        <v>26.886802387524323</v>
      </c>
      <c r="X35" s="119">
        <v>26.244420536261774</v>
      </c>
      <c r="Y35" s="119">
        <v>25.893670246324803</v>
      </c>
      <c r="Z35" s="119">
        <v>26.024390636561495</v>
      </c>
      <c r="AA35" s="119">
        <v>27.820861171479134</v>
      </c>
      <c r="AB35" s="119">
        <v>28.17700884718991</v>
      </c>
      <c r="AC35" s="119">
        <v>25.096058355735039</v>
      </c>
      <c r="AD35" s="119">
        <v>24.60977224129045</v>
      </c>
      <c r="AE35" s="119">
        <v>22.16280578731255</v>
      </c>
      <c r="AF35" s="119">
        <v>22.633175290196853</v>
      </c>
      <c r="AG35" s="119">
        <v>23.321564856669045</v>
      </c>
      <c r="AH35" s="120">
        <v>22.587736856563463</v>
      </c>
      <c r="AI35" s="120">
        <v>22.915597095972746</v>
      </c>
      <c r="AJ35" s="120">
        <v>24.823340831442323</v>
      </c>
      <c r="AK35" s="120">
        <v>26.068851550464579</v>
      </c>
      <c r="AL35" s="120">
        <v>25.780629105060193</v>
      </c>
      <c r="AM35" s="120">
        <v>26.361191789387391</v>
      </c>
      <c r="AN35" s="120">
        <v>25.76900687535727</v>
      </c>
      <c r="AO35" s="120">
        <v>24.42962000038057</v>
      </c>
      <c r="AP35" s="120">
        <v>24.305342545588392</v>
      </c>
      <c r="AQ35" s="120">
        <v>25.65982164919982</v>
      </c>
      <c r="AR35" s="120">
        <v>25.547165037277459</v>
      </c>
      <c r="AS35" s="120">
        <v>24.510361000437285</v>
      </c>
      <c r="AT35" s="120">
        <v>24.056490566097715</v>
      </c>
      <c r="AU35" s="120">
        <v>24.072288919786761</v>
      </c>
      <c r="AV35" s="120">
        <v>25.271510471142427</v>
      </c>
      <c r="AW35" s="120">
        <v>27.512129442310592</v>
      </c>
      <c r="AX35" s="120">
        <v>25.511560321292315</v>
      </c>
      <c r="AY35" s="120">
        <v>27.505961345381525</v>
      </c>
      <c r="AZ35" s="120">
        <v>26.881551031054968</v>
      </c>
      <c r="BA35" s="120">
        <v>28.856742674938285</v>
      </c>
      <c r="BB35" s="120">
        <v>31.387594055058678</v>
      </c>
      <c r="BC35" s="120">
        <v>30.6185684317404</v>
      </c>
      <c r="BD35" s="120">
        <v>30.28942477128443</v>
      </c>
      <c r="BE35" s="120">
        <v>28.576214729124182</v>
      </c>
      <c r="BF35" s="120">
        <v>27.845950666101039</v>
      </c>
      <c r="BG35" s="120">
        <v>28.902339523358833</v>
      </c>
      <c r="BH35" s="120">
        <v>30.890351033046144</v>
      </c>
      <c r="BI35" s="120">
        <v>31.580111359733571</v>
      </c>
      <c r="BJ35" s="120">
        <v>31.634780280949954</v>
      </c>
      <c r="BK35" s="120">
        <v>29.66979575808919</v>
      </c>
      <c r="BL35" s="120">
        <v>29.180274787783322</v>
      </c>
      <c r="BM35" s="120">
        <v>33.567194473778791</v>
      </c>
      <c r="BN35" s="120">
        <v>31.979411216866428</v>
      </c>
      <c r="BO35" s="121">
        <v>30.637719051178379</v>
      </c>
    </row>
    <row r="36" spans="1:67">
      <c r="B36" s="4" t="s">
        <v>4</v>
      </c>
      <c r="C36" s="122"/>
      <c r="D36" s="122"/>
      <c r="E36" s="122"/>
      <c r="F36" s="122"/>
      <c r="G36" s="122"/>
      <c r="H36" s="122"/>
      <c r="I36" s="122"/>
      <c r="J36" s="122"/>
      <c r="K36" s="122"/>
      <c r="L36" s="122"/>
      <c r="M36" s="119">
        <v>20.961411177021542</v>
      </c>
      <c r="N36" s="119">
        <v>20.523877752218205</v>
      </c>
      <c r="O36" s="119">
        <v>20.726165985834779</v>
      </c>
      <c r="P36" s="119">
        <v>24.755803241977759</v>
      </c>
      <c r="Q36" s="119">
        <v>31.628383021670842</v>
      </c>
      <c r="R36" s="119">
        <v>27.081273679008731</v>
      </c>
      <c r="S36" s="119">
        <v>29.105428350714561</v>
      </c>
      <c r="T36" s="119">
        <v>28.939307500530447</v>
      </c>
      <c r="U36" s="119">
        <v>26.669085937098586</v>
      </c>
      <c r="V36" s="119">
        <v>26.984825826245938</v>
      </c>
      <c r="W36" s="119">
        <v>24.405537707170389</v>
      </c>
      <c r="X36" s="119">
        <v>23.129343144359588</v>
      </c>
      <c r="Y36" s="119">
        <v>23.702525660246803</v>
      </c>
      <c r="Z36" s="119">
        <v>24.771153030485973</v>
      </c>
      <c r="AA36" s="119">
        <v>27.568050647651219</v>
      </c>
      <c r="AB36" s="119">
        <v>26.754655069757195</v>
      </c>
      <c r="AC36" s="119">
        <v>25.414084682106985</v>
      </c>
      <c r="AD36" s="119">
        <v>25.267644227078833</v>
      </c>
      <c r="AE36" s="119">
        <v>25.180936578387286</v>
      </c>
      <c r="AF36" s="119">
        <v>26.026796608015363</v>
      </c>
      <c r="AG36" s="119">
        <v>24.911376331266759</v>
      </c>
      <c r="AH36" s="120">
        <v>22.712070077750994</v>
      </c>
      <c r="AI36" s="120">
        <v>23.37414895041433</v>
      </c>
      <c r="AJ36" s="120">
        <v>24.907452517471253</v>
      </c>
      <c r="AK36" s="120">
        <v>25.799105470238704</v>
      </c>
      <c r="AL36" s="120">
        <v>25.215150643603003</v>
      </c>
      <c r="AM36" s="120">
        <v>25.88261667946896</v>
      </c>
      <c r="AN36" s="120">
        <v>25.204398970007503</v>
      </c>
      <c r="AO36" s="120">
        <v>24.906835346183932</v>
      </c>
      <c r="AP36" s="120">
        <v>25.326096958728893</v>
      </c>
      <c r="AQ36" s="120">
        <v>26.861908949518149</v>
      </c>
      <c r="AR36" s="120">
        <v>27.274448472474884</v>
      </c>
      <c r="AS36" s="120">
        <v>26.869273206601431</v>
      </c>
      <c r="AT36" s="120">
        <v>26.183032485810603</v>
      </c>
      <c r="AU36" s="120">
        <v>26.379422320712337</v>
      </c>
      <c r="AV36" s="120">
        <v>27.409206369405801</v>
      </c>
      <c r="AW36" s="120">
        <v>29.402298038501723</v>
      </c>
      <c r="AX36" s="120">
        <v>27.452793115793551</v>
      </c>
      <c r="AY36" s="120">
        <v>29.19264558232932</v>
      </c>
      <c r="AZ36" s="120">
        <v>28.122833002540027</v>
      </c>
      <c r="BA36" s="120">
        <v>30.416032297350476</v>
      </c>
      <c r="BB36" s="120">
        <v>32.177806915715841</v>
      </c>
      <c r="BC36" s="120">
        <v>31.607414301677935</v>
      </c>
      <c r="BD36" s="120">
        <v>31.709687143706411</v>
      </c>
      <c r="BE36" s="120">
        <v>30.51858939046901</v>
      </c>
      <c r="BF36" s="120">
        <v>29.357599020272367</v>
      </c>
      <c r="BG36" s="120">
        <v>30.798058891017227</v>
      </c>
      <c r="BH36" s="120">
        <v>32.231298998022552</v>
      </c>
      <c r="BI36" s="120">
        <v>32.962536890699454</v>
      </c>
      <c r="BJ36" s="120">
        <v>33.030353356273565</v>
      </c>
      <c r="BK36" s="120">
        <v>29.111341839213573</v>
      </c>
      <c r="BL36" s="120">
        <v>29.404261836002448</v>
      </c>
      <c r="BM36" s="120">
        <v>35.313335666007504</v>
      </c>
      <c r="BN36" s="120">
        <v>33.052927041127774</v>
      </c>
      <c r="BO36" s="121">
        <v>31.769782345705298</v>
      </c>
    </row>
    <row r="37" spans="1:67">
      <c r="B37" s="4" t="s">
        <v>5</v>
      </c>
      <c r="C37" s="122"/>
      <c r="D37" s="122"/>
      <c r="E37" s="122"/>
      <c r="F37" s="122"/>
      <c r="G37" s="122"/>
      <c r="H37" s="122"/>
      <c r="I37" s="122"/>
      <c r="J37" s="122"/>
      <c r="K37" s="122"/>
      <c r="L37" s="122"/>
      <c r="M37" s="122"/>
      <c r="N37" s="122"/>
      <c r="O37" s="122"/>
      <c r="P37" s="122"/>
      <c r="Q37" s="122"/>
      <c r="R37" s="122"/>
      <c r="S37" s="122"/>
      <c r="T37" s="122"/>
      <c r="U37" s="122"/>
      <c r="V37" s="122"/>
      <c r="W37" s="122"/>
      <c r="X37" s="122"/>
      <c r="Y37" s="122"/>
      <c r="Z37" s="122"/>
      <c r="AA37" s="122"/>
      <c r="AB37" s="122"/>
      <c r="AC37" s="122"/>
      <c r="AD37" s="122"/>
      <c r="AE37" s="122"/>
      <c r="AF37" s="122"/>
      <c r="AG37" s="119">
        <v>30.203370945290764</v>
      </c>
      <c r="AH37" s="120">
        <v>29.194896028495322</v>
      </c>
      <c r="AI37" s="120">
        <v>30.399750063228055</v>
      </c>
      <c r="AJ37" s="120">
        <v>35.313550006075729</v>
      </c>
      <c r="AK37" s="120">
        <v>40.480088459948796</v>
      </c>
      <c r="AL37" s="120">
        <v>88.537586063192251</v>
      </c>
      <c r="AM37" s="120">
        <v>87.536167860631892</v>
      </c>
      <c r="AN37" s="120">
        <v>88.697982494322986</v>
      </c>
      <c r="AO37" s="120">
        <v>90.486839772819465</v>
      </c>
      <c r="AP37" s="120">
        <v>87.587994417434771</v>
      </c>
      <c r="AQ37" s="120">
        <v>87.602112010698136</v>
      </c>
      <c r="AR37" s="120">
        <v>84.364930832755306</v>
      </c>
      <c r="AS37" s="120">
        <v>86.400562680926171</v>
      </c>
      <c r="AT37" s="120">
        <v>86.693516983567164</v>
      </c>
      <c r="AU37" s="120">
        <v>90.511833556750645</v>
      </c>
      <c r="AV37" s="120">
        <v>92.159207977986043</v>
      </c>
      <c r="AW37" s="120">
        <v>92.164808245439318</v>
      </c>
      <c r="AX37" s="120">
        <v>93.802492106559669</v>
      </c>
      <c r="AY37" s="120">
        <v>105.40681475903615</v>
      </c>
      <c r="AZ37" s="120">
        <v>123.72859797443442</v>
      </c>
      <c r="BA37" s="120">
        <v>131.08794052791546</v>
      </c>
      <c r="BB37" s="120">
        <v>143.75901454958827</v>
      </c>
      <c r="BC37" s="120">
        <v>147.05368162150648</v>
      </c>
      <c r="BD37" s="120">
        <v>141.64332777017123</v>
      </c>
      <c r="BE37" s="120">
        <v>150.59161971399945</v>
      </c>
      <c r="BF37" s="120">
        <v>147.94941274261643</v>
      </c>
      <c r="BG37" s="120">
        <v>156.60446515317742</v>
      </c>
      <c r="BH37" s="120">
        <v>161.26972526053046</v>
      </c>
      <c r="BI37" s="120">
        <v>158.1627874129305</v>
      </c>
      <c r="BJ37" s="120">
        <v>160.32191827732493</v>
      </c>
      <c r="BK37" s="120">
        <v>196.640576642773</v>
      </c>
      <c r="BL37" s="120">
        <v>186.79491555088825</v>
      </c>
      <c r="BM37" s="120">
        <v>141.24439722802313</v>
      </c>
      <c r="BN37" s="120">
        <v>138.64428285048788</v>
      </c>
      <c r="BO37" s="123"/>
    </row>
    <row r="38" spans="1:67">
      <c r="A38" s="3"/>
      <c r="B38" s="4" t="s">
        <v>46</v>
      </c>
      <c r="C38" s="122"/>
      <c r="D38" s="122"/>
      <c r="E38" s="122"/>
      <c r="F38" s="122"/>
      <c r="G38" s="122"/>
      <c r="H38" s="122"/>
      <c r="I38" s="122"/>
      <c r="J38" s="122"/>
      <c r="K38" s="122"/>
      <c r="L38" s="122"/>
      <c r="M38" s="122"/>
      <c r="N38" s="122"/>
      <c r="O38" s="122"/>
      <c r="P38" s="122"/>
      <c r="Q38" s="122"/>
      <c r="R38" s="122"/>
      <c r="S38" s="122"/>
      <c r="T38" s="122"/>
      <c r="U38" s="122"/>
      <c r="V38" s="122"/>
      <c r="W38" s="122"/>
      <c r="X38" s="122"/>
      <c r="Y38" s="122"/>
      <c r="Z38" s="122"/>
      <c r="AA38" s="122"/>
      <c r="AB38" s="122"/>
      <c r="AC38" s="122"/>
      <c r="AD38" s="122"/>
      <c r="AE38" s="122"/>
      <c r="AF38" s="122"/>
      <c r="AG38" s="122"/>
      <c r="AH38" s="120">
        <v>8.5500000000000007</v>
      </c>
      <c r="AI38" s="120">
        <v>9.7720000000000002</v>
      </c>
      <c r="AJ38" s="120">
        <v>10.346</v>
      </c>
      <c r="AK38" s="120">
        <v>9.6479999999999997</v>
      </c>
      <c r="AL38" s="120">
        <v>8.6940000000000008</v>
      </c>
      <c r="AM38" s="120">
        <v>8.1890000000000001</v>
      </c>
      <c r="AN38" s="120">
        <v>7.0720000000000001</v>
      </c>
      <c r="AO38" s="120">
        <v>6.1980000000000004</v>
      </c>
      <c r="AP38" s="120">
        <v>6.0419999999999998</v>
      </c>
      <c r="AQ38" s="120">
        <v>5.5579999999999998</v>
      </c>
      <c r="AR38" s="120">
        <v>4.6959999999999997</v>
      </c>
      <c r="AS38" s="120">
        <v>5.0369999999999999</v>
      </c>
      <c r="AT38" s="120">
        <v>4.8070000000000004</v>
      </c>
      <c r="AU38" s="120">
        <v>4.5940000000000003</v>
      </c>
      <c r="AV38" s="120">
        <v>4.835</v>
      </c>
      <c r="AW38" s="120">
        <v>5.4109999999999996</v>
      </c>
      <c r="AX38" s="120">
        <v>5.3419999999999996</v>
      </c>
      <c r="AY38" s="120">
        <v>5.7050000000000001</v>
      </c>
      <c r="AZ38" s="120">
        <v>7.6269999999999998</v>
      </c>
      <c r="BA38" s="120">
        <v>7.9240000000000004</v>
      </c>
      <c r="BB38" s="120">
        <v>8.1690000000000005</v>
      </c>
      <c r="BC38" s="120">
        <v>8.25</v>
      </c>
      <c r="BD38" s="120">
        <v>7.7039999999999997</v>
      </c>
      <c r="BE38" s="120">
        <v>6.3630000000000004</v>
      </c>
      <c r="BF38" s="120">
        <v>5.5170000000000003</v>
      </c>
      <c r="BG38" s="120">
        <v>4.867</v>
      </c>
      <c r="BH38" s="120">
        <v>4.452</v>
      </c>
      <c r="BI38" s="120">
        <v>4.12</v>
      </c>
      <c r="BJ38" s="120">
        <v>3.613</v>
      </c>
      <c r="BK38" s="120">
        <v>4.4720000000000004</v>
      </c>
      <c r="BL38" s="120">
        <v>4.8259999999999996</v>
      </c>
      <c r="BM38" s="120">
        <v>3.73</v>
      </c>
      <c r="BN38" s="120">
        <v>3.984</v>
      </c>
      <c r="BO38" s="121">
        <v>4.1109999999999998</v>
      </c>
    </row>
    <row r="39" spans="1:67">
      <c r="A39" s="1"/>
      <c r="B39" s="7" t="s">
        <v>47</v>
      </c>
      <c r="C39" s="124">
        <v>1.0035757039017199</v>
      </c>
      <c r="D39" s="124">
        <v>3.4474962304662</v>
      </c>
      <c r="E39" s="124">
        <v>4.1964988823855096</v>
      </c>
      <c r="F39" s="124">
        <v>2.0185435597622901</v>
      </c>
      <c r="G39" s="124">
        <v>3.2815869469721299</v>
      </c>
      <c r="H39" s="124">
        <v>4.7737745538691403</v>
      </c>
      <c r="I39" s="124">
        <v>3.9096177921188899</v>
      </c>
      <c r="J39" s="124">
        <v>2.4821156047480399</v>
      </c>
      <c r="K39" s="124">
        <v>4.6974279882724499</v>
      </c>
      <c r="L39" s="124">
        <v>5.44666363048887</v>
      </c>
      <c r="M39" s="124">
        <v>6.3665684172744097</v>
      </c>
      <c r="N39" s="124">
        <v>9.4448374233713306</v>
      </c>
      <c r="O39" s="124">
        <v>7.0710983947979704</v>
      </c>
      <c r="P39" s="124">
        <v>9.1960331665781201</v>
      </c>
      <c r="Q39" s="124">
        <v>16.044011188986101</v>
      </c>
      <c r="R39" s="124">
        <v>24.207287674329098</v>
      </c>
      <c r="S39" s="124">
        <v>16.5595225588084</v>
      </c>
      <c r="T39" s="124">
        <v>15.8402667458768</v>
      </c>
      <c r="U39" s="124">
        <v>8.2631410386076798</v>
      </c>
      <c r="V39" s="124">
        <v>13.4212799774012</v>
      </c>
      <c r="W39" s="124">
        <v>17.9659242656857</v>
      </c>
      <c r="X39" s="124">
        <v>11.876626514229599</v>
      </c>
      <c r="Y39" s="124">
        <v>8.5988638333218592</v>
      </c>
      <c r="Z39" s="124">
        <v>4.6093032726977903</v>
      </c>
      <c r="AA39" s="124">
        <v>4.9607109782192698</v>
      </c>
      <c r="AB39" s="124">
        <v>6.0713943401511896</v>
      </c>
      <c r="AC39" s="124">
        <v>3.4276094036931402</v>
      </c>
      <c r="AD39" s="124">
        <v>4.1489223205294499</v>
      </c>
      <c r="AE39" s="124">
        <v>4.1553517158310198</v>
      </c>
      <c r="AF39" s="124">
        <v>5.7602490918526197</v>
      </c>
      <c r="AG39" s="124">
        <v>8.0634609093883292</v>
      </c>
      <c r="AH39" s="125">
        <v>7.4617829574693397</v>
      </c>
      <c r="AI39" s="125">
        <v>4.5915492957746098</v>
      </c>
      <c r="AJ39" s="125">
        <v>2.5585779692970498</v>
      </c>
      <c r="AK39" s="125">
        <v>2.21901260504205</v>
      </c>
      <c r="AL39" s="125">
        <v>2.6974951830443201</v>
      </c>
      <c r="AM39" s="125">
        <v>2.85178236397749</v>
      </c>
      <c r="AN39" s="125">
        <v>2.2011431351088202</v>
      </c>
      <c r="AO39" s="125">
        <v>1.82056163731557</v>
      </c>
      <c r="AP39" s="125">
        <v>1.7529508005142</v>
      </c>
      <c r="AQ39" s="125">
        <v>1.18295624210408</v>
      </c>
      <c r="AR39" s="125">
        <v>1.5323496027241801</v>
      </c>
      <c r="AS39" s="125">
        <v>1.52040245947455</v>
      </c>
      <c r="AT39" s="125">
        <v>1.3765003854201301</v>
      </c>
      <c r="AU39" s="125">
        <v>1.3903975668042201</v>
      </c>
      <c r="AV39" s="125">
        <v>2.0891364902506999</v>
      </c>
      <c r="AW39" s="125">
        <v>2.4556616643928999</v>
      </c>
      <c r="AX39" s="125">
        <v>2.38656150773327</v>
      </c>
      <c r="AY39" s="125">
        <v>3.52140856342539</v>
      </c>
      <c r="AZ39" s="125">
        <v>1.9617317356010899</v>
      </c>
      <c r="BA39" s="125">
        <v>2.4926547246706501</v>
      </c>
      <c r="BB39" s="125">
        <v>3.8561124468282002</v>
      </c>
      <c r="BC39" s="125">
        <v>2.5732347965453002</v>
      </c>
      <c r="BD39" s="125">
        <v>2.2916666666665901</v>
      </c>
      <c r="BE39" s="125">
        <v>1.4511201629327899</v>
      </c>
      <c r="BF39" s="125">
        <v>0.36804684232536</v>
      </c>
      <c r="BG39" s="125">
        <v>1.0084173681141</v>
      </c>
      <c r="BH39" s="125">
        <v>2.55775577557747</v>
      </c>
      <c r="BI39" s="125">
        <v>2.29283990345938</v>
      </c>
      <c r="BJ39" s="125">
        <v>1.73810460086513</v>
      </c>
      <c r="BK39" s="125">
        <v>0.98948670377249104</v>
      </c>
      <c r="BL39" s="125">
        <v>2.51837109614213</v>
      </c>
      <c r="BM39" s="125">
        <v>7.9220488314790201</v>
      </c>
      <c r="BN39" s="125">
        <v>6.7939670679396302</v>
      </c>
      <c r="BO39" s="121">
        <v>3.2715729463591998</v>
      </c>
    </row>
    <row r="40" spans="1:67">
      <c r="B40" s="109"/>
      <c r="BO40" s="127"/>
    </row>
    <row r="41" spans="1:67">
      <c r="BO41" s="127"/>
    </row>
    <row r="42" spans="1:67">
      <c r="BO42" s="127"/>
    </row>
    <row r="43" spans="1:67">
      <c r="C43" s="117" t="s">
        <v>232</v>
      </c>
      <c r="BO43" s="127"/>
    </row>
    <row r="44" spans="1:67">
      <c r="C44" s="128"/>
      <c r="D44" s="129">
        <v>1</v>
      </c>
      <c r="BO44" s="127"/>
    </row>
    <row r="45" spans="1:67">
      <c r="C45" s="130"/>
      <c r="D45" s="129">
        <v>2</v>
      </c>
      <c r="BO45" s="127"/>
    </row>
    <row r="46" spans="1:67">
      <c r="C46" s="131"/>
      <c r="D46" s="129">
        <v>3</v>
      </c>
      <c r="BO46" s="127"/>
    </row>
    <row r="47" spans="1:67">
      <c r="D47" s="129"/>
      <c r="BO47" s="127"/>
    </row>
    <row r="48" spans="1:67">
      <c r="A48" s="142" t="s">
        <v>231</v>
      </c>
      <c r="B48" s="141"/>
      <c r="C48" s="138"/>
      <c r="D48" s="138"/>
      <c r="E48" s="138"/>
      <c r="F48" s="138"/>
      <c r="G48" s="138"/>
      <c r="H48" s="138"/>
      <c r="I48" s="138"/>
      <c r="J48" s="138"/>
      <c r="K48" s="138"/>
      <c r="L48" s="138"/>
      <c r="M48" s="138"/>
      <c r="N48" s="138"/>
      <c r="O48" s="138"/>
      <c r="P48" s="138"/>
      <c r="Q48" s="138"/>
      <c r="R48" s="138"/>
      <c r="S48" s="138"/>
      <c r="T48" s="138"/>
      <c r="U48" s="138"/>
      <c r="V48" s="138"/>
      <c r="W48" s="138"/>
      <c r="X48" s="138"/>
      <c r="Y48" s="138"/>
      <c r="Z48" s="138"/>
      <c r="AA48" s="138"/>
      <c r="AB48" s="138"/>
      <c r="AC48" s="138"/>
      <c r="AD48" s="138"/>
      <c r="AE48" s="138"/>
      <c r="AF48" s="138"/>
      <c r="AG48" s="138"/>
      <c r="AH48" s="138"/>
      <c r="AI48" s="138"/>
      <c r="AJ48" s="138"/>
      <c r="AK48" s="138"/>
      <c r="AL48" s="138"/>
      <c r="AM48" s="138"/>
      <c r="AN48" s="138"/>
      <c r="AO48" s="138"/>
      <c r="AP48" s="138"/>
      <c r="AQ48" s="138"/>
      <c r="AR48" s="138"/>
      <c r="AS48" s="138"/>
      <c r="AT48" s="138"/>
      <c r="AU48" s="138"/>
      <c r="AV48" s="138"/>
      <c r="AW48" s="138"/>
      <c r="AX48" s="138"/>
      <c r="AY48" s="138"/>
      <c r="AZ48" s="138"/>
      <c r="BA48" s="138"/>
      <c r="BB48" s="138"/>
      <c r="BC48" s="138"/>
      <c r="BD48" s="138"/>
      <c r="BE48" s="138"/>
      <c r="BF48" s="138"/>
      <c r="BG48" s="138"/>
      <c r="BH48" s="138"/>
      <c r="BI48" s="138"/>
      <c r="BJ48" s="138"/>
      <c r="BK48" s="138"/>
      <c r="BL48" s="138"/>
      <c r="BM48" s="138"/>
      <c r="BN48" s="138"/>
      <c r="BO48" s="139"/>
    </row>
    <row r="49" spans="1:67" s="147" customFormat="1" ht="17" thickBot="1">
      <c r="A49" s="143"/>
      <c r="B49" s="144"/>
      <c r="C49" s="145"/>
      <c r="D49" s="145"/>
      <c r="E49" s="145"/>
      <c r="F49" s="145"/>
      <c r="G49" s="145"/>
      <c r="H49" s="145"/>
      <c r="I49" s="145"/>
      <c r="J49" s="145"/>
      <c r="K49" s="145"/>
      <c r="L49" s="145"/>
      <c r="M49" s="145"/>
      <c r="N49" s="145"/>
      <c r="O49" s="145"/>
      <c r="P49" s="145"/>
      <c r="Q49" s="145"/>
      <c r="R49" s="145"/>
      <c r="S49" s="145"/>
      <c r="T49" s="145"/>
      <c r="U49" s="145"/>
      <c r="V49" s="145"/>
      <c r="W49" s="145"/>
      <c r="X49" s="145"/>
      <c r="Y49" s="145"/>
      <c r="Z49" s="145"/>
      <c r="AA49" s="145"/>
      <c r="AB49" s="145"/>
      <c r="AC49" s="145"/>
      <c r="AD49" s="145"/>
      <c r="AE49" s="145"/>
      <c r="AF49" s="145"/>
      <c r="AG49" s="145"/>
      <c r="AH49" s="145"/>
      <c r="AI49" s="145"/>
      <c r="AJ49" s="145"/>
      <c r="AK49" s="145"/>
      <c r="AL49" s="145"/>
      <c r="AM49" s="145"/>
      <c r="AN49" s="145"/>
      <c r="AO49" s="145"/>
      <c r="AP49" s="145"/>
      <c r="AQ49" s="145"/>
      <c r="AR49" s="145"/>
      <c r="AS49" s="145"/>
      <c r="AT49" s="145"/>
      <c r="AU49" s="145"/>
      <c r="AV49" s="145"/>
      <c r="AW49" s="145"/>
      <c r="AX49" s="145"/>
      <c r="AY49" s="145"/>
      <c r="AZ49" s="145"/>
      <c r="BA49" s="145"/>
      <c r="BB49" s="145"/>
      <c r="BC49" s="145"/>
      <c r="BD49" s="145"/>
      <c r="BE49" s="145"/>
      <c r="BF49" s="145"/>
      <c r="BG49" s="145"/>
      <c r="BH49" s="145"/>
      <c r="BI49" s="145"/>
      <c r="BJ49" s="145"/>
      <c r="BK49" s="145"/>
      <c r="BL49" s="145"/>
      <c r="BM49" s="145"/>
      <c r="BN49" s="145"/>
      <c r="BO49" s="146"/>
    </row>
    <row r="50" spans="1:67">
      <c r="A50" s="148" t="s">
        <v>14</v>
      </c>
      <c r="B50" s="4" t="s">
        <v>3</v>
      </c>
      <c r="C50" s="138"/>
      <c r="D50" s="138"/>
      <c r="E50" s="138"/>
      <c r="F50" s="138"/>
      <c r="G50" s="138"/>
      <c r="H50" s="138"/>
      <c r="I50" s="138"/>
      <c r="J50" s="138"/>
      <c r="K50" s="138"/>
      <c r="L50" s="138"/>
      <c r="M50" s="138"/>
      <c r="N50" s="138"/>
      <c r="O50" s="138"/>
      <c r="P50" s="138"/>
      <c r="Q50" s="138"/>
      <c r="R50" s="138"/>
      <c r="S50" s="138"/>
      <c r="T50" s="138"/>
      <c r="U50" s="138"/>
      <c r="V50" s="138"/>
      <c r="W50" s="138"/>
      <c r="X50" s="138"/>
      <c r="Y50" s="138"/>
      <c r="Z50" s="138"/>
      <c r="AA50" s="138"/>
      <c r="AB50" s="138"/>
      <c r="AC50" s="138"/>
      <c r="AD50" s="138"/>
      <c r="AE50" s="138"/>
      <c r="AF50" s="138"/>
      <c r="AG50" s="138"/>
      <c r="AH50" s="138"/>
      <c r="AI50" s="138"/>
      <c r="AJ50" s="138"/>
      <c r="AK50" s="138"/>
      <c r="AL50" s="138"/>
      <c r="AM50" s="138"/>
      <c r="AN50" s="138"/>
      <c r="AO50" s="138"/>
      <c r="AP50" s="138"/>
      <c r="AQ50" s="138"/>
      <c r="AR50" s="138"/>
      <c r="AS50" s="132">
        <v>57.084995904626645</v>
      </c>
      <c r="AT50" s="132">
        <v>54.321338811383512</v>
      </c>
      <c r="AU50" s="132">
        <v>58.380358319979308</v>
      </c>
      <c r="AV50" s="132">
        <v>65.526267769629143</v>
      </c>
      <c r="AW50" s="132">
        <v>63.467863503922551</v>
      </c>
      <c r="AX50" s="132">
        <v>67.905783372467084</v>
      </c>
      <c r="AY50" s="132">
        <v>72.475028799463161</v>
      </c>
      <c r="AZ50" s="132">
        <v>58.757300297758377</v>
      </c>
      <c r="BA50" s="132">
        <v>61.543115885152424</v>
      </c>
      <c r="BB50" s="132">
        <v>60.66994751518483</v>
      </c>
      <c r="BC50" s="132">
        <v>55.940130634481122</v>
      </c>
      <c r="BD50" s="132">
        <v>50.747085790955424</v>
      </c>
      <c r="BE50" s="132">
        <v>44.695029460985339</v>
      </c>
      <c r="BF50" s="132">
        <v>29.754597950680743</v>
      </c>
      <c r="BG50" s="132">
        <v>28.124485447200577</v>
      </c>
      <c r="BH50" s="132">
        <v>29.004102003050399</v>
      </c>
      <c r="BI50" s="132">
        <v>40.836289829981901</v>
      </c>
      <c r="BJ50" s="132">
        <v>40.790755053283291</v>
      </c>
      <c r="BK50" s="132">
        <v>38.314540742557966</v>
      </c>
      <c r="BL50" s="132">
        <v>47.745275967560673</v>
      </c>
      <c r="BM50" s="132">
        <v>44.39164209751204</v>
      </c>
      <c r="BN50" s="132">
        <v>40.832466240040212</v>
      </c>
      <c r="BO50" s="133">
        <v>37.882742806398575</v>
      </c>
    </row>
    <row r="51" spans="1:67">
      <c r="A51" s="149"/>
      <c r="B51" s="4" t="s">
        <v>4</v>
      </c>
      <c r="C51" s="138"/>
      <c r="D51" s="138"/>
      <c r="E51" s="138"/>
      <c r="F51" s="138"/>
      <c r="G51" s="138"/>
      <c r="H51" s="138"/>
      <c r="I51" s="138"/>
      <c r="J51" s="138"/>
      <c r="K51" s="138"/>
      <c r="L51" s="138"/>
      <c r="M51" s="138"/>
      <c r="N51" s="138"/>
      <c r="O51" s="138"/>
      <c r="P51" s="138"/>
      <c r="Q51" s="138"/>
      <c r="R51" s="138"/>
      <c r="S51" s="138"/>
      <c r="T51" s="138"/>
      <c r="U51" s="138"/>
      <c r="V51" s="138"/>
      <c r="W51" s="138"/>
      <c r="X51" s="138"/>
      <c r="Y51" s="138"/>
      <c r="Z51" s="138"/>
      <c r="AA51" s="138"/>
      <c r="AB51" s="138"/>
      <c r="AC51" s="138"/>
      <c r="AD51" s="138"/>
      <c r="AE51" s="138"/>
      <c r="AF51" s="138"/>
      <c r="AG51" s="138"/>
      <c r="AH51" s="138"/>
      <c r="AI51" s="138"/>
      <c r="AJ51" s="138"/>
      <c r="AK51" s="138"/>
      <c r="AL51" s="138"/>
      <c r="AM51" s="138"/>
      <c r="AN51" s="138"/>
      <c r="AO51" s="138"/>
      <c r="AP51" s="138"/>
      <c r="AQ51" s="138"/>
      <c r="AR51" s="138"/>
      <c r="AS51" s="132">
        <v>48.21674669552214</v>
      </c>
      <c r="AT51" s="132">
        <v>49.579890739988265</v>
      </c>
      <c r="AU51" s="132">
        <v>45.199588731486692</v>
      </c>
      <c r="AV51" s="132">
        <v>41.064694359896123</v>
      </c>
      <c r="AW51" s="132">
        <v>31.157295828125196</v>
      </c>
      <c r="AX51" s="132">
        <v>40.154284521511244</v>
      </c>
      <c r="AY51" s="132">
        <v>48.88967965423484</v>
      </c>
      <c r="AZ51" s="132">
        <v>63.688843841536681</v>
      </c>
      <c r="BA51" s="132">
        <v>42.580519423692401</v>
      </c>
      <c r="BB51" s="132">
        <v>39.31255881615192</v>
      </c>
      <c r="BC51" s="132">
        <v>35.859966707430296</v>
      </c>
      <c r="BD51" s="132">
        <v>36.064846967837219</v>
      </c>
      <c r="BE51" s="132">
        <v>34.637893321904386</v>
      </c>
      <c r="BF51" s="132">
        <v>33.133918138338473</v>
      </c>
      <c r="BG51" s="132">
        <v>25.245672620398178</v>
      </c>
      <c r="BH51" s="132">
        <v>23.252720224795848</v>
      </c>
      <c r="BI51" s="132">
        <v>25.541723496357971</v>
      </c>
      <c r="BJ51" s="132">
        <v>17.038783065020279</v>
      </c>
      <c r="BK51" s="132">
        <v>27.627488190429183</v>
      </c>
      <c r="BL51" s="132">
        <v>26.719222619546763</v>
      </c>
      <c r="BM51" s="132">
        <v>25.299428407897317</v>
      </c>
      <c r="BN51" s="132">
        <v>26.169327039879775</v>
      </c>
      <c r="BO51" s="133">
        <v>24.41317595953824</v>
      </c>
    </row>
    <row r="52" spans="1:67">
      <c r="A52" s="88"/>
      <c r="B52" s="7" t="s">
        <v>47</v>
      </c>
      <c r="C52" s="138"/>
      <c r="D52" s="138"/>
      <c r="E52" s="138"/>
      <c r="F52" s="138"/>
      <c r="G52" s="138"/>
      <c r="H52" s="138"/>
      <c r="I52" s="138"/>
      <c r="J52" s="138"/>
      <c r="K52" s="138"/>
      <c r="L52" s="138"/>
      <c r="M52" s="138"/>
      <c r="N52" s="138"/>
      <c r="O52" s="138"/>
      <c r="P52" s="138"/>
      <c r="Q52" s="138"/>
      <c r="R52" s="138"/>
      <c r="S52" s="138"/>
      <c r="T52" s="138"/>
      <c r="U52" s="138"/>
      <c r="V52" s="138"/>
      <c r="W52" s="138"/>
      <c r="X52" s="138"/>
      <c r="Y52" s="138"/>
      <c r="Z52" s="138"/>
      <c r="AA52" s="138"/>
      <c r="AB52" s="138"/>
      <c r="AC52" s="138"/>
      <c r="AD52" s="138"/>
      <c r="AE52" s="138"/>
      <c r="AF52" s="138"/>
      <c r="AG52" s="138"/>
      <c r="AH52" s="132">
        <v>83.783783783783804</v>
      </c>
      <c r="AI52" s="132">
        <v>299.50980392156902</v>
      </c>
      <c r="AJ52" s="132">
        <v>1378.52760736196</v>
      </c>
      <c r="AK52" s="132">
        <v>949.792531120332</v>
      </c>
      <c r="AL52" s="132">
        <v>2666.45059288538</v>
      </c>
      <c r="AM52" s="132">
        <v>4145.1059822063798</v>
      </c>
      <c r="AN52" s="132">
        <v>219.176721172974</v>
      </c>
      <c r="AO52" s="132">
        <v>107.284821528298</v>
      </c>
      <c r="AP52" s="132">
        <v>248.19590241286801</v>
      </c>
      <c r="AQ52" s="132">
        <v>324.996871601321</v>
      </c>
      <c r="AR52" s="132">
        <v>152.56102246929899</v>
      </c>
      <c r="AS52" s="132">
        <v>108.89743608942899</v>
      </c>
      <c r="AT52" s="132">
        <v>98.224143657330401</v>
      </c>
      <c r="AU52" s="132">
        <v>43.542106751968703</v>
      </c>
      <c r="AV52" s="132">
        <v>22.953513851394</v>
      </c>
      <c r="AW52" s="132">
        <v>13.3052101780032</v>
      </c>
      <c r="AX52" s="132">
        <v>12.251497445948701</v>
      </c>
      <c r="AY52" s="132">
        <v>12.475829132639801</v>
      </c>
      <c r="AZ52" s="132">
        <v>13.7302839288408</v>
      </c>
      <c r="BA52" s="132">
        <v>14.4696564932577</v>
      </c>
      <c r="BB52" s="132">
        <v>13.4824679218511</v>
      </c>
      <c r="BC52" s="132">
        <v>10.2779049218839</v>
      </c>
      <c r="BD52" s="132">
        <v>8.7778142933262409</v>
      </c>
      <c r="BE52" s="132">
        <v>7.2803873036112101</v>
      </c>
      <c r="BF52" s="132">
        <v>9.3559721553378399</v>
      </c>
      <c r="BG52" s="132">
        <v>30.694415080671899</v>
      </c>
      <c r="BH52" s="132">
        <v>29.844479901567901</v>
      </c>
      <c r="BI52" s="132">
        <v>19.628937970152101</v>
      </c>
      <c r="BJ52" s="132">
        <v>17.080954143437999</v>
      </c>
      <c r="BK52" s="132">
        <v>22.271539247050999</v>
      </c>
      <c r="BL52" s="132">
        <v>25.7542948841891</v>
      </c>
      <c r="BM52" s="132">
        <v>21.3552901320822</v>
      </c>
      <c r="BN52" s="132">
        <v>13.6441017767715</v>
      </c>
      <c r="BO52" s="133">
        <v>28.2404948915772</v>
      </c>
    </row>
    <row r="53" spans="1:67">
      <c r="A53" s="150" t="s">
        <v>15</v>
      </c>
      <c r="B53" s="4" t="s">
        <v>3</v>
      </c>
      <c r="C53" s="134">
        <v>6.1239138128684711</v>
      </c>
      <c r="D53" s="134">
        <v>4.5834895486993652</v>
      </c>
      <c r="E53" s="134">
        <v>3.5178231965590183</v>
      </c>
      <c r="F53" s="134">
        <v>3.821360212943596</v>
      </c>
      <c r="G53" s="134">
        <v>5.1373382724816112</v>
      </c>
      <c r="H53" s="134">
        <v>7.2675630638550963</v>
      </c>
      <c r="I53" s="134">
        <v>6.8465448702017175</v>
      </c>
      <c r="J53" s="134">
        <v>7.6658220503088543</v>
      </c>
      <c r="K53" s="134">
        <v>9.3346425869455825</v>
      </c>
      <c r="L53" s="134">
        <v>11.773219224992966</v>
      </c>
      <c r="M53" s="134">
        <v>15.176579831540399</v>
      </c>
      <c r="N53" s="134">
        <v>17.78579859044563</v>
      </c>
      <c r="O53" s="134">
        <v>14.384402214007633</v>
      </c>
      <c r="P53" s="134">
        <v>15.66197565051678</v>
      </c>
      <c r="Q53" s="134">
        <v>14.316756135465578</v>
      </c>
      <c r="R53" s="134">
        <v>14.528245927766998</v>
      </c>
      <c r="S53" s="134">
        <v>12.991246309692286</v>
      </c>
      <c r="T53" s="134">
        <v>16.178902614137812</v>
      </c>
      <c r="U53" s="134">
        <v>16.52508821299233</v>
      </c>
      <c r="V53" s="134">
        <v>17.516379474837144</v>
      </c>
      <c r="W53" s="134">
        <v>15.816512879414335</v>
      </c>
      <c r="X53" s="134">
        <v>15.930500461049304</v>
      </c>
      <c r="Y53" s="134">
        <v>17.771035829708481</v>
      </c>
      <c r="Z53" s="134">
        <v>13.764289193942119</v>
      </c>
      <c r="AA53" s="134">
        <v>19.579375321244278</v>
      </c>
      <c r="AB53" s="134">
        <v>23.652618353909453</v>
      </c>
      <c r="AC53" s="134">
        <v>16.675920945503258</v>
      </c>
      <c r="AD53" s="134">
        <v>15.267528120164146</v>
      </c>
      <c r="AE53" s="134">
        <v>13.803739211676708</v>
      </c>
      <c r="AF53" s="134">
        <v>13.495428981303437</v>
      </c>
      <c r="AG53" s="134">
        <v>19.181303010652961</v>
      </c>
      <c r="AH53" s="134">
        <v>21.002486062747302</v>
      </c>
      <c r="AI53" s="134">
        <v>23.239148049645845</v>
      </c>
      <c r="AJ53" s="134">
        <v>22.464383036755549</v>
      </c>
      <c r="AK53" s="134">
        <v>28.327018617295284</v>
      </c>
      <c r="AL53" s="134">
        <v>27.36894250275283</v>
      </c>
      <c r="AM53" s="134">
        <v>26.49881155458344</v>
      </c>
      <c r="AN53" s="134">
        <v>27.176134594454886</v>
      </c>
      <c r="AO53" s="134">
        <v>27.092939551006513</v>
      </c>
      <c r="AP53" s="134">
        <v>23.009530794781867</v>
      </c>
      <c r="AQ53" s="134">
        <v>20.605302548955446</v>
      </c>
      <c r="AR53" s="134">
        <v>19.86857881155235</v>
      </c>
      <c r="AS53" s="134">
        <v>19.726610778331981</v>
      </c>
      <c r="AT53" s="134">
        <v>18.644297250083092</v>
      </c>
      <c r="AU53" s="134">
        <v>18.513547565912514</v>
      </c>
      <c r="AV53" s="134">
        <v>18.483639980466961</v>
      </c>
      <c r="AW53" s="134">
        <v>18.057925712963971</v>
      </c>
      <c r="AX53" s="134">
        <v>22.042853115436337</v>
      </c>
      <c r="AY53" s="134">
        <v>22.140720266279985</v>
      </c>
      <c r="AZ53" s="134">
        <v>19.927966839388194</v>
      </c>
      <c r="BA53" s="134">
        <v>23.07204806705505</v>
      </c>
      <c r="BB53" s="134">
        <v>20.849651503121617</v>
      </c>
      <c r="BC53" s="134">
        <v>23.896736867013306</v>
      </c>
      <c r="BD53" s="134">
        <v>27.570565319311957</v>
      </c>
      <c r="BE53" s="134">
        <v>31.43084112363254</v>
      </c>
      <c r="BF53" s="134">
        <v>24.720451211038949</v>
      </c>
      <c r="BG53" s="134">
        <v>27.606788071198235</v>
      </c>
      <c r="BH53" s="134">
        <v>27.205594781883207</v>
      </c>
      <c r="BI53" s="134">
        <v>27.274230618908508</v>
      </c>
      <c r="BJ53" s="134">
        <v>29.630527193547803</v>
      </c>
      <c r="BK53" s="134">
        <v>19.872470427652374</v>
      </c>
      <c r="BL53" s="134">
        <v>20.918806175473271</v>
      </c>
      <c r="BM53" s="134">
        <v>20.815330047445759</v>
      </c>
      <c r="BN53" s="134">
        <v>20.003519091069048</v>
      </c>
      <c r="BO53" s="135">
        <v>18.840156918140014</v>
      </c>
    </row>
    <row r="54" spans="1:67">
      <c r="A54" s="149"/>
      <c r="B54" s="4" t="s">
        <v>4</v>
      </c>
      <c r="C54" s="134">
        <v>12.110286003738734</v>
      </c>
      <c r="D54" s="134">
        <v>9.534632136528387</v>
      </c>
      <c r="E54" s="134">
        <v>9.9593044611037467</v>
      </c>
      <c r="F54" s="134">
        <v>11.625898807083423</v>
      </c>
      <c r="G54" s="134">
        <v>12.243165152690896</v>
      </c>
      <c r="H54" s="134">
        <v>14.905710571222649</v>
      </c>
      <c r="I54" s="134">
        <v>16.196062969561599</v>
      </c>
      <c r="J54" s="134">
        <v>19.772266270532747</v>
      </c>
      <c r="K54" s="134">
        <v>19.076586779838507</v>
      </c>
      <c r="L54" s="134">
        <v>21.428505725071439</v>
      </c>
      <c r="M54" s="134">
        <v>24.461323615201312</v>
      </c>
      <c r="N54" s="134">
        <v>27.83261412604277</v>
      </c>
      <c r="O54" s="134">
        <v>26.800149392693019</v>
      </c>
      <c r="P54" s="134">
        <v>25.95016696281645</v>
      </c>
      <c r="Q54" s="134">
        <v>29.494648366580716</v>
      </c>
      <c r="R54" s="134">
        <v>33.412982033785198</v>
      </c>
      <c r="S54" s="134">
        <v>31.028511399004159</v>
      </c>
      <c r="T54" s="134">
        <v>34.780782904521537</v>
      </c>
      <c r="U54" s="134">
        <v>34.54536443744837</v>
      </c>
      <c r="V54" s="134">
        <v>37.02178867872442</v>
      </c>
      <c r="W54" s="134">
        <v>37.322106720071744</v>
      </c>
      <c r="X54" s="134">
        <v>43.958871636915845</v>
      </c>
      <c r="Y54" s="134">
        <v>40.086299544237761</v>
      </c>
      <c r="Z54" s="134">
        <v>31.577722696885001</v>
      </c>
      <c r="AA54" s="134">
        <v>30.931928170731247</v>
      </c>
      <c r="AB54" s="134">
        <v>36.648599624247659</v>
      </c>
      <c r="AC54" s="134">
        <v>32.615496752700921</v>
      </c>
      <c r="AD54" s="134">
        <v>30.950607094633646</v>
      </c>
      <c r="AE54" s="134">
        <v>32.083088817353868</v>
      </c>
      <c r="AF54" s="134">
        <v>24.804938377637079</v>
      </c>
      <c r="AG54" s="134">
        <v>26.538879134486663</v>
      </c>
      <c r="AH54" s="134">
        <v>30.342230772801333</v>
      </c>
      <c r="AI54" s="134">
        <v>33.50159775520946</v>
      </c>
      <c r="AJ54" s="134">
        <v>32.917416096904965</v>
      </c>
      <c r="AK54" s="134">
        <v>36.073460636261196</v>
      </c>
      <c r="AL54" s="134">
        <v>36.431197507722167</v>
      </c>
      <c r="AM54" s="134">
        <v>30.01897989105327</v>
      </c>
      <c r="AN54" s="134">
        <v>31.535495016941677</v>
      </c>
      <c r="AO54" s="134">
        <v>32.500685747136771</v>
      </c>
      <c r="AP54" s="134">
        <v>31.382258359113841</v>
      </c>
      <c r="AQ54" s="134">
        <v>26.742848952328991</v>
      </c>
      <c r="AR54" s="134">
        <v>28.38859182766738</v>
      </c>
      <c r="AS54" s="134">
        <v>24.041811758099112</v>
      </c>
      <c r="AT54" s="134">
        <v>22.971933307350273</v>
      </c>
      <c r="AU54" s="134">
        <v>21.389426770597041</v>
      </c>
      <c r="AV54" s="134">
        <v>20.612291207447274</v>
      </c>
      <c r="AW54" s="134">
        <v>21.716772999891152</v>
      </c>
      <c r="AX54" s="134">
        <v>27.070931037534191</v>
      </c>
      <c r="AY54" s="134">
        <v>25.63463900323687</v>
      </c>
      <c r="AZ54" s="134">
        <v>24.774662223592429</v>
      </c>
      <c r="BA54" s="134">
        <v>28.35881188223739</v>
      </c>
      <c r="BB54" s="134">
        <v>26.367377308718641</v>
      </c>
      <c r="BC54" s="134">
        <v>26.839999912100136</v>
      </c>
      <c r="BD54" s="134">
        <v>31.629626513875564</v>
      </c>
      <c r="BE54" s="134">
        <v>33.837433816822532</v>
      </c>
      <c r="BF54" s="134">
        <v>32.035861973908681</v>
      </c>
      <c r="BG54" s="134">
        <v>31.380140266629365</v>
      </c>
      <c r="BH54" s="134">
        <v>34.271002176964231</v>
      </c>
      <c r="BI54" s="134">
        <v>34.520963871436308</v>
      </c>
      <c r="BJ54" s="134">
        <v>34.050805120682192</v>
      </c>
      <c r="BK54" s="134">
        <v>24.960762949220243</v>
      </c>
      <c r="BL54" s="134">
        <v>27.136054656967612</v>
      </c>
      <c r="BM54" s="134">
        <v>23.566262840296652</v>
      </c>
      <c r="BN54" s="134">
        <v>24.659611726952051</v>
      </c>
      <c r="BO54" s="135">
        <v>21.799645322012299</v>
      </c>
    </row>
    <row r="55" spans="1:67">
      <c r="A55" s="88"/>
      <c r="B55" s="7" t="s">
        <v>47</v>
      </c>
      <c r="C55" s="138"/>
      <c r="D55" s="138"/>
      <c r="E55" s="138"/>
      <c r="F55" s="138"/>
      <c r="G55" s="138"/>
      <c r="H55" s="138"/>
      <c r="I55" s="138"/>
      <c r="J55" s="138"/>
      <c r="K55" s="138"/>
      <c r="L55" s="138"/>
      <c r="M55" s="138"/>
      <c r="N55" s="138"/>
      <c r="O55" s="138"/>
      <c r="P55" s="138"/>
      <c r="Q55" s="138"/>
      <c r="R55" s="138"/>
      <c r="S55" s="138"/>
      <c r="T55" s="138"/>
      <c r="U55" s="138"/>
      <c r="V55" s="138"/>
      <c r="W55" s="138"/>
      <c r="X55" s="138"/>
      <c r="Y55" s="138"/>
      <c r="Z55" s="138"/>
      <c r="AA55" s="138"/>
      <c r="AB55" s="138"/>
      <c r="AC55" s="138"/>
      <c r="AD55" s="138"/>
      <c r="AE55" s="138"/>
      <c r="AF55" s="138"/>
      <c r="AG55" s="138"/>
      <c r="AH55" s="138"/>
      <c r="AI55" s="138"/>
      <c r="AJ55" s="134">
        <v>0.44059921493179399</v>
      </c>
      <c r="AK55" s="134">
        <v>38.530866166853798</v>
      </c>
      <c r="AL55" s="134">
        <v>14.462548218089401</v>
      </c>
      <c r="AM55" s="134">
        <v>4.9142397263720099</v>
      </c>
      <c r="AN55" s="134">
        <v>3.46629590564776</v>
      </c>
      <c r="AO55" s="134">
        <v>5.7533145841706403</v>
      </c>
      <c r="AP55" s="134">
        <v>0.326722893396866</v>
      </c>
      <c r="AQ55" s="134">
        <v>4.1654044229028298</v>
      </c>
      <c r="AR55" s="134">
        <v>3.9842954776789301</v>
      </c>
      <c r="AS55" s="134">
        <v>2.4891623549154098</v>
      </c>
      <c r="AT55" s="134">
        <v>1.48724246145442</v>
      </c>
      <c r="AU55" s="134">
        <v>0.87389083086849995</v>
      </c>
      <c r="AV55" s="134">
        <v>5.3645208583234201</v>
      </c>
      <c r="AW55" s="134">
        <v>3.78217696540375</v>
      </c>
      <c r="AX55" s="134">
        <v>1.29806813334152</v>
      </c>
      <c r="AY55" s="134">
        <v>7.9472987606785397</v>
      </c>
      <c r="AZ55" s="134">
        <v>0.89607235574906896</v>
      </c>
      <c r="BA55" s="134">
        <v>2.2078353253652399</v>
      </c>
      <c r="BB55" s="134">
        <v>2.7042390774728</v>
      </c>
      <c r="BC55" s="134">
        <v>6.7446825334071203</v>
      </c>
      <c r="BD55" s="134">
        <v>0.42888888888888399</v>
      </c>
      <c r="BE55" s="134">
        <v>-0.54875755094818102</v>
      </c>
      <c r="BF55" s="134">
        <v>0.21878592353624501</v>
      </c>
      <c r="BG55" s="134">
        <v>-0.79331014578562398</v>
      </c>
      <c r="BH55" s="134">
        <v>4.32648555103608E-2</v>
      </c>
      <c r="BI55" s="134">
        <v>0.91917071788605398</v>
      </c>
      <c r="BJ55" s="134">
        <v>0.73284937124106597</v>
      </c>
      <c r="BK55" s="134">
        <v>3.02272119663759</v>
      </c>
      <c r="BL55" s="134">
        <v>1.73353962694036</v>
      </c>
      <c r="BM55" s="134">
        <v>1.35077863583527</v>
      </c>
      <c r="BN55" s="134">
        <v>2.7387007840607498</v>
      </c>
      <c r="BO55" s="135">
        <v>1.16093089640415</v>
      </c>
    </row>
    <row r="56" spans="1:67">
      <c r="A56" s="150" t="s">
        <v>16</v>
      </c>
      <c r="B56" s="4" t="s">
        <v>3</v>
      </c>
      <c r="C56" s="134">
        <v>26.27563603173359</v>
      </c>
      <c r="D56" s="134">
        <v>27.216322989713081</v>
      </c>
      <c r="E56" s="134">
        <v>27.926039261651255</v>
      </c>
      <c r="F56" s="134">
        <v>28.994443343389637</v>
      </c>
      <c r="G56" s="134">
        <v>28.811009825894395</v>
      </c>
      <c r="H56" s="134">
        <v>31.707317073170739</v>
      </c>
      <c r="I56" s="134">
        <v>29.268292682926827</v>
      </c>
      <c r="J56" s="134">
        <v>24.613847964898515</v>
      </c>
      <c r="K56" s="134">
        <v>23.05263157894737</v>
      </c>
      <c r="L56" s="134">
        <v>22.772277227722775</v>
      </c>
      <c r="M56" s="134">
        <v>24.65554749818709</v>
      </c>
      <c r="N56" s="134">
        <v>33.14977973568282</v>
      </c>
      <c r="O56" s="134">
        <v>37.37214791502754</v>
      </c>
      <c r="P56" s="134">
        <v>38.831513720861608</v>
      </c>
      <c r="Q56" s="134">
        <v>40.923298869920657</v>
      </c>
      <c r="R56" s="134">
        <v>43.594136683799739</v>
      </c>
      <c r="S56" s="134">
        <v>50.386398763523957</v>
      </c>
      <c r="T56" s="134">
        <v>50.900723208415521</v>
      </c>
      <c r="U56" s="134">
        <v>52.060537887309543</v>
      </c>
      <c r="V56" s="134">
        <v>54.123017060760247</v>
      </c>
      <c r="W56" s="134">
        <v>53.059244436359222</v>
      </c>
      <c r="X56" s="134">
        <v>49.705063995548137</v>
      </c>
      <c r="Y56" s="134">
        <v>54.56198268025453</v>
      </c>
      <c r="Z56" s="134">
        <v>62.083446747287788</v>
      </c>
      <c r="AA56" s="134">
        <v>60.811272151702312</v>
      </c>
      <c r="AB56" s="134">
        <v>66.291048822461647</v>
      </c>
      <c r="AC56" s="134">
        <v>68.330849478390462</v>
      </c>
      <c r="AD56" s="134">
        <v>75.129565085619035</v>
      </c>
      <c r="AE56" s="134">
        <v>70.521940526903521</v>
      </c>
      <c r="AF56" s="134">
        <v>59.22459785468854</v>
      </c>
      <c r="AG56" s="134">
        <v>55.055407062893927</v>
      </c>
      <c r="AH56" s="134">
        <v>53.029514161151717</v>
      </c>
      <c r="AI56" s="134">
        <v>48.179563095142832</v>
      </c>
      <c r="AJ56" s="134">
        <v>47.095797200580733</v>
      </c>
      <c r="AK56" s="134">
        <v>47.822398684693823</v>
      </c>
      <c r="AL56" s="134">
        <v>50.836497842033822</v>
      </c>
      <c r="AM56" s="134">
        <v>53.828444483056046</v>
      </c>
      <c r="AN56" s="134">
        <v>60.880738550180602</v>
      </c>
      <c r="AO56" s="134">
        <v>49.289172100375424</v>
      </c>
      <c r="AP56" s="134">
        <v>55.197268289605461</v>
      </c>
      <c r="AQ56" s="134">
        <v>51.831810070129933</v>
      </c>
      <c r="AR56" s="134">
        <v>48.657608238034797</v>
      </c>
      <c r="AS56" s="134">
        <v>52.15742677824268</v>
      </c>
      <c r="AT56" s="134">
        <v>48.826857834010426</v>
      </c>
      <c r="AU56" s="134">
        <v>49.613787781505181</v>
      </c>
      <c r="AV56" s="134">
        <v>52.923553544769561</v>
      </c>
      <c r="AW56" s="134">
        <v>51.780826760393538</v>
      </c>
      <c r="AX56" s="134">
        <v>56.479962927167982</v>
      </c>
      <c r="AY56" s="134">
        <v>46.946904660995045</v>
      </c>
      <c r="AZ56" s="134">
        <v>35.833661858761786</v>
      </c>
      <c r="BA56" s="134">
        <v>42.144331514442655</v>
      </c>
      <c r="BB56" s="134">
        <v>44.236397916720136</v>
      </c>
      <c r="BC56" s="134">
        <v>48.115023832289957</v>
      </c>
      <c r="BD56" s="134">
        <v>61.379761746196316</v>
      </c>
      <c r="BE56" s="134">
        <v>61.28296789340655</v>
      </c>
      <c r="BF56" s="134">
        <v>53.09089734281973</v>
      </c>
      <c r="BG56" s="134">
        <v>54.611354760452905</v>
      </c>
      <c r="BH56" s="134">
        <v>42.920042488553939</v>
      </c>
      <c r="BI56" s="134">
        <v>44.228143923739204</v>
      </c>
      <c r="BJ56" s="134">
        <v>37.087817655206692</v>
      </c>
      <c r="BK56" s="134">
        <v>31.290366278772087</v>
      </c>
      <c r="BL56" s="134">
        <v>41.912552163806417</v>
      </c>
      <c r="BM56" s="134">
        <v>43.543611778686333</v>
      </c>
      <c r="BN56" s="134">
        <v>32.249858286518652</v>
      </c>
      <c r="BO56" s="135">
        <v>26.04699339527793</v>
      </c>
    </row>
    <row r="57" spans="1:67">
      <c r="A57" s="149"/>
      <c r="B57" s="4" t="s">
        <v>4</v>
      </c>
      <c r="C57" s="134">
        <v>39.643942082966468</v>
      </c>
      <c r="D57" s="134">
        <v>42.525504671426688</v>
      </c>
      <c r="E57" s="134">
        <v>44.838992617299198</v>
      </c>
      <c r="F57" s="134">
        <v>47.345356851864082</v>
      </c>
      <c r="G57" s="134">
        <v>48.576702613426605</v>
      </c>
      <c r="H57" s="134">
        <v>50.609756097560989</v>
      </c>
      <c r="I57" s="134">
        <v>50.948509485094853</v>
      </c>
      <c r="J57" s="134">
        <v>50.773493144983881</v>
      </c>
      <c r="K57" s="134">
        <v>62.94736842105263</v>
      </c>
      <c r="L57" s="134">
        <v>52.565256525652572</v>
      </c>
      <c r="M57" s="134">
        <v>60.913705583756354</v>
      </c>
      <c r="N57" s="134">
        <v>61.563876651982376</v>
      </c>
      <c r="O57" s="134">
        <v>60.542879622344614</v>
      </c>
      <c r="P57" s="134">
        <v>61.96518146946002</v>
      </c>
      <c r="Q57" s="134">
        <v>64.775186342870882</v>
      </c>
      <c r="R57" s="134">
        <v>63.792118789263284</v>
      </c>
      <c r="S57" s="134">
        <v>66.321483771251934</v>
      </c>
      <c r="T57" s="134">
        <v>69.309664694280087</v>
      </c>
      <c r="U57" s="134">
        <v>68.524388996829941</v>
      </c>
      <c r="V57" s="134">
        <v>65.249925172104156</v>
      </c>
      <c r="W57" s="134">
        <v>66.442301861621488</v>
      </c>
      <c r="X57" s="134">
        <v>71.530328324986087</v>
      </c>
      <c r="Y57" s="134">
        <v>69.274197406822637</v>
      </c>
      <c r="Z57" s="134">
        <v>62.565618073647776</v>
      </c>
      <c r="AA57" s="134">
        <v>57.962198566152509</v>
      </c>
      <c r="AB57" s="134">
        <v>51.231759353120069</v>
      </c>
      <c r="AC57" s="134">
        <v>49.128740112346669</v>
      </c>
      <c r="AD57" s="134">
        <v>48.442188210334898</v>
      </c>
      <c r="AE57" s="134">
        <v>43.929649696017201</v>
      </c>
      <c r="AF57" s="134">
        <v>46.136266707437777</v>
      </c>
      <c r="AG57" s="134">
        <v>49.791913333853252</v>
      </c>
      <c r="AH57" s="134">
        <v>46.52887118527115</v>
      </c>
      <c r="AI57" s="134">
        <v>41.571691491672283</v>
      </c>
      <c r="AJ57" s="134">
        <v>39.112407809089113</v>
      </c>
      <c r="AK57" s="134">
        <v>40.358211043674466</v>
      </c>
      <c r="AL57" s="134">
        <v>43.758673803968215</v>
      </c>
      <c r="AM57" s="134">
        <v>37.127130791999953</v>
      </c>
      <c r="AN57" s="134">
        <v>47.723676600573988</v>
      </c>
      <c r="AO57" s="134">
        <v>52.551867219917014</v>
      </c>
      <c r="AP57" s="134">
        <v>43.73181291253637</v>
      </c>
      <c r="AQ57" s="134">
        <v>40.092919619788084</v>
      </c>
      <c r="AR57" s="134">
        <v>38.867457330060908</v>
      </c>
      <c r="AS57" s="134">
        <v>39.678347280334734</v>
      </c>
      <c r="AT57" s="134">
        <v>37.007184681116009</v>
      </c>
      <c r="AU57" s="134">
        <v>41.384035105757924</v>
      </c>
      <c r="AV57" s="134">
        <v>35.581798512580924</v>
      </c>
      <c r="AW57" s="134">
        <v>34.831607153130491</v>
      </c>
      <c r="AX57" s="134">
        <v>42.01656201355722</v>
      </c>
      <c r="AY57" s="134">
        <v>52.061317346993931</v>
      </c>
      <c r="AZ57" s="134">
        <v>52.647126774976037</v>
      </c>
      <c r="BA57" s="134">
        <v>52.494670572949929</v>
      </c>
      <c r="BB57" s="134">
        <v>54.725069863426768</v>
      </c>
      <c r="BC57" s="134">
        <v>63.760256788661849</v>
      </c>
      <c r="BD57" s="134">
        <v>64.403278165023721</v>
      </c>
      <c r="BE57" s="134">
        <v>58.214573898057033</v>
      </c>
      <c r="BF57" s="134">
        <v>59.809993673185048</v>
      </c>
      <c r="BG57" s="134">
        <v>45.853335005573079</v>
      </c>
      <c r="BH57" s="134">
        <v>39.003908887795475</v>
      </c>
      <c r="BI57" s="134">
        <v>43.226960070910117</v>
      </c>
      <c r="BJ57" s="134">
        <v>46.005163704910792</v>
      </c>
      <c r="BK57" s="134">
        <v>46.373051564424557</v>
      </c>
      <c r="BL57" s="134">
        <v>46.846197430770928</v>
      </c>
      <c r="BM57" s="134">
        <v>42.068095980228513</v>
      </c>
      <c r="BN57" s="134">
        <v>36.553499549562972</v>
      </c>
      <c r="BO57" s="135">
        <v>40.928535408399682</v>
      </c>
    </row>
    <row r="58" spans="1:67">
      <c r="A58" s="88"/>
      <c r="B58" s="7" t="s">
        <v>47</v>
      </c>
      <c r="C58" s="138"/>
      <c r="D58" s="138"/>
      <c r="E58" s="138"/>
      <c r="F58" s="138"/>
      <c r="G58" s="138"/>
      <c r="H58" s="138"/>
      <c r="I58" s="138"/>
      <c r="J58" s="138"/>
      <c r="K58" s="138"/>
      <c r="L58" s="138"/>
      <c r="M58" s="138"/>
      <c r="N58" s="138"/>
      <c r="O58" s="138"/>
      <c r="P58" s="138"/>
      <c r="Q58" s="138"/>
      <c r="R58" s="134">
        <v>11.9747550240953</v>
      </c>
      <c r="S58" s="134">
        <v>11.732423613642</v>
      </c>
      <c r="T58" s="134">
        <v>13.168724280107901</v>
      </c>
      <c r="U58" s="134">
        <v>9.0439882701036201</v>
      </c>
      <c r="V58" s="134">
        <v>11.7362306367885</v>
      </c>
      <c r="W58" s="134">
        <v>13.632425147089499</v>
      </c>
      <c r="X58" s="134">
        <v>16.428026772571201</v>
      </c>
      <c r="Y58" s="134">
        <v>11.1372064274689</v>
      </c>
      <c r="Z58" s="134">
        <v>10.4771438105237</v>
      </c>
      <c r="AA58" s="134">
        <v>8.5774690425190592</v>
      </c>
      <c r="AB58" s="134">
        <v>8.0945757997594097</v>
      </c>
      <c r="AC58" s="134">
        <v>10.0017155606022</v>
      </c>
      <c r="AD58" s="134">
        <v>9.8019338739867496</v>
      </c>
      <c r="AE58" s="134">
        <v>8.3516795682121892</v>
      </c>
      <c r="AF58" s="134">
        <v>11.575014747328501</v>
      </c>
      <c r="AG58" s="134">
        <v>11.3963461199556</v>
      </c>
      <c r="AH58" s="134">
        <v>11.765016083953499</v>
      </c>
      <c r="AI58" s="134">
        <v>16.167612396333901</v>
      </c>
      <c r="AJ58" s="134">
        <v>14.330803336588801</v>
      </c>
      <c r="AK58" s="134">
        <v>10.5429209938218</v>
      </c>
      <c r="AL58" s="134">
        <v>10.512546081579</v>
      </c>
      <c r="AM58" s="134">
        <v>10.0828580652108</v>
      </c>
      <c r="AN58" s="134">
        <v>8.7199312714774706</v>
      </c>
      <c r="AO58" s="134">
        <v>6.6613986566575196</v>
      </c>
      <c r="AP58" s="134">
        <v>7.7492961920284804</v>
      </c>
      <c r="AQ58" s="134">
        <v>8.6014851485149109</v>
      </c>
      <c r="AR58" s="134">
        <v>6.5590376701486202</v>
      </c>
      <c r="AS58" s="134">
        <v>8.0327966252748606</v>
      </c>
      <c r="AT58" s="134">
        <v>9.1899026563273907</v>
      </c>
      <c r="AU58" s="134">
        <v>6.9457036365467504</v>
      </c>
      <c r="AV58" s="134">
        <v>8.6102252854644004</v>
      </c>
      <c r="AW58" s="134">
        <v>11.5552187914379</v>
      </c>
      <c r="AX58" s="134">
        <v>7.0809984717269296</v>
      </c>
      <c r="AY58" s="134">
        <v>12.702188392007599</v>
      </c>
      <c r="AZ58" s="134">
        <v>8.02729703109582</v>
      </c>
      <c r="BA58" s="134">
        <v>6.9488765874310303</v>
      </c>
      <c r="BB58" s="134">
        <v>8.4598723340858299</v>
      </c>
      <c r="BC58" s="134">
        <v>7.5369026109191601</v>
      </c>
      <c r="BD58" s="134">
        <v>5.8846070705681699</v>
      </c>
      <c r="BE58" s="134">
        <v>4.40225309243427</v>
      </c>
      <c r="BF58" s="134">
        <v>3.06203169580558</v>
      </c>
      <c r="BG58" s="134">
        <v>2.8149579136194398</v>
      </c>
      <c r="BH58" s="134">
        <v>3.3082807676821901</v>
      </c>
      <c r="BI58" s="134">
        <v>3.2380155894771501</v>
      </c>
      <c r="BJ58" s="134">
        <v>2.77286442863321</v>
      </c>
      <c r="BK58" s="134">
        <v>1.8903591682420999</v>
      </c>
      <c r="BL58" s="134">
        <v>7.2409776558844197</v>
      </c>
      <c r="BM58" s="134">
        <v>11.665567478802</v>
      </c>
      <c r="BN58" s="134">
        <v>5.0676154934383</v>
      </c>
      <c r="BO58" s="135">
        <v>2.8183513167625098</v>
      </c>
    </row>
    <row r="59" spans="1:67">
      <c r="A59" s="150" t="s">
        <v>17</v>
      </c>
      <c r="B59" s="4" t="s">
        <v>3</v>
      </c>
      <c r="C59" s="138"/>
      <c r="D59" s="138"/>
      <c r="E59" s="138"/>
      <c r="F59" s="138"/>
      <c r="G59" s="138"/>
      <c r="H59" s="138"/>
      <c r="I59" s="138"/>
      <c r="J59" s="138"/>
      <c r="K59" s="138"/>
      <c r="L59" s="138"/>
      <c r="M59" s="138"/>
      <c r="N59" s="138"/>
      <c r="O59" s="138"/>
      <c r="P59" s="138"/>
      <c r="Q59" s="138"/>
      <c r="R59" s="138"/>
      <c r="S59" s="138"/>
      <c r="T59" s="138"/>
      <c r="U59" s="138"/>
      <c r="V59" s="138"/>
      <c r="W59" s="134">
        <v>17.074768222744147</v>
      </c>
      <c r="X59" s="134">
        <v>21.469137689398792</v>
      </c>
      <c r="Y59" s="134">
        <v>22.927430438612358</v>
      </c>
      <c r="Z59" s="134">
        <v>24.627945819288833</v>
      </c>
      <c r="AA59" s="134">
        <v>22.773055841055211</v>
      </c>
      <c r="AB59" s="134">
        <v>22.638478669029531</v>
      </c>
      <c r="AC59" s="134">
        <v>17.609862273672256</v>
      </c>
      <c r="AD59" s="134">
        <v>18.099041030450756</v>
      </c>
      <c r="AE59" s="134">
        <v>16.707662251358961</v>
      </c>
      <c r="AF59" s="134">
        <v>19.225445230927846</v>
      </c>
      <c r="AG59" s="134">
        <v>17.131969468503957</v>
      </c>
      <c r="AH59" s="134">
        <v>16.564073544360784</v>
      </c>
      <c r="AI59" s="134">
        <v>17.283007587265793</v>
      </c>
      <c r="AJ59" s="134">
        <v>13.260831075798338</v>
      </c>
      <c r="AK59" s="134">
        <v>15.046299543056776</v>
      </c>
      <c r="AL59" s="134">
        <v>17.13695268982217</v>
      </c>
      <c r="AM59" s="134">
        <v>20.199157560773543</v>
      </c>
      <c r="AN59" s="134">
        <v>27.441726301833281</v>
      </c>
      <c r="AO59" s="134">
        <v>22.796152875142528</v>
      </c>
      <c r="AP59" s="134">
        <v>20.975945625015527</v>
      </c>
      <c r="AQ59" s="134">
        <v>27.007218543126498</v>
      </c>
      <c r="AR59" s="134">
        <v>29.809412882810044</v>
      </c>
      <c r="AS59" s="134">
        <v>32.544956713045821</v>
      </c>
      <c r="AT59" s="134">
        <v>31.364351166950915</v>
      </c>
      <c r="AU59" s="134">
        <v>32.004173065871036</v>
      </c>
      <c r="AV59" s="134">
        <v>37.77736046086639</v>
      </c>
      <c r="AW59" s="134">
        <v>45.13220526080152</v>
      </c>
      <c r="AX59" s="134">
        <v>33.745898119012857</v>
      </c>
      <c r="AY59" s="134">
        <v>45.935804547137096</v>
      </c>
      <c r="AZ59" s="134">
        <v>41.360293311192351</v>
      </c>
      <c r="BA59" s="134">
        <v>30.283822677520455</v>
      </c>
      <c r="BB59" s="134">
        <v>32.874261026750588</v>
      </c>
      <c r="BC59" s="134">
        <v>37.463453227216547</v>
      </c>
      <c r="BD59" s="134">
        <v>37.516838567390067</v>
      </c>
      <c r="BE59" s="134">
        <v>37.248292482186748</v>
      </c>
      <c r="BF59" s="134">
        <v>41.135201632717333</v>
      </c>
      <c r="BG59" s="134">
        <v>41.472948718174671</v>
      </c>
      <c r="BH59" s="134">
        <v>42.068803583760825</v>
      </c>
      <c r="BI59" s="134">
        <v>45.865993464408014</v>
      </c>
      <c r="BJ59" s="134">
        <v>46.705033137094873</v>
      </c>
      <c r="BK59" s="134">
        <v>25.29337077219979</v>
      </c>
      <c r="BL59" s="134">
        <v>23.849798357656287</v>
      </c>
      <c r="BM59" s="134">
        <v>38.684254217013404</v>
      </c>
      <c r="BN59" s="134">
        <v>38.3233918719733</v>
      </c>
      <c r="BO59" s="135">
        <v>41.857277116521054</v>
      </c>
    </row>
    <row r="60" spans="1:67">
      <c r="A60" s="149"/>
      <c r="B60" s="4" t="s">
        <v>4</v>
      </c>
      <c r="C60" s="138"/>
      <c r="D60" s="138"/>
      <c r="E60" s="138"/>
      <c r="F60" s="138"/>
      <c r="G60" s="138"/>
      <c r="H60" s="138"/>
      <c r="I60" s="138"/>
      <c r="J60" s="138"/>
      <c r="K60" s="138"/>
      <c r="L60" s="138"/>
      <c r="M60" s="138"/>
      <c r="N60" s="138"/>
      <c r="O60" s="138"/>
      <c r="P60" s="138"/>
      <c r="Q60" s="138"/>
      <c r="R60" s="138"/>
      <c r="S60" s="138"/>
      <c r="T60" s="138"/>
      <c r="U60" s="138"/>
      <c r="V60" s="138"/>
      <c r="W60" s="134">
        <v>66.97581383205646</v>
      </c>
      <c r="X60" s="134">
        <v>70.695249757117793</v>
      </c>
      <c r="Y60" s="134">
        <v>79.188491443651372</v>
      </c>
      <c r="Z60" s="134">
        <v>77.808821188743977</v>
      </c>
      <c r="AA60" s="134">
        <v>77.700399116469669</v>
      </c>
      <c r="AB60" s="134">
        <v>79.18280638322571</v>
      </c>
      <c r="AC60" s="134">
        <v>75.442661849476053</v>
      </c>
      <c r="AD60" s="134">
        <v>65.733577862112753</v>
      </c>
      <c r="AE60" s="134">
        <v>59.493962600399307</v>
      </c>
      <c r="AF60" s="134">
        <v>62.21234741084217</v>
      </c>
      <c r="AG60" s="134">
        <v>68.819614562140558</v>
      </c>
      <c r="AH60" s="134">
        <v>64.389895765301333</v>
      </c>
      <c r="AI60" s="134">
        <v>66.656882380846866</v>
      </c>
      <c r="AJ60" s="134">
        <v>47.045600926591433</v>
      </c>
      <c r="AK60" s="134">
        <v>56.517142502549653</v>
      </c>
      <c r="AL60" s="134">
        <v>60.378598691152504</v>
      </c>
      <c r="AM60" s="134">
        <v>55.290810296617302</v>
      </c>
      <c r="AN60" s="134">
        <v>58.537619852885761</v>
      </c>
      <c r="AO60" s="134">
        <v>59.085260875485012</v>
      </c>
      <c r="AP60" s="134">
        <v>59.993074339028766</v>
      </c>
      <c r="AQ60" s="134">
        <v>60.513389818365162</v>
      </c>
      <c r="AR60" s="134">
        <v>62.354309614605185</v>
      </c>
      <c r="AS60" s="134">
        <v>68.544745580570364</v>
      </c>
      <c r="AT60" s="134">
        <v>67.404029640703811</v>
      </c>
      <c r="AU60" s="134">
        <v>69.56299692363082</v>
      </c>
      <c r="AV60" s="134">
        <v>66.566479396186125</v>
      </c>
      <c r="AW60" s="134">
        <v>72.684491972020155</v>
      </c>
      <c r="AX60" s="134">
        <v>32.075091480159003</v>
      </c>
      <c r="AY60" s="134">
        <v>32.248311283149924</v>
      </c>
      <c r="AZ60" s="134">
        <v>27.119278941452617</v>
      </c>
      <c r="BA60" s="134">
        <v>55.26462720409868</v>
      </c>
      <c r="BB60" s="134">
        <v>57.682189085524151</v>
      </c>
      <c r="BC60" s="134">
        <v>53.186463326900402</v>
      </c>
      <c r="BD60" s="134">
        <v>48.653021463451715</v>
      </c>
      <c r="BE60" s="134">
        <v>54.055559929535391</v>
      </c>
      <c r="BF60" s="134">
        <v>52.873285384081981</v>
      </c>
      <c r="BG60" s="134">
        <v>53.905191142778634</v>
      </c>
      <c r="BH60" s="134">
        <v>57.983330320458094</v>
      </c>
      <c r="BI60" s="134">
        <v>60.001530587696493</v>
      </c>
      <c r="BJ60" s="134">
        <v>56.897623326630821</v>
      </c>
      <c r="BK60" s="134">
        <v>53.100083820990328</v>
      </c>
      <c r="BL60" s="134">
        <v>53.605260268877863</v>
      </c>
      <c r="BM60" s="134">
        <v>58.309882634322307</v>
      </c>
      <c r="BN60" s="134">
        <v>56.256513632802474</v>
      </c>
      <c r="BO60" s="135">
        <v>53.237518005023823</v>
      </c>
    </row>
    <row r="61" spans="1:67">
      <c r="A61" s="88"/>
      <c r="B61" s="7" t="s">
        <v>47</v>
      </c>
      <c r="C61" s="138"/>
      <c r="D61" s="138"/>
      <c r="E61" s="138"/>
      <c r="F61" s="138"/>
      <c r="G61" s="138"/>
      <c r="H61" s="138"/>
      <c r="I61" s="138"/>
      <c r="J61" s="138"/>
      <c r="K61" s="138"/>
      <c r="L61" s="138"/>
      <c r="M61" s="138"/>
      <c r="N61" s="138"/>
      <c r="O61" s="138"/>
      <c r="P61" s="138"/>
      <c r="Q61" s="138"/>
      <c r="R61" s="138"/>
      <c r="S61" s="138"/>
      <c r="T61" s="138"/>
      <c r="U61" s="138"/>
      <c r="V61" s="138"/>
      <c r="W61" s="134"/>
      <c r="X61" s="134"/>
      <c r="Y61" s="134"/>
      <c r="Z61" s="134"/>
      <c r="AA61" s="134">
        <v>11.2499999999997</v>
      </c>
      <c r="AB61" s="134">
        <v>5.3932584269663897</v>
      </c>
      <c r="AC61" s="134">
        <v>10.874200426439099</v>
      </c>
      <c r="AD61" s="134">
        <v>3.8461538461540901</v>
      </c>
      <c r="AE61" s="134">
        <v>4.0740740740738399</v>
      </c>
      <c r="AF61" s="134">
        <v>4.5551601423488401</v>
      </c>
      <c r="AG61" s="134">
        <v>10.6535057862491</v>
      </c>
      <c r="AH61" s="134">
        <v>9.5509074131036105</v>
      </c>
      <c r="AI61" s="134">
        <v>3.1166643268286101</v>
      </c>
      <c r="AJ61" s="134">
        <v>5.7883959044369702</v>
      </c>
      <c r="AK61" s="134">
        <v>3.45205833010708</v>
      </c>
      <c r="AL61" s="134">
        <v>8.3515249797292697</v>
      </c>
      <c r="AM61" s="134">
        <v>5.9636196177757599</v>
      </c>
      <c r="AN61" s="134">
        <v>8.5560625814863407</v>
      </c>
      <c r="AO61" s="134">
        <v>4.3942350998347699</v>
      </c>
      <c r="AP61" s="134">
        <v>4.3564337451045301</v>
      </c>
      <c r="AQ61" s="134">
        <v>-2.4774566851983502</v>
      </c>
      <c r="AR61" s="134">
        <v>3.3499647231789398</v>
      </c>
      <c r="AS61" s="134">
        <v>1.8845341007676499</v>
      </c>
      <c r="AT61" s="134">
        <v>1.1881703862052799</v>
      </c>
      <c r="AU61" s="134">
        <v>-1.8908217230618001</v>
      </c>
      <c r="AV61" s="134">
        <v>0.41889161285517001</v>
      </c>
      <c r="AW61" s="134">
        <v>5.3690768706554897</v>
      </c>
      <c r="AX61" s="134">
        <v>4.4109970419348903</v>
      </c>
      <c r="AY61" s="134">
        <v>6.7744354637114297</v>
      </c>
      <c r="AZ61" s="134">
        <v>0.99110348056808495</v>
      </c>
      <c r="BA61" s="134">
        <v>2.0786647090642401</v>
      </c>
      <c r="BB61" s="134">
        <v>4.4738834216502301</v>
      </c>
      <c r="BC61" s="134">
        <v>2.5403964416710898</v>
      </c>
      <c r="BD61" s="134">
        <v>1.50654285701407</v>
      </c>
      <c r="BE61" s="134">
        <v>-0.238778144990624</v>
      </c>
      <c r="BF61" s="134">
        <v>0.131187999024545</v>
      </c>
      <c r="BG61" s="134">
        <v>-1.4078163709170599</v>
      </c>
      <c r="BH61" s="134">
        <v>0.78441525110133403</v>
      </c>
      <c r="BI61" s="134">
        <v>1.2569956669050899</v>
      </c>
      <c r="BJ61" s="134">
        <v>1.1066667429606301</v>
      </c>
      <c r="BK61" s="134">
        <v>0.60579580839538505</v>
      </c>
      <c r="BL61" s="134">
        <v>1.86215297494647</v>
      </c>
      <c r="BM61" s="134">
        <v>7.93092925430087</v>
      </c>
      <c r="BN61" s="134">
        <v>3.72437517668748</v>
      </c>
      <c r="BO61" s="135">
        <v>1.0481700109196499</v>
      </c>
    </row>
    <row r="62" spans="1:67">
      <c r="A62" s="149"/>
      <c r="B62" s="4" t="s">
        <v>3</v>
      </c>
      <c r="C62" s="138"/>
      <c r="D62" s="138"/>
      <c r="E62" s="138"/>
      <c r="F62" s="138"/>
      <c r="G62" s="138"/>
      <c r="H62" s="138"/>
      <c r="I62" s="138"/>
      <c r="J62" s="138"/>
      <c r="K62" s="138"/>
      <c r="L62" s="138"/>
      <c r="M62" s="138"/>
      <c r="N62" s="138"/>
      <c r="O62" s="138"/>
      <c r="P62" s="138"/>
      <c r="Q62" s="138"/>
      <c r="R62" s="138"/>
      <c r="S62" s="138"/>
      <c r="T62" s="138"/>
      <c r="U62" s="138"/>
      <c r="V62" s="138"/>
      <c r="W62" s="117">
        <v>8.8364520373798427</v>
      </c>
      <c r="X62" s="117">
        <v>8.835326311054466</v>
      </c>
      <c r="Y62" s="117">
        <v>8.8363708530413785</v>
      </c>
      <c r="Z62" s="117">
        <v>8.8359353601752932</v>
      </c>
      <c r="AA62" s="117">
        <v>8.8359932593180019</v>
      </c>
      <c r="AB62" s="117">
        <v>8.8367409284801042</v>
      </c>
      <c r="AC62" s="117">
        <v>8.8357276572858812</v>
      </c>
      <c r="AD62" s="117">
        <v>8.8359391943847463</v>
      </c>
      <c r="AE62" s="117">
        <v>8.8357725414853743</v>
      </c>
      <c r="AF62" s="117">
        <v>8.8366243470757251</v>
      </c>
      <c r="AG62" s="117">
        <v>8.8364537915704879</v>
      </c>
      <c r="AH62" s="117">
        <v>8.8362879566710966</v>
      </c>
      <c r="AI62" s="117">
        <v>8.8365024036475983</v>
      </c>
      <c r="AJ62" s="117">
        <v>8.8359144715295006</v>
      </c>
      <c r="AK62" s="117">
        <v>8.8360544729516217</v>
      </c>
      <c r="AL62" s="117">
        <v>8.8364048348495317</v>
      </c>
      <c r="AM62" s="117">
        <v>8.8364593616321159</v>
      </c>
      <c r="AN62" s="117">
        <v>8.8363055128968568</v>
      </c>
      <c r="AO62" s="117">
        <v>8.8362634879730333</v>
      </c>
      <c r="AP62" s="117">
        <v>8.8359530712085519</v>
      </c>
      <c r="AQ62" s="117">
        <v>8.8363140588659874</v>
      </c>
      <c r="AR62" s="117">
        <v>8.8362607976298122</v>
      </c>
      <c r="AS62" s="117">
        <v>8.8361767506080149</v>
      </c>
      <c r="AT62" s="117">
        <v>8.8361298785384257</v>
      </c>
      <c r="AU62" s="117">
        <v>8.8360271791823095</v>
      </c>
      <c r="AV62" s="117">
        <v>8.8362810809138335</v>
      </c>
      <c r="AW62" s="117">
        <v>8.8361793326731437</v>
      </c>
      <c r="AX62" s="117">
        <v>8.9753419669709089</v>
      </c>
      <c r="AY62" s="117">
        <v>8.2213472287520233</v>
      </c>
      <c r="AZ62" s="117">
        <v>9.3119386719777548</v>
      </c>
      <c r="BA62" s="117">
        <v>9.6388970389302475</v>
      </c>
      <c r="BB62" s="117">
        <v>9.9564037480673946</v>
      </c>
      <c r="BC62" s="117">
        <v>8.9458743831530096</v>
      </c>
      <c r="BD62" s="117">
        <v>9.0483953184764374</v>
      </c>
      <c r="BE62" s="117">
        <v>9.6764724781771569</v>
      </c>
      <c r="BF62" s="117">
        <v>10.136198306976137</v>
      </c>
      <c r="BG62" s="117">
        <v>10.672895576896163</v>
      </c>
      <c r="BH62" s="117">
        <v>11.901316448466275</v>
      </c>
      <c r="BI62" s="117">
        <v>12.909022989085988</v>
      </c>
      <c r="BJ62" s="117">
        <v>12.773460632522607</v>
      </c>
      <c r="BK62" s="117">
        <v>5.6717521084051921</v>
      </c>
      <c r="BL62" s="117">
        <v>9.9170341801411315</v>
      </c>
      <c r="BM62" s="117">
        <v>12.94702751170159</v>
      </c>
      <c r="BN62" s="117">
        <v>10.354880613022758</v>
      </c>
      <c r="BO62" s="127">
        <v>9.9114767043602079</v>
      </c>
    </row>
    <row r="63" spans="1:67">
      <c r="A63" s="149" t="s">
        <v>19</v>
      </c>
      <c r="B63" s="4" t="s">
        <v>4</v>
      </c>
      <c r="C63" s="138"/>
      <c r="D63" s="138"/>
      <c r="E63" s="138"/>
      <c r="F63" s="138"/>
      <c r="G63" s="138"/>
      <c r="H63" s="138"/>
      <c r="I63" s="138"/>
      <c r="J63" s="138"/>
      <c r="K63" s="138"/>
      <c r="L63" s="138"/>
      <c r="M63" s="138"/>
      <c r="N63" s="138"/>
      <c r="O63" s="138"/>
      <c r="P63" s="138"/>
      <c r="Q63" s="138"/>
      <c r="R63" s="138"/>
      <c r="S63" s="138"/>
      <c r="T63" s="138"/>
      <c r="U63" s="138"/>
      <c r="V63" s="138"/>
      <c r="W63" s="117">
        <v>26.919731471775542</v>
      </c>
      <c r="X63" s="117">
        <v>26.920193425047795</v>
      </c>
      <c r="Y63" s="117">
        <v>26.920914232791983</v>
      </c>
      <c r="Z63" s="117">
        <v>26.921391399616546</v>
      </c>
      <c r="AA63" s="117">
        <v>26.92059873116574</v>
      </c>
      <c r="AB63" s="117">
        <v>26.920944546904877</v>
      </c>
      <c r="AC63" s="117">
        <v>26.920889054371322</v>
      </c>
      <c r="AD63" s="117">
        <v>26.920877777558704</v>
      </c>
      <c r="AE63" s="117">
        <v>26.920758697330999</v>
      </c>
      <c r="AF63" s="117">
        <v>26.921135009593051</v>
      </c>
      <c r="AG63" s="117">
        <v>26.920577925963922</v>
      </c>
      <c r="AH63" s="117">
        <v>26.92092307949483</v>
      </c>
      <c r="AI63" s="117">
        <v>26.920853088398061</v>
      </c>
      <c r="AJ63" s="117">
        <v>26.921037445998845</v>
      </c>
      <c r="AK63" s="117">
        <v>26.92122488902265</v>
      </c>
      <c r="AL63" s="117">
        <v>26.920833696461017</v>
      </c>
      <c r="AM63" s="117">
        <v>26.921355709114842</v>
      </c>
      <c r="AN63" s="117">
        <v>26.920738395963266</v>
      </c>
      <c r="AO63" s="117">
        <v>26.920986583779626</v>
      </c>
      <c r="AP63" s="117">
        <v>26.921204022467837</v>
      </c>
      <c r="AQ63" s="117">
        <v>26.921164487930067</v>
      </c>
      <c r="AR63" s="117">
        <v>26.920968083264395</v>
      </c>
      <c r="AS63" s="117">
        <v>26.920942320968493</v>
      </c>
      <c r="AT63" s="117">
        <v>26.920829251680662</v>
      </c>
      <c r="AU63" s="117">
        <v>26.921035937007499</v>
      </c>
      <c r="AV63" s="117">
        <v>26.921128253125982</v>
      </c>
      <c r="AW63" s="117">
        <v>26.921095231656917</v>
      </c>
      <c r="AX63" s="117">
        <v>24.180837245778587</v>
      </c>
      <c r="AY63" s="117">
        <v>27.997179125528916</v>
      </c>
      <c r="AZ63" s="117">
        <v>28.584983653376423</v>
      </c>
      <c r="BA63" s="117">
        <v>29.911208758808577</v>
      </c>
      <c r="BB63" s="117">
        <v>30.044544836121371</v>
      </c>
      <c r="BC63" s="117">
        <v>31.864568022387761</v>
      </c>
      <c r="BD63" s="117">
        <v>30.194935105884714</v>
      </c>
      <c r="BE63" s="117">
        <v>29.559351937390328</v>
      </c>
      <c r="BF63" s="117">
        <v>27.668753764480115</v>
      </c>
      <c r="BG63" s="117">
        <v>26.459984138937575</v>
      </c>
      <c r="BH63" s="117">
        <v>28.26304247288568</v>
      </c>
      <c r="BI63" s="117">
        <v>30.087130352257006</v>
      </c>
      <c r="BJ63" s="117">
        <v>29.494617902495779</v>
      </c>
      <c r="BK63" s="117">
        <v>28.058182507343883</v>
      </c>
      <c r="BL63" s="117">
        <v>32.150689469466613</v>
      </c>
      <c r="BM63" s="117">
        <v>37.441742976536595</v>
      </c>
      <c r="BN63" s="117">
        <v>35.328898310558721</v>
      </c>
      <c r="BO63" s="127">
        <v>34.461700052305709</v>
      </c>
    </row>
    <row r="64" spans="1:67">
      <c r="A64" s="88"/>
      <c r="B64" s="7" t="s">
        <v>47</v>
      </c>
      <c r="C64" s="138"/>
      <c r="D64" s="138"/>
      <c r="E64" s="138"/>
      <c r="F64" s="138"/>
      <c r="G64" s="138"/>
      <c r="H64" s="138"/>
      <c r="I64" s="138"/>
      <c r="J64" s="138"/>
      <c r="K64" s="138"/>
      <c r="L64" s="138"/>
      <c r="M64" s="138"/>
      <c r="N64" s="138"/>
      <c r="O64" s="138"/>
      <c r="P64" s="138"/>
      <c r="Q64" s="138"/>
      <c r="R64" s="138"/>
      <c r="S64" s="138"/>
      <c r="T64" s="138"/>
      <c r="U64" s="138"/>
      <c r="V64" s="138"/>
      <c r="W64" s="138"/>
      <c r="X64" s="138"/>
      <c r="Y64" s="138"/>
      <c r="Z64" s="138"/>
      <c r="AA64" s="138"/>
      <c r="AB64" s="138"/>
      <c r="AC64" s="138"/>
      <c r="AD64" s="138"/>
      <c r="AE64" s="138"/>
      <c r="AF64" s="138"/>
      <c r="AG64" s="138"/>
      <c r="AH64" s="138"/>
      <c r="AI64" s="138"/>
      <c r="AJ64" s="138"/>
      <c r="AK64" s="138"/>
      <c r="AL64" s="138"/>
      <c r="AM64" s="138"/>
      <c r="AN64" s="138"/>
      <c r="AO64" s="138"/>
      <c r="AP64" s="138"/>
      <c r="AQ64" s="138"/>
      <c r="AR64" s="117">
        <v>5.5545939481681001</v>
      </c>
      <c r="AS64" s="117">
        <v>3.5330421430807899</v>
      </c>
      <c r="AT64" s="117">
        <v>3.79908136671903</v>
      </c>
      <c r="AU64" s="117">
        <v>4.4749928907810501</v>
      </c>
      <c r="AV64" s="117">
        <v>3.0133239505812002</v>
      </c>
      <c r="AW64" s="117">
        <v>3.3743636012120701</v>
      </c>
      <c r="AX64" s="117">
        <v>4.4661671009813402</v>
      </c>
      <c r="AY64" s="117">
        <v>1.7007817628452599</v>
      </c>
      <c r="AZ64" s="117">
        <v>4.3623482932571802</v>
      </c>
      <c r="BA64" s="117">
        <v>3.35475770328922</v>
      </c>
      <c r="BB64" s="117">
        <v>1.8426630075621</v>
      </c>
      <c r="BC64" s="117">
        <v>6.3147445031519602</v>
      </c>
      <c r="BD64" s="117">
        <v>-4.2948733153673597</v>
      </c>
      <c r="BE64" s="138"/>
      <c r="BF64" s="138"/>
      <c r="BG64" s="138"/>
      <c r="BH64" s="138"/>
      <c r="BI64" s="138"/>
      <c r="BJ64" s="138"/>
      <c r="BK64" s="138"/>
      <c r="BL64" s="138"/>
      <c r="BM64" s="138"/>
      <c r="BN64" s="138"/>
      <c r="BO64" s="139"/>
    </row>
    <row r="65" spans="1:67">
      <c r="A65" s="149" t="s">
        <v>20</v>
      </c>
      <c r="B65" s="4" t="s">
        <v>3</v>
      </c>
      <c r="C65" s="117">
        <v>20.453325345058591</v>
      </c>
      <c r="D65" s="117">
        <v>19.459555373419391</v>
      </c>
      <c r="E65" s="117">
        <v>30.489597279561465</v>
      </c>
      <c r="F65" s="117">
        <v>36.472898948615565</v>
      </c>
      <c r="G65" s="117">
        <v>38.152601745003992</v>
      </c>
      <c r="H65" s="117">
        <v>36.008223043575505</v>
      </c>
      <c r="I65" s="117">
        <v>29.889298892988929</v>
      </c>
      <c r="J65" s="117">
        <v>30.479457273879667</v>
      </c>
      <c r="K65" s="117">
        <v>30.385836012861738</v>
      </c>
      <c r="L65" s="117">
        <v>32.075490319587999</v>
      </c>
      <c r="M65" s="117">
        <v>34.736828947368423</v>
      </c>
      <c r="N65" s="117">
        <v>32.581725169653268</v>
      </c>
      <c r="O65" s="117">
        <v>28.309178743961354</v>
      </c>
      <c r="P65" s="117">
        <v>31.622516556291391</v>
      </c>
      <c r="Q65" s="117">
        <v>53.229183818310858</v>
      </c>
      <c r="R65" s="117">
        <v>35.888077858880777</v>
      </c>
      <c r="S65" s="117">
        <v>40.377154742096508</v>
      </c>
      <c r="T65" s="117">
        <v>45.584994680851068</v>
      </c>
      <c r="U65" s="117">
        <v>43.721437216338884</v>
      </c>
      <c r="V65" s="117">
        <v>47.411764705882355</v>
      </c>
      <c r="W65" s="117">
        <v>60.016648168701451</v>
      </c>
      <c r="X65" s="117">
        <v>58.021044858777927</v>
      </c>
      <c r="Y65" s="117">
        <v>55.267605633802816</v>
      </c>
      <c r="Z65" s="117">
        <v>57.945445445445444</v>
      </c>
      <c r="AA65" s="117">
        <v>61.627543035993739</v>
      </c>
      <c r="AB65" s="117">
        <v>56.788215904408737</v>
      </c>
      <c r="AC65" s="117">
        <v>39.833700934944275</v>
      </c>
      <c r="AD65" s="117">
        <v>41.734306133846935</v>
      </c>
      <c r="AE65" s="117">
        <v>40.622154779969648</v>
      </c>
      <c r="AF65" s="117">
        <v>48.524202019474103</v>
      </c>
      <c r="AG65" s="117">
        <v>51.777359580052497</v>
      </c>
      <c r="AH65" s="117">
        <v>41.634588526083</v>
      </c>
      <c r="AI65" s="117">
        <v>40.692096921689853</v>
      </c>
      <c r="AJ65" s="117">
        <v>42.836370569661888</v>
      </c>
      <c r="AK65" s="117">
        <v>58.517021254937085</v>
      </c>
      <c r="AL65" s="117">
        <v>64.704570157167211</v>
      </c>
      <c r="AM65" s="117">
        <v>68.458213433869346</v>
      </c>
      <c r="AN65" s="117">
        <v>75.596639374492881</v>
      </c>
      <c r="AO65" s="117">
        <v>76.277629771324229</v>
      </c>
      <c r="AP65" s="117">
        <v>72.290071068791832</v>
      </c>
      <c r="AQ65" s="117">
        <v>80.297147219193022</v>
      </c>
      <c r="AR65" s="117">
        <v>77.420026851535411</v>
      </c>
      <c r="AS65" s="117">
        <v>81.516425483395878</v>
      </c>
      <c r="AT65" s="117">
        <v>80.812365597007584</v>
      </c>
      <c r="AU65" s="117">
        <v>80.529792833292618</v>
      </c>
      <c r="AV65" s="117">
        <v>75.005083751417828</v>
      </c>
      <c r="AW65" s="117">
        <v>77.464129457156076</v>
      </c>
      <c r="AX65" s="117">
        <v>68.485390720265826</v>
      </c>
      <c r="AY65" s="117">
        <v>73.40291852881451</v>
      </c>
      <c r="AZ65" s="117">
        <v>64.479912106444971</v>
      </c>
      <c r="BA65" s="117">
        <v>68.528091530093917</v>
      </c>
      <c r="BB65" s="117">
        <v>73.611732739389538</v>
      </c>
      <c r="BC65" s="117">
        <v>58.082027819955393</v>
      </c>
      <c r="BD65" s="117">
        <v>52.934340584028206</v>
      </c>
      <c r="BE65" s="117">
        <v>53.1336383710482</v>
      </c>
      <c r="BF65" s="117">
        <v>40.857048793450225</v>
      </c>
      <c r="BG65" s="117">
        <v>42.068526050080983</v>
      </c>
      <c r="BH65" s="117">
        <v>47.962731658839409</v>
      </c>
      <c r="BI65" s="117">
        <v>62.210592295054767</v>
      </c>
      <c r="BJ65" s="117">
        <v>56.1988143702835</v>
      </c>
      <c r="BK65" s="117">
        <v>40.719043279298845</v>
      </c>
      <c r="BL65" s="117">
        <v>52.836570858623332</v>
      </c>
      <c r="BM65" s="117">
        <v>63.812146856292493</v>
      </c>
      <c r="BN65" s="117">
        <v>56.89592780338586</v>
      </c>
      <c r="BO65" s="127">
        <v>52.779644095168955</v>
      </c>
    </row>
    <row r="66" spans="1:67">
      <c r="A66" s="149"/>
      <c r="B66" s="4" t="s">
        <v>4</v>
      </c>
      <c r="C66" s="117">
        <v>85.607166764921544</v>
      </c>
      <c r="D66" s="117">
        <v>83.661202087079161</v>
      </c>
      <c r="E66" s="117">
        <v>62.951714409130219</v>
      </c>
      <c r="F66" s="117">
        <v>57.847522095298622</v>
      </c>
      <c r="G66" s="117">
        <v>56.449010929349129</v>
      </c>
      <c r="H66" s="117">
        <v>53.08640882995703</v>
      </c>
      <c r="I66" s="117">
        <v>51.107011070110694</v>
      </c>
      <c r="J66" s="117">
        <v>55.821944490058982</v>
      </c>
      <c r="K66" s="117">
        <v>57.234742765273317</v>
      </c>
      <c r="L66" s="117">
        <v>56.894082376825764</v>
      </c>
      <c r="M66" s="117">
        <v>57.763144736842108</v>
      </c>
      <c r="N66" s="117">
        <v>52.649362125356667</v>
      </c>
      <c r="O66" s="117">
        <v>51.78744927536232</v>
      </c>
      <c r="P66" s="117">
        <v>43.377475165562913</v>
      </c>
      <c r="Q66" s="117">
        <v>59.474733853797026</v>
      </c>
      <c r="R66" s="117">
        <v>63.746958637469589</v>
      </c>
      <c r="S66" s="117">
        <v>66.555740432612311</v>
      </c>
      <c r="T66" s="117">
        <v>65.265957446808514</v>
      </c>
      <c r="U66" s="117">
        <v>61.069087241553198</v>
      </c>
      <c r="V66" s="117">
        <v>48.627450980392155</v>
      </c>
      <c r="W66" s="117">
        <v>60.127635960044387</v>
      </c>
      <c r="X66" s="117">
        <v>76.093778844378818</v>
      </c>
      <c r="Y66" s="117">
        <v>68.507042253521121</v>
      </c>
      <c r="Z66" s="117">
        <v>51.764264264264256</v>
      </c>
      <c r="AA66" s="117">
        <v>45.623369848721964</v>
      </c>
      <c r="AB66" s="117">
        <v>56.005356407086936</v>
      </c>
      <c r="AC66" s="117">
        <v>53.668533952725781</v>
      </c>
      <c r="AD66" s="117">
        <v>38.62088634939964</v>
      </c>
      <c r="AE66" s="117">
        <v>40.42488619119878</v>
      </c>
      <c r="AF66" s="117">
        <v>34.828807303024576</v>
      </c>
      <c r="AG66" s="117">
        <v>19.041994750656169</v>
      </c>
      <c r="AH66" s="117">
        <v>28.049954468583323</v>
      </c>
      <c r="AI66" s="117">
        <v>16.448608964451314</v>
      </c>
      <c r="AJ66" s="117">
        <v>31.339823707406921</v>
      </c>
      <c r="AK66" s="117">
        <v>74.219227167229946</v>
      </c>
      <c r="AL66" s="117">
        <v>63.60793410338951</v>
      </c>
      <c r="AM66" s="117">
        <v>59.94944987304762</v>
      </c>
      <c r="AN66" s="117">
        <v>60.161540163753045</v>
      </c>
      <c r="AO66" s="117">
        <v>72.624032692809322</v>
      </c>
      <c r="AP66" s="117">
        <v>59.104119229973094</v>
      </c>
      <c r="AQ66" s="117">
        <v>43.612737186477645</v>
      </c>
      <c r="AR66" s="117">
        <v>53.312454230337359</v>
      </c>
      <c r="AS66" s="117">
        <v>53.939645588864082</v>
      </c>
      <c r="AT66" s="117">
        <v>76.049411738360078</v>
      </c>
      <c r="AU66" s="117">
        <v>50.838405884029648</v>
      </c>
      <c r="AV66" s="117">
        <v>44.547808510984183</v>
      </c>
      <c r="AW66" s="117">
        <v>48.136633517334694</v>
      </c>
      <c r="AX66" s="117">
        <v>80.101234674802996</v>
      </c>
      <c r="AY66" s="117">
        <v>59.705568130793942</v>
      </c>
      <c r="AZ66" s="117">
        <v>71.07245357553046</v>
      </c>
      <c r="BA66" s="117">
        <v>55.536662869513457</v>
      </c>
      <c r="BB66" s="117">
        <v>50.980009970751915</v>
      </c>
      <c r="BC66" s="117">
        <v>39.362407325487631</v>
      </c>
      <c r="BD66" s="117">
        <v>40.06852280749532</v>
      </c>
      <c r="BE66" s="117">
        <v>51.063981732368688</v>
      </c>
      <c r="BF66" s="117">
        <v>76.463672765130937</v>
      </c>
      <c r="BG66" s="117">
        <v>80.191292233939691</v>
      </c>
      <c r="BH66" s="117">
        <v>46.654363599502744</v>
      </c>
      <c r="BI66" s="117">
        <v>38.372624484658971</v>
      </c>
      <c r="BJ66" s="117">
        <v>35.376940422753947</v>
      </c>
      <c r="BK66" s="117">
        <v>28.587581439540838</v>
      </c>
      <c r="BL66" s="117">
        <v>32.70963229659543</v>
      </c>
      <c r="BM66" s="117">
        <v>34.349189835907588</v>
      </c>
      <c r="BN66" s="117">
        <v>39.314466600575962</v>
      </c>
      <c r="BO66" s="127">
        <v>40.40847982876474</v>
      </c>
    </row>
    <row r="67" spans="1:67">
      <c r="A67" s="88"/>
      <c r="B67" s="7" t="s">
        <v>47</v>
      </c>
      <c r="C67" s="138"/>
      <c r="D67" s="138"/>
      <c r="E67" s="138"/>
      <c r="F67" s="138"/>
      <c r="G67" s="138"/>
      <c r="H67" s="138"/>
      <c r="I67" s="138"/>
      <c r="J67" s="138"/>
      <c r="K67" s="138"/>
      <c r="L67" s="138"/>
      <c r="M67" s="138"/>
      <c r="N67" s="138"/>
      <c r="O67" s="138"/>
      <c r="P67" s="138"/>
      <c r="Q67" s="138"/>
      <c r="R67" s="138"/>
      <c r="S67" s="138"/>
      <c r="T67" s="138"/>
      <c r="U67" s="138"/>
      <c r="V67" s="138"/>
      <c r="W67" s="138"/>
      <c r="X67" s="138"/>
      <c r="Y67" s="138"/>
      <c r="Z67" s="138"/>
      <c r="AA67" s="138"/>
      <c r="AB67" s="138"/>
      <c r="AC67" s="117">
        <v>4.1581108829567803</v>
      </c>
      <c r="AD67" s="117">
        <v>0.44356826022684398</v>
      </c>
      <c r="AE67" s="117">
        <v>1.0304219823355001</v>
      </c>
      <c r="AF67" s="117">
        <v>-1.7969888295288501</v>
      </c>
      <c r="AG67" s="117">
        <v>2.88905374216947</v>
      </c>
      <c r="AH67" s="117">
        <v>-1.67834968956537</v>
      </c>
      <c r="AI67" s="117">
        <v>-3.9354681007088099</v>
      </c>
      <c r="AJ67" s="117">
        <v>4.9236641221374304</v>
      </c>
      <c r="AK67" s="117">
        <v>42.439675033345203</v>
      </c>
      <c r="AL67" s="117">
        <v>9.4180074345222806</v>
      </c>
      <c r="AM67" s="117">
        <v>10.0311203319503</v>
      </c>
      <c r="AN67" s="138"/>
      <c r="AO67" s="138"/>
      <c r="AP67" s="117">
        <v>4.1426713728404803</v>
      </c>
      <c r="AQ67" s="117">
        <v>-0.88199151702543099</v>
      </c>
      <c r="AR67" s="117">
        <v>5.5989921814058298E-2</v>
      </c>
      <c r="AS67" s="117">
        <v>4.3787597178087303</v>
      </c>
      <c r="AT67" s="117">
        <v>-0.63184498736315597</v>
      </c>
      <c r="AU67" s="117">
        <v>2.4297660796179898</v>
      </c>
      <c r="AV67" s="117">
        <v>3.09449011456182</v>
      </c>
      <c r="AW67" s="117">
        <v>6.5378439529960399</v>
      </c>
      <c r="AX67" s="117">
        <v>2.65464645060703</v>
      </c>
      <c r="AY67" s="117">
        <v>4.9587509202315196</v>
      </c>
      <c r="AZ67" s="117">
        <v>4.4150037479522304</v>
      </c>
      <c r="BA67" s="117">
        <v>0.39152501122761202</v>
      </c>
      <c r="BB67" s="117">
        <v>1.75958704273803</v>
      </c>
      <c r="BC67" s="117">
        <v>5.0101877313447103</v>
      </c>
      <c r="BD67" s="117">
        <v>4.6316161972946102</v>
      </c>
      <c r="BE67" s="117">
        <v>0.91213954545009701</v>
      </c>
      <c r="BF67" s="117">
        <v>3.1690979675082902</v>
      </c>
      <c r="BG67" s="117">
        <v>3.1905617972377298</v>
      </c>
      <c r="BH67" s="117">
        <v>0.45006382328554601</v>
      </c>
      <c r="BI67" s="117">
        <v>1.1527789637552299</v>
      </c>
      <c r="BJ67" s="117">
        <v>2.2060730578152499</v>
      </c>
      <c r="BK67" s="117">
        <v>1.79537147083108</v>
      </c>
      <c r="BL67" s="117">
        <v>1.7156427545126001</v>
      </c>
      <c r="BM67" s="117">
        <v>3.0434433469847799</v>
      </c>
      <c r="BN67" s="117">
        <v>4.3017456359101596</v>
      </c>
      <c r="BO67" s="127">
        <v>3.0914363091916601</v>
      </c>
    </row>
    <row r="68" spans="1:67">
      <c r="A68" s="149" t="s">
        <v>21</v>
      </c>
      <c r="B68" s="4" t="s">
        <v>3</v>
      </c>
      <c r="C68" s="138"/>
      <c r="D68" s="138"/>
      <c r="E68" s="138"/>
      <c r="F68" s="138"/>
      <c r="G68" s="138"/>
      <c r="H68" s="138"/>
      <c r="I68" s="138"/>
      <c r="J68" s="138"/>
      <c r="K68" s="138"/>
      <c r="L68" s="138"/>
      <c r="M68" s="138"/>
      <c r="N68" s="138"/>
      <c r="O68" s="138"/>
      <c r="P68" s="138"/>
      <c r="Q68" s="138"/>
      <c r="R68" s="138"/>
      <c r="S68" s="138"/>
      <c r="T68" s="138"/>
      <c r="U68" s="138"/>
      <c r="V68" s="138"/>
      <c r="W68" s="138"/>
      <c r="X68" s="138"/>
      <c r="Y68" s="138"/>
      <c r="Z68" s="138"/>
      <c r="AA68" s="138"/>
      <c r="AB68" s="138"/>
      <c r="AC68" s="138"/>
      <c r="AD68" s="138"/>
      <c r="AE68" s="138"/>
      <c r="AF68" s="138"/>
      <c r="AG68" s="138"/>
      <c r="AH68" s="138"/>
      <c r="AI68" s="138"/>
      <c r="AJ68" s="138"/>
      <c r="AK68" s="117">
        <v>22.62529441471721</v>
      </c>
      <c r="AL68" s="117">
        <v>28.482288310077802</v>
      </c>
      <c r="AM68" s="117">
        <v>30.002763085304622</v>
      </c>
      <c r="AN68" s="117">
        <v>18.750000234375001</v>
      </c>
      <c r="AO68" s="117">
        <v>29.790088287070827</v>
      </c>
      <c r="AP68" s="117">
        <v>23.635669919313624</v>
      </c>
      <c r="AQ68" s="117">
        <v>11.449612031342705</v>
      </c>
      <c r="AR68" s="117">
        <v>11.987684833485986</v>
      </c>
      <c r="AS68" s="117">
        <v>15.671342806788552</v>
      </c>
      <c r="AT68" s="117">
        <v>24.000443036255508</v>
      </c>
      <c r="AU68" s="117">
        <v>22.729513513102713</v>
      </c>
      <c r="AV68" s="117">
        <v>22.944182777446116</v>
      </c>
      <c r="AW68" s="117">
        <v>21.700098528687732</v>
      </c>
      <c r="AX68" s="117">
        <v>39.071913787980122</v>
      </c>
      <c r="AY68" s="117">
        <v>39.027799262648408</v>
      </c>
      <c r="AZ68" s="117">
        <v>26.813787810452478</v>
      </c>
      <c r="BA68" s="117">
        <v>41.111154153913965</v>
      </c>
      <c r="BB68" s="117">
        <v>39.515616666565464</v>
      </c>
      <c r="BC68" s="117">
        <v>30.803009017503115</v>
      </c>
      <c r="BD68" s="117">
        <v>36.445861311046698</v>
      </c>
      <c r="BE68" s="117">
        <v>36.832188850523565</v>
      </c>
      <c r="BF68" s="117">
        <v>27.725567800916885</v>
      </c>
      <c r="BG68" s="117">
        <v>23.956442202301126</v>
      </c>
      <c r="BH68" s="117">
        <v>35.250522178759631</v>
      </c>
      <c r="BI68" s="117">
        <v>32.553528264737139</v>
      </c>
      <c r="BJ68" s="117">
        <v>25.867665100961361</v>
      </c>
      <c r="BK68" s="117">
        <v>28.604951526329632</v>
      </c>
      <c r="BL68" s="117">
        <v>40.385829565186988</v>
      </c>
      <c r="BM68" s="117">
        <v>45.497949873267288</v>
      </c>
      <c r="BN68" s="117">
        <v>43.834444332126346</v>
      </c>
      <c r="BO68" s="127">
        <v>46.621770380744124</v>
      </c>
    </row>
    <row r="69" spans="1:67">
      <c r="A69" s="149"/>
      <c r="B69" s="4" t="s">
        <v>4</v>
      </c>
      <c r="C69" s="138"/>
      <c r="D69" s="138"/>
      <c r="E69" s="138"/>
      <c r="F69" s="138"/>
      <c r="G69" s="138"/>
      <c r="H69" s="138"/>
      <c r="I69" s="138"/>
      <c r="J69" s="138"/>
      <c r="K69" s="138"/>
      <c r="L69" s="138"/>
      <c r="M69" s="138"/>
      <c r="N69" s="138"/>
      <c r="O69" s="138"/>
      <c r="P69" s="138"/>
      <c r="Q69" s="138"/>
      <c r="R69" s="138"/>
      <c r="S69" s="138"/>
      <c r="T69" s="138"/>
      <c r="U69" s="138"/>
      <c r="V69" s="138"/>
      <c r="W69" s="138"/>
      <c r="X69" s="138"/>
      <c r="Y69" s="138"/>
      <c r="Z69" s="138"/>
      <c r="AA69" s="138"/>
      <c r="AB69" s="138"/>
      <c r="AC69" s="138"/>
      <c r="AD69" s="138"/>
      <c r="AE69" s="138"/>
      <c r="AF69" s="138"/>
      <c r="AG69" s="138"/>
      <c r="AH69" s="138"/>
      <c r="AI69" s="138"/>
      <c r="AJ69" s="138"/>
      <c r="AK69" s="117">
        <v>19.8914280534601</v>
      </c>
      <c r="AL69" s="117">
        <v>23.726243107720109</v>
      </c>
      <c r="AM69" s="117">
        <v>30.313493658109849</v>
      </c>
      <c r="AN69" s="117">
        <v>15.000000187500001</v>
      </c>
      <c r="AO69" s="117">
        <v>32.889218439516092</v>
      </c>
      <c r="AP69" s="117">
        <v>17.541990899839238</v>
      </c>
      <c r="AQ69" s="117">
        <v>15.564790891414154</v>
      </c>
      <c r="AR69" s="117">
        <v>13.054252680353148</v>
      </c>
      <c r="AS69" s="117">
        <v>13.645502836193574</v>
      </c>
      <c r="AT69" s="117">
        <v>30.030913141386399</v>
      </c>
      <c r="AU69" s="117">
        <v>26.606901112396709</v>
      </c>
      <c r="AV69" s="117">
        <v>29.370421917561789</v>
      </c>
      <c r="AW69" s="117">
        <v>26.263161094349634</v>
      </c>
      <c r="AX69" s="117">
        <v>41.070141264828628</v>
      </c>
      <c r="AY69" s="117">
        <v>44.744492388149851</v>
      </c>
      <c r="AZ69" s="117">
        <v>36.133091552203908</v>
      </c>
      <c r="BA69" s="117">
        <v>49.63645613904032</v>
      </c>
      <c r="BB69" s="117">
        <v>45.682527525376308</v>
      </c>
      <c r="BC69" s="117">
        <v>37.548702377700479</v>
      </c>
      <c r="BD69" s="117">
        <v>41.020083836179836</v>
      </c>
      <c r="BE69" s="117">
        <v>41.857961273692432</v>
      </c>
      <c r="BF69" s="117">
        <v>31.606863163507647</v>
      </c>
      <c r="BG69" s="117">
        <v>31.968768060110442</v>
      </c>
      <c r="BH69" s="117">
        <v>39.040857438430734</v>
      </c>
      <c r="BI69" s="117">
        <v>37.366200885444563</v>
      </c>
      <c r="BJ69" s="117">
        <v>29.367492939024075</v>
      </c>
      <c r="BK69" s="117">
        <v>29.886805801872629</v>
      </c>
      <c r="BL69" s="117">
        <v>40.095481855503614</v>
      </c>
      <c r="BM69" s="117">
        <v>48.230717012904847</v>
      </c>
      <c r="BN69" s="117">
        <v>46.577971539032617</v>
      </c>
      <c r="BO69" s="127">
        <v>50.872876671221036</v>
      </c>
    </row>
    <row r="70" spans="1:67">
      <c r="A70" s="88"/>
      <c r="B70" s="7" t="s">
        <v>47</v>
      </c>
      <c r="C70" s="138"/>
      <c r="D70" s="138"/>
      <c r="E70" s="138"/>
      <c r="F70" s="138"/>
      <c r="G70" s="117">
        <v>35.421064977788298</v>
      </c>
      <c r="H70" s="117">
        <v>-2.7269802776291501</v>
      </c>
      <c r="I70" s="117">
        <v>15.7801012491141</v>
      </c>
      <c r="J70" s="117">
        <v>36.926524872831799</v>
      </c>
      <c r="K70" s="117">
        <v>53.321672710773903</v>
      </c>
      <c r="L70" s="117">
        <v>6.17619573522314</v>
      </c>
      <c r="M70" s="117">
        <v>8.0252840454848702</v>
      </c>
      <c r="N70" s="117">
        <v>5.7773498259651603</v>
      </c>
      <c r="O70" s="117">
        <v>15.8042153907951</v>
      </c>
      <c r="P70" s="117">
        <v>15.6427621238194</v>
      </c>
      <c r="Q70" s="117">
        <v>29.469281045994499</v>
      </c>
      <c r="R70" s="117">
        <v>28.657970195226799</v>
      </c>
      <c r="S70" s="117">
        <v>80.385959075413993</v>
      </c>
      <c r="T70" s="117">
        <v>68.947708198999706</v>
      </c>
      <c r="U70" s="117">
        <v>48.769037611520197</v>
      </c>
      <c r="V70" s="117">
        <v>101.051260411497</v>
      </c>
      <c r="W70" s="117">
        <v>46.625906830330798</v>
      </c>
      <c r="X70" s="117">
        <v>35.408264874429399</v>
      </c>
      <c r="Y70" s="117">
        <v>36.699697574091402</v>
      </c>
      <c r="Z70" s="117">
        <v>76.526697666265804</v>
      </c>
      <c r="AA70" s="117">
        <v>52.227011357320798</v>
      </c>
      <c r="AB70" s="117">
        <v>23.820784521335</v>
      </c>
      <c r="AC70" s="117">
        <v>44.4</v>
      </c>
      <c r="AD70" s="117">
        <v>78.670360110803301</v>
      </c>
      <c r="AE70" s="117">
        <v>71.091731266150305</v>
      </c>
      <c r="AF70" s="117">
        <v>104.06522942826</v>
      </c>
      <c r="AG70" s="117">
        <v>81.295404814004002</v>
      </c>
      <c r="AH70" s="117">
        <v>2154.4368271134099</v>
      </c>
      <c r="AI70" s="117">
        <v>4129.1698566155801</v>
      </c>
      <c r="AJ70" s="117">
        <v>1986.9047619047601</v>
      </c>
      <c r="AK70" s="117">
        <v>23773.131774101599</v>
      </c>
      <c r="AL70" s="117">
        <v>541.90888323902698</v>
      </c>
      <c r="AM70" s="117">
        <v>492.44185023541399</v>
      </c>
      <c r="AN70" s="117">
        <v>198.51670741646299</v>
      </c>
      <c r="AO70" s="117">
        <v>29.148806923665202</v>
      </c>
      <c r="AP70" s="117">
        <v>284.89497591408701</v>
      </c>
      <c r="AQ70" s="117">
        <v>513.90684374753505</v>
      </c>
      <c r="AR70" s="117">
        <v>359.93661426458601</v>
      </c>
      <c r="AS70" s="117">
        <v>31.522582602549502</v>
      </c>
      <c r="AT70" s="117">
        <v>12.8739657187405</v>
      </c>
      <c r="AU70" s="117">
        <v>3.99438400815971</v>
      </c>
      <c r="AV70" s="117">
        <v>21.316816722934099</v>
      </c>
      <c r="AW70" s="117">
        <v>13.0526949745101</v>
      </c>
      <c r="AX70" s="117">
        <v>16.945100654194999</v>
      </c>
      <c r="AY70" s="117">
        <v>17.301384570015699</v>
      </c>
      <c r="AZ70" s="117">
        <v>2.79999999999982</v>
      </c>
      <c r="BA70" s="117">
        <v>7.10000000000037</v>
      </c>
      <c r="BB70" s="117">
        <v>15.316515913949001</v>
      </c>
      <c r="BC70" s="117">
        <v>9.7218280627336409</v>
      </c>
      <c r="BD70" s="117">
        <v>0.80822310148711096</v>
      </c>
      <c r="BE70" s="117">
        <v>1.24303889760803</v>
      </c>
      <c r="BF70" s="117">
        <v>0.74419899478147</v>
      </c>
      <c r="BG70" s="117">
        <v>2.8858510728998801</v>
      </c>
      <c r="BH70" s="138"/>
      <c r="BI70" s="138"/>
      <c r="BJ70" s="138"/>
      <c r="BK70" s="138"/>
      <c r="BL70" s="138"/>
      <c r="BM70" s="138"/>
      <c r="BN70" s="138"/>
      <c r="BO70" s="139"/>
    </row>
    <row r="71" spans="1:67">
      <c r="A71" s="151" t="s">
        <v>23</v>
      </c>
      <c r="B71" s="4" t="s">
        <v>3</v>
      </c>
      <c r="C71" s="138"/>
      <c r="D71" s="138"/>
      <c r="E71" s="138"/>
      <c r="F71" s="138"/>
      <c r="G71" s="138"/>
      <c r="H71" s="138"/>
      <c r="I71" s="138"/>
      <c r="J71" s="138"/>
      <c r="K71" s="138"/>
      <c r="L71" s="138"/>
      <c r="M71" s="138"/>
      <c r="N71" s="138"/>
      <c r="O71" s="138"/>
      <c r="P71" s="138"/>
      <c r="Q71" s="138"/>
      <c r="R71" s="138"/>
      <c r="S71" s="138"/>
      <c r="T71" s="138"/>
      <c r="U71" s="138"/>
      <c r="V71" s="138"/>
      <c r="W71" s="138"/>
      <c r="X71" s="138"/>
      <c r="Y71" s="138"/>
      <c r="Z71" s="138"/>
      <c r="AA71" s="138"/>
      <c r="AB71" s="138"/>
      <c r="AC71" s="138"/>
      <c r="AD71" s="138"/>
      <c r="AE71" s="138"/>
      <c r="AF71" s="138"/>
      <c r="AG71" s="138"/>
      <c r="AH71" s="138"/>
      <c r="AI71" s="138"/>
      <c r="AJ71" s="138"/>
      <c r="AK71" s="138"/>
      <c r="AL71" s="138"/>
      <c r="AM71" s="138"/>
      <c r="AN71" s="138"/>
      <c r="AO71" s="138"/>
      <c r="AP71" s="138"/>
      <c r="AQ71" s="138"/>
      <c r="AR71" s="138"/>
      <c r="AS71" s="138"/>
      <c r="AT71" s="138"/>
      <c r="AU71" s="138"/>
      <c r="AV71" s="138"/>
      <c r="AW71" s="138"/>
      <c r="AX71" s="138"/>
      <c r="AY71" s="138"/>
      <c r="AZ71" s="138"/>
      <c r="BA71" s="138"/>
      <c r="BB71" s="138"/>
      <c r="BC71" s="138"/>
      <c r="BD71" s="132">
        <v>156.41410249353223</v>
      </c>
      <c r="BE71" s="132">
        <v>157.94932784160304</v>
      </c>
      <c r="BF71" s="132">
        <v>145.42130748010459</v>
      </c>
      <c r="BG71" s="132">
        <v>103.76402511209291</v>
      </c>
      <c r="BH71" s="132">
        <v>150.09836147049361</v>
      </c>
      <c r="BI71" s="132">
        <v>156.61998652227186</v>
      </c>
      <c r="BJ71" s="132">
        <v>166.71786448138434</v>
      </c>
      <c r="BK71" s="132">
        <v>117.13485403547598</v>
      </c>
      <c r="BL71" s="132">
        <v>142.72819397409452</v>
      </c>
      <c r="BM71" s="132">
        <v>159.25073552880761</v>
      </c>
      <c r="BN71" s="132">
        <v>150.02156819142709</v>
      </c>
      <c r="BO71" s="133">
        <v>160.79163061575343</v>
      </c>
    </row>
    <row r="72" spans="1:67">
      <c r="A72" s="149"/>
      <c r="B72" s="4" t="s">
        <v>4</v>
      </c>
      <c r="C72" s="138"/>
      <c r="D72" s="138"/>
      <c r="E72" s="138"/>
      <c r="F72" s="138"/>
      <c r="G72" s="138"/>
      <c r="H72" s="138"/>
      <c r="I72" s="138"/>
      <c r="J72" s="138"/>
      <c r="K72" s="138"/>
      <c r="L72" s="138"/>
      <c r="M72" s="138"/>
      <c r="N72" s="138"/>
      <c r="O72" s="138"/>
      <c r="P72" s="138"/>
      <c r="Q72" s="138"/>
      <c r="R72" s="138"/>
      <c r="S72" s="138"/>
      <c r="T72" s="138"/>
      <c r="U72" s="138"/>
      <c r="V72" s="138"/>
      <c r="W72" s="138"/>
      <c r="X72" s="138"/>
      <c r="Y72" s="138"/>
      <c r="Z72" s="138"/>
      <c r="AA72" s="138"/>
      <c r="AB72" s="138"/>
      <c r="AC72" s="138"/>
      <c r="AD72" s="138"/>
      <c r="AE72" s="138"/>
      <c r="AF72" s="138"/>
      <c r="AG72" s="138"/>
      <c r="AH72" s="138"/>
      <c r="AI72" s="138"/>
      <c r="AJ72" s="138"/>
      <c r="AK72" s="138"/>
      <c r="AL72" s="138"/>
      <c r="AM72" s="138"/>
      <c r="AN72" s="138"/>
      <c r="AO72" s="138"/>
      <c r="AP72" s="138"/>
      <c r="AQ72" s="138"/>
      <c r="AR72" s="138"/>
      <c r="AS72" s="138"/>
      <c r="AT72" s="138"/>
      <c r="AU72" s="138"/>
      <c r="AV72" s="138"/>
      <c r="AW72" s="138"/>
      <c r="AX72" s="138"/>
      <c r="AY72" s="138"/>
      <c r="AZ72" s="138"/>
      <c r="BA72" s="138"/>
      <c r="BB72" s="138"/>
      <c r="BC72" s="138"/>
      <c r="BD72" s="132">
        <v>191.30621456487034</v>
      </c>
      <c r="BE72" s="132">
        <v>140.61520797964801</v>
      </c>
      <c r="BF72" s="132">
        <v>122.94214877452457</v>
      </c>
      <c r="BG72" s="132">
        <v>109.30797349582784</v>
      </c>
      <c r="BH72" s="132">
        <v>155.86960493297403</v>
      </c>
      <c r="BI72" s="132">
        <v>143.77891400157174</v>
      </c>
      <c r="BJ72" s="132">
        <v>154.22136588279542</v>
      </c>
      <c r="BK72" s="132">
        <v>108.61001728824724</v>
      </c>
      <c r="BL72" s="132">
        <v>120.74953475979666</v>
      </c>
      <c r="BM72" s="132">
        <v>143.03467370273754</v>
      </c>
      <c r="BN72" s="132">
        <v>134.51536050739315</v>
      </c>
      <c r="BO72" s="133">
        <v>148.25975405502331</v>
      </c>
    </row>
    <row r="73" spans="1:67">
      <c r="A73" s="88"/>
      <c r="B73" s="7" t="s">
        <v>47</v>
      </c>
      <c r="C73" s="138"/>
      <c r="D73" s="138"/>
      <c r="E73" s="138"/>
      <c r="F73" s="138"/>
      <c r="G73" s="138"/>
      <c r="H73" s="138"/>
      <c r="I73" s="138"/>
      <c r="J73" s="138"/>
      <c r="K73" s="138"/>
      <c r="L73" s="138"/>
      <c r="M73" s="138"/>
      <c r="N73" s="138"/>
      <c r="O73" s="138"/>
      <c r="P73" s="138"/>
      <c r="Q73" s="138"/>
      <c r="R73" s="138"/>
      <c r="S73" s="138"/>
      <c r="T73" s="138"/>
      <c r="U73" s="138"/>
      <c r="V73" s="138"/>
      <c r="W73" s="132">
        <v>12.058023572185601</v>
      </c>
      <c r="X73" s="132">
        <v>5.7173678537411803</v>
      </c>
      <c r="Y73" s="132">
        <v>-2.4107142857234498</v>
      </c>
      <c r="Z73" s="132">
        <v>0.90184289635687398</v>
      </c>
      <c r="AA73" s="132">
        <v>1.88471502578427</v>
      </c>
      <c r="AB73" s="132">
        <v>2.12890298848072</v>
      </c>
      <c r="AC73" s="132">
        <v>18.147633450986</v>
      </c>
      <c r="AD73" s="132">
        <v>4.0891164464121399</v>
      </c>
      <c r="AE73" s="138"/>
      <c r="AF73" s="138"/>
      <c r="AG73" s="138"/>
      <c r="AH73" s="138"/>
      <c r="AI73" s="138"/>
      <c r="AJ73" s="138"/>
      <c r="AK73" s="138"/>
      <c r="AL73" s="138"/>
      <c r="AM73" s="138"/>
      <c r="AN73" s="138"/>
      <c r="AO73" s="138"/>
      <c r="AP73" s="138"/>
      <c r="AQ73" s="138"/>
      <c r="AR73" s="132">
        <v>1.74665224985434</v>
      </c>
      <c r="AS73" s="132">
        <v>0.63761955366631995</v>
      </c>
      <c r="AT73" s="132">
        <v>1.9819673462754499</v>
      </c>
      <c r="AU73" s="132">
        <v>3.1222620469935398</v>
      </c>
      <c r="AV73" s="132">
        <v>3.1049664014829799</v>
      </c>
      <c r="AW73" s="132">
        <v>3.4834069967786601</v>
      </c>
      <c r="AX73" s="132">
        <v>4.9659765455330103</v>
      </c>
      <c r="AY73" s="132">
        <v>11.9586206896552</v>
      </c>
      <c r="AZ73" s="132">
        <v>1.6754958728596401</v>
      </c>
      <c r="BA73" s="132">
        <v>3.95007875923885</v>
      </c>
      <c r="BB73" s="132">
        <v>5.0687139477798997</v>
      </c>
      <c r="BC73" s="132">
        <v>3.7312095075688698</v>
      </c>
      <c r="BD73" s="132">
        <v>2.7060324287218198</v>
      </c>
      <c r="BE73" s="132">
        <v>1.3418649434015699</v>
      </c>
      <c r="BF73" s="132">
        <v>-0.84738973397199602</v>
      </c>
      <c r="BG73" s="132">
        <v>2.7384120873875499</v>
      </c>
      <c r="BH73" s="132">
        <v>0.56811211708480402</v>
      </c>
      <c r="BI73" s="132">
        <v>0.14797084987711001</v>
      </c>
      <c r="BJ73" s="132">
        <v>3.3192537270382698</v>
      </c>
      <c r="BK73" s="132">
        <v>1.7774078380617</v>
      </c>
      <c r="BL73" s="132">
        <v>1.1819177533980201</v>
      </c>
      <c r="BM73" s="132">
        <v>5.1798084796706103</v>
      </c>
      <c r="BN73" s="132">
        <v>1.4950681651508799</v>
      </c>
      <c r="BO73" s="133">
        <v>2.07655387954199</v>
      </c>
    </row>
    <row r="74" spans="1:67">
      <c r="A74" s="152" t="s">
        <v>25</v>
      </c>
      <c r="B74" s="4" t="s">
        <v>3</v>
      </c>
      <c r="C74" s="138"/>
      <c r="D74" s="138"/>
      <c r="E74" s="138"/>
      <c r="F74" s="138"/>
      <c r="G74" s="138"/>
      <c r="H74" s="138"/>
      <c r="I74" s="120">
        <v>36.170614312856237</v>
      </c>
      <c r="J74" s="120">
        <v>40.521470245040838</v>
      </c>
      <c r="K74" s="120">
        <v>39.990437317784256</v>
      </c>
      <c r="L74" s="120">
        <v>40.392879914984057</v>
      </c>
      <c r="M74" s="120">
        <v>37.791555759522716</v>
      </c>
      <c r="N74" s="120">
        <v>32.367248908296943</v>
      </c>
      <c r="O74" s="120">
        <v>33.773057432432438</v>
      </c>
      <c r="P74" s="120">
        <v>35.102656250000003</v>
      </c>
      <c r="Q74" s="120">
        <v>38.973032336790723</v>
      </c>
      <c r="R74" s="120">
        <v>44.708571428571432</v>
      </c>
      <c r="S74" s="120">
        <v>41.056851799418581</v>
      </c>
      <c r="T74" s="120">
        <v>36.735500794094179</v>
      </c>
      <c r="U74" s="120">
        <v>33.681222098214285</v>
      </c>
      <c r="V74" s="120">
        <v>34.959556631454497</v>
      </c>
      <c r="W74" s="120">
        <v>42.73621179470036</v>
      </c>
      <c r="X74" s="120">
        <v>43.961091907162626</v>
      </c>
      <c r="Y74" s="120">
        <v>44.334386805698337</v>
      </c>
      <c r="Z74" s="120">
        <v>50.488290041141681</v>
      </c>
      <c r="AA74" s="120">
        <v>51.124937067337953</v>
      </c>
      <c r="AB74" s="120">
        <v>43.864850105239206</v>
      </c>
      <c r="AC74" s="120">
        <v>46.624152146857497</v>
      </c>
      <c r="AD74" s="120">
        <v>49.41808687852383</v>
      </c>
      <c r="AE74" s="120">
        <v>50.365717320215765</v>
      </c>
      <c r="AF74" s="120">
        <v>55.059983985334796</v>
      </c>
      <c r="AG74" s="120">
        <v>59.902736256764058</v>
      </c>
      <c r="AH74" s="120">
        <v>29.43891965343769</v>
      </c>
      <c r="AI74" s="120">
        <v>30.592706669516613</v>
      </c>
      <c r="AJ74" s="120">
        <v>28.192015652740455</v>
      </c>
      <c r="AK74" s="120">
        <v>21.239618008447987</v>
      </c>
      <c r="AL74" s="120">
        <v>23.775649041675514</v>
      </c>
      <c r="AM74" s="120">
        <v>21.798671598445342</v>
      </c>
      <c r="AN74" s="120">
        <v>22.932202546424943</v>
      </c>
      <c r="AO74" s="120">
        <v>25.305574654089853</v>
      </c>
      <c r="AP74" s="120">
        <v>24.39736108338526</v>
      </c>
      <c r="AQ74" s="120">
        <v>25.798674318983096</v>
      </c>
      <c r="AR74" s="120">
        <v>21.82079813386342</v>
      </c>
      <c r="AS74" s="120">
        <v>27.157384583150524</v>
      </c>
      <c r="AT74" s="120">
        <v>31.093786445129197</v>
      </c>
      <c r="AU74" s="120">
        <v>20.594782868259124</v>
      </c>
      <c r="AV74" s="120">
        <v>19.90329077842911</v>
      </c>
      <c r="AW74" s="120">
        <v>21.034712338833135</v>
      </c>
      <c r="AX74" s="120">
        <v>18.032957460316183</v>
      </c>
      <c r="AY74" s="120">
        <v>14.475200175038841</v>
      </c>
      <c r="AZ74" s="120">
        <v>15.746107526115305</v>
      </c>
      <c r="BA74" s="120">
        <v>14.667814878297211</v>
      </c>
      <c r="BB74" s="120">
        <v>16.859404468480417</v>
      </c>
      <c r="BC74" s="120">
        <v>19.84168223483772</v>
      </c>
      <c r="BD74" s="120">
        <v>18.979164365900559</v>
      </c>
      <c r="BE74" s="120">
        <v>21.83689544396093</v>
      </c>
      <c r="BF74" s="120">
        <v>15.570848582914721</v>
      </c>
      <c r="BG74" s="120">
        <v>12.755634792157661</v>
      </c>
      <c r="BH74" s="120">
        <v>18.480734822584278</v>
      </c>
      <c r="BI74" s="120">
        <v>22.288179771085847</v>
      </c>
      <c r="BJ74" s="120">
        <v>20.165891238048623</v>
      </c>
      <c r="BK74" s="120">
        <v>9.6076438883447803</v>
      </c>
      <c r="BL74" s="120">
        <v>6.6173347602069112</v>
      </c>
      <c r="BM74" s="120">
        <v>8.5698506351952766</v>
      </c>
      <c r="BN74" s="120">
        <v>9.6044960997769131</v>
      </c>
      <c r="BO74" s="121">
        <v>6.5513088236403725</v>
      </c>
    </row>
    <row r="75" spans="1:67">
      <c r="A75" s="149"/>
      <c r="B75" s="4" t="s">
        <v>4</v>
      </c>
      <c r="C75" s="138"/>
      <c r="D75" s="138"/>
      <c r="E75" s="138"/>
      <c r="F75" s="138"/>
      <c r="G75" s="138"/>
      <c r="H75" s="138"/>
      <c r="I75" s="120">
        <v>43.577327422419252</v>
      </c>
      <c r="J75" s="120">
        <v>47.189848308051339</v>
      </c>
      <c r="K75" s="120">
        <v>50.993352769679298</v>
      </c>
      <c r="L75" s="120">
        <v>51.09171094580234</v>
      </c>
      <c r="M75" s="120">
        <v>40.908857273978889</v>
      </c>
      <c r="N75" s="120">
        <v>37.18131004366812</v>
      </c>
      <c r="O75" s="120">
        <v>40.755743243243245</v>
      </c>
      <c r="P75" s="120">
        <v>42.381093749999998</v>
      </c>
      <c r="Q75" s="120">
        <v>43.715497254423433</v>
      </c>
      <c r="R75" s="120">
        <v>43.614597839135655</v>
      </c>
      <c r="S75" s="120">
        <v>46.354887322832475</v>
      </c>
      <c r="T75" s="120">
        <v>47.517117474461557</v>
      </c>
      <c r="U75" s="120">
        <v>59.887974330357139</v>
      </c>
      <c r="V75" s="120">
        <v>63.255213047422401</v>
      </c>
      <c r="W75" s="120">
        <v>63.598472788255677</v>
      </c>
      <c r="X75" s="120">
        <v>66.75703113336472</v>
      </c>
      <c r="Y75" s="120">
        <v>59.638160242223847</v>
      </c>
      <c r="Z75" s="120">
        <v>62.48225097971396</v>
      </c>
      <c r="AA75" s="120">
        <v>64.789191315292641</v>
      </c>
      <c r="AB75" s="120">
        <v>53.916616417316121</v>
      </c>
      <c r="AC75" s="120">
        <v>56.09831985065339</v>
      </c>
      <c r="AD75" s="120">
        <v>59.286904151717067</v>
      </c>
      <c r="AE75" s="120">
        <v>58.453282651834868</v>
      </c>
      <c r="AF75" s="120">
        <v>65.277420217788489</v>
      </c>
      <c r="AG75" s="120">
        <v>71.582679085085019</v>
      </c>
      <c r="AH75" s="120">
        <v>34.664027240891059</v>
      </c>
      <c r="AI75" s="120">
        <v>36.850376978207208</v>
      </c>
      <c r="AJ75" s="120">
        <v>36.437906478514407</v>
      </c>
      <c r="AK75" s="120">
        <v>28.676460935406499</v>
      </c>
      <c r="AL75" s="120">
        <v>35.501148992287305</v>
      </c>
      <c r="AM75" s="120">
        <v>29.155722781593063</v>
      </c>
      <c r="AN75" s="120">
        <v>25.385295551674314</v>
      </c>
      <c r="AO75" s="120">
        <v>28.565387616060985</v>
      </c>
      <c r="AP75" s="120">
        <v>28.015936439681475</v>
      </c>
      <c r="AQ75" s="120">
        <v>30.561145566112302</v>
      </c>
      <c r="AR75" s="120">
        <v>25.108465052698843</v>
      </c>
      <c r="AS75" s="120">
        <v>32.485566335683437</v>
      </c>
      <c r="AT75" s="120">
        <v>37.76500658909405</v>
      </c>
      <c r="AU75" s="120">
        <v>29.339516693309143</v>
      </c>
      <c r="AV75" s="120">
        <v>30.115432616668443</v>
      </c>
      <c r="AW75" s="120">
        <v>29.339756243141835</v>
      </c>
      <c r="AX75" s="120">
        <v>26.260887005362889</v>
      </c>
      <c r="AY75" s="120">
        <v>24.613899281095545</v>
      </c>
      <c r="AZ75" s="120">
        <v>26.031286899682399</v>
      </c>
      <c r="BA75" s="120">
        <v>26.344700149649412</v>
      </c>
      <c r="BB75" s="120">
        <v>25.780297578409002</v>
      </c>
      <c r="BC75" s="120">
        <v>27.85899087936075</v>
      </c>
      <c r="BD75" s="120">
        <v>26.48275499642903</v>
      </c>
      <c r="BE75" s="120">
        <v>36.421035331265436</v>
      </c>
      <c r="BF75" s="120">
        <v>28.9515244974666</v>
      </c>
      <c r="BG75" s="120">
        <v>25.358453164437133</v>
      </c>
      <c r="BH75" s="120">
        <v>37.252844786498976</v>
      </c>
      <c r="BI75" s="120">
        <v>42.524284229287652</v>
      </c>
      <c r="BJ75" s="120">
        <v>35.832020380650697</v>
      </c>
      <c r="BK75" s="120">
        <v>37.787876285284291</v>
      </c>
      <c r="BL75" s="120">
        <v>35.480648036968518</v>
      </c>
      <c r="BM75" s="120">
        <v>36.152070917038138</v>
      </c>
      <c r="BN75" s="120">
        <v>32.831506409770704</v>
      </c>
      <c r="BO75" s="121">
        <v>37.187528524477727</v>
      </c>
    </row>
    <row r="76" spans="1:67">
      <c r="A76" s="88"/>
      <c r="B76" s="7" t="s">
        <v>47</v>
      </c>
      <c r="C76" s="138"/>
      <c r="D76" s="138"/>
      <c r="E76" s="120">
        <v>1.78761787610517</v>
      </c>
      <c r="F76" s="120">
        <v>4.6161282529872096</v>
      </c>
      <c r="G76" s="120">
        <v>-4.5356537812367899</v>
      </c>
      <c r="H76" s="120">
        <v>1.2180366216885601</v>
      </c>
      <c r="I76" s="120">
        <v>0.23908192532822001</v>
      </c>
      <c r="J76" s="120">
        <v>1.4072189538167701</v>
      </c>
      <c r="K76" s="120">
        <v>4.1787534301288698</v>
      </c>
      <c r="L76" s="120">
        <v>5.0120409388401699</v>
      </c>
      <c r="M76" s="120">
        <v>-1.98509387961995</v>
      </c>
      <c r="N76" s="120">
        <v>3.0562257804500801</v>
      </c>
      <c r="O76" s="120">
        <v>8.6981199007943495</v>
      </c>
      <c r="P76" s="120">
        <v>6.9186084458901904</v>
      </c>
      <c r="Q76" s="120">
        <v>9.2363103596685292</v>
      </c>
      <c r="R76" s="120">
        <v>25.924999999499899</v>
      </c>
      <c r="S76" s="120">
        <v>17.027331083251902</v>
      </c>
      <c r="T76" s="120">
        <v>12.389730830128601</v>
      </c>
      <c r="U76" s="120">
        <v>8.8553459121409102</v>
      </c>
      <c r="V76" s="120">
        <v>6.1289577073428196</v>
      </c>
      <c r="W76" s="120">
        <v>6.82461565247797</v>
      </c>
      <c r="X76" s="120">
        <v>5.94422700614445</v>
      </c>
      <c r="Y76" s="120">
        <v>10.8558454553089</v>
      </c>
      <c r="Z76" s="120">
        <v>10.6363036761385</v>
      </c>
      <c r="AA76" s="120">
        <v>22.098459414532702</v>
      </c>
      <c r="AB76" s="120">
        <v>18.319884874273001</v>
      </c>
      <c r="AC76" s="120">
        <v>56.560172013504001</v>
      </c>
      <c r="AD76" s="120">
        <v>23.529166955694102</v>
      </c>
      <c r="AE76" s="120">
        <v>11.6905868876763</v>
      </c>
      <c r="AF76" s="120">
        <v>8.2750160875159207</v>
      </c>
      <c r="AG76" s="120">
        <v>12.167784113069599</v>
      </c>
      <c r="AH76" s="120">
        <v>8.6423432597343801</v>
      </c>
      <c r="AI76" s="120">
        <v>9.4865425061716309</v>
      </c>
      <c r="AJ76" s="120">
        <v>6.4638042275384704</v>
      </c>
      <c r="AK76" s="120">
        <v>1.71020632305637</v>
      </c>
      <c r="AL76" s="120">
        <v>6.9809744183055598</v>
      </c>
      <c r="AM76" s="120">
        <v>1.09948870771018</v>
      </c>
      <c r="AN76" s="120">
        <v>2.7812279002322899</v>
      </c>
      <c r="AO76" s="120">
        <v>1.1141884117471299</v>
      </c>
      <c r="AP76" s="120">
        <v>3.8123720536602002</v>
      </c>
      <c r="AQ76" s="120">
        <v>0.84496956677370005</v>
      </c>
      <c r="AR76" s="120">
        <v>4.4925960923975401</v>
      </c>
      <c r="AS76" s="120">
        <v>8.6091247438632692</v>
      </c>
      <c r="AT76" s="120">
        <v>17.0328665431988</v>
      </c>
      <c r="AU76" s="120">
        <v>14.2067432845569</v>
      </c>
      <c r="AV76" s="120">
        <v>4.8386217754315703</v>
      </c>
      <c r="AW76" s="120">
        <v>2.0565034236598998</v>
      </c>
      <c r="AX76" s="120">
        <v>5.3691347380195698</v>
      </c>
      <c r="AY76" s="120">
        <v>4.4436549094500997</v>
      </c>
      <c r="AZ76" s="120">
        <v>4.5615068767098297</v>
      </c>
      <c r="BA76" s="120">
        <v>5.04968075857402</v>
      </c>
      <c r="BB76" s="120">
        <v>4.7958826618310999</v>
      </c>
      <c r="BC76" s="120">
        <v>4.2543219981389901</v>
      </c>
      <c r="BD76" s="120">
        <v>5.6991298963738197</v>
      </c>
      <c r="BE76" s="120">
        <v>5.9479993569662604</v>
      </c>
      <c r="BF76" s="120">
        <v>6.8084549457961003</v>
      </c>
      <c r="BG76" s="120">
        <v>7.2287927205792197</v>
      </c>
      <c r="BH76" s="120">
        <v>8.0341897454591091</v>
      </c>
      <c r="BI76" s="120">
        <v>6.5209682394657298</v>
      </c>
      <c r="BJ76" s="120">
        <v>7.1156762563119198</v>
      </c>
      <c r="BK76" s="120">
        <v>5.9312763656244103</v>
      </c>
      <c r="BL76" s="120">
        <v>7.3703475887661796</v>
      </c>
      <c r="BM76" s="120">
        <v>11.5131198380505</v>
      </c>
      <c r="BN76" s="120">
        <v>16.974212963232699</v>
      </c>
      <c r="BO76" s="121">
        <v>11.5637546214656</v>
      </c>
    </row>
    <row r="77" spans="1:67">
      <c r="A77" s="149" t="s">
        <v>26</v>
      </c>
      <c r="B77" s="4" t="s">
        <v>3</v>
      </c>
      <c r="C77" s="117">
        <v>28.193325661680092</v>
      </c>
      <c r="D77" s="117">
        <v>26.129032258064516</v>
      </c>
      <c r="E77" s="117">
        <v>24.214792299898683</v>
      </c>
      <c r="F77" s="117">
        <v>21.181818181818183</v>
      </c>
      <c r="G77" s="117">
        <v>19.902912621359224</v>
      </c>
      <c r="H77" s="117">
        <v>17.121418826739426</v>
      </c>
      <c r="I77" s="117">
        <v>14.624505928853754</v>
      </c>
      <c r="J77" s="117">
        <v>17.420212765957448</v>
      </c>
      <c r="K77" s="117">
        <v>20.352941176470587</v>
      </c>
      <c r="L77" s="117">
        <v>19.740129935032481</v>
      </c>
      <c r="M77" s="117">
        <v>21.336874723328904</v>
      </c>
      <c r="N77" s="117">
        <v>15.76</v>
      </c>
      <c r="O77" s="117">
        <v>20.710479573712256</v>
      </c>
      <c r="P77" s="117">
        <v>21.451013996001141</v>
      </c>
      <c r="Q77" s="117">
        <v>18.326180257510728</v>
      </c>
      <c r="R77" s="117">
        <v>19.363997728563316</v>
      </c>
      <c r="S77" s="117">
        <v>15.706405148636224</v>
      </c>
      <c r="T77" s="117">
        <v>10.498969810982711</v>
      </c>
      <c r="U77" s="117">
        <v>8.3579529209949488</v>
      </c>
      <c r="V77" s="117">
        <v>11.232371908440223</v>
      </c>
      <c r="W77" s="117">
        <v>8.4663492952487633</v>
      </c>
      <c r="X77" s="117">
        <v>4.7558725525293974</v>
      </c>
      <c r="Y77" s="117">
        <v>3.3383072491931851</v>
      </c>
      <c r="Z77" s="117">
        <v>5.5559177995848685</v>
      </c>
      <c r="AA77" s="117">
        <v>8.0440270401129492</v>
      </c>
      <c r="AB77" s="117">
        <v>10.654485669643899</v>
      </c>
      <c r="AC77" s="117">
        <v>16.57609705256036</v>
      </c>
      <c r="AD77" s="117">
        <v>19.662600536193029</v>
      </c>
      <c r="AE77" s="117">
        <v>18.183383498415139</v>
      </c>
      <c r="AF77" s="117">
        <v>16.74263731518317</v>
      </c>
      <c r="AG77" s="117">
        <v>16.877890410773478</v>
      </c>
      <c r="AH77" s="117">
        <v>16.963546058564081</v>
      </c>
      <c r="AI77" s="117">
        <v>17.225955492128616</v>
      </c>
      <c r="AJ77" s="117">
        <v>20.253919062007697</v>
      </c>
      <c r="AK77" s="117">
        <v>25.258635926993279</v>
      </c>
      <c r="AL77" s="117">
        <v>24.496445940890386</v>
      </c>
      <c r="AM77" s="117">
        <v>32.112182172559464</v>
      </c>
      <c r="AN77" s="117">
        <v>32.410290929187866</v>
      </c>
      <c r="AO77" s="117">
        <v>33.871351757631821</v>
      </c>
      <c r="AP77" s="117">
        <v>32.078338953731325</v>
      </c>
      <c r="AQ77" s="117">
        <v>48.802257619003775</v>
      </c>
      <c r="AR77" s="117">
        <v>45.233016466731634</v>
      </c>
      <c r="AS77" s="117">
        <v>42.616251893086663</v>
      </c>
      <c r="AT77" s="117">
        <v>40.679042651119971</v>
      </c>
      <c r="AU77" s="117">
        <v>39.303325121410737</v>
      </c>
      <c r="AV77" s="117">
        <v>36.449216950713961</v>
      </c>
      <c r="AW77" s="117">
        <v>24.656190490895739</v>
      </c>
      <c r="AX77" s="117">
        <v>24.525090604404902</v>
      </c>
      <c r="AY77" s="117">
        <v>25.029457299507417</v>
      </c>
      <c r="AZ77" s="117">
        <v>29.291865978504816</v>
      </c>
      <c r="BA77" s="117">
        <v>29.476717983157329</v>
      </c>
      <c r="BB77" s="117">
        <v>36.9366085502594</v>
      </c>
      <c r="BC77" s="117">
        <v>40.359218174037061</v>
      </c>
      <c r="BD77" s="117">
        <v>25.440783396728474</v>
      </c>
      <c r="BE77" s="117">
        <v>28.23190216059761</v>
      </c>
      <c r="BF77" s="117">
        <v>33.831704823369641</v>
      </c>
      <c r="BG77" s="117">
        <v>31.193239148362029</v>
      </c>
      <c r="BH77" s="117">
        <v>33.876874779968091</v>
      </c>
      <c r="BI77" s="117">
        <v>33.454895448926464</v>
      </c>
      <c r="BJ77" s="117">
        <v>37.449599862531066</v>
      </c>
      <c r="BK77" s="117">
        <v>31.525420486711486</v>
      </c>
      <c r="BL77" s="117">
        <v>30.055119469623122</v>
      </c>
      <c r="BM77" s="117">
        <v>34.664043553358738</v>
      </c>
      <c r="BN77" s="117">
        <v>31.770816493440428</v>
      </c>
      <c r="BO77" s="127">
        <v>35.251873419969236</v>
      </c>
    </row>
    <row r="78" spans="1:67">
      <c r="A78" s="149"/>
      <c r="B78" s="4" t="s">
        <v>4</v>
      </c>
      <c r="C78" s="117">
        <v>35.443037974683541</v>
      </c>
      <c r="D78" s="117">
        <v>36.451612903225808</v>
      </c>
      <c r="E78" s="117">
        <v>28.470111448834849</v>
      </c>
      <c r="F78" s="117">
        <v>27.454545454545453</v>
      </c>
      <c r="G78" s="117">
        <v>23.867313915857604</v>
      </c>
      <c r="H78" s="117">
        <v>26.739427012278309</v>
      </c>
      <c r="I78" s="117">
        <v>19.63109354413702</v>
      </c>
      <c r="J78" s="117">
        <v>19.946808510638299</v>
      </c>
      <c r="K78" s="117">
        <v>20.823529411764703</v>
      </c>
      <c r="L78" s="117">
        <v>20.339830084957523</v>
      </c>
      <c r="M78" s="117">
        <v>22.709163346613543</v>
      </c>
      <c r="N78" s="117">
        <v>20.239999999999998</v>
      </c>
      <c r="O78" s="117">
        <v>15.204262877442273</v>
      </c>
      <c r="P78" s="117">
        <v>16.395315624107397</v>
      </c>
      <c r="Q78" s="117">
        <v>21.802575107296139</v>
      </c>
      <c r="R78" s="117">
        <v>18.436494416051485</v>
      </c>
      <c r="S78" s="117">
        <v>16.043518234753297</v>
      </c>
      <c r="T78" s="117">
        <v>11.547075159007434</v>
      </c>
      <c r="U78" s="117">
        <v>9.6874106547221963</v>
      </c>
      <c r="V78" s="117">
        <v>11.161505208702431</v>
      </c>
      <c r="W78" s="117">
        <v>9.1547652384952851</v>
      </c>
      <c r="X78" s="117">
        <v>5.3231625037865227</v>
      </c>
      <c r="Y78" s="117">
        <v>2.982036066673607</v>
      </c>
      <c r="Z78" s="117">
        <v>5.9889805366283051</v>
      </c>
      <c r="AA78" s="117">
        <v>10.770584082702237</v>
      </c>
      <c r="AB78" s="117">
        <v>13.589351927427066</v>
      </c>
      <c r="AC78" s="117">
        <v>20.135590436318058</v>
      </c>
      <c r="AD78" s="117">
        <v>26.185522788203752</v>
      </c>
      <c r="AE78" s="117">
        <v>24.06211591368308</v>
      </c>
      <c r="AF78" s="117">
        <v>24.343253735850762</v>
      </c>
      <c r="AG78" s="117">
        <v>25.850287720007021</v>
      </c>
      <c r="AH78" s="117">
        <v>25.524803205234626</v>
      </c>
      <c r="AI78" s="117">
        <v>28.767640369263702</v>
      </c>
      <c r="AJ78" s="117">
        <v>36.415201053691796</v>
      </c>
      <c r="AK78" s="117">
        <v>36.762516810758889</v>
      </c>
      <c r="AL78" s="117">
        <v>32.926648348104287</v>
      </c>
      <c r="AM78" s="117">
        <v>40.092761956838089</v>
      </c>
      <c r="AN78" s="117">
        <v>52.991547040401322</v>
      </c>
      <c r="AO78" s="117">
        <v>46.728191489361706</v>
      </c>
      <c r="AP78" s="117">
        <v>49.626765080321476</v>
      </c>
      <c r="AQ78" s="117">
        <v>67.246172543964647</v>
      </c>
      <c r="AR78" s="117">
        <v>64.81283769407969</v>
      </c>
      <c r="AS78" s="117">
        <v>54.872991281568495</v>
      </c>
      <c r="AT78" s="117">
        <v>56.608103062833202</v>
      </c>
      <c r="AU78" s="117">
        <v>60.367009225801503</v>
      </c>
      <c r="AV78" s="117">
        <v>61.722297163913929</v>
      </c>
      <c r="AW78" s="117">
        <v>39.862863753019489</v>
      </c>
      <c r="AX78" s="117">
        <v>40.82923168084826</v>
      </c>
      <c r="AY78" s="117">
        <v>44.484768311635946</v>
      </c>
      <c r="AZ78" s="117">
        <v>42.302872549647532</v>
      </c>
      <c r="BA78" s="117">
        <v>45.901097808525023</v>
      </c>
      <c r="BB78" s="117">
        <v>49.358845304710144</v>
      </c>
      <c r="BC78" s="117">
        <v>52.808816954646041</v>
      </c>
      <c r="BD78" s="117">
        <v>35.318538506149025</v>
      </c>
      <c r="BE78" s="117">
        <v>35.604660282480687</v>
      </c>
      <c r="BF78" s="117">
        <v>42.689566100954615</v>
      </c>
      <c r="BG78" s="117">
        <v>36.683760296224492</v>
      </c>
      <c r="BH78" s="117">
        <v>36.671490510443491</v>
      </c>
      <c r="BI78" s="117">
        <v>34.503622015563742</v>
      </c>
      <c r="BJ78" s="117">
        <v>39.375202869620914</v>
      </c>
      <c r="BK78" s="117">
        <v>35.050078229531664</v>
      </c>
      <c r="BL78" s="117">
        <v>32.652711443211494</v>
      </c>
      <c r="BM78" s="117">
        <v>35.45141224253198</v>
      </c>
      <c r="BN78" s="117">
        <v>32.617045034724285</v>
      </c>
      <c r="BO78" s="127">
        <v>34.10077574740874</v>
      </c>
    </row>
    <row r="79" spans="1:67">
      <c r="A79" s="88"/>
      <c r="B79" s="7" t="s">
        <v>47</v>
      </c>
      <c r="H79" s="117">
        <v>26.444784849017299</v>
      </c>
      <c r="I79" s="117">
        <v>13.2378854626539</v>
      </c>
      <c r="J79" s="117">
        <v>-8.4224858978028294</v>
      </c>
      <c r="K79" s="117">
        <v>7.8947368421053898</v>
      </c>
      <c r="L79" s="117">
        <v>7.3170731626012504</v>
      </c>
      <c r="M79" s="117">
        <v>3.0303030305326502</v>
      </c>
      <c r="N79" s="117">
        <v>9.5588235374677204</v>
      </c>
      <c r="O79" s="117">
        <v>10.0671140939595</v>
      </c>
      <c r="P79" s="117">
        <v>17.682926823171101</v>
      </c>
      <c r="Q79" s="117">
        <v>18.134715026846301</v>
      </c>
      <c r="R79" s="117">
        <v>29.824561404816802</v>
      </c>
      <c r="S79" s="117">
        <v>56.081081082975601</v>
      </c>
      <c r="T79" s="117">
        <v>116.450216453639</v>
      </c>
      <c r="U79" s="117">
        <v>73.091666667343006</v>
      </c>
      <c r="V79" s="117">
        <v>54.441288334561598</v>
      </c>
      <c r="W79" s="117">
        <v>50.070139343636399</v>
      </c>
      <c r="X79" s="117">
        <v>116.503603996541</v>
      </c>
      <c r="Y79" s="117">
        <v>22.2955664080893</v>
      </c>
      <c r="Z79" s="117">
        <v>122.87451457259201</v>
      </c>
      <c r="AA79" s="117">
        <v>39.665313794726799</v>
      </c>
      <c r="AB79" s="117">
        <v>10.305440669829499</v>
      </c>
      <c r="AC79" s="117">
        <v>24.5654160765001</v>
      </c>
      <c r="AD79" s="117">
        <v>39.815067877536301</v>
      </c>
      <c r="AE79" s="117">
        <v>31.3592676264768</v>
      </c>
      <c r="AF79" s="117">
        <v>25.223692029582502</v>
      </c>
      <c r="AG79" s="117">
        <v>37.259066485567097</v>
      </c>
      <c r="AH79" s="117">
        <v>18.031439008984901</v>
      </c>
      <c r="AI79" s="117">
        <v>10.0561167448841</v>
      </c>
      <c r="AJ79" s="117">
        <v>24.959842474249701</v>
      </c>
      <c r="AK79" s="117">
        <v>24.870255436957599</v>
      </c>
      <c r="AL79" s="117">
        <v>59.461553699144602</v>
      </c>
      <c r="AM79" s="117">
        <v>46.561019676228199</v>
      </c>
      <c r="AN79" s="117">
        <v>27.885208640752701</v>
      </c>
      <c r="AO79" s="117">
        <v>14.624166666667501</v>
      </c>
      <c r="AP79" s="117">
        <v>4.8653978507752802</v>
      </c>
      <c r="AQ79" s="117">
        <v>40.240933123913997</v>
      </c>
      <c r="AR79" s="117">
        <v>41.509496287803003</v>
      </c>
      <c r="AS79" s="117">
        <v>9.3609323956031307</v>
      </c>
      <c r="AT79" s="117">
        <v>29.7729797160384</v>
      </c>
      <c r="AU79" s="117">
        <v>18.042738823256499</v>
      </c>
      <c r="AV79" s="117">
        <v>15.4389920155908</v>
      </c>
      <c r="AW79" s="117">
        <v>11.679183939249199</v>
      </c>
      <c r="AX79" s="117">
        <v>10.7342665456292</v>
      </c>
      <c r="AY79" s="117">
        <v>16.494639613412001</v>
      </c>
      <c r="AZ79" s="117">
        <v>19.246948222085699</v>
      </c>
      <c r="BA79" s="117">
        <v>10.733389835491501</v>
      </c>
      <c r="BB79" s="117">
        <v>8.7284593709301994</v>
      </c>
      <c r="BC79" s="117">
        <v>11.1863409441067</v>
      </c>
      <c r="BD79" s="117">
        <v>11.666192307172899</v>
      </c>
      <c r="BE79" s="117">
        <v>15.489616033331799</v>
      </c>
      <c r="BF79" s="117">
        <v>17.149969500787801</v>
      </c>
      <c r="BG79" s="117">
        <v>17.4546347070868</v>
      </c>
      <c r="BH79" s="117">
        <v>12.371921550704799</v>
      </c>
      <c r="BI79" s="117">
        <v>7.8087651661070296</v>
      </c>
      <c r="BJ79" s="117">
        <v>7.1436400333085697</v>
      </c>
      <c r="BK79" s="117">
        <v>9.8872895626994399</v>
      </c>
      <c r="BL79" s="117">
        <v>9.9710886750444008</v>
      </c>
      <c r="BM79" s="117">
        <v>31.255895104901601</v>
      </c>
      <c r="BN79" s="117">
        <v>38.106965629650098</v>
      </c>
      <c r="BO79" s="127">
        <v>22.848328115784199</v>
      </c>
    </row>
    <row r="80" spans="1:67">
      <c r="A80" s="149" t="s">
        <v>27</v>
      </c>
      <c r="B80" s="4" t="s">
        <v>3</v>
      </c>
      <c r="C80" s="138"/>
      <c r="D80" s="138"/>
      <c r="E80" s="138"/>
      <c r="F80" s="138"/>
      <c r="G80" s="138"/>
      <c r="H80" s="138"/>
      <c r="I80" s="138"/>
      <c r="J80" s="138"/>
      <c r="K80" s="138"/>
      <c r="L80" s="138"/>
      <c r="M80" s="117">
        <v>3.9999264281193652</v>
      </c>
      <c r="N80" s="117">
        <v>4.1581149365444983</v>
      </c>
      <c r="O80" s="117">
        <v>4.3555685396773773</v>
      </c>
      <c r="P80" s="117">
        <v>6.0598361241271368</v>
      </c>
      <c r="Q80" s="117">
        <v>5.0183665996660585</v>
      </c>
      <c r="R80" s="117">
        <v>5.1849067931748181</v>
      </c>
      <c r="S80" s="117">
        <v>5.2725789095397815</v>
      </c>
      <c r="T80" s="117">
        <v>9.3043300246778671</v>
      </c>
      <c r="U80" s="117">
        <v>7.7346858494912478</v>
      </c>
      <c r="V80" s="117">
        <v>7.2722091262287503</v>
      </c>
      <c r="W80" s="117">
        <v>12.68755889206393</v>
      </c>
      <c r="X80" s="117">
        <v>11.193158025473016</v>
      </c>
      <c r="Y80" s="117">
        <v>7.8402361063886277</v>
      </c>
      <c r="Z80" s="117">
        <v>6.0091482725640226</v>
      </c>
      <c r="AA80" s="117">
        <v>13.401208412137649</v>
      </c>
      <c r="AB80" s="117">
        <v>9.757991676354191</v>
      </c>
      <c r="AC80" s="117">
        <v>5.2352190175495155</v>
      </c>
      <c r="AD80" s="117">
        <v>11.367003001489422</v>
      </c>
      <c r="AE80" s="117">
        <v>12.440895948851015</v>
      </c>
      <c r="AF80" s="117">
        <v>8.8907189495948611</v>
      </c>
      <c r="AG80" s="117">
        <v>9.9359893659192053</v>
      </c>
      <c r="AH80" s="117">
        <v>9.9824872342555189</v>
      </c>
      <c r="AI80" s="117">
        <v>4.9024899031393403</v>
      </c>
      <c r="AJ80" s="117">
        <v>8.8694363799004599</v>
      </c>
      <c r="AK80" s="117">
        <v>16.454407740223896</v>
      </c>
      <c r="AL80" s="117">
        <v>11.667169591769651</v>
      </c>
      <c r="AM80" s="117">
        <v>10.524404049479971</v>
      </c>
      <c r="AN80" s="117">
        <v>4.9029910384621571</v>
      </c>
      <c r="AO80" s="117">
        <v>4.1058776188738957</v>
      </c>
      <c r="AP80" s="117">
        <v>8.3289532491958695</v>
      </c>
      <c r="AQ80" s="117">
        <v>13.092784463727645</v>
      </c>
      <c r="AR80" s="117">
        <v>10.079189384903714</v>
      </c>
      <c r="AS80" s="117">
        <v>11.455566566140508</v>
      </c>
      <c r="AT80" s="117">
        <v>11.931753846832104</v>
      </c>
      <c r="AU80" s="117">
        <v>12.933244660325061</v>
      </c>
      <c r="AV80" s="117">
        <v>13.562802789356123</v>
      </c>
      <c r="AW80" s="117">
        <v>10.377562766001287</v>
      </c>
      <c r="AX80" s="117">
        <v>11.120302364892446</v>
      </c>
      <c r="AY80" s="117">
        <v>11.766575820663858</v>
      </c>
      <c r="AZ80" s="117">
        <v>11.12830804191897</v>
      </c>
      <c r="BA80" s="117">
        <v>12.639415699978477</v>
      </c>
      <c r="BB80" s="117">
        <v>19.298095815956433</v>
      </c>
      <c r="BC80" s="117">
        <v>14.116777564725894</v>
      </c>
      <c r="BD80" s="117">
        <v>13.214421171479751</v>
      </c>
      <c r="BE80" s="117">
        <v>16.694120948651591</v>
      </c>
      <c r="BF80" s="117">
        <v>25.046711962225327</v>
      </c>
      <c r="BG80" s="117">
        <v>23.774731038520649</v>
      </c>
      <c r="BH80" s="117">
        <v>26.53438040754353</v>
      </c>
      <c r="BI80" s="117">
        <v>25.476867329751467</v>
      </c>
      <c r="BJ80" s="117">
        <v>18.36671907769211</v>
      </c>
      <c r="BK80" s="117">
        <v>15.664911354144035</v>
      </c>
      <c r="BL80" s="117">
        <v>17.812677534324585</v>
      </c>
      <c r="BM80" s="117">
        <v>14.889403934079754</v>
      </c>
      <c r="BN80" s="117">
        <v>13.683694740352195</v>
      </c>
      <c r="BO80" s="127">
        <v>12.475760637381503</v>
      </c>
    </row>
    <row r="81" spans="1:67">
      <c r="A81" s="149"/>
      <c r="B81" s="4" t="s">
        <v>4</v>
      </c>
      <c r="C81" s="138"/>
      <c r="D81" s="138"/>
      <c r="E81" s="138"/>
      <c r="F81" s="138"/>
      <c r="G81" s="138"/>
      <c r="H81" s="138"/>
      <c r="I81" s="138"/>
      <c r="J81" s="138"/>
      <c r="K81" s="138"/>
      <c r="L81" s="138"/>
      <c r="M81" s="117">
        <v>30.188662220817935</v>
      </c>
      <c r="N81" s="117">
        <v>34.311954616713557</v>
      </c>
      <c r="O81" s="117">
        <v>35.630159280598342</v>
      </c>
      <c r="P81" s="117">
        <v>40.726482792076212</v>
      </c>
      <c r="Q81" s="117">
        <v>39.248427175905789</v>
      </c>
      <c r="R81" s="117">
        <v>25.94671339668259</v>
      </c>
      <c r="S81" s="117">
        <v>27.935339332334898</v>
      </c>
      <c r="T81" s="117">
        <v>32.602177240899231</v>
      </c>
      <c r="U81" s="117">
        <v>36.05310866103288</v>
      </c>
      <c r="V81" s="117">
        <v>41.526450562253835</v>
      </c>
      <c r="W81" s="117">
        <v>41.84189438106096</v>
      </c>
      <c r="X81" s="117">
        <v>35.718559201778476</v>
      </c>
      <c r="Y81" s="117">
        <v>41.28519525127026</v>
      </c>
      <c r="Z81" s="117">
        <v>32.253723243509455</v>
      </c>
      <c r="AA81" s="117">
        <v>51.281414464216901</v>
      </c>
      <c r="AB81" s="117">
        <v>57.709532993521748</v>
      </c>
      <c r="AC81" s="117">
        <v>31.835105126111827</v>
      </c>
      <c r="AD81" s="117">
        <v>38.956150935074426</v>
      </c>
      <c r="AE81" s="117">
        <v>51.168194289303457</v>
      </c>
      <c r="AF81" s="117">
        <v>46.189516306789812</v>
      </c>
      <c r="AG81" s="117">
        <v>37.034513353142771</v>
      </c>
      <c r="AH81" s="117">
        <v>37.791122644665414</v>
      </c>
      <c r="AI81" s="117">
        <v>50.111885777812027</v>
      </c>
      <c r="AJ81" s="117">
        <v>32.716864267253236</v>
      </c>
      <c r="AK81" s="117">
        <v>34.309371245674257</v>
      </c>
      <c r="AL81" s="117">
        <v>35.14326330138455</v>
      </c>
      <c r="AM81" s="117">
        <v>31.835767417613198</v>
      </c>
      <c r="AN81" s="117">
        <v>64.587363601850782</v>
      </c>
      <c r="AO81" s="117">
        <v>39.395119689151855</v>
      </c>
      <c r="AP81" s="117">
        <v>40.770535980173754</v>
      </c>
      <c r="AQ81" s="117">
        <v>39.644561654286882</v>
      </c>
      <c r="AR81" s="117">
        <v>37.504027892557509</v>
      </c>
      <c r="AS81" s="117">
        <v>28.220496988951886</v>
      </c>
      <c r="AT81" s="117">
        <v>26.101717085059612</v>
      </c>
      <c r="AU81" s="117">
        <v>30.258886973120937</v>
      </c>
      <c r="AV81" s="117">
        <v>32.221428755715479</v>
      </c>
      <c r="AW81" s="117">
        <v>38.382940620021309</v>
      </c>
      <c r="AX81" s="117">
        <v>35.124226105122268</v>
      </c>
      <c r="AY81" s="117">
        <v>33.372313553808496</v>
      </c>
      <c r="AZ81" s="117">
        <v>32.467439368001607</v>
      </c>
      <c r="BA81" s="117">
        <v>30.875171938566897</v>
      </c>
      <c r="BB81" s="117">
        <v>29.319364390680903</v>
      </c>
      <c r="BC81" s="117">
        <v>30.011288996253644</v>
      </c>
      <c r="BD81" s="117">
        <v>26.743040609098912</v>
      </c>
      <c r="BE81" s="117">
        <v>30.17553735687218</v>
      </c>
      <c r="BF81" s="117">
        <v>29.323663626903159</v>
      </c>
      <c r="BG81" s="117">
        <v>30.525942008950473</v>
      </c>
      <c r="BH81" s="117">
        <v>30.379367186337582</v>
      </c>
      <c r="BI81" s="117">
        <v>29.542721705948999</v>
      </c>
      <c r="BJ81" s="117">
        <v>31.811267629019301</v>
      </c>
      <c r="BK81" s="117">
        <v>27.765536777029464</v>
      </c>
      <c r="BL81" s="117">
        <v>27.698107154942196</v>
      </c>
      <c r="BM81" s="117">
        <v>31.381452685393967</v>
      </c>
      <c r="BN81" s="117">
        <v>27.927369611729524</v>
      </c>
      <c r="BO81" s="127">
        <v>28.185561086088061</v>
      </c>
    </row>
    <row r="82" spans="1:67">
      <c r="A82" s="88"/>
      <c r="B82" s="7" t="s">
        <v>47</v>
      </c>
      <c r="C82" s="138"/>
      <c r="D82" s="138"/>
      <c r="E82" s="138"/>
      <c r="F82" s="138"/>
      <c r="G82" s="138"/>
      <c r="H82" s="138"/>
      <c r="I82" s="138"/>
      <c r="J82" s="138"/>
      <c r="K82" s="138"/>
      <c r="L82" s="138"/>
      <c r="M82" s="138"/>
      <c r="N82" s="138"/>
      <c r="O82" s="138"/>
      <c r="P82" s="138"/>
      <c r="Q82" s="138"/>
      <c r="R82" s="138"/>
      <c r="S82" s="138"/>
      <c r="T82" s="138"/>
      <c r="U82" s="138"/>
      <c r="V82" s="138"/>
      <c r="W82" s="138"/>
      <c r="X82" s="138"/>
      <c r="Y82" s="138"/>
      <c r="Z82" s="138"/>
      <c r="AA82" s="138"/>
      <c r="AB82" s="138"/>
      <c r="AC82" s="138"/>
      <c r="AD82" s="138"/>
      <c r="AE82" s="117">
        <v>60.2817826333536</v>
      </c>
      <c r="AF82" s="117">
        <v>80.788140643623294</v>
      </c>
      <c r="AG82" s="117">
        <v>33.001977831802598</v>
      </c>
      <c r="AH82" s="117">
        <v>57.5952847505664</v>
      </c>
      <c r="AI82" s="117">
        <v>69.583636399379301</v>
      </c>
      <c r="AJ82" s="117">
        <v>48.108166068706701</v>
      </c>
      <c r="AK82" s="117">
        <v>15.1763474313441</v>
      </c>
      <c r="AL82" s="117">
        <v>45.365308362185601</v>
      </c>
      <c r="AM82" s="117">
        <v>50.734054961211903</v>
      </c>
      <c r="AN82" s="117">
        <v>49.1009235769531</v>
      </c>
      <c r="AO82" s="117">
        <v>8.0137551896560293</v>
      </c>
      <c r="AP82" s="117">
        <v>-2.0863051322352701</v>
      </c>
      <c r="AQ82" s="117">
        <v>8.6363209493027799</v>
      </c>
      <c r="AR82" s="117">
        <v>3.3481226552710801</v>
      </c>
      <c r="AS82" s="117">
        <v>3.3001217528375202</v>
      </c>
      <c r="AT82" s="117">
        <v>-3.5025855110342099</v>
      </c>
      <c r="AU82" s="117">
        <v>0.88330269693094299</v>
      </c>
      <c r="AV82" s="117">
        <v>3.3291992280285601</v>
      </c>
      <c r="AW82" s="117">
        <v>1.9547371762891601</v>
      </c>
      <c r="AX82" s="117">
        <v>4.6174377224199699</v>
      </c>
      <c r="AY82" s="117">
        <v>10.4600731354706</v>
      </c>
      <c r="AZ82" s="117">
        <v>-1.6513973362077501</v>
      </c>
      <c r="BA82" s="117">
        <v>2.5178514017170102</v>
      </c>
      <c r="BB82" s="117">
        <v>5.0461022632020001</v>
      </c>
      <c r="BC82" s="117">
        <v>2.1305458027450301</v>
      </c>
      <c r="BD82" s="117">
        <v>1.20712555668405</v>
      </c>
      <c r="BE82" s="117">
        <v>-1.50924460570494</v>
      </c>
      <c r="BF82" s="117">
        <v>1.47672048910485</v>
      </c>
      <c r="BG82" s="117">
        <v>1.50312055861088</v>
      </c>
      <c r="BH82" s="117">
        <v>1.6911146182229799</v>
      </c>
      <c r="BI82" s="117">
        <v>0.38132470279099201</v>
      </c>
      <c r="BJ82" s="117">
        <v>0.24660026814783001</v>
      </c>
      <c r="BK82" s="117">
        <v>1.14000939393222</v>
      </c>
      <c r="BL82" s="117">
        <v>2.24248879577658</v>
      </c>
      <c r="BM82" s="117">
        <v>9.3907593398520302</v>
      </c>
      <c r="BN82" s="117">
        <v>7.1022092855705896</v>
      </c>
      <c r="BO82" s="127">
        <v>3.7655582577011399</v>
      </c>
    </row>
    <row r="83" spans="1:67">
      <c r="A83" s="148" t="s">
        <v>28</v>
      </c>
      <c r="B83" s="4" t="s">
        <v>3</v>
      </c>
      <c r="C83" s="132">
        <v>31.095746519434957</v>
      </c>
      <c r="D83" s="132">
        <v>32.717169681453832</v>
      </c>
      <c r="E83" s="132">
        <v>32.03780926139477</v>
      </c>
      <c r="F83" s="132">
        <v>32.032947656703982</v>
      </c>
      <c r="G83" s="132">
        <v>33.389413153894729</v>
      </c>
      <c r="H83" s="132">
        <v>31.397315206878567</v>
      </c>
      <c r="I83" s="132">
        <v>32.411633516273923</v>
      </c>
      <c r="J83" s="132">
        <v>28.46433439345752</v>
      </c>
      <c r="K83" s="132">
        <v>29.400811056856739</v>
      </c>
      <c r="L83" s="132">
        <v>29.528655083037343</v>
      </c>
      <c r="M83" s="132">
        <v>29.825725561415151</v>
      </c>
      <c r="N83" s="132">
        <v>28.639355102811979</v>
      </c>
      <c r="O83" s="132">
        <v>26.587828859952168</v>
      </c>
      <c r="P83" s="132">
        <v>27.393834680633038</v>
      </c>
      <c r="Q83" s="132">
        <v>33.675883850287548</v>
      </c>
      <c r="R83" s="132">
        <v>29.823685969750148</v>
      </c>
      <c r="S83" s="132">
        <v>32.450471243808479</v>
      </c>
      <c r="T83" s="132">
        <v>34.958868756384753</v>
      </c>
      <c r="U83" s="132">
        <v>28.935518336561401</v>
      </c>
      <c r="V83" s="132">
        <v>25.753154235687926</v>
      </c>
      <c r="W83" s="132">
        <v>29.516964217511994</v>
      </c>
      <c r="X83" s="132">
        <v>30.459881320949435</v>
      </c>
      <c r="Y83" s="132">
        <v>26.657465998935198</v>
      </c>
      <c r="Z83" s="132">
        <v>25.949932405436716</v>
      </c>
      <c r="AA83" s="132">
        <v>26.749892652163876</v>
      </c>
      <c r="AB83" s="132">
        <v>25.298932960095861</v>
      </c>
      <c r="AC83" s="132">
        <v>25.848355272679598</v>
      </c>
      <c r="AD83" s="132">
        <v>21.305221347435648</v>
      </c>
      <c r="AE83" s="132">
        <v>22.371213560916779</v>
      </c>
      <c r="AF83" s="132">
        <v>23.033029428282536</v>
      </c>
      <c r="AG83" s="132">
        <v>25.692605964936448</v>
      </c>
      <c r="AH83" s="132">
        <v>27.041632324019442</v>
      </c>
      <c r="AI83" s="132">
        <v>26.260374190635055</v>
      </c>
      <c r="AJ83" s="132">
        <v>38.903630169804174</v>
      </c>
      <c r="AK83" s="132">
        <v>37.040280838415107</v>
      </c>
      <c r="AL83" s="132">
        <v>32.5917012190029</v>
      </c>
      <c r="AM83" s="132">
        <v>25.200601949424271</v>
      </c>
      <c r="AN83" s="132">
        <v>22.686387351634984</v>
      </c>
      <c r="AO83" s="132">
        <v>20.169260827528461</v>
      </c>
      <c r="AP83" s="132">
        <v>20.832735198507514</v>
      </c>
      <c r="AQ83" s="132">
        <v>21.587571141762488</v>
      </c>
      <c r="AR83" s="132">
        <v>22.931576364336749</v>
      </c>
      <c r="AS83" s="132">
        <v>24.897972614700208</v>
      </c>
      <c r="AT83" s="132">
        <v>24.086815305421009</v>
      </c>
      <c r="AU83" s="132">
        <v>26.610258575297273</v>
      </c>
      <c r="AV83" s="132">
        <v>28.509030214201204</v>
      </c>
      <c r="AW83" s="132">
        <v>22.984939644186138</v>
      </c>
      <c r="AX83" s="132">
        <v>21.918991293369881</v>
      </c>
      <c r="AY83" s="132">
        <v>22.674057553226707</v>
      </c>
      <c r="AZ83" s="132">
        <v>18.77494549160134</v>
      </c>
      <c r="BA83" s="132">
        <v>20.124359647879299</v>
      </c>
      <c r="BB83" s="132">
        <v>21.549477070827869</v>
      </c>
      <c r="BC83" s="132">
        <v>19.86494772288335</v>
      </c>
      <c r="BD83" s="132">
        <v>17.792180553165483</v>
      </c>
      <c r="BE83" s="132">
        <v>16.472804465812267</v>
      </c>
      <c r="BF83" s="132">
        <v>15.128733903450408</v>
      </c>
      <c r="BG83" s="132">
        <v>13.249744800675897</v>
      </c>
      <c r="BH83" s="132">
        <v>12.736659941372535</v>
      </c>
      <c r="BI83" s="132">
        <v>12.541975333358957</v>
      </c>
      <c r="BJ83" s="132">
        <v>11.427995686933242</v>
      </c>
      <c r="BK83" s="132">
        <v>9.6418688818645144</v>
      </c>
      <c r="BL83" s="132">
        <v>10.769574336225944</v>
      </c>
      <c r="BM83" s="132">
        <v>12.191969216084459</v>
      </c>
      <c r="BN83" s="132">
        <v>11.686105440760839</v>
      </c>
      <c r="BO83" s="133">
        <v>11.136686866846199</v>
      </c>
    </row>
    <row r="84" spans="1:67">
      <c r="A84" s="149"/>
      <c r="B84" s="4" t="s">
        <v>4</v>
      </c>
      <c r="C84" s="132">
        <v>33.670104543988266</v>
      </c>
      <c r="D84" s="132">
        <v>31.129951746985807</v>
      </c>
      <c r="E84" s="132">
        <v>30.125153887446299</v>
      </c>
      <c r="F84" s="132">
        <v>28.962764663523355</v>
      </c>
      <c r="G84" s="132">
        <v>29.212230936815082</v>
      </c>
      <c r="H84" s="132">
        <v>30.695855975268234</v>
      </c>
      <c r="I84" s="132">
        <v>30.872802251406316</v>
      </c>
      <c r="J84" s="132">
        <v>29.373012267151292</v>
      </c>
      <c r="K84" s="132">
        <v>29.297359927170401</v>
      </c>
      <c r="L84" s="132">
        <v>28.088701161562827</v>
      </c>
      <c r="M84" s="132">
        <v>30.663919254007617</v>
      </c>
      <c r="N84" s="132">
        <v>35.189107913215985</v>
      </c>
      <c r="O84" s="132">
        <v>28.727079457879352</v>
      </c>
      <c r="P84" s="132">
        <v>28.669014004326538</v>
      </c>
      <c r="Q84" s="132">
        <v>40.897520505326675</v>
      </c>
      <c r="R84" s="132">
        <v>34.511581850087744</v>
      </c>
      <c r="S84" s="132">
        <v>31.755637727022563</v>
      </c>
      <c r="T84" s="132">
        <v>31.593096403032423</v>
      </c>
      <c r="U84" s="132">
        <v>38.68802232489157</v>
      </c>
      <c r="V84" s="132">
        <v>31.611020513260662</v>
      </c>
      <c r="W84" s="132">
        <v>35.899831723248681</v>
      </c>
      <c r="X84" s="132">
        <v>33.820304437564495</v>
      </c>
      <c r="Y84" s="132">
        <v>31.558271148705014</v>
      </c>
      <c r="Z84" s="132">
        <v>28.212772985292528</v>
      </c>
      <c r="AA84" s="132">
        <v>32.054004925898617</v>
      </c>
      <c r="AB84" s="132">
        <v>30.146501593070639</v>
      </c>
      <c r="AC84" s="132">
        <v>29.893030320057346</v>
      </c>
      <c r="AD84" s="132">
        <v>26.397546658249198</v>
      </c>
      <c r="AE84" s="132">
        <v>27.603768530853472</v>
      </c>
      <c r="AF84" s="132">
        <v>30.12334779503545</v>
      </c>
      <c r="AG84" s="132">
        <v>31.32830771679042</v>
      </c>
      <c r="AH84" s="132">
        <v>28.556066900345911</v>
      </c>
      <c r="AI84" s="132">
        <v>26.670495913193569</v>
      </c>
      <c r="AJ84" s="132">
        <v>33.954851193760135</v>
      </c>
      <c r="AK84" s="132">
        <v>34.225844390895638</v>
      </c>
      <c r="AL84" s="132">
        <v>39.154040421300564</v>
      </c>
      <c r="AM84" s="132">
        <v>32.111508754385916</v>
      </c>
      <c r="AN84" s="132">
        <v>31.370729508654279</v>
      </c>
      <c r="AO84" s="132">
        <v>28.727981112546868</v>
      </c>
      <c r="AP84" s="132">
        <v>27.359539790402021</v>
      </c>
      <c r="AQ84" s="132">
        <v>31.72147324446485</v>
      </c>
      <c r="AR84" s="132">
        <v>33.01525966432763</v>
      </c>
      <c r="AS84" s="132">
        <v>30.274699649305131</v>
      </c>
      <c r="AT84" s="132">
        <v>30.045450590308025</v>
      </c>
      <c r="AU84" s="132">
        <v>32.866744773131586</v>
      </c>
      <c r="AV84" s="132">
        <v>35.969835949778385</v>
      </c>
      <c r="AW84" s="132">
        <v>32.251545481544177</v>
      </c>
      <c r="AX84" s="132">
        <v>31.975797511235974</v>
      </c>
      <c r="AY84" s="132">
        <v>34.904541094086404</v>
      </c>
      <c r="AZ84" s="132">
        <v>27.170246321179174</v>
      </c>
      <c r="BA84" s="132">
        <v>30.269927702404082</v>
      </c>
      <c r="BB84" s="132">
        <v>36.852728903734615</v>
      </c>
      <c r="BC84" s="132">
        <v>31.758744300364722</v>
      </c>
      <c r="BD84" s="132">
        <v>29.672461959564867</v>
      </c>
      <c r="BE84" s="132">
        <v>29.697684896403715</v>
      </c>
      <c r="BF84" s="132">
        <v>25.198650788451495</v>
      </c>
      <c r="BG84" s="132">
        <v>21.615274772506528</v>
      </c>
      <c r="BH84" s="132">
        <v>23.258397934034907</v>
      </c>
      <c r="BI84" s="132">
        <v>21.87277784338352</v>
      </c>
      <c r="BJ84" s="132">
        <v>20.33146615454778</v>
      </c>
      <c r="BK84" s="132">
        <v>17.595946643372372</v>
      </c>
      <c r="BL84" s="132">
        <v>20.054728840900253</v>
      </c>
      <c r="BM84" s="132">
        <v>21.499169510947734</v>
      </c>
      <c r="BN84" s="132">
        <v>20.40597384068602</v>
      </c>
      <c r="BO84" s="133">
        <v>19.156611259580533</v>
      </c>
    </row>
    <row r="85" spans="1:67">
      <c r="A85" s="88"/>
      <c r="B85" s="7" t="s">
        <v>47</v>
      </c>
      <c r="C85" s="132">
        <v>1.24378109452731</v>
      </c>
      <c r="D85" s="132">
        <v>2.4570024570025399</v>
      </c>
      <c r="E85" s="132">
        <v>3.1175059952037798</v>
      </c>
      <c r="F85" s="132">
        <v>0.69767441860458901</v>
      </c>
      <c r="G85" s="132">
        <v>-9.9304866931434102E-2</v>
      </c>
      <c r="H85" s="132">
        <v>3.5785288280674199</v>
      </c>
      <c r="I85" s="132">
        <v>5.0143953932341399</v>
      </c>
      <c r="J85" s="132">
        <v>1.75919579598299</v>
      </c>
      <c r="K85" s="132">
        <v>0.36671157005101901</v>
      </c>
      <c r="L85" s="132">
        <v>-0.17150100656233</v>
      </c>
      <c r="M85" s="132">
        <v>2.1885270390743901</v>
      </c>
      <c r="N85" s="132">
        <v>3.78020612544907</v>
      </c>
      <c r="O85" s="132">
        <v>5.8316447431100498</v>
      </c>
      <c r="P85" s="132">
        <v>9.2811942233210605</v>
      </c>
      <c r="Q85" s="132">
        <v>17.809948033181801</v>
      </c>
      <c r="R85" s="132">
        <v>19.120184013605101</v>
      </c>
      <c r="S85" s="132">
        <v>11.4490304932756</v>
      </c>
      <c r="T85" s="132">
        <v>14.820964481893499</v>
      </c>
      <c r="U85" s="132">
        <v>16.9317824582842</v>
      </c>
      <c r="V85" s="132">
        <v>7.9793526184878596</v>
      </c>
      <c r="W85" s="132">
        <v>13.858181456248399</v>
      </c>
      <c r="X85" s="132">
        <v>11.6030534351142</v>
      </c>
      <c r="Y85" s="132">
        <v>20.666714666282701</v>
      </c>
      <c r="Z85" s="132">
        <v>11.397782736852299</v>
      </c>
      <c r="AA85" s="132">
        <v>10.284098213138</v>
      </c>
      <c r="AB85" s="132">
        <v>13.006566421882701</v>
      </c>
      <c r="AC85" s="132">
        <v>2.5342759889288802</v>
      </c>
      <c r="AD85" s="132">
        <v>8.6376731898008394</v>
      </c>
      <c r="AE85" s="132">
        <v>12.264963048158201</v>
      </c>
      <c r="AF85" s="132">
        <v>13.789317276388299</v>
      </c>
      <c r="AG85" s="132">
        <v>17.781814429920001</v>
      </c>
      <c r="AH85" s="132">
        <v>20.084495575463201</v>
      </c>
      <c r="AI85" s="132">
        <v>27.332364447578399</v>
      </c>
      <c r="AJ85" s="132">
        <v>45.978881303621797</v>
      </c>
      <c r="AK85" s="132">
        <v>28.814389430673099</v>
      </c>
      <c r="AL85" s="132">
        <v>1.55432816055009</v>
      </c>
      <c r="AM85" s="132">
        <v>8.8640874157752201</v>
      </c>
      <c r="AN85" s="132">
        <v>11.3618450505783</v>
      </c>
      <c r="AO85" s="132">
        <v>6.72243650753928</v>
      </c>
      <c r="AP85" s="132">
        <v>5.7420010952048397</v>
      </c>
      <c r="AQ85" s="132">
        <v>9.9800251535097892</v>
      </c>
      <c r="AR85" s="132">
        <v>5.73859814341467</v>
      </c>
      <c r="AS85" s="132">
        <v>1.9613082173916201</v>
      </c>
      <c r="AT85" s="132">
        <v>9.8156906297965403</v>
      </c>
      <c r="AU85" s="132">
        <v>11.6240355442426</v>
      </c>
      <c r="AV85" s="132">
        <v>10.3127783574683</v>
      </c>
      <c r="AW85" s="132">
        <v>14.4537342081708</v>
      </c>
      <c r="AX85" s="132">
        <v>9.7588802302752899</v>
      </c>
      <c r="AY85" s="132">
        <v>26.239816644506298</v>
      </c>
      <c r="AZ85" s="132">
        <v>9.2341259239465199</v>
      </c>
      <c r="BA85" s="132">
        <v>3.9613888911538502</v>
      </c>
      <c r="BB85" s="132">
        <v>14.022491301470399</v>
      </c>
      <c r="BC85" s="132">
        <v>9.3777700354759794</v>
      </c>
      <c r="BD85" s="132">
        <v>5.7174935703773304</v>
      </c>
      <c r="BE85" s="132">
        <v>6.87815499275949</v>
      </c>
      <c r="BF85" s="132">
        <v>6.5821542928477896</v>
      </c>
      <c r="BG85" s="132">
        <v>6.2972495381462501</v>
      </c>
      <c r="BH85" s="132">
        <v>8.0056496770994503</v>
      </c>
      <c r="BI85" s="132">
        <v>4.6898064677633</v>
      </c>
      <c r="BJ85" s="132">
        <v>5.2396379576479202</v>
      </c>
      <c r="BK85" s="132">
        <v>5.4051620793339197</v>
      </c>
      <c r="BL85" s="132">
        <v>6.1079360365917603</v>
      </c>
      <c r="BM85" s="132">
        <v>7.65986268272224</v>
      </c>
      <c r="BN85" s="132">
        <v>7.6713963402940202</v>
      </c>
      <c r="BO85" s="133">
        <v>4.4897885424344803</v>
      </c>
    </row>
    <row r="86" spans="1:67">
      <c r="A86" s="152" t="s">
        <v>29</v>
      </c>
      <c r="B86" s="4" t="s">
        <v>3</v>
      </c>
      <c r="C86" s="120">
        <v>11.740890688259109</v>
      </c>
      <c r="D86" s="120">
        <v>12.549019607843137</v>
      </c>
      <c r="E86" s="120">
        <v>14.381270903010032</v>
      </c>
      <c r="F86" s="120">
        <v>14.880952380952381</v>
      </c>
      <c r="G86" s="120">
        <v>15.363881401617252</v>
      </c>
      <c r="H86" s="120">
        <v>15.561224489795919</v>
      </c>
      <c r="I86" s="120">
        <v>10.864197530864198</v>
      </c>
      <c r="J86" s="120">
        <v>12.048192771084338</v>
      </c>
      <c r="K86" s="120">
        <v>12.075643654591023</v>
      </c>
      <c r="L86" s="120">
        <v>13.582342954159593</v>
      </c>
      <c r="M86" s="120">
        <v>12.219959266802444</v>
      </c>
      <c r="N86" s="120">
        <v>12.797074954296161</v>
      </c>
      <c r="O86" s="120">
        <v>16.077170418006432</v>
      </c>
      <c r="P86" s="120">
        <v>14.26872770511296</v>
      </c>
      <c r="Q86" s="120">
        <v>13.658536585365855</v>
      </c>
      <c r="R86" s="120">
        <v>14.466546112115733</v>
      </c>
      <c r="S86" s="120">
        <v>17.912772585669781</v>
      </c>
      <c r="T86" s="120">
        <v>11.89767995240928</v>
      </c>
      <c r="U86" s="120">
        <v>17.25625539257981</v>
      </c>
      <c r="V86" s="120">
        <v>22.103970528039298</v>
      </c>
      <c r="W86" s="120">
        <v>21.005653079440641</v>
      </c>
      <c r="X86" s="120">
        <v>19.291338582677163</v>
      </c>
      <c r="Y86" s="138"/>
      <c r="Z86" s="138"/>
      <c r="AA86" s="138"/>
      <c r="AB86" s="138"/>
      <c r="AC86" s="138"/>
      <c r="AD86" s="138"/>
      <c r="AE86" s="138"/>
      <c r="AF86" s="138"/>
      <c r="AG86" s="138"/>
      <c r="AH86" s="138"/>
      <c r="AI86" s="138"/>
      <c r="AJ86" s="138"/>
      <c r="AK86" s="138"/>
      <c r="AL86" s="138"/>
      <c r="AM86" s="138"/>
      <c r="AN86" s="138"/>
      <c r="AO86" s="138"/>
      <c r="AP86" s="138"/>
      <c r="AQ86" s="138"/>
      <c r="AR86" s="138"/>
      <c r="AS86" s="138"/>
      <c r="AT86" s="138"/>
      <c r="AU86" s="138"/>
      <c r="AV86" s="138"/>
      <c r="AW86" s="138"/>
      <c r="AX86" s="120">
        <v>53.248760019253361</v>
      </c>
      <c r="AY86" s="120">
        <v>52.918482903757116</v>
      </c>
      <c r="AZ86" s="120">
        <v>44.763328977790088</v>
      </c>
      <c r="BA86" s="120">
        <v>42.12625893112147</v>
      </c>
      <c r="BB86" s="120">
        <v>47.722845120363857</v>
      </c>
      <c r="BC86" s="120">
        <v>41.795933674504546</v>
      </c>
      <c r="BD86" s="120">
        <v>38.249664707756637</v>
      </c>
      <c r="BE86" s="120">
        <v>38.149695325583657</v>
      </c>
      <c r="BF86" s="120">
        <v>42.891803712310185</v>
      </c>
      <c r="BG86" s="120">
        <v>45.779665245410428</v>
      </c>
      <c r="BH86" s="120">
        <v>47.476934033266197</v>
      </c>
      <c r="BI86" s="120">
        <v>49.833111421904533</v>
      </c>
      <c r="BJ86" s="120">
        <v>46.209328178116124</v>
      </c>
      <c r="BK86" s="120">
        <v>44.449012278890038</v>
      </c>
      <c r="BL86" s="120">
        <v>46.146089821454517</v>
      </c>
      <c r="BM86" s="120">
        <v>46.506382336112331</v>
      </c>
      <c r="BN86" s="120">
        <v>42.922980580559518</v>
      </c>
      <c r="BO86" s="121"/>
    </row>
    <row r="87" spans="1:67">
      <c r="A87" s="149"/>
      <c r="B87" s="4" t="s">
        <v>4</v>
      </c>
      <c r="C87" s="120">
        <v>38.461538461538467</v>
      </c>
      <c r="D87" s="120">
        <v>45.490196078431374</v>
      </c>
      <c r="E87" s="120">
        <v>47.826086956521742</v>
      </c>
      <c r="F87" s="120">
        <v>50.892857142857139</v>
      </c>
      <c r="G87" s="120">
        <v>49.595687331536389</v>
      </c>
      <c r="H87" s="120">
        <v>53.316326530612244</v>
      </c>
      <c r="I87" s="120">
        <v>56.543209876543209</v>
      </c>
      <c r="J87" s="120">
        <v>56.69737774627923</v>
      </c>
      <c r="K87" s="120">
        <v>55.13784461152882</v>
      </c>
      <c r="L87" s="120">
        <v>51.570458404074706</v>
      </c>
      <c r="M87" s="120">
        <v>48.879837067209778</v>
      </c>
      <c r="N87" s="120">
        <v>54.844606946983546</v>
      </c>
      <c r="O87" s="120">
        <v>69.131832797427649</v>
      </c>
      <c r="P87" s="120">
        <v>67.776456599286561</v>
      </c>
      <c r="Q87" s="120">
        <v>77.073170731707322</v>
      </c>
      <c r="R87" s="120">
        <v>103.97830018083182</v>
      </c>
      <c r="S87" s="120">
        <v>138.62928348909657</v>
      </c>
      <c r="T87" s="120">
        <v>112.43307555026769</v>
      </c>
      <c r="U87" s="120">
        <v>90.595340811043997</v>
      </c>
      <c r="V87" s="120">
        <v>123.61850184199754</v>
      </c>
      <c r="W87" s="120">
        <v>110.08628384409403</v>
      </c>
      <c r="X87" s="120">
        <v>117.00787401574803</v>
      </c>
      <c r="Y87" s="138"/>
      <c r="Z87" s="138"/>
      <c r="AA87" s="138"/>
      <c r="AB87" s="138"/>
      <c r="AC87" s="138"/>
      <c r="AD87" s="138"/>
      <c r="AE87" s="138"/>
      <c r="AF87" s="138"/>
      <c r="AG87" s="138"/>
      <c r="AH87" s="138"/>
      <c r="AI87" s="138"/>
      <c r="AJ87" s="138"/>
      <c r="AK87" s="138"/>
      <c r="AL87" s="138"/>
      <c r="AM87" s="138"/>
      <c r="AN87" s="138"/>
      <c r="AO87" s="138"/>
      <c r="AP87" s="138"/>
      <c r="AQ87" s="138"/>
      <c r="AR87" s="138"/>
      <c r="AS87" s="138"/>
      <c r="AT87" s="138"/>
      <c r="AU87" s="138"/>
      <c r="AV87" s="138"/>
      <c r="AW87" s="138"/>
      <c r="AX87" s="120">
        <v>111.8001888141186</v>
      </c>
      <c r="AY87" s="120">
        <v>108.20810768963365</v>
      </c>
      <c r="AZ87" s="120">
        <v>114.13140860784739</v>
      </c>
      <c r="BA87" s="120">
        <v>107.97617655621127</v>
      </c>
      <c r="BB87" s="120">
        <v>102.07376157878949</v>
      </c>
      <c r="BC87" s="120">
        <v>108.41264168393377</v>
      </c>
      <c r="BD87" s="120">
        <v>95.115825047413836</v>
      </c>
      <c r="BE87" s="120">
        <v>88.142780034994388</v>
      </c>
      <c r="BF87" s="120">
        <v>86.830969370556801</v>
      </c>
      <c r="BG87" s="120">
        <v>90.535582496349974</v>
      </c>
      <c r="BH87" s="120">
        <v>98.889837296227398</v>
      </c>
      <c r="BI87" s="120">
        <v>94.601844043697469</v>
      </c>
      <c r="BJ87" s="120">
        <v>94.307305313563688</v>
      </c>
      <c r="BK87" s="120">
        <v>96.647592366688102</v>
      </c>
      <c r="BL87" s="120">
        <v>93.040389643952182</v>
      </c>
      <c r="BM87" s="120">
        <v>95.867599107748902</v>
      </c>
      <c r="BN87" s="120">
        <v>98.590774954548621</v>
      </c>
      <c r="BO87" s="121"/>
    </row>
    <row r="88" spans="1:67">
      <c r="A88" s="88"/>
      <c r="B88" s="7" t="s">
        <v>47</v>
      </c>
      <c r="C88" s="120"/>
      <c r="D88" s="120"/>
      <c r="E88" s="120"/>
      <c r="F88" s="120"/>
      <c r="G88" s="120"/>
      <c r="H88" s="120"/>
      <c r="I88" s="120"/>
      <c r="J88" s="120"/>
      <c r="K88" s="120"/>
      <c r="L88" s="120"/>
      <c r="M88" s="120"/>
      <c r="N88" s="120"/>
      <c r="O88" s="120"/>
      <c r="P88" s="120"/>
      <c r="Q88" s="120">
        <v>13.422834516592401</v>
      </c>
      <c r="R88" s="120">
        <v>14.211939681942599</v>
      </c>
      <c r="S88" s="120">
        <v>11.412551998413599</v>
      </c>
      <c r="T88" s="120">
        <v>16.688311688555199</v>
      </c>
      <c r="U88" s="120">
        <v>13.483579011848899</v>
      </c>
      <c r="V88" s="120">
        <v>16.0035523977478</v>
      </c>
      <c r="W88" s="120">
        <v>16.274841618253301</v>
      </c>
      <c r="X88" s="120">
        <v>12.413261372398001</v>
      </c>
      <c r="Y88" s="120">
        <v>12.1399176954734</v>
      </c>
      <c r="Z88" s="120">
        <v>17.492354740061401</v>
      </c>
      <c r="AA88" s="120">
        <v>10.983862571577401</v>
      </c>
      <c r="AB88" s="120">
        <v>13.320825515947099</v>
      </c>
      <c r="AC88" s="120">
        <v>18.004966887417201</v>
      </c>
      <c r="AD88" s="120">
        <v>11.750263065591</v>
      </c>
      <c r="AE88" s="120">
        <v>11.4563716258632</v>
      </c>
      <c r="AF88" s="120">
        <v>14.728245564629701</v>
      </c>
      <c r="AG88" s="120">
        <v>11.6347569955818</v>
      </c>
      <c r="AH88" s="120">
        <v>17.678100263852301</v>
      </c>
      <c r="AI88" s="120">
        <v>17.208520179372101</v>
      </c>
      <c r="AJ88" s="120">
        <v>13.1356607683724</v>
      </c>
      <c r="AK88" s="120">
        <v>8.2147386219530194</v>
      </c>
      <c r="AL88" s="120">
        <v>9.2708333333332291</v>
      </c>
      <c r="AM88" s="120">
        <v>9.3303145853192806</v>
      </c>
      <c r="AN88" s="138"/>
      <c r="AO88" s="138"/>
      <c r="AP88" s="138"/>
      <c r="AQ88" s="120">
        <v>6.1319753872269596</v>
      </c>
      <c r="AR88" s="120">
        <v>-9.6161535385847206</v>
      </c>
      <c r="AS88" s="120">
        <v>33.812578338126002</v>
      </c>
      <c r="AT88" s="120">
        <v>6.62916357146762</v>
      </c>
      <c r="AU88" s="120">
        <v>5.0234206861628499</v>
      </c>
      <c r="AV88" s="120">
        <v>3.4378842305744302</v>
      </c>
      <c r="AW88" s="120">
        <v>6.0727187973429304</v>
      </c>
      <c r="AX88" s="120">
        <v>8.0124366904340896</v>
      </c>
      <c r="AY88" s="120">
        <v>10.715666130968099</v>
      </c>
      <c r="AZ88" s="120">
        <v>-16.859691054064399</v>
      </c>
      <c r="BA88" s="120">
        <v>-2.4052425459870599</v>
      </c>
      <c r="BB88" s="120">
        <v>5.0366305210156002</v>
      </c>
      <c r="BC88" s="120">
        <v>6.0514366213996702</v>
      </c>
      <c r="BD88" s="120">
        <v>4.8651189949638498</v>
      </c>
      <c r="BE88" s="120">
        <v>5.3702896100858704</v>
      </c>
      <c r="BF88" s="120">
        <v>3.2184451365593101</v>
      </c>
      <c r="BG88" s="120">
        <v>6.5965049069654302</v>
      </c>
      <c r="BH88" s="120">
        <v>4.4476993737630002</v>
      </c>
      <c r="BI88" s="120">
        <v>4.7518030162473996</v>
      </c>
      <c r="BJ88" s="120">
        <v>5.1870835919798202</v>
      </c>
      <c r="BK88" s="120">
        <v>4.9780967625230899</v>
      </c>
      <c r="BL88" s="120">
        <v>6.0477459195067604</v>
      </c>
      <c r="BM88" s="120">
        <v>8.2718038994302798</v>
      </c>
      <c r="BN88" s="120">
        <v>6.3422174312495301</v>
      </c>
      <c r="BO88" s="121">
        <v>6.10544624245032</v>
      </c>
    </row>
    <row r="89" spans="1:67">
      <c r="A89" s="149" t="s">
        <v>31</v>
      </c>
      <c r="B89" s="4" t="s">
        <v>3</v>
      </c>
      <c r="C89" s="117">
        <v>10.030184184753978</v>
      </c>
      <c r="D89" s="117">
        <v>14.604749324054268</v>
      </c>
      <c r="E89" s="117">
        <v>13.755029303758477</v>
      </c>
      <c r="F89" s="117">
        <v>12.780448065733763</v>
      </c>
      <c r="G89" s="117">
        <v>13.302797449575927</v>
      </c>
      <c r="H89" s="117">
        <v>13.21170446020172</v>
      </c>
      <c r="I89" s="117">
        <v>17.294715305653721</v>
      </c>
      <c r="J89" s="117">
        <v>17.514252878468614</v>
      </c>
      <c r="K89" s="117">
        <v>17.750338775661099</v>
      </c>
      <c r="L89" s="117">
        <v>18.109269659193505</v>
      </c>
      <c r="M89" s="117">
        <v>19.160337693690693</v>
      </c>
      <c r="N89" s="117">
        <v>14.444668333560461</v>
      </c>
      <c r="O89" s="117">
        <v>14.262974393354847</v>
      </c>
      <c r="P89" s="117">
        <v>14.247855767416103</v>
      </c>
      <c r="Q89" s="117">
        <v>15.526161254599302</v>
      </c>
      <c r="R89" s="117">
        <v>15.859518389625801</v>
      </c>
      <c r="S89" s="117">
        <v>15.163741844044226</v>
      </c>
      <c r="T89" s="117">
        <v>16.444991262526148</v>
      </c>
      <c r="U89" s="117">
        <v>17.151038309536133</v>
      </c>
      <c r="V89" s="117">
        <v>14.575381808721813</v>
      </c>
      <c r="W89" s="117">
        <v>10.665345957973148</v>
      </c>
      <c r="X89" s="117">
        <v>8.8898277141114939</v>
      </c>
      <c r="Y89" s="117">
        <v>8.4623742904601809</v>
      </c>
      <c r="Z89" s="117">
        <v>8.1492043229602054</v>
      </c>
      <c r="AA89" s="117">
        <v>10.749774526686547</v>
      </c>
      <c r="AB89" s="117">
        <v>9.8948035956476623</v>
      </c>
      <c r="AC89" s="117">
        <v>9.8452959805407616</v>
      </c>
      <c r="AD89" s="117">
        <v>14.139637516543324</v>
      </c>
      <c r="AE89" s="117">
        <v>13.58430619418167</v>
      </c>
      <c r="AF89" s="117">
        <v>15.356154358493651</v>
      </c>
      <c r="AG89" s="117">
        <v>12.870270784727813</v>
      </c>
      <c r="AH89" s="117">
        <v>15.972448264983374</v>
      </c>
      <c r="AI89" s="117">
        <v>14.496153998093211</v>
      </c>
      <c r="AJ89" s="117">
        <v>13.809692541960594</v>
      </c>
      <c r="AK89" s="117">
        <v>20.019802172659606</v>
      </c>
      <c r="AL89" s="117">
        <v>20.986897605394891</v>
      </c>
      <c r="AM89" s="117">
        <v>17.024861564073969</v>
      </c>
      <c r="AN89" s="117">
        <v>16.142942543952039</v>
      </c>
      <c r="AO89" s="117">
        <v>16.41237558517334</v>
      </c>
      <c r="AP89" s="117">
        <v>18.34662006901673</v>
      </c>
      <c r="AQ89" s="117">
        <v>19.119668449562742</v>
      </c>
      <c r="AR89" s="117">
        <v>20.070249419802998</v>
      </c>
      <c r="AS89" s="117">
        <v>21.815574405356497</v>
      </c>
      <c r="AT89" s="117">
        <v>13.694162817595712</v>
      </c>
      <c r="AU89" s="117">
        <v>19.457306455405774</v>
      </c>
      <c r="AV89" s="117">
        <v>24.319386106876191</v>
      </c>
      <c r="AW89" s="117">
        <v>27.486913781215826</v>
      </c>
      <c r="AX89" s="117">
        <v>27.796207142259561</v>
      </c>
      <c r="AY89" s="117">
        <v>27.707199399882388</v>
      </c>
      <c r="AZ89" s="117">
        <v>20.375829835597131</v>
      </c>
      <c r="BA89" s="117">
        <v>21.874380518660892</v>
      </c>
      <c r="BB89" s="117">
        <v>22.7196386760737</v>
      </c>
      <c r="BC89" s="117">
        <v>21.780692102948546</v>
      </c>
      <c r="BD89" s="117">
        <v>23.272166077861414</v>
      </c>
      <c r="BE89" s="117">
        <v>28.281911974631896</v>
      </c>
      <c r="BF89" s="117">
        <v>28.390646129683621</v>
      </c>
      <c r="BG89" s="117">
        <v>29.092569433554271</v>
      </c>
      <c r="BH89" s="117">
        <v>30.902630876480824</v>
      </c>
      <c r="BI89" s="117">
        <v>31.536023653941157</v>
      </c>
      <c r="BJ89" s="117">
        <v>28.424401243197501</v>
      </c>
      <c r="BK89" s="117">
        <v>20.142074883361708</v>
      </c>
      <c r="BL89" s="117">
        <v>23.091632100168201</v>
      </c>
      <c r="BM89" s="117">
        <v>30.543294874618375</v>
      </c>
      <c r="BN89" s="117">
        <v>27.003047485099447</v>
      </c>
      <c r="BO89" s="127">
        <v>23.62503959649548</v>
      </c>
    </row>
    <row r="90" spans="1:67">
      <c r="A90" s="149"/>
      <c r="B90" s="4" t="s">
        <v>4</v>
      </c>
      <c r="C90" s="117">
        <v>16.624524894316352</v>
      </c>
      <c r="D90" s="117">
        <v>19.503340523804351</v>
      </c>
      <c r="E90" s="117">
        <v>18.38352880213704</v>
      </c>
      <c r="F90" s="117">
        <v>19.926314348026136</v>
      </c>
      <c r="G90" s="117">
        <v>19.927843558419152</v>
      </c>
      <c r="H90" s="117">
        <v>19.999998882234372</v>
      </c>
      <c r="I90" s="117">
        <v>23.198066834475966</v>
      </c>
      <c r="J90" s="117">
        <v>21.504062023455329</v>
      </c>
      <c r="K90" s="117">
        <v>22.790175408643815</v>
      </c>
      <c r="L90" s="117">
        <v>23.111547746231984</v>
      </c>
      <c r="M90" s="117">
        <v>21.585629278061656</v>
      </c>
      <c r="N90" s="117">
        <v>21.025648675027487</v>
      </c>
      <c r="O90" s="117">
        <v>18.323233009296473</v>
      </c>
      <c r="P90" s="117">
        <v>18.878731922211564</v>
      </c>
      <c r="Q90" s="117">
        <v>20.207153867400585</v>
      </c>
      <c r="R90" s="117">
        <v>20.890135231245445</v>
      </c>
      <c r="S90" s="117">
        <v>17.524700803112474</v>
      </c>
      <c r="T90" s="117">
        <v>20.048971038015782</v>
      </c>
      <c r="U90" s="117">
        <v>24.057400856354533</v>
      </c>
      <c r="V90" s="117">
        <v>30.387129525533176</v>
      </c>
      <c r="W90" s="117">
        <v>19.60101244831894</v>
      </c>
      <c r="X90" s="117">
        <v>14.643537925282187</v>
      </c>
      <c r="Y90" s="117">
        <v>12.915199957984894</v>
      </c>
      <c r="Z90" s="117">
        <v>11.140493151484391</v>
      </c>
      <c r="AA90" s="117">
        <v>12.514896292031708</v>
      </c>
      <c r="AB90" s="117">
        <v>12.544515976629885</v>
      </c>
      <c r="AC90" s="117">
        <v>11.697721799725748</v>
      </c>
      <c r="AD90" s="117">
        <v>15.989423046489208</v>
      </c>
      <c r="AE90" s="117">
        <v>16.912176694366799</v>
      </c>
      <c r="AF90" s="117">
        <v>16.406828233514705</v>
      </c>
      <c r="AG90" s="117">
        <v>19.510721589614722</v>
      </c>
      <c r="AH90" s="117">
        <v>19.78434979305808</v>
      </c>
      <c r="AI90" s="117">
        <v>18.661463769024174</v>
      </c>
      <c r="AJ90" s="117">
        <v>19.056196385097806</v>
      </c>
      <c r="AK90" s="117">
        <v>23.539115765336234</v>
      </c>
      <c r="AL90" s="117">
        <v>24.387593962437521</v>
      </c>
      <c r="AM90" s="117">
        <v>18.857598602760543</v>
      </c>
      <c r="AN90" s="117">
        <v>20.730805237992023</v>
      </c>
      <c r="AO90" s="117">
        <v>20.919811429623724</v>
      </c>
      <c r="AP90" s="117">
        <v>22.577791951789614</v>
      </c>
      <c r="AQ90" s="117">
        <v>23.657454214409718</v>
      </c>
      <c r="AR90" s="117">
        <v>20.964876672582893</v>
      </c>
      <c r="AS90" s="117">
        <v>28.366117532573341</v>
      </c>
      <c r="AT90" s="117">
        <v>20.336440099879272</v>
      </c>
      <c r="AU90" s="117">
        <v>29.318075429809866</v>
      </c>
      <c r="AV90" s="117">
        <v>34.810698828891503</v>
      </c>
      <c r="AW90" s="117">
        <v>34.615925155808611</v>
      </c>
      <c r="AX90" s="117">
        <v>38.906528214745336</v>
      </c>
      <c r="AY90" s="117">
        <v>46.650154560923617</v>
      </c>
      <c r="AZ90" s="117">
        <v>42.035867760222487</v>
      </c>
      <c r="BA90" s="117">
        <v>36.00051399151976</v>
      </c>
      <c r="BB90" s="117">
        <v>33.763453919115619</v>
      </c>
      <c r="BC90" s="117">
        <v>30.871021978176927</v>
      </c>
      <c r="BD90" s="117">
        <v>33.095415712231755</v>
      </c>
      <c r="BE90" s="117">
        <v>33.687520236491466</v>
      </c>
      <c r="BF90" s="117">
        <v>32.829732706824174</v>
      </c>
      <c r="BG90" s="117">
        <v>31.742129049588051</v>
      </c>
      <c r="BH90" s="117">
        <v>34.440770630810647</v>
      </c>
      <c r="BI90" s="117">
        <v>36.305481014417047</v>
      </c>
      <c r="BJ90" s="117">
        <v>34.176921802515295</v>
      </c>
      <c r="BK90" s="117">
        <v>28.868632483075395</v>
      </c>
      <c r="BL90" s="117">
        <v>32.124226492523633</v>
      </c>
      <c r="BM90" s="117">
        <v>40.003839538496941</v>
      </c>
      <c r="BN90" s="117">
        <v>34.129994203479299</v>
      </c>
      <c r="BO90" s="127">
        <v>31.346409085472864</v>
      </c>
    </row>
    <row r="91" spans="1:67">
      <c r="A91" s="88"/>
      <c r="B91" s="7" t="s">
        <v>47</v>
      </c>
      <c r="C91" s="138"/>
      <c r="D91" s="138"/>
      <c r="E91" s="138"/>
      <c r="F91" s="138"/>
      <c r="G91" s="138"/>
      <c r="H91" s="117">
        <v>4.2018603658944196</v>
      </c>
      <c r="I91" s="117">
        <v>3.2115739789755402</v>
      </c>
      <c r="J91" s="117">
        <v>0.81519037668078698</v>
      </c>
      <c r="K91" s="117">
        <v>0.95651316448554302</v>
      </c>
      <c r="L91" s="117">
        <v>3.8288728268365899</v>
      </c>
      <c r="M91" s="117">
        <v>2.8786453431879302</v>
      </c>
      <c r="N91" s="117">
        <v>5.3858814924349501</v>
      </c>
      <c r="O91" s="117">
        <v>5.6225596527748003</v>
      </c>
      <c r="P91" s="117">
        <v>6.1201018646477996</v>
      </c>
      <c r="Q91" s="117">
        <v>22.100944418777999</v>
      </c>
      <c r="R91" s="117">
        <v>8.1912128321592892</v>
      </c>
      <c r="S91" s="117">
        <v>4.9868151186257101</v>
      </c>
      <c r="T91" s="117">
        <v>3.1089528912842601</v>
      </c>
      <c r="U91" s="117">
        <v>6.5284469226179702</v>
      </c>
      <c r="V91" s="117">
        <v>14.0555922555516</v>
      </c>
      <c r="W91" s="117">
        <v>18.217865894675601</v>
      </c>
      <c r="X91" s="117">
        <v>30.5381774327711</v>
      </c>
      <c r="Y91" s="117">
        <v>31.789704651053501</v>
      </c>
      <c r="Z91" s="117">
        <v>19.328338591095001</v>
      </c>
      <c r="AA91" s="117">
        <v>9.8566209543388901</v>
      </c>
      <c r="AB91" s="117">
        <v>10.5564839573619</v>
      </c>
      <c r="AC91" s="117">
        <v>14.4973321039129</v>
      </c>
      <c r="AD91" s="117">
        <v>14.993135132250201</v>
      </c>
      <c r="AE91" s="117">
        <v>26.8537971413812</v>
      </c>
      <c r="AF91" s="117">
        <v>9.0129959455550104</v>
      </c>
      <c r="AG91" s="117">
        <v>11.784483832135701</v>
      </c>
      <c r="AH91" s="117">
        <v>8.59264760490192</v>
      </c>
      <c r="AI91" s="117">
        <v>14.5123786075771</v>
      </c>
      <c r="AJ91" s="117">
        <v>10.008361204013999</v>
      </c>
      <c r="AK91" s="117">
        <v>38.941790898923898</v>
      </c>
      <c r="AL91" s="117">
        <v>49.080210059078397</v>
      </c>
      <c r="AM91" s="117">
        <v>19.756354543977601</v>
      </c>
      <c r="AN91" s="117">
        <v>4.48638261737399</v>
      </c>
      <c r="AO91" s="117">
        <v>6.2080160866331999</v>
      </c>
      <c r="AP91" s="117">
        <v>9.9295339934878104</v>
      </c>
      <c r="AQ91" s="117">
        <v>11.859684500027999</v>
      </c>
      <c r="AR91" s="117">
        <v>7.91694484529586</v>
      </c>
      <c r="AS91" s="117">
        <v>16.498525531584601</v>
      </c>
      <c r="AT91" s="117">
        <v>-1.7040047961629801</v>
      </c>
      <c r="AU91" s="117">
        <v>13.9558018033211</v>
      </c>
      <c r="AV91" s="117">
        <v>18.3638246468932</v>
      </c>
      <c r="AW91" s="117">
        <v>10.7656371554865</v>
      </c>
      <c r="AX91" s="117">
        <v>10.287966318767101</v>
      </c>
      <c r="AY91" s="117">
        <v>9.2965083938105693</v>
      </c>
      <c r="AZ91" s="117">
        <v>8.9542180239294904</v>
      </c>
      <c r="BA91" s="117">
        <v>9.24732173644116</v>
      </c>
      <c r="BB91" s="117">
        <v>9.4825404858299205</v>
      </c>
      <c r="BC91" s="117">
        <v>5.71384434191053</v>
      </c>
      <c r="BD91" s="117">
        <v>5.8264294445197997</v>
      </c>
      <c r="BE91" s="117">
        <v>6.0804081108830204</v>
      </c>
      <c r="BF91" s="117">
        <v>7.4041917420212897</v>
      </c>
      <c r="BG91" s="117">
        <v>6.0357585815467898</v>
      </c>
      <c r="BH91" s="117">
        <v>8.6090507542294894</v>
      </c>
      <c r="BI91" s="117">
        <v>8.5942295887047599</v>
      </c>
      <c r="BJ91" s="117">
        <v>5.6105144149236503</v>
      </c>
      <c r="BK91" s="117">
        <v>4.2017931219055704</v>
      </c>
      <c r="BL91" s="117">
        <v>5.8122511878771501</v>
      </c>
      <c r="BM91" s="117">
        <v>8.1605903199184393</v>
      </c>
      <c r="BN91" s="117">
        <v>9.8743267504488799</v>
      </c>
      <c r="BO91" s="139"/>
    </row>
    <row r="92" spans="1:67">
      <c r="A92" s="150" t="s">
        <v>33</v>
      </c>
      <c r="B92" s="4" t="s">
        <v>3</v>
      </c>
      <c r="C92" s="138"/>
      <c r="D92" s="134">
        <v>11.3673587156786</v>
      </c>
      <c r="E92" s="134">
        <v>11.521403988125623</v>
      </c>
      <c r="F92" s="134">
        <v>19.974482299920489</v>
      </c>
      <c r="G92" s="134">
        <v>34.512864619651516</v>
      </c>
      <c r="H92" s="134">
        <v>33.447629628074772</v>
      </c>
      <c r="I92" s="134">
        <v>34.084290334148328</v>
      </c>
      <c r="J92" s="134">
        <v>32.981843562361099</v>
      </c>
      <c r="K92" s="134">
        <v>30.124006238907359</v>
      </c>
      <c r="L92" s="134">
        <v>30.78851036505479</v>
      </c>
      <c r="M92" s="134">
        <v>32.351651762323193</v>
      </c>
      <c r="N92" s="134">
        <v>31.882334328384793</v>
      </c>
      <c r="O92" s="134">
        <v>38.22745994644999</v>
      </c>
      <c r="P92" s="134">
        <v>37.124377335522205</v>
      </c>
      <c r="Q92" s="134">
        <v>38.283783287242642</v>
      </c>
      <c r="R92" s="134">
        <v>30.471369380014195</v>
      </c>
      <c r="S92" s="134">
        <v>30.078568704585269</v>
      </c>
      <c r="T92" s="134">
        <v>25.984498005303863</v>
      </c>
      <c r="U92" s="134">
        <v>26.44952562782278</v>
      </c>
      <c r="V92" s="134">
        <v>26.305924337984553</v>
      </c>
      <c r="W92" s="134">
        <v>29.189413648387578</v>
      </c>
      <c r="X92" s="134">
        <v>35.72381539146933</v>
      </c>
      <c r="Y92" s="134">
        <v>31.758787036052809</v>
      </c>
      <c r="Z92" s="134">
        <v>36.255496552409781</v>
      </c>
      <c r="AA92" s="134">
        <v>36.136639538067719</v>
      </c>
      <c r="AB92" s="134">
        <v>47.489328810055639</v>
      </c>
      <c r="AC92" s="134">
        <v>44.512224014500511</v>
      </c>
      <c r="AD92" s="134">
        <v>38.912690535451631</v>
      </c>
      <c r="AE92" s="134">
        <v>39.847407712780068</v>
      </c>
      <c r="AF92" s="134">
        <v>39.501735866637674</v>
      </c>
      <c r="AG92" s="134">
        <v>36.179968120503233</v>
      </c>
      <c r="AH92" s="134">
        <v>27.540631915912826</v>
      </c>
      <c r="AI92" s="134">
        <v>22.371963540704758</v>
      </c>
      <c r="AJ92" s="134">
        <v>25.360934602992707</v>
      </c>
      <c r="AK92" s="134">
        <v>34.699628309105904</v>
      </c>
      <c r="AL92" s="134">
        <v>41.486463206724331</v>
      </c>
      <c r="AM92" s="134">
        <v>39.163413468857591</v>
      </c>
      <c r="AN92" s="134">
        <v>33.392054066383217</v>
      </c>
      <c r="AO92" s="134">
        <v>24.459168559458305</v>
      </c>
      <c r="AP92" s="134">
        <v>22.569186038298184</v>
      </c>
      <c r="AQ92" s="134">
        <v>25.517115714084326</v>
      </c>
      <c r="AR92" s="134">
        <v>25.536995080515982</v>
      </c>
      <c r="AS92" s="134">
        <v>24.773608402842328</v>
      </c>
      <c r="AT92" s="134">
        <v>19.124772175472842</v>
      </c>
      <c r="AU92" s="134">
        <v>23.269257568695707</v>
      </c>
      <c r="AV92" s="134">
        <v>26.753247053687474</v>
      </c>
      <c r="AW92" s="134">
        <v>42.364103327396684</v>
      </c>
      <c r="AX92" s="134">
        <v>40.523161798288562</v>
      </c>
      <c r="AY92" s="134">
        <v>41.602850478451067</v>
      </c>
      <c r="AZ92" s="134">
        <v>37.24574830291234</v>
      </c>
      <c r="BA92" s="134">
        <v>45.739348112711603</v>
      </c>
      <c r="BB92" s="134">
        <v>50.182809699787398</v>
      </c>
      <c r="BC92" s="134">
        <v>48.261355209614301</v>
      </c>
      <c r="BD92" s="134">
        <v>45.548599212242152</v>
      </c>
      <c r="BE92" s="134">
        <v>37.389200721942792</v>
      </c>
      <c r="BF92" s="134">
        <v>30.195144755334869</v>
      </c>
      <c r="BG92" s="134">
        <v>33.925140548854586</v>
      </c>
      <c r="BH92" s="134">
        <v>34.505677530094673</v>
      </c>
      <c r="BI92" s="134">
        <v>36.586250401293746</v>
      </c>
      <c r="BJ92" s="134">
        <v>42.397524040660691</v>
      </c>
      <c r="BK92" s="134">
        <v>41.406104283544998</v>
      </c>
      <c r="BL92" s="134">
        <v>39.856023264302507</v>
      </c>
      <c r="BM92" s="134">
        <v>39.737807822991954</v>
      </c>
      <c r="BN92" s="134">
        <v>38.287990902354686</v>
      </c>
      <c r="BO92" s="135"/>
    </row>
    <row r="93" spans="1:67">
      <c r="A93" s="149"/>
      <c r="B93" s="4" t="s">
        <v>4</v>
      </c>
      <c r="C93" s="138"/>
      <c r="D93" s="134">
        <v>18.680255992379948</v>
      </c>
      <c r="E93" s="134">
        <v>21.470754240565615</v>
      </c>
      <c r="F93" s="134">
        <v>20.404212141868133</v>
      </c>
      <c r="G93" s="134">
        <v>15.625993002699792</v>
      </c>
      <c r="H93" s="134">
        <v>14.933041494085005</v>
      </c>
      <c r="I93" s="134">
        <v>14.540755159378824</v>
      </c>
      <c r="J93" s="134">
        <v>16.091083145878535</v>
      </c>
      <c r="K93" s="134">
        <v>15.155867503525233</v>
      </c>
      <c r="L93" s="134">
        <v>16.234612900011474</v>
      </c>
      <c r="M93" s="134">
        <v>17.239602429732169</v>
      </c>
      <c r="N93" s="134">
        <v>16.994871721607595</v>
      </c>
      <c r="O93" s="134">
        <v>33.984344024159654</v>
      </c>
      <c r="P93" s="134">
        <v>32.004900354890971</v>
      </c>
      <c r="Q93" s="134">
        <v>40.947781525414094</v>
      </c>
      <c r="R93" s="134">
        <v>41.713967376661742</v>
      </c>
      <c r="S93" s="134">
        <v>53.798466325826709</v>
      </c>
      <c r="T93" s="134">
        <v>50.81404576519644</v>
      </c>
      <c r="U93" s="134">
        <v>44.78588553818588</v>
      </c>
      <c r="V93" s="134">
        <v>41.292501551717933</v>
      </c>
      <c r="W93" s="134">
        <v>46.036529245742017</v>
      </c>
      <c r="X93" s="134">
        <v>51.76129404451941</v>
      </c>
      <c r="Y93" s="134">
        <v>58.500555513879249</v>
      </c>
      <c r="Z93" s="134">
        <v>52.69888896069628</v>
      </c>
      <c r="AA93" s="134">
        <v>50.512854897862745</v>
      </c>
      <c r="AB93" s="134">
        <v>55.796574480975025</v>
      </c>
      <c r="AC93" s="134">
        <v>54.777838575740731</v>
      </c>
      <c r="AD93" s="134">
        <v>45.986953264038178</v>
      </c>
      <c r="AE93" s="134">
        <v>43.530958227097045</v>
      </c>
      <c r="AF93" s="134">
        <v>39.188055762185733</v>
      </c>
      <c r="AG93" s="134">
        <v>41.944580652462392</v>
      </c>
      <c r="AH93" s="134">
        <v>28.276219251734279</v>
      </c>
      <c r="AI93" s="134">
        <v>19.955956579945177</v>
      </c>
      <c r="AJ93" s="134">
        <v>20.715369437856896</v>
      </c>
      <c r="AK93" s="134">
        <v>27.986255365331207</v>
      </c>
      <c r="AL93" s="134">
        <v>31.93047704945468</v>
      </c>
      <c r="AM93" s="134">
        <v>31.292476286069583</v>
      </c>
      <c r="AN93" s="134">
        <v>29.357509499329421</v>
      </c>
      <c r="AO93" s="134">
        <v>26.93184399121894</v>
      </c>
      <c r="AP93" s="134">
        <v>26.447752001457836</v>
      </c>
      <c r="AQ93" s="134">
        <v>33.423259052982445</v>
      </c>
      <c r="AR93" s="134">
        <v>35.164217379955545</v>
      </c>
      <c r="AS93" s="134">
        <v>32.011921197338253</v>
      </c>
      <c r="AT93" s="134">
        <v>36.193252157770964</v>
      </c>
      <c r="AU93" s="134">
        <v>51.949547110100205</v>
      </c>
      <c r="AV93" s="134">
        <v>61.481852505961655</v>
      </c>
      <c r="AW93" s="134">
        <v>40.424397885635585</v>
      </c>
      <c r="AX93" s="134">
        <v>45.540893879624683</v>
      </c>
      <c r="AY93" s="134">
        <v>52.517360521973991</v>
      </c>
      <c r="AZ93" s="134">
        <v>44.76286929890275</v>
      </c>
      <c r="BA93" s="134">
        <v>47.681397020749166</v>
      </c>
      <c r="BB93" s="134">
        <v>48.302519904370641</v>
      </c>
      <c r="BC93" s="134">
        <v>62.526767533806527</v>
      </c>
      <c r="BD93" s="134">
        <v>56.850224970926568</v>
      </c>
      <c r="BE93" s="134">
        <v>54.221170641661232</v>
      </c>
      <c r="BF93" s="134">
        <v>47.151641739161704</v>
      </c>
      <c r="BG93" s="134">
        <v>39.228121124816603</v>
      </c>
      <c r="BH93" s="134">
        <v>44.309302653293727</v>
      </c>
      <c r="BI93" s="134">
        <v>52.560479092221058</v>
      </c>
      <c r="BJ93" s="134">
        <v>51.089170094471037</v>
      </c>
      <c r="BK93" s="134">
        <v>45.370063848729131</v>
      </c>
      <c r="BL93" s="134">
        <v>48.450850492821004</v>
      </c>
      <c r="BM93" s="134">
        <v>62.288091302703641</v>
      </c>
      <c r="BN93" s="134">
        <v>53.182580684999181</v>
      </c>
      <c r="BO93" s="135"/>
    </row>
    <row r="94" spans="1:67">
      <c r="A94" s="88"/>
      <c r="B94" s="7" t="s">
        <v>47</v>
      </c>
      <c r="C94" s="138"/>
      <c r="D94" s="138"/>
      <c r="E94" s="138"/>
      <c r="F94" s="138"/>
      <c r="G94" s="138"/>
      <c r="H94" s="138"/>
      <c r="I94" s="138"/>
      <c r="J94" s="138"/>
      <c r="K94" s="138"/>
      <c r="L94" s="138"/>
      <c r="M94" s="138"/>
      <c r="N94" s="138"/>
      <c r="O94" s="138"/>
      <c r="P94" s="138"/>
      <c r="Q94" s="138"/>
      <c r="R94" s="138"/>
      <c r="S94" s="138"/>
      <c r="T94" s="138"/>
      <c r="U94" s="138"/>
      <c r="V94" s="138"/>
      <c r="W94" s="138"/>
      <c r="X94" s="138"/>
      <c r="Y94" s="138"/>
      <c r="Z94" s="138"/>
      <c r="AA94" s="138"/>
      <c r="AB94" s="138"/>
      <c r="AC94" s="134">
        <v>7.4333333333332003</v>
      </c>
      <c r="AD94" s="134">
        <v>8.1523425380087104</v>
      </c>
      <c r="AE94" s="134">
        <v>1.31965861005482</v>
      </c>
      <c r="AF94" s="134">
        <v>12.9326820981099</v>
      </c>
      <c r="AG94" s="134">
        <v>6.6002256487401798</v>
      </c>
      <c r="AH94" s="134">
        <v>5.62866666666699</v>
      </c>
      <c r="AI94" s="134">
        <v>10.141817562150999</v>
      </c>
      <c r="AJ94" s="134">
        <v>9.3703441597146107</v>
      </c>
      <c r="AK94" s="134">
        <v>4.1282586129544203</v>
      </c>
      <c r="AL94" s="134">
        <v>6.54379068524171</v>
      </c>
      <c r="AM94" s="134">
        <v>4.6813062391641296</v>
      </c>
      <c r="AN94" s="134">
        <v>4.6253469531839402</v>
      </c>
      <c r="AO94" s="134">
        <v>8.0316666549885802</v>
      </c>
      <c r="AP94" s="134">
        <v>4.0741761359675399</v>
      </c>
      <c r="AQ94" s="134">
        <v>3.25406745833358</v>
      </c>
      <c r="AR94" s="134">
        <v>4.7148963468960998</v>
      </c>
      <c r="AS94" s="134">
        <v>3.8957052575849</v>
      </c>
      <c r="AT94" s="134">
        <v>5.1519015076957801</v>
      </c>
      <c r="AU94" s="134">
        <v>10.367623347307299</v>
      </c>
      <c r="AV94" s="134">
        <v>12.1256487185541</v>
      </c>
      <c r="AW94" s="134">
        <v>6.2410332814281997</v>
      </c>
      <c r="AX94" s="134">
        <v>7.2541084130488702</v>
      </c>
      <c r="AY94" s="134">
        <v>7.3466354124978599</v>
      </c>
      <c r="AZ94" s="134">
        <v>2.2209203238177899</v>
      </c>
      <c r="BA94" s="134">
        <v>6.2835408742770404</v>
      </c>
      <c r="BB94" s="134">
        <v>5.6863195957595396</v>
      </c>
      <c r="BC94" s="134">
        <v>4.9024272721799704</v>
      </c>
      <c r="BD94" s="134">
        <v>4.1291017378339303</v>
      </c>
      <c r="BE94" s="134">
        <v>3.5343685614732401</v>
      </c>
      <c r="BF94" s="134">
        <v>3.2547268811763099</v>
      </c>
      <c r="BG94" s="134">
        <v>1.4717104565000401</v>
      </c>
      <c r="BH94" s="134">
        <v>2.2542765193481298</v>
      </c>
      <c r="BI94" s="134">
        <v>3.06735996058356</v>
      </c>
      <c r="BJ94" s="134">
        <v>2.30009262117937</v>
      </c>
      <c r="BK94" s="134">
        <v>2.3856948845632</v>
      </c>
      <c r="BL94" s="134">
        <v>3.5651648465018502</v>
      </c>
      <c r="BM94" s="134">
        <v>9.5252662862284296</v>
      </c>
      <c r="BN94" s="134">
        <v>4.9530503450687204</v>
      </c>
      <c r="BO94" s="135">
        <v>2.4916434748197198</v>
      </c>
    </row>
    <row r="95" spans="1:67">
      <c r="A95" s="150" t="s">
        <v>34</v>
      </c>
      <c r="B95" s="4" t="s">
        <v>3</v>
      </c>
      <c r="C95" s="138"/>
      <c r="D95" s="138"/>
      <c r="E95" s="138"/>
      <c r="F95" s="138"/>
      <c r="G95" s="138"/>
      <c r="H95" s="138"/>
      <c r="I95" s="138"/>
      <c r="J95" s="138"/>
      <c r="K95" s="138"/>
      <c r="L95" s="138"/>
      <c r="M95" s="138"/>
      <c r="N95" s="138"/>
      <c r="O95" s="138"/>
      <c r="P95" s="138"/>
      <c r="Q95" s="138"/>
      <c r="R95" s="138"/>
      <c r="S95" s="134">
        <v>50.090876271030581</v>
      </c>
      <c r="T95" s="134">
        <v>48.157191699673149</v>
      </c>
      <c r="U95" s="134">
        <v>42.650421776824523</v>
      </c>
      <c r="V95" s="134">
        <v>42.103273305809743</v>
      </c>
      <c r="W95" s="134">
        <v>50.487301728794435</v>
      </c>
      <c r="X95" s="134">
        <v>44.13105634442487</v>
      </c>
      <c r="Y95" s="134">
        <v>46.529175649502442</v>
      </c>
      <c r="Z95" s="134">
        <v>46.022979695413746</v>
      </c>
      <c r="AA95" s="134">
        <v>48.023324359012669</v>
      </c>
      <c r="AB95" s="134">
        <v>52.815186476653196</v>
      </c>
      <c r="AC95" s="134">
        <v>59.698746643010857</v>
      </c>
      <c r="AD95" s="134">
        <v>63.707505382374151</v>
      </c>
      <c r="AE95" s="134">
        <v>63.864865278908681</v>
      </c>
      <c r="AF95" s="134">
        <v>63.350325102395203</v>
      </c>
      <c r="AG95" s="134">
        <v>64.093927851512703</v>
      </c>
      <c r="AH95" s="134">
        <v>61.477547551645138</v>
      </c>
      <c r="AI95" s="134">
        <v>58.516720972604965</v>
      </c>
      <c r="AJ95" s="134">
        <v>57.468772618916852</v>
      </c>
      <c r="AK95" s="134">
        <v>55.96918386669909</v>
      </c>
      <c r="AL95" s="134">
        <v>57.878306927387627</v>
      </c>
      <c r="AM95" s="134">
        <v>62.740819489838508</v>
      </c>
      <c r="AN95" s="134">
        <v>60.645566041233181</v>
      </c>
      <c r="AO95" s="134">
        <v>64.811113439000039</v>
      </c>
      <c r="AP95" s="134">
        <v>62.955030141452397</v>
      </c>
      <c r="AQ95" s="134">
        <v>60.282562848470143</v>
      </c>
      <c r="AR95" s="134">
        <v>67.083794846919929</v>
      </c>
      <c r="AS95" s="134">
        <v>60.789867607867606</v>
      </c>
      <c r="AT95" s="134">
        <v>55.263186321592364</v>
      </c>
      <c r="AU95" s="134">
        <v>52.614720255788463</v>
      </c>
      <c r="AV95" s="134">
        <v>58.240321345480147</v>
      </c>
      <c r="AW95" s="134">
        <v>58.443935926773463</v>
      </c>
      <c r="AX95" s="134">
        <v>55.867497874307922</v>
      </c>
      <c r="AY95" s="134">
        <v>51.070521435054559</v>
      </c>
      <c r="AZ95" s="134">
        <v>47.677168592933825</v>
      </c>
      <c r="BA95" s="134">
        <v>51.237672791980707</v>
      </c>
      <c r="BB95" s="134">
        <v>52.444147383765774</v>
      </c>
      <c r="BC95" s="134">
        <v>53.79216527304046</v>
      </c>
      <c r="BD95" s="134">
        <v>52.572924477558949</v>
      </c>
      <c r="BE95" s="134">
        <v>52.524659611191183</v>
      </c>
      <c r="BF95" s="134">
        <v>51.49785240511622</v>
      </c>
      <c r="BG95" s="134">
        <v>47.824940797998302</v>
      </c>
      <c r="BH95" s="134">
        <v>46.606719522227465</v>
      </c>
      <c r="BI95" s="134">
        <v>44.64300355766558</v>
      </c>
      <c r="BJ95" s="134">
        <v>44.020987760394291</v>
      </c>
      <c r="BK95" s="134">
        <v>36.758867744623217</v>
      </c>
      <c r="BL95" s="134">
        <v>38.460799445287975</v>
      </c>
      <c r="BM95" s="134">
        <v>49.489304770638668</v>
      </c>
      <c r="BN95" s="134">
        <v>47.534316536168262</v>
      </c>
      <c r="BO95" s="135">
        <v>46.206006184277641</v>
      </c>
    </row>
    <row r="96" spans="1:67">
      <c r="A96" s="149"/>
      <c r="B96" s="4" t="s">
        <v>4</v>
      </c>
      <c r="C96" s="138"/>
      <c r="D96" s="138"/>
      <c r="E96" s="138"/>
      <c r="F96" s="138"/>
      <c r="G96" s="138"/>
      <c r="H96" s="138"/>
      <c r="I96" s="138"/>
      <c r="J96" s="138"/>
      <c r="K96" s="138"/>
      <c r="L96" s="138"/>
      <c r="M96" s="138"/>
      <c r="N96" s="138"/>
      <c r="O96" s="138"/>
      <c r="P96" s="138"/>
      <c r="Q96" s="138"/>
      <c r="R96" s="138"/>
      <c r="S96" s="134">
        <v>56.887125815341257</v>
      </c>
      <c r="T96" s="134">
        <v>58.655314438419659</v>
      </c>
      <c r="U96" s="134">
        <v>54.822741781152992</v>
      </c>
      <c r="V96" s="134">
        <v>53.701046136673902</v>
      </c>
      <c r="W96" s="134">
        <v>60.607452996678624</v>
      </c>
      <c r="X96" s="134">
        <v>54.45343220422464</v>
      </c>
      <c r="Y96" s="134">
        <v>49.306283257448868</v>
      </c>
      <c r="Z96" s="134">
        <v>46.378608297125325</v>
      </c>
      <c r="AA96" s="134">
        <v>51.328406490459955</v>
      </c>
      <c r="AB96" s="134">
        <v>54.685538780210905</v>
      </c>
      <c r="AC96" s="134">
        <v>53.12732659135969</v>
      </c>
      <c r="AD96" s="134">
        <v>61.678837457288004</v>
      </c>
      <c r="AE96" s="134">
        <v>68.760082262042914</v>
      </c>
      <c r="AF96" s="134">
        <v>70.580025640692241</v>
      </c>
      <c r="AG96" s="134">
        <v>71.196572809178676</v>
      </c>
      <c r="AH96" s="134">
        <v>65.171363803806003</v>
      </c>
      <c r="AI96" s="134">
        <v>61.715978508894096</v>
      </c>
      <c r="AJ96" s="134">
        <v>63.427583433948087</v>
      </c>
      <c r="AK96" s="134">
        <v>64.590991991382467</v>
      </c>
      <c r="AL96" s="134">
        <v>60.270413630393115</v>
      </c>
      <c r="AM96" s="134">
        <v>63.418392988737985</v>
      </c>
      <c r="AN96" s="134">
        <v>65.461939002104643</v>
      </c>
      <c r="AO96" s="134">
        <v>65.631719522931931</v>
      </c>
      <c r="AP96" s="134">
        <v>65.999961112190846</v>
      </c>
      <c r="AQ96" s="134">
        <v>60.405085925175747</v>
      </c>
      <c r="AR96" s="134">
        <v>60.970784133270271</v>
      </c>
      <c r="AS96" s="134">
        <v>57.440602772383301</v>
      </c>
      <c r="AT96" s="134">
        <v>53.392392991836005</v>
      </c>
      <c r="AU96" s="134">
        <v>54.412978011716298</v>
      </c>
      <c r="AV96" s="134">
        <v>63.368422651356028</v>
      </c>
      <c r="AW96" s="134">
        <v>68.618925831202048</v>
      </c>
      <c r="AX96" s="134">
        <v>65.00895337583411</v>
      </c>
      <c r="AY96" s="134">
        <v>64.418794458477279</v>
      </c>
      <c r="AZ96" s="134">
        <v>56.75256035865587</v>
      </c>
      <c r="BA96" s="134">
        <v>62.21940076049578</v>
      </c>
      <c r="BB96" s="134">
        <v>65.094798985020276</v>
      </c>
      <c r="BC96" s="134">
        <v>65.707954506565059</v>
      </c>
      <c r="BD96" s="134">
        <v>60.735908598318545</v>
      </c>
      <c r="BE96" s="134">
        <v>58.065047920449807</v>
      </c>
      <c r="BF96" s="134">
        <v>55.648127031187641</v>
      </c>
      <c r="BG96" s="134">
        <v>52.192037889281082</v>
      </c>
      <c r="BH96" s="134">
        <v>53.095095598918071</v>
      </c>
      <c r="BI96" s="134">
        <v>51.990912854191706</v>
      </c>
      <c r="BJ96" s="134">
        <v>51.824810391558032</v>
      </c>
      <c r="BK96" s="134">
        <v>46.480749609021686</v>
      </c>
      <c r="BL96" s="134">
        <v>53.798294511149592</v>
      </c>
      <c r="BM96" s="134">
        <v>63.095453102835165</v>
      </c>
      <c r="BN96" s="134">
        <v>57.569063889384985</v>
      </c>
      <c r="BO96" s="135">
        <v>57.791584656305737</v>
      </c>
    </row>
    <row r="97" spans="1:67">
      <c r="A97" s="88"/>
      <c r="B97" s="7" t="s">
        <v>47</v>
      </c>
      <c r="C97" s="138"/>
      <c r="D97" s="138"/>
      <c r="E97" s="138"/>
      <c r="F97" s="138"/>
      <c r="G97" s="134">
        <v>1.89557417280998</v>
      </c>
      <c r="H97" s="134">
        <v>1.7855659829822801</v>
      </c>
      <c r="I97" s="134">
        <v>2.5048955609584098</v>
      </c>
      <c r="J97" s="134">
        <v>1.8785321978164899</v>
      </c>
      <c r="K97" s="134">
        <v>6.9771075867297103</v>
      </c>
      <c r="L97" s="134">
        <v>2.3152205667647201</v>
      </c>
      <c r="M97" s="134">
        <v>1.5418659432566699</v>
      </c>
      <c r="N97" s="134">
        <v>0.31634446369251001</v>
      </c>
      <c r="O97" s="134">
        <v>5.3959355293340696</v>
      </c>
      <c r="P97" s="134">
        <v>13.450797872677599</v>
      </c>
      <c r="Q97" s="134">
        <v>29.115630311091898</v>
      </c>
      <c r="R97" s="134">
        <v>14.738323271755</v>
      </c>
      <c r="S97" s="134">
        <v>12.9557291671836</v>
      </c>
      <c r="T97" s="134">
        <v>9.1724989707480002</v>
      </c>
      <c r="U97" s="134">
        <v>8.5451391508228607</v>
      </c>
      <c r="V97" s="134">
        <v>14.4663702058303</v>
      </c>
      <c r="W97" s="134">
        <v>41.9995143865698</v>
      </c>
      <c r="X97" s="134">
        <v>14.4615910742107</v>
      </c>
      <c r="Y97" s="134">
        <v>11.415693128365101</v>
      </c>
      <c r="Z97" s="134">
        <v>5.5894980184394498</v>
      </c>
      <c r="AA97" s="134">
        <v>7.3891625616946603</v>
      </c>
      <c r="AB97" s="134">
        <v>6.6987039465849803</v>
      </c>
      <c r="AC97" s="134">
        <v>1.63265306122481</v>
      </c>
      <c r="AD97" s="134">
        <v>0.518741633199852</v>
      </c>
      <c r="AE97" s="134">
        <v>9.1593141335105503</v>
      </c>
      <c r="AF97" s="134">
        <v>12.670042091136001</v>
      </c>
      <c r="AG97" s="134">
        <v>13.4880887926371</v>
      </c>
      <c r="AH97" s="134">
        <v>7.00101377541883</v>
      </c>
      <c r="AI97" s="134">
        <v>4.6435192988370897</v>
      </c>
      <c r="AJ97" s="134">
        <v>10.517838447289501</v>
      </c>
      <c r="AK97" s="134">
        <v>7.3234715441229703</v>
      </c>
      <c r="AL97" s="134">
        <v>6.0293318848452904</v>
      </c>
      <c r="AM97" s="134">
        <v>6.5509733606556901</v>
      </c>
      <c r="AN97" s="134">
        <v>6.8333433499610701</v>
      </c>
      <c r="AO97" s="134">
        <v>6.8107932379719198</v>
      </c>
      <c r="AP97" s="134">
        <v>6.9091462486677599</v>
      </c>
      <c r="AQ97" s="134">
        <v>4.19928825622807</v>
      </c>
      <c r="AR97" s="134">
        <v>5.3893442622951397</v>
      </c>
      <c r="AS97" s="134">
        <v>6.4193337222114399</v>
      </c>
      <c r="AT97" s="134">
        <v>3.92105357558194</v>
      </c>
      <c r="AU97" s="134">
        <v>4.7103706010588198</v>
      </c>
      <c r="AV97" s="134">
        <v>4.9371700498179196</v>
      </c>
      <c r="AW97" s="134">
        <v>8.9135010565013708</v>
      </c>
      <c r="AX97" s="134">
        <v>8.8272927239329704</v>
      </c>
      <c r="AY97" s="134">
        <v>9.7322831714688007</v>
      </c>
      <c r="AZ97" s="134">
        <v>2.51609128145118</v>
      </c>
      <c r="BA97" s="134">
        <v>2.9323630136986201</v>
      </c>
      <c r="BB97" s="134">
        <v>6.5224925486934104</v>
      </c>
      <c r="BC97" s="134">
        <v>3.85216033315983</v>
      </c>
      <c r="BD97" s="134">
        <v>3.5432957393483</v>
      </c>
      <c r="BE97" s="134">
        <v>3.2176919199468501</v>
      </c>
      <c r="BF97" s="134">
        <v>1.28654970760232</v>
      </c>
      <c r="BG97" s="134">
        <v>0.97767513471904899</v>
      </c>
      <c r="BH97" s="134">
        <v>3.6669970267591601</v>
      </c>
      <c r="BI97" s="134">
        <v>3.21605383144579</v>
      </c>
      <c r="BJ97" s="134">
        <v>0.40565519030955299</v>
      </c>
      <c r="BK97" s="134">
        <v>2.58080077182822</v>
      </c>
      <c r="BL97" s="134">
        <v>4.0285288815738296</v>
      </c>
      <c r="BM97" s="134">
        <v>10.7737512242898</v>
      </c>
      <c r="BN97" s="134">
        <v>7.0529823845474304</v>
      </c>
      <c r="BO97" s="135">
        <v>3.5823674268347401</v>
      </c>
    </row>
    <row r="98" spans="1:67">
      <c r="A98" s="148" t="s">
        <v>38</v>
      </c>
      <c r="B98" s="4" t="s">
        <v>3</v>
      </c>
      <c r="C98" s="132">
        <v>12.436972281618999</v>
      </c>
      <c r="D98" s="132">
        <v>11.475408331093989</v>
      </c>
      <c r="E98" s="132">
        <v>9.2799994060800373</v>
      </c>
      <c r="F98" s="132">
        <v>5.9375</v>
      </c>
      <c r="G98" s="132">
        <v>12.00000055384618</v>
      </c>
      <c r="H98" s="132">
        <v>12.096775819459115</v>
      </c>
      <c r="I98" s="132">
        <v>11.279368693040444</v>
      </c>
      <c r="J98" s="132">
        <v>10.512031905135535</v>
      </c>
      <c r="K98" s="132">
        <v>8.7398359040821934</v>
      </c>
      <c r="L98" s="132">
        <v>7.6788532903149349</v>
      </c>
      <c r="M98" s="132">
        <v>11.505228881167016</v>
      </c>
      <c r="N98" s="132">
        <v>10.21142663448361</v>
      </c>
      <c r="O98" s="132">
        <v>8.2819386178656771</v>
      </c>
      <c r="P98" s="132">
        <v>11.598361540916455</v>
      </c>
      <c r="Q98" s="132">
        <v>12.168757731759532</v>
      </c>
      <c r="R98" s="132">
        <v>9.1718815945671128</v>
      </c>
      <c r="S98" s="132">
        <v>14.578953413609366</v>
      </c>
      <c r="T98" s="132">
        <v>14.267766118540617</v>
      </c>
      <c r="U98" s="132">
        <v>14.780998002497462</v>
      </c>
      <c r="V98" s="132">
        <v>21.046063133841891</v>
      </c>
      <c r="W98" s="132">
        <v>14.436521583244824</v>
      </c>
      <c r="X98" s="132">
        <v>9.8255055432608085</v>
      </c>
      <c r="Y98" s="132">
        <v>11.552558750475299</v>
      </c>
      <c r="Z98" s="132">
        <v>11.581767489545964</v>
      </c>
      <c r="AA98" s="132">
        <v>12.63143363405408</v>
      </c>
      <c r="AB98" s="132">
        <v>10.782506693740535</v>
      </c>
      <c r="AC98" s="132">
        <v>12.58431791554554</v>
      </c>
      <c r="AD98" s="132">
        <v>7.4500525246594247</v>
      </c>
      <c r="AE98" s="132">
        <v>6.6195598092765335</v>
      </c>
      <c r="AF98" s="132">
        <v>6.1392889513756321</v>
      </c>
      <c r="AG98" s="132">
        <v>5.6146091553814195</v>
      </c>
      <c r="AH98" s="132">
        <v>7.3166044426604628</v>
      </c>
      <c r="AI98" s="132">
        <v>5.5684081898581201</v>
      </c>
      <c r="AJ98" s="132">
        <v>5.1752459789237388</v>
      </c>
      <c r="AK98" s="132">
        <v>6.3025859502178596</v>
      </c>
      <c r="AL98" s="132">
        <v>5.150791912731048</v>
      </c>
      <c r="AM98" s="132">
        <v>6.0313700208094048</v>
      </c>
      <c r="AN98" s="132">
        <v>7.7973393617977909</v>
      </c>
      <c r="AO98" s="132">
        <v>5.5850635761596958</v>
      </c>
      <c r="AP98" s="132">
        <v>5.4128552277330151</v>
      </c>
      <c r="AQ98" s="132">
        <v>5.3771784917834173</v>
      </c>
      <c r="AR98" s="132">
        <v>7.2689843031187795</v>
      </c>
      <c r="AS98" s="132">
        <v>6.1806796970693778</v>
      </c>
      <c r="AT98" s="132">
        <v>7.7766539256684091</v>
      </c>
      <c r="AU98" s="132">
        <v>10.393522042721541</v>
      </c>
      <c r="AV98" s="132">
        <v>10.687984793451804</v>
      </c>
      <c r="AW98" s="132">
        <v>10.883416595342933</v>
      </c>
      <c r="AX98" s="132">
        <v>13.667823882771204</v>
      </c>
      <c r="AY98" s="132">
        <v>11.272754907071423</v>
      </c>
      <c r="AZ98" s="132">
        <v>10.367482812293041</v>
      </c>
      <c r="BA98" s="132">
        <v>10.742764731127389</v>
      </c>
      <c r="BB98" s="132">
        <v>12.658870575220908</v>
      </c>
      <c r="BC98" s="132">
        <v>11.99427815205711</v>
      </c>
      <c r="BD98" s="132">
        <v>13.492535804566582</v>
      </c>
      <c r="BE98" s="132">
        <v>13.868661580208091</v>
      </c>
      <c r="BF98" s="132">
        <v>13.231786835961584</v>
      </c>
      <c r="BG98" s="132">
        <v>15.42180315628883</v>
      </c>
      <c r="BH98" s="132">
        <v>20.528380877297199</v>
      </c>
      <c r="BI98" s="132">
        <v>21.108010988619998</v>
      </c>
      <c r="BJ98" s="132">
        <v>21.825443539005587</v>
      </c>
      <c r="BK98" s="132">
        <v>19.325941834272626</v>
      </c>
      <c r="BL98" s="132">
        <v>19.502494693488025</v>
      </c>
      <c r="BM98" s="132">
        <v>22.478061514691134</v>
      </c>
      <c r="BN98" s="132">
        <v>25.005730720290771</v>
      </c>
      <c r="BO98" s="133">
        <v>30.822080441807554</v>
      </c>
    </row>
    <row r="99" spans="1:67">
      <c r="A99" s="149"/>
      <c r="B99" s="4" t="s">
        <v>4</v>
      </c>
      <c r="C99" s="132">
        <v>10.084031579691111</v>
      </c>
      <c r="D99" s="132">
        <v>9.8360642837948493</v>
      </c>
      <c r="E99" s="132">
        <v>12.799999180800054</v>
      </c>
      <c r="F99" s="132">
        <v>12.656251562500001</v>
      </c>
      <c r="G99" s="132">
        <v>12.615385197633163</v>
      </c>
      <c r="H99" s="132">
        <v>16.935486147242763</v>
      </c>
      <c r="I99" s="132">
        <v>19.998167217159253</v>
      </c>
      <c r="J99" s="132">
        <v>15.413009667622374</v>
      </c>
      <c r="K99" s="132">
        <v>15.13937182050701</v>
      </c>
      <c r="L99" s="132">
        <v>14.356117481842359</v>
      </c>
      <c r="M99" s="132">
        <v>15.234197401522581</v>
      </c>
      <c r="N99" s="132">
        <v>16.869096569844295</v>
      </c>
      <c r="O99" s="132">
        <v>16.255506740282176</v>
      </c>
      <c r="P99" s="132">
        <v>13.442623501746864</v>
      </c>
      <c r="Q99" s="132">
        <v>21.338917991339716</v>
      </c>
      <c r="R99" s="132">
        <v>17.699446732433159</v>
      </c>
      <c r="S99" s="132">
        <v>19.39550730324008</v>
      </c>
      <c r="T99" s="132">
        <v>17.660199785575863</v>
      </c>
      <c r="U99" s="132">
        <v>23.800119821330657</v>
      </c>
      <c r="V99" s="132">
        <v>22.751378193817708</v>
      </c>
      <c r="W99" s="132">
        <v>26.382072882237512</v>
      </c>
      <c r="X99" s="132">
        <v>21.754729874060093</v>
      </c>
      <c r="Y99" s="132">
        <v>24.150490825951458</v>
      </c>
      <c r="Z99" s="132">
        <v>20.758989878786885</v>
      </c>
      <c r="AA99" s="132">
        <v>19.664259337255821</v>
      </c>
      <c r="AB99" s="132">
        <v>19.887388655224044</v>
      </c>
      <c r="AC99" s="132">
        <v>20.154516811890893</v>
      </c>
      <c r="AD99" s="132">
        <v>19.141228656447314</v>
      </c>
      <c r="AE99" s="132">
        <v>17.603287760218844</v>
      </c>
      <c r="AF99" s="132">
        <v>17.288484078724782</v>
      </c>
      <c r="AG99" s="132">
        <v>14.069549718948181</v>
      </c>
      <c r="AH99" s="132">
        <v>18.055369340403267</v>
      </c>
      <c r="AI99" s="132">
        <v>18.263038843213259</v>
      </c>
      <c r="AJ99" s="132">
        <v>20.503761028062062</v>
      </c>
      <c r="AK99" s="132">
        <v>64.793042357119646</v>
      </c>
      <c r="AL99" s="132">
        <v>25.821381236755357</v>
      </c>
      <c r="AM99" s="132">
        <v>26.198695799956518</v>
      </c>
      <c r="AN99" s="132">
        <v>25.670121148220431</v>
      </c>
      <c r="AO99" s="132">
        <v>23.209400014841428</v>
      </c>
      <c r="AP99" s="132">
        <v>21.920681193502841</v>
      </c>
      <c r="AQ99" s="132">
        <v>22.107685333261056</v>
      </c>
      <c r="AR99" s="132">
        <v>21.929925134573754</v>
      </c>
      <c r="AS99" s="132">
        <v>21.428758419147947</v>
      </c>
      <c r="AT99" s="132">
        <v>21.533970309741651</v>
      </c>
      <c r="AU99" s="132">
        <v>23.068151060365512</v>
      </c>
      <c r="AV99" s="132">
        <v>23.528553548413377</v>
      </c>
      <c r="AW99" s="132">
        <v>22.338020477062965</v>
      </c>
      <c r="AX99" s="132">
        <v>22.30314931445659</v>
      </c>
      <c r="AY99" s="132">
        <v>26.331755947734091</v>
      </c>
      <c r="AZ99" s="132">
        <v>26.43814519618854</v>
      </c>
      <c r="BA99" s="132">
        <v>26.536114361207719</v>
      </c>
      <c r="BB99" s="132">
        <v>27.057231902289082</v>
      </c>
      <c r="BC99" s="132">
        <v>28.546584846662192</v>
      </c>
      <c r="BD99" s="132">
        <v>29.200956624969631</v>
      </c>
      <c r="BE99" s="132">
        <v>30.034072110866934</v>
      </c>
      <c r="BF99" s="132">
        <v>31.9701887799487</v>
      </c>
      <c r="BG99" s="132">
        <v>34.063103950700338</v>
      </c>
      <c r="BH99" s="132">
        <v>33.146886540428127</v>
      </c>
      <c r="BI99" s="132">
        <v>34.676115385340282</v>
      </c>
      <c r="BJ99" s="132">
        <v>36.150219324789845</v>
      </c>
      <c r="BK99" s="132">
        <v>35.862009717712901</v>
      </c>
      <c r="BL99" s="132">
        <v>34.791337152848712</v>
      </c>
      <c r="BM99" s="132">
        <v>38.667017988673997</v>
      </c>
      <c r="BN99" s="132">
        <v>39.901173421713374</v>
      </c>
      <c r="BO99" s="133">
        <v>39.132333126248575</v>
      </c>
    </row>
    <row r="100" spans="1:67">
      <c r="A100" s="88"/>
      <c r="B100" s="7" t="s">
        <v>47</v>
      </c>
      <c r="C100" s="132"/>
      <c r="D100" s="132"/>
      <c r="E100" s="132"/>
      <c r="F100" s="132"/>
      <c r="G100" s="132"/>
      <c r="H100" s="132"/>
      <c r="I100" s="132"/>
      <c r="J100" s="132">
        <v>1.4529273002285199</v>
      </c>
      <c r="K100" s="132">
        <v>3.1619369726993298</v>
      </c>
      <c r="L100" s="132">
        <v>0.48493955331757099</v>
      </c>
      <c r="M100" s="132">
        <v>0.51488580802246298</v>
      </c>
      <c r="N100" s="132">
        <v>0.48858007422289101</v>
      </c>
      <c r="O100" s="132">
        <v>3.0921938089349998</v>
      </c>
      <c r="P100" s="132">
        <v>9.3736740756773997</v>
      </c>
      <c r="Q100" s="132">
        <v>31.0882993654484</v>
      </c>
      <c r="R100" s="132">
        <v>30.226046574906501</v>
      </c>
      <c r="S100" s="132">
        <v>7.1658615138317998</v>
      </c>
      <c r="T100" s="132">
        <v>13.655146506642801</v>
      </c>
      <c r="U100" s="132">
        <v>13.270533797387801</v>
      </c>
      <c r="V100" s="132">
        <v>15.6733294423726</v>
      </c>
      <c r="W100" s="132">
        <v>7.2493929932527399</v>
      </c>
      <c r="X100" s="132">
        <v>6.4506644718119004</v>
      </c>
      <c r="Y100" s="132">
        <v>12.5651365334134</v>
      </c>
      <c r="Z100" s="132">
        <v>6.5930021430707804</v>
      </c>
      <c r="AA100" s="132">
        <v>5.3695703882737602</v>
      </c>
      <c r="AB100" s="132">
        <v>1.7593300565168799</v>
      </c>
      <c r="AC100" s="132">
        <v>-1.1170665728067599</v>
      </c>
      <c r="AD100" s="132">
        <v>4.1330149080912504</v>
      </c>
      <c r="AE100" s="132">
        <v>2.97864355658034</v>
      </c>
      <c r="AF100" s="132">
        <v>1.0102782483111401</v>
      </c>
      <c r="AG100" s="132">
        <v>4.1857637264994798</v>
      </c>
      <c r="AH100" s="132">
        <v>19.637165814837299</v>
      </c>
      <c r="AI100" s="132">
        <v>9.5604118760081604</v>
      </c>
      <c r="AJ100" s="132">
        <v>12.354388763044801</v>
      </c>
      <c r="AK100" s="132"/>
      <c r="AL100" s="132"/>
      <c r="AM100" s="132">
        <v>7.4113717352664201</v>
      </c>
      <c r="AN100" s="132">
        <v>12.015422519568601</v>
      </c>
      <c r="AO100" s="132">
        <v>6.2100670945580996</v>
      </c>
      <c r="AP100" s="132">
        <v>-2.40593209742259</v>
      </c>
      <c r="AQ100" s="132">
        <v>3.8995298028471201</v>
      </c>
      <c r="AR100" s="132">
        <v>3.34285506749409</v>
      </c>
      <c r="AS100" s="132">
        <v>1.9925854245399299</v>
      </c>
      <c r="AT100" s="132">
        <v>7.4497001400736602</v>
      </c>
      <c r="AU100" s="132">
        <v>12.2507102894391</v>
      </c>
      <c r="AV100" s="132">
        <v>9.0140891809233903</v>
      </c>
      <c r="AW100" s="132">
        <v>8.8828265477792296</v>
      </c>
      <c r="AX100" s="132">
        <v>9.0807220587315793</v>
      </c>
      <c r="AY100" s="132">
        <v>15.4382138709255</v>
      </c>
      <c r="AZ100" s="132">
        <v>12.944397840171201</v>
      </c>
      <c r="BA100" s="132">
        <v>-0.246128693436934</v>
      </c>
      <c r="BB100" s="132">
        <v>3.0801706924026</v>
      </c>
      <c r="BC100" s="132">
        <v>10.2710182318876</v>
      </c>
      <c r="BD100" s="132">
        <v>5.9242686798485398</v>
      </c>
      <c r="BE100" s="132">
        <v>2.3544905282035802</v>
      </c>
      <c r="BF100" s="132">
        <v>2.5285028419242099</v>
      </c>
      <c r="BG100" s="132">
        <v>7.1743430198200899</v>
      </c>
      <c r="BH100" s="132">
        <v>8.2795367226083201</v>
      </c>
      <c r="BI100" s="132">
        <v>-0.31121016039069899</v>
      </c>
      <c r="BJ100" s="132">
        <v>3.3478765503764798</v>
      </c>
      <c r="BK100" s="132">
        <v>9.8503990227420708</v>
      </c>
      <c r="BL100" s="132">
        <v>-0.39134674830079103</v>
      </c>
      <c r="BM100" s="132">
        <v>17.6892095588153</v>
      </c>
      <c r="BN100" s="132">
        <v>19.789546746467</v>
      </c>
      <c r="BO100" s="133">
        <v>1.77029240198635</v>
      </c>
    </row>
    <row r="101" spans="1:67">
      <c r="A101" s="152" t="s">
        <v>40</v>
      </c>
      <c r="B101" s="4" t="s">
        <v>3</v>
      </c>
      <c r="C101" s="120">
        <v>11.51147733395174</v>
      </c>
      <c r="D101" s="120">
        <v>14.514196658690764</v>
      </c>
      <c r="E101" s="120">
        <v>13.916371739309099</v>
      </c>
      <c r="F101" s="120">
        <v>12.076608371967929</v>
      </c>
      <c r="G101" s="120">
        <v>11.97278631891421</v>
      </c>
      <c r="H101" s="120">
        <v>12.018936371148939</v>
      </c>
      <c r="I101" s="120">
        <v>12.726996411058897</v>
      </c>
      <c r="J101" s="120">
        <v>11.71165660452238</v>
      </c>
      <c r="K101" s="120">
        <v>13.5343026042449</v>
      </c>
      <c r="L101" s="120">
        <v>14.698639210919104</v>
      </c>
      <c r="M101" s="120">
        <v>16.093534037010034</v>
      </c>
      <c r="N101" s="120">
        <v>15.327675771480081</v>
      </c>
      <c r="O101" s="120">
        <v>18.135986783296964</v>
      </c>
      <c r="P101" s="120">
        <v>16.857624417236668</v>
      </c>
      <c r="Q101" s="120">
        <v>25.294616090256323</v>
      </c>
      <c r="R101" s="120">
        <v>21.548828546140523</v>
      </c>
      <c r="S101" s="120">
        <v>21.475750586242093</v>
      </c>
      <c r="T101" s="120">
        <v>25.61551842546999</v>
      </c>
      <c r="U101" s="120">
        <v>17.890554181265681</v>
      </c>
      <c r="V101" s="120">
        <v>18.842476862412006</v>
      </c>
      <c r="W101" s="120">
        <v>16.109604875587483</v>
      </c>
      <c r="X101" s="120">
        <v>21.348600823593287</v>
      </c>
      <c r="Y101" s="120">
        <v>19.6180854743934</v>
      </c>
      <c r="Z101" s="120">
        <v>23.729967128723683</v>
      </c>
      <c r="AA101" s="120">
        <v>22.892609724182496</v>
      </c>
      <c r="AB101" s="120">
        <v>18.734464813057286</v>
      </c>
      <c r="AC101" s="120">
        <v>16.560959962459819</v>
      </c>
      <c r="AD101" s="120">
        <v>14.32744281320204</v>
      </c>
      <c r="AE101" s="120">
        <v>15.025115666787423</v>
      </c>
      <c r="AF101" s="120">
        <v>16.383933776989252</v>
      </c>
      <c r="AG101" s="120">
        <v>17.056101645599355</v>
      </c>
      <c r="AH101" s="120">
        <v>15.515729353023811</v>
      </c>
      <c r="AI101" s="120">
        <v>14.989071255882616</v>
      </c>
      <c r="AJ101" s="120">
        <v>13.554006603149007</v>
      </c>
      <c r="AK101" s="120">
        <v>21.221439084373333</v>
      </c>
      <c r="AL101" s="120">
        <v>20.656859419501419</v>
      </c>
      <c r="AM101" s="120">
        <v>18.084165394101763</v>
      </c>
      <c r="AN101" s="120">
        <v>18.332932613660503</v>
      </c>
      <c r="AO101" s="120">
        <v>18.584965904791105</v>
      </c>
      <c r="AP101" s="120">
        <v>19.004257413082261</v>
      </c>
      <c r="AQ101" s="120">
        <v>17.764149598197733</v>
      </c>
      <c r="AR101" s="120">
        <v>17.700680104360238</v>
      </c>
      <c r="AS101" s="120">
        <v>19.616880051819706</v>
      </c>
      <c r="AT101" s="120">
        <v>18.218026683733321</v>
      </c>
      <c r="AU101" s="120">
        <v>19.101662875790044</v>
      </c>
      <c r="AV101" s="120">
        <v>19.80663757070128</v>
      </c>
      <c r="AW101" s="120">
        <v>19.252084644369031</v>
      </c>
      <c r="AX101" s="120">
        <v>20.554388227222283</v>
      </c>
      <c r="AY101" s="120">
        <v>20.84630126157063</v>
      </c>
      <c r="AZ101" s="120">
        <v>19.393866552884866</v>
      </c>
      <c r="BA101" s="120">
        <v>19.981238827495211</v>
      </c>
      <c r="BB101" s="120">
        <v>21.303548885652006</v>
      </c>
      <c r="BC101" s="120">
        <v>22.474374421573849</v>
      </c>
      <c r="BD101" s="120">
        <v>22.349742309905917</v>
      </c>
      <c r="BE101" s="120">
        <v>21.778296741322464</v>
      </c>
      <c r="BF101" s="120">
        <v>22.677194501672432</v>
      </c>
      <c r="BG101" s="120">
        <v>21.560858096268181</v>
      </c>
      <c r="BH101" s="120">
        <v>21.930083147716712</v>
      </c>
      <c r="BI101" s="120">
        <v>22.949091478330761</v>
      </c>
      <c r="BJ101" s="120">
        <v>24.983134197386516</v>
      </c>
      <c r="BK101" s="120">
        <v>20.700552855570557</v>
      </c>
      <c r="BL101" s="120">
        <v>24.6396021156771</v>
      </c>
      <c r="BM101" s="120">
        <v>26.699164224050804</v>
      </c>
      <c r="BN101" s="120">
        <v>23.106462881373719</v>
      </c>
      <c r="BO101" s="121">
        <v>28.056561604240365</v>
      </c>
    </row>
    <row r="102" spans="1:67">
      <c r="A102" s="149"/>
      <c r="B102" s="4" t="s">
        <v>4</v>
      </c>
      <c r="C102" s="120">
        <v>12.580734944822003</v>
      </c>
      <c r="D102" s="120">
        <v>16.495071953151772</v>
      </c>
      <c r="E102" s="120">
        <v>15.939331085972755</v>
      </c>
      <c r="F102" s="120">
        <v>15.84394401594775</v>
      </c>
      <c r="G102" s="120">
        <v>16.034541230160912</v>
      </c>
      <c r="H102" s="120">
        <v>14.932919619483833</v>
      </c>
      <c r="I102" s="120">
        <v>15.957019106223685</v>
      </c>
      <c r="J102" s="120">
        <v>16.166621747358668</v>
      </c>
      <c r="K102" s="120">
        <v>22.069815950783891</v>
      </c>
      <c r="L102" s="120">
        <v>24.232038138626912</v>
      </c>
      <c r="M102" s="120">
        <v>23.253211090776027</v>
      </c>
      <c r="N102" s="120">
        <v>24.353506694566683</v>
      </c>
      <c r="O102" s="120">
        <v>25.734614553137714</v>
      </c>
      <c r="P102" s="120">
        <v>28.440684173212116</v>
      </c>
      <c r="Q102" s="120">
        <v>36.099675371179067</v>
      </c>
      <c r="R102" s="120">
        <v>30.831208130622283</v>
      </c>
      <c r="S102" s="120">
        <v>32.640061611653579</v>
      </c>
      <c r="T102" s="120">
        <v>38.338230533561635</v>
      </c>
      <c r="U102" s="120">
        <v>32.319172670653771</v>
      </c>
      <c r="V102" s="120">
        <v>30.960204513219903</v>
      </c>
      <c r="W102" s="120">
        <v>33.191227428041721</v>
      </c>
      <c r="X102" s="120">
        <v>44.503320680229038</v>
      </c>
      <c r="Y102" s="120">
        <v>37.48552136726606</v>
      </c>
      <c r="Z102" s="120">
        <v>44.834347919022797</v>
      </c>
      <c r="AA102" s="120">
        <v>42.540677059812801</v>
      </c>
      <c r="AB102" s="120">
        <v>33.89930696240792</v>
      </c>
      <c r="AC102" s="120">
        <v>28.263744071560094</v>
      </c>
      <c r="AD102" s="120">
        <v>25.064610372357869</v>
      </c>
      <c r="AE102" s="120">
        <v>25.606752016770525</v>
      </c>
      <c r="AF102" s="120">
        <v>26.573486480982645</v>
      </c>
      <c r="AG102" s="120">
        <v>27.733162314811054</v>
      </c>
      <c r="AH102" s="120">
        <v>26.667170296250948</v>
      </c>
      <c r="AI102" s="120">
        <v>26.46779047175578</v>
      </c>
      <c r="AJ102" s="120">
        <v>25.220253353273304</v>
      </c>
      <c r="AK102" s="120">
        <v>33.516695514087559</v>
      </c>
      <c r="AL102" s="120">
        <v>32.068544008268809</v>
      </c>
      <c r="AM102" s="120">
        <v>28.188267323296223</v>
      </c>
      <c r="AN102" s="120">
        <v>28.908389789963035</v>
      </c>
      <c r="AO102" s="120">
        <v>29.513708911974355</v>
      </c>
      <c r="AP102" s="120">
        <v>30.481004753159922</v>
      </c>
      <c r="AQ102" s="120">
        <v>30.915940125065312</v>
      </c>
      <c r="AR102" s="120">
        <v>32.019897960471134</v>
      </c>
      <c r="AS102" s="120">
        <v>33.527419412313236</v>
      </c>
      <c r="AT102" s="120">
        <v>32.603193209604299</v>
      </c>
      <c r="AU102" s="120">
        <v>34.557540251762845</v>
      </c>
      <c r="AV102" s="120">
        <v>35.096605998247234</v>
      </c>
      <c r="AW102" s="120">
        <v>34.884153164892233</v>
      </c>
      <c r="AX102" s="120">
        <v>38.716916127757159</v>
      </c>
      <c r="AY102" s="120">
        <v>41.915468556061306</v>
      </c>
      <c r="AZ102" s="120">
        <v>32.913424324451611</v>
      </c>
      <c r="BA102" s="120">
        <v>32.47661636879959</v>
      </c>
      <c r="BB102" s="120">
        <v>36.273329713305756</v>
      </c>
      <c r="BC102" s="120">
        <v>39.500929582463662</v>
      </c>
      <c r="BD102" s="120">
        <v>38.277024049767824</v>
      </c>
      <c r="BE102" s="120">
        <v>36.664232234776762</v>
      </c>
      <c r="BF102" s="120">
        <v>35.433143172529299</v>
      </c>
      <c r="BG102" s="120">
        <v>32.547311110945678</v>
      </c>
      <c r="BH102" s="120">
        <v>35.775196697845004</v>
      </c>
      <c r="BI102" s="120">
        <v>38.840748000987531</v>
      </c>
      <c r="BJ102" s="120">
        <v>39.253116408714021</v>
      </c>
      <c r="BK102" s="120">
        <v>39.346318758135958</v>
      </c>
      <c r="BL102" s="120">
        <v>44.736391872706058</v>
      </c>
      <c r="BM102" s="120">
        <v>52.900657427532394</v>
      </c>
      <c r="BN102" s="120">
        <v>48.287824151347841</v>
      </c>
      <c r="BO102" s="121">
        <v>43.142327007511021</v>
      </c>
    </row>
    <row r="103" spans="1:67">
      <c r="A103" s="88"/>
      <c r="B103" s="7" t="s">
        <v>47</v>
      </c>
      <c r="C103" s="120"/>
      <c r="D103" s="120"/>
      <c r="E103" s="120"/>
      <c r="F103" s="120"/>
      <c r="G103" s="120"/>
      <c r="H103" s="120"/>
      <c r="I103" s="120"/>
      <c r="J103" s="120"/>
      <c r="K103" s="120">
        <v>5.8333332832952001E-2</v>
      </c>
      <c r="L103" s="120">
        <v>4.0226534522570603</v>
      </c>
      <c r="M103" s="120">
        <v>2.8102481985703598</v>
      </c>
      <c r="N103" s="120">
        <v>3.87820263197536</v>
      </c>
      <c r="O103" s="120">
        <v>6.1548841741126497</v>
      </c>
      <c r="P103" s="120">
        <v>11.2853107346839</v>
      </c>
      <c r="Q103" s="120">
        <v>16.601091509349398</v>
      </c>
      <c r="R103" s="120">
        <v>31.653423315368499</v>
      </c>
      <c r="S103" s="120">
        <v>1.0830921871065899</v>
      </c>
      <c r="T103" s="120">
        <v>11.3405856371037</v>
      </c>
      <c r="U103" s="120">
        <v>3.41965105587518</v>
      </c>
      <c r="V103" s="120">
        <v>9.6533598525703699</v>
      </c>
      <c r="W103" s="120">
        <v>8.7290276607232595</v>
      </c>
      <c r="X103" s="120">
        <v>5.9131937203162499</v>
      </c>
      <c r="Y103" s="120">
        <v>17.376385216892199</v>
      </c>
      <c r="Z103" s="120">
        <v>11.616984568147499</v>
      </c>
      <c r="AA103" s="120">
        <v>11.784027479632901</v>
      </c>
      <c r="AB103" s="120">
        <v>13.000057615979401</v>
      </c>
      <c r="AC103" s="120">
        <v>6.1847785445693404</v>
      </c>
      <c r="AD103" s="120">
        <v>-4.1407237863380901</v>
      </c>
      <c r="AE103" s="120">
        <v>-1.8266822507929501</v>
      </c>
      <c r="AF103" s="120">
        <v>0.44730934077131601</v>
      </c>
      <c r="AG103" s="120">
        <v>0.32509863018325802</v>
      </c>
      <c r="AH103" s="120">
        <v>-1.7535569019930901</v>
      </c>
      <c r="AI103" s="120">
        <v>-0.10994296708566501</v>
      </c>
      <c r="AJ103" s="120">
        <v>-0.58643461512018402</v>
      </c>
      <c r="AK103" s="120">
        <v>32.293666856955198</v>
      </c>
      <c r="AL103" s="120">
        <v>7.8640078457011002</v>
      </c>
      <c r="AM103" s="120">
        <v>2.7543066348240699</v>
      </c>
      <c r="AN103" s="120">
        <v>1.7531647809723601</v>
      </c>
      <c r="AO103" s="120">
        <v>1.1567807039134099</v>
      </c>
      <c r="AP103" s="120">
        <v>0.82725060827249697</v>
      </c>
      <c r="AQ103" s="120">
        <v>0.73198198198159703</v>
      </c>
      <c r="AR103" s="120">
        <v>2.97450083919566</v>
      </c>
      <c r="AS103" s="120">
        <v>2.3373018745429901</v>
      </c>
      <c r="AT103" s="120">
        <v>-5.1997024271449498E-2</v>
      </c>
      <c r="AU103" s="120">
        <v>0.51478178102301597</v>
      </c>
      <c r="AV103" s="120">
        <v>1.7113332585550201</v>
      </c>
      <c r="AW103" s="120">
        <v>2.1122858387711698</v>
      </c>
      <c r="AX103" s="120">
        <v>5.8533042846768097</v>
      </c>
      <c r="AY103" s="120">
        <v>7.3472023657840602</v>
      </c>
      <c r="AZ103" s="120">
        <v>-2.2480214785534001</v>
      </c>
      <c r="BA103" s="120">
        <v>1.2286811967334399</v>
      </c>
      <c r="BB103" s="120">
        <v>3.4032282978697102</v>
      </c>
      <c r="BC103" s="120">
        <v>1.4182287117785399</v>
      </c>
      <c r="BD103" s="120">
        <v>0.71024548669517595</v>
      </c>
      <c r="BE103" s="120">
        <v>-1.0902550744689501</v>
      </c>
      <c r="BF103" s="120">
        <v>0.13521193363516501</v>
      </c>
      <c r="BG103" s="120">
        <v>0.83728494255743402</v>
      </c>
      <c r="BH103" s="120">
        <v>1.3181531484778899</v>
      </c>
      <c r="BI103" s="120">
        <v>0.46098564246418799</v>
      </c>
      <c r="BJ103" s="120">
        <v>1.76011151192939</v>
      </c>
      <c r="BK103" s="120">
        <v>2.54314685681662</v>
      </c>
      <c r="BL103" s="120">
        <v>2.18032278088147</v>
      </c>
      <c r="BM103" s="120">
        <v>9.6968189908107298</v>
      </c>
      <c r="BN103" s="120">
        <v>5.9394779877321504</v>
      </c>
      <c r="BO103" s="121">
        <v>0.80450329879243798</v>
      </c>
    </row>
    <row r="104" spans="1:67">
      <c r="A104" s="148" t="s">
        <v>41</v>
      </c>
      <c r="B104" s="4" t="s">
        <v>3</v>
      </c>
      <c r="C104" s="138"/>
      <c r="D104" s="138"/>
      <c r="E104" s="138"/>
      <c r="F104" s="138"/>
      <c r="G104" s="132">
        <v>29.077045385666199</v>
      </c>
      <c r="H104" s="132">
        <v>28.86638098948189</v>
      </c>
      <c r="I104" s="132">
        <v>27.777777777777779</v>
      </c>
      <c r="J104" s="132">
        <v>27.078384798099762</v>
      </c>
      <c r="K104" s="132">
        <v>23.682803229010162</v>
      </c>
      <c r="L104" s="132">
        <v>27.629743815605963</v>
      </c>
      <c r="M104" s="132">
        <v>31.021328199022673</v>
      </c>
      <c r="N104" s="132">
        <v>31.267839162825123</v>
      </c>
      <c r="O104" s="132">
        <v>27.772634697278281</v>
      </c>
      <c r="P104" s="132">
        <v>24.63877679227403</v>
      </c>
      <c r="Q104" s="132">
        <v>24.096863262466567</v>
      </c>
      <c r="R104" s="132">
        <v>25.108485919219714</v>
      </c>
      <c r="S104" s="132">
        <v>21.540004591978541</v>
      </c>
      <c r="T104" s="132">
        <v>19.719513871114568</v>
      </c>
      <c r="U104" s="132">
        <v>19.822630206547032</v>
      </c>
      <c r="V104" s="132">
        <v>19.904893158311275</v>
      </c>
      <c r="W104" s="132">
        <v>22.864560796192123</v>
      </c>
      <c r="X104" s="132">
        <v>23.015013155858227</v>
      </c>
      <c r="Y104" s="132">
        <v>15.755687129947027</v>
      </c>
      <c r="Z104" s="132">
        <v>11.070838441447684</v>
      </c>
      <c r="AA104" s="132">
        <v>10.624656530500092</v>
      </c>
      <c r="AB104" s="132">
        <v>14.822451317296679</v>
      </c>
      <c r="AC104" s="132">
        <v>11.91683569979716</v>
      </c>
      <c r="AD104" s="132">
        <v>31.964222143111424</v>
      </c>
      <c r="AE104" s="132">
        <v>28.724676540582323</v>
      </c>
      <c r="AF104" s="132">
        <v>23.917640741123229</v>
      </c>
      <c r="AG104" s="132">
        <v>34.689894903746463</v>
      </c>
      <c r="AH104" s="132">
        <v>31.249375984858681</v>
      </c>
      <c r="AI104" s="132">
        <v>31.590943222876934</v>
      </c>
      <c r="AJ104" s="132">
        <v>24.282548057419078</v>
      </c>
      <c r="AK104" s="132">
        <v>29.511546367049817</v>
      </c>
      <c r="AL104" s="132">
        <v>18.588436382769384</v>
      </c>
      <c r="AM104" s="132">
        <v>17.445234596833906</v>
      </c>
      <c r="AN104" s="132">
        <v>13.19969466344074</v>
      </c>
      <c r="AO104" s="132">
        <v>14.061562197108987</v>
      </c>
      <c r="AP104" s="132">
        <v>13.827891602578116</v>
      </c>
      <c r="AQ104" s="132">
        <v>18.134843555496754</v>
      </c>
      <c r="AR104" s="132">
        <v>7.9536459272925226</v>
      </c>
      <c r="AS104" s="132">
        <v>8.6677156202348264</v>
      </c>
      <c r="AT104" s="132">
        <v>14.085236351557837</v>
      </c>
      <c r="AU104" s="132">
        <v>16.681664384208432</v>
      </c>
      <c r="AV104" s="132">
        <v>17.826181368231644</v>
      </c>
      <c r="AW104" s="132">
        <v>9.5110262679231319</v>
      </c>
      <c r="AX104" s="132">
        <v>9.0477076638307636</v>
      </c>
      <c r="AY104" s="132">
        <v>7.7634896774232685</v>
      </c>
      <c r="AZ104" s="132">
        <v>8.0086184374930713</v>
      </c>
      <c r="BA104" s="132">
        <v>9.8923098161301812</v>
      </c>
      <c r="BB104" s="132">
        <v>9.5936417794356981</v>
      </c>
      <c r="BC104" s="132">
        <v>20.591833335096851</v>
      </c>
      <c r="BD104" s="132">
        <v>18.938608963151911</v>
      </c>
      <c r="BE104" s="132">
        <v>20.21439071498358</v>
      </c>
      <c r="BF104" s="132">
        <v>10.484957000746629</v>
      </c>
      <c r="BG104" s="132">
        <v>14.112249376039074</v>
      </c>
      <c r="BH104" s="132">
        <v>13.850644918128719</v>
      </c>
      <c r="BI104" s="132">
        <v>11.238825948576361</v>
      </c>
      <c r="BJ104" s="132">
        <v>9.69026986030876</v>
      </c>
      <c r="BK104" s="132">
        <v>9.8822228222519914</v>
      </c>
      <c r="BL104" s="132">
        <v>15.533664801370259</v>
      </c>
      <c r="BM104" s="132">
        <v>16.772611532626051</v>
      </c>
      <c r="BN104" s="132">
        <v>21.52478973515203</v>
      </c>
      <c r="BO104" s="133">
        <v>20.939835153447277</v>
      </c>
    </row>
    <row r="105" spans="1:67">
      <c r="A105" s="149"/>
      <c r="B105" s="4" t="s">
        <v>4</v>
      </c>
      <c r="C105" s="138"/>
      <c r="D105" s="138"/>
      <c r="E105" s="138"/>
      <c r="F105" s="138"/>
      <c r="G105" s="132">
        <v>29.516275678500996</v>
      </c>
      <c r="H105" s="132">
        <v>31.281651733541104</v>
      </c>
      <c r="I105" s="132">
        <v>31.618195376584641</v>
      </c>
      <c r="J105" s="132">
        <v>31.314330958036425</v>
      </c>
      <c r="K105" s="132">
        <v>26.84778614901613</v>
      </c>
      <c r="L105" s="132">
        <v>25.192688835058359</v>
      </c>
      <c r="M105" s="132">
        <v>29.281039974144292</v>
      </c>
      <c r="N105" s="132">
        <v>32.386596710852814</v>
      </c>
      <c r="O105" s="132">
        <v>29.033807480632952</v>
      </c>
      <c r="P105" s="132">
        <v>23.403643642790975</v>
      </c>
      <c r="Q105" s="132">
        <v>26.133471750618192</v>
      </c>
      <c r="R105" s="132">
        <v>34.471248178332125</v>
      </c>
      <c r="S105" s="132">
        <v>28.92644375430498</v>
      </c>
      <c r="T105" s="132">
        <v>26.729775835526144</v>
      </c>
      <c r="U105" s="132">
        <v>24.007849522974464</v>
      </c>
      <c r="V105" s="132">
        <v>27.085664383374723</v>
      </c>
      <c r="W105" s="132">
        <v>38.21722198182605</v>
      </c>
      <c r="X105" s="132">
        <v>39.738430583501</v>
      </c>
      <c r="Y105" s="132">
        <v>25.933312558429417</v>
      </c>
      <c r="Z105" s="132">
        <v>22.035072757315707</v>
      </c>
      <c r="AA105" s="132">
        <v>12.405202418025279</v>
      </c>
      <c r="AB105" s="132">
        <v>16.60939289805269</v>
      </c>
      <c r="AC105" s="132">
        <v>15.010141987829615</v>
      </c>
      <c r="AD105" s="132">
        <v>23.188857244571022</v>
      </c>
      <c r="AE105" s="132">
        <v>14.391488540780895</v>
      </c>
      <c r="AF105" s="132">
        <v>17.670776605095988</v>
      </c>
      <c r="AG105" s="132">
        <v>34.000772467627513</v>
      </c>
      <c r="AH105" s="132">
        <v>28.994673623802434</v>
      </c>
      <c r="AI105" s="132">
        <v>32.901932030000793</v>
      </c>
      <c r="AJ105" s="132">
        <v>28.577289531768209</v>
      </c>
      <c r="AK105" s="132">
        <v>25.64852115178261</v>
      </c>
      <c r="AL105" s="132">
        <v>26.440814054808641</v>
      </c>
      <c r="AM105" s="132">
        <v>32.150296057260036</v>
      </c>
      <c r="AN105" s="132">
        <v>15.078329372825767</v>
      </c>
      <c r="AO105" s="132">
        <v>21.271117359299247</v>
      </c>
      <c r="AP105" s="132">
        <v>19.921272099786041</v>
      </c>
      <c r="AQ105" s="132">
        <v>39.395119340425403</v>
      </c>
      <c r="AR105" s="132">
        <v>27.98451441272174</v>
      </c>
      <c r="AS105" s="132">
        <v>30.249196431972919</v>
      </c>
      <c r="AT105" s="132">
        <v>32.361200944509804</v>
      </c>
      <c r="AU105" s="132">
        <v>29.490335017614317</v>
      </c>
      <c r="AV105" s="132">
        <v>29.721802086567173</v>
      </c>
      <c r="AW105" s="132">
        <v>12.577840206044314</v>
      </c>
      <c r="AX105" s="132">
        <v>12.759091605093131</v>
      </c>
      <c r="AY105" s="132">
        <v>13.493125886275159</v>
      </c>
      <c r="AZ105" s="132">
        <v>15.066721160161563</v>
      </c>
      <c r="BA105" s="132">
        <v>18.061816108008742</v>
      </c>
      <c r="BB105" s="132">
        <v>34.187155153826168</v>
      </c>
      <c r="BC105" s="132">
        <v>32.789511378842931</v>
      </c>
      <c r="BD105" s="132">
        <v>34.424155648259806</v>
      </c>
      <c r="BE105" s="132">
        <v>30.904386563897145</v>
      </c>
      <c r="BF105" s="132">
        <v>25.997438823485265</v>
      </c>
      <c r="BG105" s="132">
        <v>28.954963320957049</v>
      </c>
      <c r="BH105" s="132">
        <v>27.67073331623039</v>
      </c>
      <c r="BI105" s="132">
        <v>26.138634363364893</v>
      </c>
      <c r="BJ105" s="132">
        <v>27.856684253070796</v>
      </c>
      <c r="BK105" s="132">
        <v>20.705353804706377</v>
      </c>
      <c r="BL105" s="132">
        <v>26.571971471258628</v>
      </c>
      <c r="BM105" s="132">
        <v>28.260480284400412</v>
      </c>
      <c r="BN105" s="132">
        <v>34.34489841985048</v>
      </c>
      <c r="BO105" s="133">
        <v>43.537961745787953</v>
      </c>
    </row>
    <row r="106" spans="1:67">
      <c r="A106" s="88"/>
      <c r="B106" s="7" t="s">
        <v>47</v>
      </c>
      <c r="C106" s="138"/>
      <c r="D106" s="138"/>
      <c r="E106" s="138"/>
      <c r="F106" s="138"/>
      <c r="G106" s="138"/>
      <c r="H106" s="138"/>
      <c r="I106" s="138"/>
      <c r="J106" s="138"/>
      <c r="K106" s="138"/>
      <c r="L106" s="138"/>
      <c r="M106" s="138"/>
      <c r="N106" s="138"/>
      <c r="O106" s="138"/>
      <c r="P106" s="138"/>
      <c r="Q106" s="138"/>
      <c r="R106" s="138"/>
      <c r="S106" s="138"/>
      <c r="T106" s="138"/>
      <c r="U106" s="138"/>
      <c r="V106" s="138"/>
      <c r="W106" s="138"/>
      <c r="X106" s="138"/>
      <c r="Y106" s="138"/>
      <c r="Z106" s="138"/>
      <c r="AA106" s="138"/>
      <c r="AB106" s="138"/>
      <c r="AC106" s="138"/>
      <c r="AD106" s="138"/>
      <c r="AE106" s="138"/>
      <c r="AF106" s="138"/>
      <c r="AG106" s="138"/>
      <c r="AH106" s="138"/>
      <c r="AI106" s="138"/>
      <c r="AJ106" s="138"/>
      <c r="AK106" s="138"/>
      <c r="AL106" s="138"/>
      <c r="AM106" s="138"/>
      <c r="AN106" s="138"/>
      <c r="AO106" s="138"/>
      <c r="AP106" s="138"/>
      <c r="AQ106" s="138"/>
      <c r="AR106" s="138"/>
      <c r="AS106" s="138"/>
      <c r="AT106" s="138"/>
      <c r="AU106" s="138"/>
      <c r="AV106" s="138"/>
      <c r="AW106" s="138"/>
      <c r="AX106" s="132">
        <v>11.6499744518106</v>
      </c>
      <c r="AY106" s="132">
        <v>8.2111243228960795</v>
      </c>
      <c r="AZ106" s="132">
        <v>7.4690189854098197</v>
      </c>
      <c r="BA106" s="132">
        <v>7.18566275668163</v>
      </c>
      <c r="BB106" s="132">
        <v>6.7913829195262103</v>
      </c>
      <c r="BC106" s="132">
        <v>6.5877623939258498</v>
      </c>
      <c r="BD106" s="132">
        <v>5.5241287799426599</v>
      </c>
      <c r="BE106" s="132">
        <v>4.63931171409667</v>
      </c>
      <c r="BF106" s="132">
        <v>6.6894356249868103</v>
      </c>
      <c r="BG106" s="132">
        <v>10.8860609413903</v>
      </c>
      <c r="BH106" s="132">
        <v>18.221509400338601</v>
      </c>
      <c r="BI106" s="132">
        <v>16.029544769369899</v>
      </c>
      <c r="BJ106" s="132">
        <v>14.804999090602101</v>
      </c>
      <c r="BK106" s="132">
        <v>13.446871110105199</v>
      </c>
      <c r="BL106" s="132">
        <v>11.8739588840234</v>
      </c>
      <c r="BM106" s="132">
        <v>27.208288381465302</v>
      </c>
      <c r="BN106" s="132">
        <v>47.6428733253179</v>
      </c>
      <c r="BO106" s="133">
        <v>28.633750001411499</v>
      </c>
    </row>
    <row r="107" spans="1:67">
      <c r="A107" s="152" t="s">
        <v>42</v>
      </c>
      <c r="B107" s="4" t="s">
        <v>3</v>
      </c>
      <c r="C107" s="120">
        <v>25.588094095055208</v>
      </c>
      <c r="D107" s="120">
        <v>25.341426403641883</v>
      </c>
      <c r="E107" s="120">
        <v>25.463623395149789</v>
      </c>
      <c r="F107" s="120">
        <v>24.841996646459435</v>
      </c>
      <c r="G107" s="120">
        <v>23.805620608899297</v>
      </c>
      <c r="H107" s="120">
        <v>22.292447777182645</v>
      </c>
      <c r="I107" s="120">
        <v>21.978130233474534</v>
      </c>
      <c r="J107" s="120">
        <v>21.39633660737988</v>
      </c>
      <c r="K107" s="120">
        <v>21.958796599084369</v>
      </c>
      <c r="L107" s="120">
        <v>20.043620501635768</v>
      </c>
      <c r="M107" s="120">
        <v>18.401953021905516</v>
      </c>
      <c r="N107" s="120">
        <v>18.478260869565215</v>
      </c>
      <c r="O107" s="120">
        <v>21.45813435211716</v>
      </c>
      <c r="P107" s="120">
        <v>21.686955768314345</v>
      </c>
      <c r="Q107" s="120">
        <v>24.154606549799094</v>
      </c>
      <c r="R107" s="120">
        <v>23.844941695556258</v>
      </c>
      <c r="S107" s="120">
        <v>23.913590252354471</v>
      </c>
      <c r="T107" s="120">
        <v>26.283742642581693</v>
      </c>
      <c r="U107" s="120">
        <v>28.4249933149122</v>
      </c>
      <c r="V107" s="120">
        <v>31.243406179351922</v>
      </c>
      <c r="W107" s="120">
        <v>31.870988124129411</v>
      </c>
      <c r="X107" s="120">
        <v>25.203391282007363</v>
      </c>
      <c r="Y107" s="120">
        <v>23.38758094257901</v>
      </c>
      <c r="Z107" s="120">
        <v>21.76785064517032</v>
      </c>
      <c r="AA107" s="120">
        <v>22.498742083110368</v>
      </c>
      <c r="AB107" s="120">
        <v>27.902881128227257</v>
      </c>
      <c r="AC107" s="120">
        <v>27.247670297939365</v>
      </c>
      <c r="AD107" s="120">
        <v>26.891376240142456</v>
      </c>
      <c r="AE107" s="120">
        <v>25.802494204443544</v>
      </c>
      <c r="AF107" s="120">
        <v>23.706840275939943</v>
      </c>
      <c r="AG107" s="120">
        <v>21.538541733741763</v>
      </c>
      <c r="AH107" s="120">
        <v>19.340815342583166</v>
      </c>
      <c r="AI107" s="120">
        <v>18.9551466044412</v>
      </c>
      <c r="AJ107" s="120">
        <v>19.914366630952962</v>
      </c>
      <c r="AK107" s="120">
        <v>19.549337805111016</v>
      </c>
      <c r="AL107" s="120">
        <v>20.037860607775354</v>
      </c>
      <c r="AM107" s="120">
        <v>21.774743218972407</v>
      </c>
      <c r="AN107" s="120">
        <v>21.660591855204181</v>
      </c>
      <c r="AO107" s="120">
        <v>22.519271817541629</v>
      </c>
      <c r="AP107" s="120">
        <v>22.269215974660213</v>
      </c>
      <c r="AQ107" s="120">
        <v>24.404303310691862</v>
      </c>
      <c r="AR107" s="120">
        <v>26.356660634568779</v>
      </c>
      <c r="AS107" s="120">
        <v>28.431167217680215</v>
      </c>
      <c r="AT107" s="120">
        <v>23.915273361403433</v>
      </c>
      <c r="AU107" s="120">
        <v>22.757518785665376</v>
      </c>
      <c r="AV107" s="120">
        <v>23.599764491543613</v>
      </c>
      <c r="AW107" s="120">
        <v>26.098249881711972</v>
      </c>
      <c r="AX107" s="120">
        <v>27.958964394701962</v>
      </c>
      <c r="AY107" s="120">
        <v>32.254673671067735</v>
      </c>
      <c r="AZ107" s="120">
        <v>24.982746488323667</v>
      </c>
      <c r="BA107" s="120">
        <v>25.783417626722148</v>
      </c>
      <c r="BB107" s="120">
        <v>27.698148470375223</v>
      </c>
      <c r="BC107" s="120">
        <v>27.139149193767881</v>
      </c>
      <c r="BD107" s="120">
        <v>28.379280320360955</v>
      </c>
      <c r="BE107" s="120">
        <v>29.000619303347129</v>
      </c>
      <c r="BF107" s="120">
        <v>27.713638412482901</v>
      </c>
      <c r="BG107" s="120">
        <v>28.156088169895494</v>
      </c>
      <c r="BH107" s="120">
        <v>27.3400757812216</v>
      </c>
      <c r="BI107" s="120">
        <v>27.497037150842335</v>
      </c>
      <c r="BJ107" s="120">
        <v>27.202129405115098</v>
      </c>
      <c r="BK107" s="120">
        <v>27.575914160396287</v>
      </c>
      <c r="BL107" s="120">
        <v>31.103598806188259</v>
      </c>
      <c r="BM107" s="120">
        <v>33.371449554054486</v>
      </c>
      <c r="BN107" s="120">
        <v>32.754526867542367</v>
      </c>
      <c r="BO107" s="121">
        <v>31.849845185990098</v>
      </c>
    </row>
    <row r="108" spans="1:67">
      <c r="A108" s="149"/>
      <c r="B108" s="4" t="s">
        <v>4</v>
      </c>
      <c r="C108" s="120">
        <v>21.267402784445512</v>
      </c>
      <c r="D108" s="120">
        <v>18.406676783004553</v>
      </c>
      <c r="E108" s="120">
        <v>17.888730385164049</v>
      </c>
      <c r="F108" s="120">
        <v>20.134141622597703</v>
      </c>
      <c r="G108" s="120">
        <v>22.142857142857142</v>
      </c>
      <c r="H108" s="120">
        <v>23.224424209962507</v>
      </c>
      <c r="I108" s="120">
        <v>20.116244704955179</v>
      </c>
      <c r="J108" s="120">
        <v>21.095478276258739</v>
      </c>
      <c r="K108" s="120">
        <v>19.334532374100718</v>
      </c>
      <c r="L108" s="120">
        <v>19.578335150854233</v>
      </c>
      <c r="M108" s="120">
        <v>21.384270256004221</v>
      </c>
      <c r="N108" s="120">
        <v>22.019827998088868</v>
      </c>
      <c r="O108" s="120">
        <v>19.314443383211291</v>
      </c>
      <c r="P108" s="120">
        <v>19.464541004202225</v>
      </c>
      <c r="Q108" s="120">
        <v>24.641752302385946</v>
      </c>
      <c r="R108" s="120">
        <v>25.969114402773403</v>
      </c>
      <c r="S108" s="120">
        <v>24.967163178045439</v>
      </c>
      <c r="T108" s="120">
        <v>21.927643596509032</v>
      </c>
      <c r="U108" s="120">
        <v>22.526517514930031</v>
      </c>
      <c r="V108" s="120">
        <v>22.863602110022608</v>
      </c>
      <c r="W108" s="120">
        <v>24.636328388643967</v>
      </c>
      <c r="X108" s="120">
        <v>26.989564345049487</v>
      </c>
      <c r="Y108" s="120">
        <v>23.754234744200009</v>
      </c>
      <c r="Z108" s="120">
        <v>18.488351480206379</v>
      </c>
      <c r="AA108" s="120">
        <v>20.894199206114674</v>
      </c>
      <c r="AB108" s="120">
        <v>20.045385252577283</v>
      </c>
      <c r="AC108" s="120">
        <v>19.401257621496498</v>
      </c>
      <c r="AD108" s="120">
        <v>18.079877893665731</v>
      </c>
      <c r="AE108" s="120">
        <v>20.048818044909218</v>
      </c>
      <c r="AF108" s="120">
        <v>18.992925069249633</v>
      </c>
      <c r="AG108" s="120">
        <v>16.673259190438081</v>
      </c>
      <c r="AH108" s="120">
        <v>15.540793914394385</v>
      </c>
      <c r="AI108" s="120">
        <v>15.366206894906245</v>
      </c>
      <c r="AJ108" s="120">
        <v>15.783757715089919</v>
      </c>
      <c r="AK108" s="120">
        <v>17.565271361516903</v>
      </c>
      <c r="AL108" s="120">
        <v>19.440173171527213</v>
      </c>
      <c r="AM108" s="120">
        <v>20.424508513555551</v>
      </c>
      <c r="AN108" s="120">
        <v>20.640742573978891</v>
      </c>
      <c r="AO108" s="120">
        <v>21.516473519354829</v>
      </c>
      <c r="AP108" s="120">
        <v>19.989080042607117</v>
      </c>
      <c r="AQ108" s="120">
        <v>21.816418424715796</v>
      </c>
      <c r="AR108" s="120">
        <v>22.814284551260254</v>
      </c>
      <c r="AS108" s="120">
        <v>25.034334411756632</v>
      </c>
      <c r="AT108" s="120">
        <v>21.808589207575519</v>
      </c>
      <c r="AU108" s="120">
        <v>22.886056438338677</v>
      </c>
      <c r="AV108" s="120">
        <v>23.828016905489292</v>
      </c>
      <c r="AW108" s="120">
        <v>27.669891392402558</v>
      </c>
      <c r="AX108" s="120">
        <v>29.166174743044991</v>
      </c>
      <c r="AY108" s="120">
        <v>33.719850128555578</v>
      </c>
      <c r="AZ108" s="120">
        <v>24.604788839556434</v>
      </c>
      <c r="BA108" s="120">
        <v>24.622669535877773</v>
      </c>
      <c r="BB108" s="120">
        <v>26.938201965521891</v>
      </c>
      <c r="BC108" s="120">
        <v>28.443467999566586</v>
      </c>
      <c r="BD108" s="120">
        <v>30.495747309690064</v>
      </c>
      <c r="BE108" s="120">
        <v>30.498954751712127</v>
      </c>
      <c r="BF108" s="120">
        <v>29.013037732232728</v>
      </c>
      <c r="BG108" s="120">
        <v>27.705169334982706</v>
      </c>
      <c r="BH108" s="120">
        <v>26.1958560481525</v>
      </c>
      <c r="BI108" s="120">
        <v>26.988507976791727</v>
      </c>
      <c r="BJ108" s="120">
        <v>26.695867003025501</v>
      </c>
      <c r="BK108" s="120">
        <v>23.183744920021375</v>
      </c>
      <c r="BL108" s="120">
        <v>24.931115031051597</v>
      </c>
      <c r="BM108" s="120">
        <v>31.411552578956343</v>
      </c>
      <c r="BN108" s="120">
        <v>32.425568681462742</v>
      </c>
      <c r="BO108" s="121">
        <v>29.852752871585814</v>
      </c>
    </row>
    <row r="109" spans="1:67">
      <c r="A109" s="88"/>
      <c r="B109" s="7" t="s">
        <v>47</v>
      </c>
      <c r="C109" s="120">
        <v>1.2888769268799201</v>
      </c>
      <c r="D109" s="120">
        <v>2.10235059955978</v>
      </c>
      <c r="E109" s="120">
        <v>1.2462751996549499</v>
      </c>
      <c r="F109" s="120">
        <v>1.33797064490693</v>
      </c>
      <c r="G109" s="120">
        <v>2.5349885423489802</v>
      </c>
      <c r="H109" s="120">
        <v>4.0690185329458401</v>
      </c>
      <c r="I109" s="120">
        <v>3.4892371538517502</v>
      </c>
      <c r="J109" s="120">
        <v>3.53896580236233</v>
      </c>
      <c r="K109" s="120">
        <v>1.98613362103222</v>
      </c>
      <c r="L109" s="120">
        <v>3.23821721585667</v>
      </c>
      <c r="M109" s="120">
        <v>4.9919245543561699</v>
      </c>
      <c r="N109" s="120">
        <v>5.9574208521348604</v>
      </c>
      <c r="O109" s="120">
        <v>6.4256763887917501</v>
      </c>
      <c r="P109" s="120">
        <v>9.4339837697839393</v>
      </c>
      <c r="Q109" s="120">
        <v>11.7241315190611</v>
      </c>
      <c r="R109" s="120">
        <v>13.4259248530376</v>
      </c>
      <c r="S109" s="120">
        <v>11.0204105892452</v>
      </c>
      <c r="T109" s="120">
        <v>11.15195783193</v>
      </c>
      <c r="U109" s="120">
        <v>11.1356088829565</v>
      </c>
      <c r="V109" s="120">
        <v>13.2936624628059</v>
      </c>
      <c r="W109" s="120">
        <v>13.6602404681115</v>
      </c>
      <c r="X109" s="120">
        <v>15.2542337674194</v>
      </c>
      <c r="Y109" s="120">
        <v>14.639040585312801</v>
      </c>
      <c r="Z109" s="120">
        <v>12.303205300600601</v>
      </c>
      <c r="AA109" s="120">
        <v>11.526481434496</v>
      </c>
      <c r="AB109" s="120">
        <v>16.294225242642099</v>
      </c>
      <c r="AC109" s="120">
        <v>18.654923038875499</v>
      </c>
      <c r="AD109" s="120">
        <v>16.160594854679101</v>
      </c>
      <c r="AE109" s="120">
        <v>12.779553083028</v>
      </c>
      <c r="AF109" s="120">
        <v>14.7308753982381</v>
      </c>
      <c r="AG109" s="120">
        <v>14.3209918914915</v>
      </c>
      <c r="AH109" s="120">
        <v>15.334778573367201</v>
      </c>
      <c r="AI109" s="120">
        <v>13.874703748615</v>
      </c>
      <c r="AJ109" s="120">
        <v>9.7174272980302803</v>
      </c>
      <c r="AK109" s="120">
        <v>8.9385637235939992</v>
      </c>
      <c r="AL109" s="120">
        <v>8.6804242139263099</v>
      </c>
      <c r="AM109" s="120">
        <v>7.3541197208533298</v>
      </c>
      <c r="AN109" s="120">
        <v>8.5977761125227392</v>
      </c>
      <c r="AO109" s="120">
        <v>6.8805452103735103</v>
      </c>
      <c r="AP109" s="120">
        <v>5.1814890511169702</v>
      </c>
      <c r="AQ109" s="120">
        <v>5.3389591359982802</v>
      </c>
      <c r="AR109" s="120">
        <v>5.7018948304960801</v>
      </c>
      <c r="AS109" s="120">
        <v>9.4947137809959994</v>
      </c>
      <c r="AT109" s="120">
        <v>5.6794241406879902</v>
      </c>
      <c r="AU109" s="120">
        <v>-0.69203943785768696</v>
      </c>
      <c r="AV109" s="120">
        <v>2.0628530822342701</v>
      </c>
      <c r="AW109" s="120">
        <v>3.2439076541923</v>
      </c>
      <c r="AX109" s="120">
        <v>6.1778121480938797</v>
      </c>
      <c r="AY109" s="120">
        <v>9.9099845600546708</v>
      </c>
      <c r="AZ109" s="120">
        <v>7.2380952380952701</v>
      </c>
      <c r="BA109" s="120">
        <v>4.0674955595026301</v>
      </c>
      <c r="BB109" s="120">
        <v>5.0008533879502002</v>
      </c>
      <c r="BC109" s="120">
        <v>5.73797139141739</v>
      </c>
      <c r="BD109" s="120">
        <v>5.7801691006917597</v>
      </c>
      <c r="BE109" s="120">
        <v>6.1328295305914899</v>
      </c>
      <c r="BF109" s="120">
        <v>4.5186909489250597</v>
      </c>
      <c r="BG109" s="120">
        <v>6.6029084239487199</v>
      </c>
      <c r="BH109" s="120">
        <v>5.1861865552414903</v>
      </c>
      <c r="BI109" s="120">
        <v>4.5098726486738796</v>
      </c>
      <c r="BJ109" s="120">
        <v>4.10285075461156</v>
      </c>
      <c r="BK109" s="120">
        <v>3.23238831615113</v>
      </c>
      <c r="BL109" s="120">
        <v>4.6187454488713602</v>
      </c>
      <c r="BM109" s="120">
        <v>7.0398727254648197</v>
      </c>
      <c r="BN109" s="120">
        <v>6.0752438457966003</v>
      </c>
      <c r="BO109" s="121">
        <v>4.3611524651896199</v>
      </c>
    </row>
    <row r="110" spans="1:67">
      <c r="A110" s="148" t="s">
        <v>43</v>
      </c>
      <c r="B110" s="4" t="s">
        <v>3</v>
      </c>
      <c r="C110" s="138"/>
      <c r="D110" s="138"/>
      <c r="E110" s="138"/>
      <c r="F110" s="138"/>
      <c r="G110" s="138"/>
      <c r="H110" s="138"/>
      <c r="I110" s="138"/>
      <c r="J110" s="138"/>
      <c r="K110" s="138"/>
      <c r="L110" s="138"/>
      <c r="M110" s="138"/>
      <c r="N110" s="138"/>
      <c r="O110" s="138"/>
      <c r="P110" s="138"/>
      <c r="Q110" s="138"/>
      <c r="R110" s="138"/>
      <c r="S110" s="138"/>
      <c r="T110" s="138"/>
      <c r="U110" s="138"/>
      <c r="V110" s="138"/>
      <c r="W110" s="138"/>
      <c r="X110" s="138"/>
      <c r="Y110" s="138"/>
      <c r="Z110" s="138"/>
      <c r="AA110" s="138"/>
      <c r="AB110" s="138"/>
      <c r="AC110" s="138"/>
      <c r="AD110" s="138"/>
      <c r="AE110" s="138"/>
      <c r="AF110" s="138"/>
      <c r="AG110" s="132">
        <v>8.691282104292533</v>
      </c>
      <c r="AH110" s="132">
        <v>7.0667472422841104</v>
      </c>
      <c r="AI110" s="132">
        <v>8.5678034756422683</v>
      </c>
      <c r="AJ110" s="132">
        <v>12.38367959877734</v>
      </c>
      <c r="AK110" s="132">
        <v>14.195373482144166</v>
      </c>
      <c r="AL110" s="132">
        <v>16.578538873936335</v>
      </c>
      <c r="AM110" s="132">
        <v>13.729298890654404</v>
      </c>
      <c r="AN110" s="132">
        <v>11.168249607914733</v>
      </c>
      <c r="AO110" s="132">
        <v>10.105463917619495</v>
      </c>
      <c r="AP110" s="132">
        <v>10.166846991600062</v>
      </c>
      <c r="AQ110" s="132">
        <v>10.812805197321916</v>
      </c>
      <c r="AR110" s="132">
        <v>13.837039970742032</v>
      </c>
      <c r="AS110" s="132">
        <v>14.281641627355658</v>
      </c>
      <c r="AT110" s="132">
        <v>15.093122761329283</v>
      </c>
      <c r="AU110" s="132">
        <v>16.045583308834075</v>
      </c>
      <c r="AV110" s="132">
        <v>16.983367056451371</v>
      </c>
      <c r="AW110" s="132">
        <v>18.414991447908903</v>
      </c>
      <c r="AX110" s="132">
        <v>19.830625586965457</v>
      </c>
      <c r="AY110" s="132">
        <v>19.464611355085715</v>
      </c>
      <c r="AZ110" s="132">
        <v>18.194265831426502</v>
      </c>
      <c r="BA110" s="132">
        <v>19.607528736686923</v>
      </c>
      <c r="BB110" s="132">
        <v>21.634282326673933</v>
      </c>
      <c r="BC110" s="132">
        <v>22.372111684506983</v>
      </c>
      <c r="BD110" s="132">
        <v>19.012787601366565</v>
      </c>
      <c r="BE110" s="132">
        <v>18.069209276081338</v>
      </c>
      <c r="BF110" s="132">
        <v>17.104911553096525</v>
      </c>
      <c r="BG110" s="132">
        <v>16.349975063903965</v>
      </c>
      <c r="BH110" s="132">
        <v>15.663491565804289</v>
      </c>
      <c r="BI110" s="132">
        <v>14.739143393171123</v>
      </c>
      <c r="BJ110" s="132">
        <v>16.036746148498576</v>
      </c>
      <c r="BK110" s="132">
        <v>13.5038738462361</v>
      </c>
      <c r="BL110" s="132">
        <v>14.120022326581511</v>
      </c>
      <c r="BM110" s="132">
        <v>15.413710520168285</v>
      </c>
      <c r="BN110" s="132">
        <v>17.195429876275451</v>
      </c>
      <c r="BO110" s="133">
        <v>19.830482870243987</v>
      </c>
    </row>
    <row r="111" spans="1:67">
      <c r="A111" s="149"/>
      <c r="B111" s="4" t="s">
        <v>4</v>
      </c>
      <c r="C111" s="138"/>
      <c r="D111" s="138"/>
      <c r="E111" s="138"/>
      <c r="F111" s="138"/>
      <c r="G111" s="138"/>
      <c r="H111" s="138"/>
      <c r="I111" s="138"/>
      <c r="J111" s="138"/>
      <c r="K111" s="138"/>
      <c r="L111" s="138"/>
      <c r="M111" s="138"/>
      <c r="N111" s="138"/>
      <c r="O111" s="138"/>
      <c r="P111" s="138"/>
      <c r="Q111" s="138"/>
      <c r="R111" s="138"/>
      <c r="S111" s="138"/>
      <c r="T111" s="138"/>
      <c r="U111" s="138"/>
      <c r="V111" s="138"/>
      <c r="W111" s="138"/>
      <c r="X111" s="138"/>
      <c r="Y111" s="138"/>
      <c r="Z111" s="138"/>
      <c r="AA111" s="138"/>
      <c r="AB111" s="138"/>
      <c r="AC111" s="138"/>
      <c r="AD111" s="138"/>
      <c r="AE111" s="138"/>
      <c r="AF111" s="138"/>
      <c r="AG111" s="132">
        <v>25.792324475213878</v>
      </c>
      <c r="AH111" s="132">
        <v>23.164875307648096</v>
      </c>
      <c r="AI111" s="132">
        <v>27.099992856668376</v>
      </c>
      <c r="AJ111" s="132">
        <v>32.852817872314958</v>
      </c>
      <c r="AK111" s="132">
        <v>30.041394079978268</v>
      </c>
      <c r="AL111" s="132">
        <v>28.583381113276328</v>
      </c>
      <c r="AM111" s="132">
        <v>21.997207806294146</v>
      </c>
      <c r="AN111" s="132">
        <v>17.690533615418925</v>
      </c>
      <c r="AO111" s="132">
        <v>16.038178143189981</v>
      </c>
      <c r="AP111" s="132">
        <v>14.855207819716174</v>
      </c>
      <c r="AQ111" s="132">
        <v>13.176309957658919</v>
      </c>
      <c r="AR111" s="132">
        <v>14.193103257511261</v>
      </c>
      <c r="AS111" s="132">
        <v>13.217575646134764</v>
      </c>
      <c r="AT111" s="132">
        <v>15.355713063603361</v>
      </c>
      <c r="AU111" s="132">
        <v>17.564203427830904</v>
      </c>
      <c r="AV111" s="132">
        <v>19.975906232949974</v>
      </c>
      <c r="AW111" s="132">
        <v>24.353175021237821</v>
      </c>
      <c r="AX111" s="132">
        <v>28.227769192689944</v>
      </c>
      <c r="AY111" s="132">
        <v>29.561933196000762</v>
      </c>
      <c r="AZ111" s="132">
        <v>25.338334814205176</v>
      </c>
      <c r="BA111" s="132">
        <v>28.032910692881362</v>
      </c>
      <c r="BB111" s="132">
        <v>34.531841855506926</v>
      </c>
      <c r="BC111" s="132">
        <v>31.996837397006832</v>
      </c>
      <c r="BD111" s="132">
        <v>29.61883992818294</v>
      </c>
      <c r="BE111" s="132">
        <v>27.286813067225168</v>
      </c>
      <c r="BF111" s="132">
        <v>23.652769324734841</v>
      </c>
      <c r="BG111" s="132">
        <v>19.070495336359635</v>
      </c>
      <c r="BH111" s="132">
        <v>17.449100419508152</v>
      </c>
      <c r="BI111" s="132">
        <v>17.903466511202581</v>
      </c>
      <c r="BJ111" s="132">
        <v>16.981843101732537</v>
      </c>
      <c r="BK111" s="132">
        <v>14.459141350752258</v>
      </c>
      <c r="BL111" s="132">
        <v>15.79516168082332</v>
      </c>
      <c r="BM111" s="132">
        <v>19.589741190031091</v>
      </c>
      <c r="BN111" s="132">
        <v>21.016604930063508</v>
      </c>
      <c r="BO111" s="133">
        <v>21.68263785058037</v>
      </c>
    </row>
    <row r="112" spans="1:67">
      <c r="A112" s="88"/>
      <c r="B112" s="7" t="s">
        <v>47</v>
      </c>
      <c r="C112" s="138"/>
      <c r="D112" s="138"/>
      <c r="E112" s="138"/>
      <c r="F112" s="138"/>
      <c r="G112" s="138"/>
      <c r="H112" s="138"/>
      <c r="I112" s="132">
        <v>9.7770154392759601</v>
      </c>
      <c r="J112" s="132">
        <v>12.187499998436801</v>
      </c>
      <c r="K112" s="132">
        <v>15.598885795482699</v>
      </c>
      <c r="L112" s="132">
        <v>16.415662649999799</v>
      </c>
      <c r="M112" s="132">
        <v>3.4928848641835701</v>
      </c>
      <c r="N112" s="132">
        <v>4.7750000000237502</v>
      </c>
      <c r="O112" s="132">
        <v>7.6354092100103799</v>
      </c>
      <c r="P112" s="132">
        <v>10.396807803216699</v>
      </c>
      <c r="Q112" s="132">
        <v>19.5983935742148</v>
      </c>
      <c r="R112" s="132">
        <v>26.0577568841573</v>
      </c>
      <c r="S112" s="132">
        <v>6.8593500265325096</v>
      </c>
      <c r="T112" s="132">
        <v>11.6041381030119</v>
      </c>
      <c r="U112" s="132">
        <v>6.5750000000000899</v>
      </c>
      <c r="V112" s="132">
        <v>12.9486277269529</v>
      </c>
      <c r="W112" s="132">
        <v>30.197300103842</v>
      </c>
      <c r="X112" s="132">
        <v>25.650023927261199</v>
      </c>
      <c r="Y112" s="132">
        <v>28.932334645169298</v>
      </c>
      <c r="Z112" s="132">
        <v>27.0559275305238</v>
      </c>
      <c r="AA112" s="132">
        <v>36.145941505602799</v>
      </c>
      <c r="AB112" s="132">
        <v>33.282103825136801</v>
      </c>
      <c r="AC112" s="132">
        <v>32.432201580183701</v>
      </c>
      <c r="AD112" s="132">
        <v>29.949369537876098</v>
      </c>
      <c r="AE112" s="132">
        <v>31.1867182846932</v>
      </c>
      <c r="AF112" s="132">
        <v>25.849838261165701</v>
      </c>
      <c r="AG112" s="132">
        <v>35.826771653543297</v>
      </c>
      <c r="AH112" s="132">
        <v>28.695652173913</v>
      </c>
      <c r="AI112" s="132">
        <v>21.846846846847299</v>
      </c>
      <c r="AJ112" s="132">
        <v>25.277264325322999</v>
      </c>
      <c r="AK112" s="132">
        <v>34.083364072298401</v>
      </c>
      <c r="AL112" s="132">
        <v>27.427785419532299</v>
      </c>
      <c r="AM112" s="132">
        <v>20.977259643062901</v>
      </c>
      <c r="AN112" s="132">
        <v>16.090654928320099</v>
      </c>
      <c r="AO112" s="132">
        <v>12.799754047960899</v>
      </c>
      <c r="AP112" s="132">
        <v>7.8904333605887702</v>
      </c>
      <c r="AQ112" s="132">
        <v>5.9239610963747902</v>
      </c>
      <c r="AR112" s="132">
        <v>5.1474680022261801</v>
      </c>
      <c r="AS112" s="132">
        <v>5.3178336611820303</v>
      </c>
      <c r="AT112" s="132">
        <v>5.3035662150978196</v>
      </c>
      <c r="AU112" s="132">
        <v>4.7358014394905803</v>
      </c>
      <c r="AV112" s="132">
        <v>5.0345700926716299</v>
      </c>
      <c r="AW112" s="132">
        <v>7.2509726208254603</v>
      </c>
      <c r="AX112" s="132">
        <v>7.02551436974771</v>
      </c>
      <c r="AY112" s="132">
        <v>10.278393762113501</v>
      </c>
      <c r="AZ112" s="132">
        <v>12.142227874298801</v>
      </c>
      <c r="BA112" s="132">
        <v>6.2001559564740303</v>
      </c>
      <c r="BB112" s="132">
        <v>12.690969469916199</v>
      </c>
      <c r="BC112" s="132">
        <v>16.001093850633801</v>
      </c>
      <c r="BD112" s="132">
        <v>7.8707236457395897</v>
      </c>
      <c r="BE112" s="132">
        <v>6.1316143298801196</v>
      </c>
      <c r="BF112" s="132">
        <v>5.5881695295929799</v>
      </c>
      <c r="BG112" s="132">
        <v>5.1747662930149296</v>
      </c>
      <c r="BH112" s="132">
        <v>5.31871605228931</v>
      </c>
      <c r="BI112" s="132">
        <v>3.49445848856181</v>
      </c>
      <c r="BJ112" s="132">
        <v>3.4642805799901999</v>
      </c>
      <c r="BK112" s="132">
        <v>3.29029062798325</v>
      </c>
      <c r="BL112" s="132">
        <v>3.6909195880219898</v>
      </c>
      <c r="BM112" s="132">
        <v>4.3502720426910102</v>
      </c>
      <c r="BN112" s="132">
        <v>3.7992329138491598</v>
      </c>
      <c r="BO112" s="133">
        <v>3.0569467631237299</v>
      </c>
    </row>
    <row r="113" spans="1:67">
      <c r="A113" s="152" t="s">
        <v>44</v>
      </c>
      <c r="B113" s="4" t="s">
        <v>3</v>
      </c>
      <c r="C113" s="138"/>
      <c r="D113" s="138"/>
      <c r="E113" s="138"/>
      <c r="F113" s="120">
        <v>16.975308642361362</v>
      </c>
      <c r="G113" s="120">
        <v>22.916666666811654</v>
      </c>
      <c r="H113" s="120">
        <v>20.919540229232496</v>
      </c>
      <c r="I113" s="120">
        <v>24.10546139302188</v>
      </c>
      <c r="J113" s="120">
        <v>23.508771929580462</v>
      </c>
      <c r="K113" s="120">
        <v>26.210350583837471</v>
      </c>
      <c r="L113" s="120">
        <v>28.448275862340861</v>
      </c>
      <c r="M113" s="120">
        <v>29.30800542681304</v>
      </c>
      <c r="N113" s="120">
        <v>27.838827838870579</v>
      </c>
      <c r="O113" s="120">
        <v>23.515981734980183</v>
      </c>
      <c r="P113" s="120">
        <v>20.5752212389588</v>
      </c>
      <c r="Q113" s="120">
        <v>42.234123947759997</v>
      </c>
      <c r="R113" s="120">
        <v>27.747466874678896</v>
      </c>
      <c r="S113" s="120">
        <v>31.841526045718872</v>
      </c>
      <c r="T113" s="120">
        <v>26.65876777267701</v>
      </c>
      <c r="U113" s="120">
        <v>35.381355932312275</v>
      </c>
      <c r="V113" s="120">
        <v>33.646616541206733</v>
      </c>
      <c r="W113" s="120">
        <v>48.196308724809327</v>
      </c>
      <c r="X113" s="120">
        <v>40.077519379772539</v>
      </c>
      <c r="Y113" s="120">
        <v>52.762328513207798</v>
      </c>
      <c r="Z113" s="120">
        <v>43.993288590565342</v>
      </c>
      <c r="AA113" s="120">
        <v>51.210962396484639</v>
      </c>
      <c r="AB113" s="120">
        <v>48.408759123978932</v>
      </c>
      <c r="AC113" s="120">
        <v>43.930321175733319</v>
      </c>
      <c r="AD113" s="120">
        <v>41.395844432618482</v>
      </c>
      <c r="AE113" s="120">
        <v>39.092453288008564</v>
      </c>
      <c r="AF113" s="120">
        <v>39.898053753401769</v>
      </c>
      <c r="AG113" s="120">
        <v>26.243166220709192</v>
      </c>
      <c r="AH113" s="120">
        <v>25.275521220438446</v>
      </c>
      <c r="AI113" s="120">
        <v>20.973469207173348</v>
      </c>
      <c r="AJ113" s="120">
        <v>17.474422068756219</v>
      </c>
      <c r="AK113" s="120">
        <v>25.820617352523879</v>
      </c>
      <c r="AL113" s="120">
        <v>22.757328411858026</v>
      </c>
      <c r="AM113" s="120">
        <v>24.948764209053376</v>
      </c>
      <c r="AN113" s="120">
        <v>22.480345527726882</v>
      </c>
      <c r="AO113" s="120">
        <v>23.071467966888932</v>
      </c>
      <c r="AP113" s="120">
        <v>21.339804506421871</v>
      </c>
      <c r="AQ113" s="120">
        <v>20.156660403800675</v>
      </c>
      <c r="AR113" s="120">
        <v>20.509525893000937</v>
      </c>
      <c r="AS113" s="120">
        <v>21.43814149515773</v>
      </c>
      <c r="AT113" s="120">
        <v>23.229600731553813</v>
      </c>
      <c r="AU113" s="120">
        <v>23.574361384676539</v>
      </c>
      <c r="AV113" s="120">
        <v>25.18263858899007</v>
      </c>
      <c r="AW113" s="120">
        <v>25.047696446921318</v>
      </c>
      <c r="AX113" s="120">
        <v>23.944959575617659</v>
      </c>
      <c r="AY113" s="120">
        <v>24.630048830491042</v>
      </c>
      <c r="AZ113" s="120">
        <v>25.150193829566859</v>
      </c>
      <c r="BA113" s="120">
        <v>26.962985729021955</v>
      </c>
      <c r="BB113" s="120">
        <v>30.628526852902244</v>
      </c>
      <c r="BC113" s="120">
        <v>32.081966197719005</v>
      </c>
      <c r="BD113" s="120">
        <v>33.173046499313152</v>
      </c>
      <c r="BE113" s="120">
        <v>28.337564762334811</v>
      </c>
      <c r="BF113" s="120">
        <v>25.976075055898072</v>
      </c>
      <c r="BG113" s="120">
        <v>25.99637001398073</v>
      </c>
      <c r="BH113" s="120">
        <v>24.87260373695705</v>
      </c>
      <c r="BI113" s="120">
        <v>24.223952463886896</v>
      </c>
      <c r="BJ113" s="120">
        <v>23.812452710453734</v>
      </c>
      <c r="BK113" s="120">
        <v>23.263528583167041</v>
      </c>
      <c r="BL113" s="120">
        <v>23.629548446508128</v>
      </c>
      <c r="BM113" s="120">
        <v>25.599171080440914</v>
      </c>
      <c r="BN113" s="120">
        <v>23.905223970476413</v>
      </c>
      <c r="BO113" s="121">
        <v>24.383172928580439</v>
      </c>
    </row>
    <row r="114" spans="1:67">
      <c r="A114" s="149"/>
      <c r="B114" s="4" t="s">
        <v>4</v>
      </c>
      <c r="C114" s="138"/>
      <c r="D114" s="138"/>
      <c r="E114" s="138"/>
      <c r="F114" s="120">
        <v>26.5432098761198</v>
      </c>
      <c r="G114" s="120">
        <v>30.989583334003896</v>
      </c>
      <c r="H114" s="120">
        <v>27.12643678179716</v>
      </c>
      <c r="I114" s="120">
        <v>25.800376648208474</v>
      </c>
      <c r="J114" s="120">
        <v>22.807017544012211</v>
      </c>
      <c r="K114" s="120">
        <v>24.040066777479748</v>
      </c>
      <c r="L114" s="120">
        <v>26.724137931043252</v>
      </c>
      <c r="M114" s="120">
        <v>30.52917231972301</v>
      </c>
      <c r="N114" s="120">
        <v>33.699633699590962</v>
      </c>
      <c r="O114" s="120">
        <v>30.707762557253439</v>
      </c>
      <c r="P114" s="120">
        <v>27.323008849761564</v>
      </c>
      <c r="Q114" s="120">
        <v>24.636572303078715</v>
      </c>
      <c r="R114" s="120">
        <v>45.752143413897926</v>
      </c>
      <c r="S114" s="120">
        <v>41.746148202642985</v>
      </c>
      <c r="T114" s="120">
        <v>45.379146919659696</v>
      </c>
      <c r="U114" s="120">
        <v>65.254237288113004</v>
      </c>
      <c r="V114" s="120">
        <v>61.090225564056411</v>
      </c>
      <c r="W114" s="120">
        <v>61.409395973179102</v>
      </c>
      <c r="X114" s="120">
        <v>55.736434108448421</v>
      </c>
      <c r="Y114" s="120">
        <v>65.888023730259007</v>
      </c>
      <c r="Z114" s="120">
        <v>52.01342281862663</v>
      </c>
      <c r="AA114" s="120">
        <v>51.975780752052259</v>
      </c>
      <c r="AB114" s="120">
        <v>57.138686131320462</v>
      </c>
      <c r="AC114" s="120">
        <v>55.688622754497942</v>
      </c>
      <c r="AD114" s="120">
        <v>50.772509323316527</v>
      </c>
      <c r="AE114" s="120">
        <v>50.958505217135986</v>
      </c>
      <c r="AF114" s="120">
        <v>49.1890639481256</v>
      </c>
      <c r="AG114" s="120">
        <v>33.523322089140031</v>
      </c>
      <c r="AH114" s="120">
        <v>34.185934210383458</v>
      </c>
      <c r="AI114" s="120">
        <v>28.681543928885045</v>
      </c>
      <c r="AJ114" s="120">
        <v>25.23807837281695</v>
      </c>
      <c r="AK114" s="120">
        <v>31.743739081857704</v>
      </c>
      <c r="AL114" s="120">
        <v>32.844445318506409</v>
      </c>
      <c r="AM114" s="120">
        <v>34.461104591281924</v>
      </c>
      <c r="AN114" s="120">
        <v>30.726555964504932</v>
      </c>
      <c r="AO114" s="120">
        <v>32.666456545338107</v>
      </c>
      <c r="AP114" s="120">
        <v>28.769095115357135</v>
      </c>
      <c r="AQ114" s="120">
        <v>28.651343707617592</v>
      </c>
      <c r="AR114" s="120">
        <v>30.884626172029776</v>
      </c>
      <c r="AS114" s="120">
        <v>30.171423787283231</v>
      </c>
      <c r="AT114" s="120">
        <v>32.160377685705143</v>
      </c>
      <c r="AU114" s="120">
        <v>34.296732486210679</v>
      </c>
      <c r="AV114" s="120">
        <v>36.271641423858</v>
      </c>
      <c r="AW114" s="120">
        <v>36.565164015151986</v>
      </c>
      <c r="AX114" s="120">
        <v>36.982518753803248</v>
      </c>
      <c r="AY114" s="120">
        <v>36.812431232587393</v>
      </c>
      <c r="AZ114" s="120">
        <v>36.183213486102161</v>
      </c>
      <c r="BA114" s="120">
        <v>38.893806332225175</v>
      </c>
      <c r="BB114" s="120">
        <v>46.026747409031955</v>
      </c>
      <c r="BC114" s="120">
        <v>42.529131503989035</v>
      </c>
      <c r="BD114" s="120">
        <v>47.817542146193198</v>
      </c>
      <c r="BE114" s="120">
        <v>41.586181921056671</v>
      </c>
      <c r="BF114" s="120">
        <v>42.224013365080346</v>
      </c>
      <c r="BG114" s="120">
        <v>39.53238219917116</v>
      </c>
      <c r="BH114" s="120">
        <v>32.729380678907496</v>
      </c>
      <c r="BI114" s="120">
        <v>33.131851244749512</v>
      </c>
      <c r="BJ114" s="120">
        <v>32.329940689756171</v>
      </c>
      <c r="BK114" s="120">
        <v>32.285009977696909</v>
      </c>
      <c r="BL114" s="120">
        <v>33.955465053188156</v>
      </c>
      <c r="BM114" s="120">
        <v>39.888613934247687</v>
      </c>
      <c r="BN114" s="120">
        <v>37.522132802206002</v>
      </c>
      <c r="BO114" s="121">
        <v>38.091070731010674</v>
      </c>
    </row>
    <row r="115" spans="1:67">
      <c r="A115" s="1"/>
      <c r="B115" s="7" t="s">
        <v>47</v>
      </c>
      <c r="C115" s="138"/>
      <c r="D115" s="138"/>
      <c r="E115" s="138"/>
      <c r="F115" s="120"/>
      <c r="G115" s="120"/>
      <c r="H115" s="120"/>
      <c r="I115" s="120"/>
      <c r="J115" s="120">
        <v>-2.3188405806762402</v>
      </c>
      <c r="K115" s="120">
        <v>0.29673590603653599</v>
      </c>
      <c r="L115" s="120">
        <v>6.0157790927021404</v>
      </c>
      <c r="M115" s="120">
        <v>4.4806201546509499</v>
      </c>
      <c r="N115" s="120">
        <v>6.4920611363942999</v>
      </c>
      <c r="O115" s="120">
        <v>7.7266076782348003</v>
      </c>
      <c r="P115" s="120">
        <v>3.6153149657316699</v>
      </c>
      <c r="Q115" s="120">
        <v>12.831931690620101</v>
      </c>
      <c r="R115" s="120">
        <v>18.012199497667599</v>
      </c>
      <c r="S115" s="120">
        <v>11.640730810691499</v>
      </c>
      <c r="T115" s="120">
        <v>22.457013406617701</v>
      </c>
      <c r="U115" s="120">
        <v>0.44277309395296099</v>
      </c>
      <c r="V115" s="120">
        <v>7.5392512077294196</v>
      </c>
      <c r="W115" s="120">
        <v>12.3068572123795</v>
      </c>
      <c r="X115" s="120">
        <v>19.7165023624807</v>
      </c>
      <c r="Y115" s="120">
        <v>11.129673328182699</v>
      </c>
      <c r="Z115" s="120">
        <v>9.3554650798614691</v>
      </c>
      <c r="AA115" s="120">
        <v>-3.5266287102054901</v>
      </c>
      <c r="AB115" s="120">
        <v>-1.8144143823216199</v>
      </c>
      <c r="AC115" s="120">
        <v>4.1246152636768603</v>
      </c>
      <c r="AD115" s="120">
        <v>5.4008850482645997E-2</v>
      </c>
      <c r="AE115" s="120">
        <v>-0.15091097993477701</v>
      </c>
      <c r="AF115" s="120">
        <v>-0.83940311695255099</v>
      </c>
      <c r="AG115" s="120">
        <v>1.0153415053080901</v>
      </c>
      <c r="AH115" s="120">
        <v>0.38708179787075703</v>
      </c>
      <c r="AI115" s="120">
        <v>1.3937866367593801</v>
      </c>
      <c r="AJ115" s="120">
        <v>-1.00688168855034</v>
      </c>
      <c r="AK115" s="120">
        <v>39.162767379679501</v>
      </c>
      <c r="AL115" s="120">
        <v>16.4335034524163</v>
      </c>
      <c r="AM115" s="120">
        <v>4.68749999999996</v>
      </c>
      <c r="AN115" s="120">
        <v>8.2508250825080207</v>
      </c>
      <c r="AO115" s="120">
        <v>0.97533838108867399</v>
      </c>
      <c r="AP115" s="120">
        <v>-5.32136248823534E-2</v>
      </c>
      <c r="AQ115" s="120">
        <v>1.8626059546306699</v>
      </c>
      <c r="AR115" s="120">
        <v>3.9195913365314601</v>
      </c>
      <c r="AS115" s="120">
        <v>3.0598185753588401</v>
      </c>
      <c r="AT115" s="120">
        <v>-0.93000088407221404</v>
      </c>
      <c r="AU115" s="120">
        <v>0.39307868103166899</v>
      </c>
      <c r="AV115" s="120">
        <v>6.7829289302831404</v>
      </c>
      <c r="AW115" s="120">
        <v>2.22897779414027</v>
      </c>
      <c r="AX115" s="120">
        <v>0.94567327170521398</v>
      </c>
      <c r="AY115" s="120">
        <v>8.69482814363902</v>
      </c>
      <c r="AZ115" s="120">
        <v>3.71360592035809</v>
      </c>
      <c r="BA115" s="120">
        <v>1.44594517430864</v>
      </c>
      <c r="BB115" s="120">
        <v>3.5635147290395999</v>
      </c>
      <c r="BC115" s="120">
        <v>2.5771817405584798</v>
      </c>
      <c r="BD115" s="120">
        <v>1.82539475909162</v>
      </c>
      <c r="BE115" s="120">
        <v>0.19087507624975</v>
      </c>
      <c r="BF115" s="120">
        <v>2.5839052698704301</v>
      </c>
      <c r="BG115" s="120">
        <v>1.2852466082451499</v>
      </c>
      <c r="BH115" s="120">
        <v>-0.98028949551740596</v>
      </c>
      <c r="BI115" s="120">
        <v>0.92817050353854302</v>
      </c>
      <c r="BJ115" s="120">
        <v>0.68589759089549696</v>
      </c>
      <c r="BK115" s="120">
        <v>1.8275403852004199</v>
      </c>
      <c r="BL115" s="120">
        <v>4.5587729255924998</v>
      </c>
      <c r="BM115" s="120">
        <v>7.6171254869095399</v>
      </c>
      <c r="BN115" s="120">
        <v>5.3025480910853098</v>
      </c>
      <c r="BO115" s="121">
        <v>2.8702140526262001</v>
      </c>
    </row>
    <row r="116" spans="1:67">
      <c r="A116" s="149" t="s">
        <v>45</v>
      </c>
      <c r="B116" s="4" t="s">
        <v>3</v>
      </c>
      <c r="C116" s="138"/>
      <c r="D116" s="138"/>
      <c r="E116" s="138"/>
      <c r="F116" s="138"/>
      <c r="G116" s="138"/>
      <c r="H116" s="138"/>
      <c r="I116" s="138"/>
      <c r="J116" s="138"/>
      <c r="K116" s="138"/>
      <c r="L116" s="138"/>
      <c r="M116" s="138"/>
      <c r="N116" s="138"/>
      <c r="O116" s="138"/>
      <c r="P116" s="138"/>
      <c r="Q116" s="138"/>
      <c r="R116" s="138"/>
      <c r="S116" s="138"/>
      <c r="T116" s="138"/>
      <c r="U116" s="138"/>
      <c r="V116" s="138"/>
      <c r="W116" s="138"/>
      <c r="X116" s="138"/>
      <c r="Y116" s="138"/>
      <c r="Z116" s="138"/>
      <c r="AA116" s="138"/>
      <c r="AB116" s="138"/>
      <c r="AC116" s="138"/>
      <c r="AD116" s="138"/>
      <c r="AE116" s="138"/>
      <c r="AF116" s="138"/>
      <c r="AG116" s="138"/>
      <c r="AH116" s="138"/>
      <c r="AI116" s="138"/>
      <c r="AJ116" s="138"/>
      <c r="AK116" s="117">
        <v>32.950395463607549</v>
      </c>
      <c r="AL116" s="117">
        <v>32.901026714793232</v>
      </c>
      <c r="AM116" s="117">
        <v>28.478909218585276</v>
      </c>
      <c r="AN116" s="117">
        <v>27.371257557966011</v>
      </c>
      <c r="AO116" s="117">
        <v>24.617763566122825</v>
      </c>
      <c r="AP116" s="117">
        <v>25.03721939992105</v>
      </c>
      <c r="AQ116" s="117">
        <v>23.923860830771183</v>
      </c>
      <c r="AR116" s="117">
        <v>25.109699098694961</v>
      </c>
      <c r="AS116" s="117">
        <v>27.133678330869778</v>
      </c>
      <c r="AT116" s="117">
        <v>25.683964030842677</v>
      </c>
      <c r="AU116" s="117">
        <v>33.53998225107194</v>
      </c>
      <c r="AV116" s="117">
        <v>30.610712314381267</v>
      </c>
      <c r="AW116" s="117">
        <v>32.592958687188769</v>
      </c>
      <c r="AX116" s="117">
        <v>33.59119320501334</v>
      </c>
      <c r="AY116" s="117">
        <v>28.91935970525661</v>
      </c>
      <c r="AZ116" s="117">
        <v>29.250997669334843</v>
      </c>
      <c r="BA116" s="117">
        <v>37.02593330721237</v>
      </c>
      <c r="BB116" s="117">
        <v>40.471222673292075</v>
      </c>
      <c r="BC116" s="117">
        <v>40.08291099435263</v>
      </c>
      <c r="BD116" s="117">
        <v>40.482716693869733</v>
      </c>
      <c r="BE116" s="117">
        <v>38.822289931937767</v>
      </c>
      <c r="BF116" s="117">
        <v>37.138525801473435</v>
      </c>
      <c r="BG116" s="117">
        <v>35.324675748965745</v>
      </c>
      <c r="BH116" s="117">
        <v>34.992857763591765</v>
      </c>
      <c r="BI116" s="117">
        <v>37.957404548039364</v>
      </c>
      <c r="BJ116" s="117">
        <v>34.63619260318805</v>
      </c>
      <c r="BK116" s="117">
        <v>46.720186469157596</v>
      </c>
      <c r="BL116" s="117">
        <v>52.216090018319164</v>
      </c>
      <c r="BM116" s="117">
        <v>40.193997711430569</v>
      </c>
      <c r="BN116" s="117">
        <v>40.846123968671819</v>
      </c>
      <c r="BO116" s="139"/>
    </row>
    <row r="117" spans="1:67">
      <c r="A117" s="149"/>
      <c r="B117" s="4" t="s">
        <v>4</v>
      </c>
      <c r="C117" s="138"/>
      <c r="D117" s="138"/>
      <c r="E117" s="138"/>
      <c r="F117" s="138"/>
      <c r="G117" s="138"/>
      <c r="H117" s="138"/>
      <c r="I117" s="138"/>
      <c r="J117" s="138"/>
      <c r="K117" s="138"/>
      <c r="L117" s="138"/>
      <c r="M117" s="138"/>
      <c r="N117" s="138"/>
      <c r="O117" s="138"/>
      <c r="P117" s="138"/>
      <c r="Q117" s="138"/>
      <c r="R117" s="138"/>
      <c r="S117" s="138"/>
      <c r="T117" s="138"/>
      <c r="U117" s="138"/>
      <c r="V117" s="138"/>
      <c r="W117" s="138"/>
      <c r="X117" s="138"/>
      <c r="Y117" s="138"/>
      <c r="Z117" s="138"/>
      <c r="AA117" s="138"/>
      <c r="AB117" s="138"/>
      <c r="AC117" s="138"/>
      <c r="AD117" s="138"/>
      <c r="AE117" s="138"/>
      <c r="AF117" s="138"/>
      <c r="AG117" s="138"/>
      <c r="AH117" s="138"/>
      <c r="AI117" s="138"/>
      <c r="AJ117" s="138"/>
      <c r="AK117" s="117">
        <v>33.700199365950908</v>
      </c>
      <c r="AL117" s="117">
        <v>36.325747980803158</v>
      </c>
      <c r="AM117" s="117">
        <v>35.342572956945908</v>
      </c>
      <c r="AN117" s="117">
        <v>30.90160506437001</v>
      </c>
      <c r="AO117" s="117">
        <v>31.632543453836558</v>
      </c>
      <c r="AP117" s="117">
        <v>34.730314802994577</v>
      </c>
      <c r="AQ117" s="117">
        <v>36.463608157725282</v>
      </c>
      <c r="AR117" s="117">
        <v>39.558583610284032</v>
      </c>
      <c r="AS117" s="117">
        <v>37.782818668195048</v>
      </c>
      <c r="AT117" s="117">
        <v>36.628880644920208</v>
      </c>
      <c r="AU117" s="117">
        <v>37.273092680700216</v>
      </c>
      <c r="AV117" s="117">
        <v>31.589569876982772</v>
      </c>
      <c r="AW117" s="117">
        <v>25.263860186713892</v>
      </c>
      <c r="AX117" s="117">
        <v>32.180265485893443</v>
      </c>
      <c r="AY117" s="117">
        <v>30.535529415330835</v>
      </c>
      <c r="AZ117" s="117">
        <v>26.870383286181649</v>
      </c>
      <c r="BA117" s="117">
        <v>27.988769213399806</v>
      </c>
      <c r="BB117" s="117">
        <v>32.324209765136217</v>
      </c>
      <c r="BC117" s="117">
        <v>35.284798861554407</v>
      </c>
      <c r="BD117" s="117">
        <v>39.973524327467601</v>
      </c>
      <c r="BE117" s="117">
        <v>37.371209795693581</v>
      </c>
      <c r="BF117" s="117">
        <v>42.726742955922369</v>
      </c>
      <c r="BG117" s="117">
        <v>38.633885505650213</v>
      </c>
      <c r="BH117" s="117">
        <v>36.592836890664849</v>
      </c>
      <c r="BI117" s="117">
        <v>36.930964979427124</v>
      </c>
      <c r="BJ117" s="117">
        <v>34.155012332907944</v>
      </c>
      <c r="BK117" s="117">
        <v>32.486662940437874</v>
      </c>
      <c r="BL117" s="117">
        <v>33.99242117514531</v>
      </c>
      <c r="BM117" s="117">
        <v>29.10331770788973</v>
      </c>
      <c r="BN117" s="117">
        <v>37.395763076476669</v>
      </c>
      <c r="BO117" s="139"/>
    </row>
    <row r="118" spans="1:67">
      <c r="A118" s="1"/>
      <c r="B118" s="7" t="s">
        <v>47</v>
      </c>
      <c r="C118" s="138"/>
      <c r="D118" s="138"/>
      <c r="E118" s="138"/>
      <c r="F118" s="138"/>
      <c r="G118" s="138"/>
      <c r="H118" s="138"/>
      <c r="I118" s="138"/>
      <c r="J118" s="138"/>
      <c r="K118" s="138"/>
      <c r="L118" s="138"/>
      <c r="M118" s="138"/>
      <c r="N118" s="138"/>
      <c r="O118" s="138"/>
      <c r="P118" s="138"/>
      <c r="Q118" s="138"/>
      <c r="R118" s="138"/>
      <c r="S118" s="138"/>
      <c r="T118" s="138"/>
      <c r="U118" s="138"/>
      <c r="V118" s="138"/>
      <c r="W118" s="138"/>
      <c r="X118" s="138"/>
      <c r="Y118" s="138"/>
      <c r="Z118" s="138"/>
      <c r="AA118" s="138"/>
      <c r="AB118" s="138"/>
      <c r="AC118" s="117">
        <v>55.8282208588966</v>
      </c>
      <c r="AD118" s="117">
        <v>47.047244094487603</v>
      </c>
      <c r="AE118" s="117">
        <v>51.004016064257399</v>
      </c>
      <c r="AF118" s="117">
        <v>123.40425531915</v>
      </c>
      <c r="AG118" s="117">
        <v>107.023809523808</v>
      </c>
      <c r="AH118" s="117">
        <v>97.6423231742383</v>
      </c>
      <c r="AI118" s="117">
        <v>165.70652700999</v>
      </c>
      <c r="AJ118" s="117">
        <v>183.31204146439299</v>
      </c>
      <c r="AK118" s="117">
        <v>54.601321841301598</v>
      </c>
      <c r="AL118" s="117">
        <v>34.929587416666699</v>
      </c>
      <c r="AM118" s="117">
        <v>43.073097998288198</v>
      </c>
      <c r="AN118" s="117">
        <v>24.418721568941201</v>
      </c>
      <c r="AO118" s="117">
        <v>24.4584563516656</v>
      </c>
      <c r="AP118" s="117">
        <v>26.787696679002899</v>
      </c>
      <c r="AQ118" s="117">
        <v>26.030411788812099</v>
      </c>
      <c r="AR118" s="117">
        <v>21.3937821792546</v>
      </c>
      <c r="AS118" s="117">
        <v>22.2333446430947</v>
      </c>
      <c r="AT118" s="117">
        <v>21.4015783901995</v>
      </c>
      <c r="AU118" s="117">
        <v>17.967789108728599</v>
      </c>
      <c r="AV118" s="117">
        <v>18.324439701174001</v>
      </c>
      <c r="AW118" s="117">
        <v>9.0195724722648603</v>
      </c>
      <c r="AX118" s="117">
        <v>10.6573496000153</v>
      </c>
      <c r="AY118" s="117">
        <v>12.445579346319199</v>
      </c>
      <c r="AZ118" s="117">
        <v>13.3952546325895</v>
      </c>
      <c r="BA118" s="117">
        <v>8.5017613336526505</v>
      </c>
      <c r="BB118" s="117">
        <v>6.4293968107234001</v>
      </c>
      <c r="BC118" s="117">
        <v>6.5758997075769798</v>
      </c>
      <c r="BD118" s="117">
        <v>6.9776760549030703</v>
      </c>
      <c r="BE118" s="117">
        <v>7.8068755356633304</v>
      </c>
      <c r="BF118" s="117">
        <v>10.110592890961801</v>
      </c>
      <c r="BG118" s="117">
        <v>17.8697300795268</v>
      </c>
      <c r="BH118" s="117">
        <v>6.5773115420564396</v>
      </c>
      <c r="BI118" s="117">
        <v>7.4945719272852003</v>
      </c>
      <c r="BJ118" s="117">
        <v>9.1503164431629607</v>
      </c>
      <c r="BK118" s="117">
        <v>15.7330604721369</v>
      </c>
      <c r="BL118" s="117">
        <v>22.020767624577701</v>
      </c>
      <c r="BM118" s="117">
        <v>10.993203920913601</v>
      </c>
      <c r="BN118" s="117">
        <v>10.884531691282</v>
      </c>
      <c r="BO118" s="127">
        <v>14.9856262747939</v>
      </c>
    </row>
    <row r="119" spans="1:67">
      <c r="A119" s="148" t="s">
        <v>35</v>
      </c>
      <c r="B119" s="4" t="s">
        <v>3</v>
      </c>
      <c r="C119" s="138"/>
      <c r="D119" s="138"/>
      <c r="E119" s="138"/>
      <c r="F119" s="138"/>
      <c r="G119" s="138"/>
      <c r="H119" s="138"/>
      <c r="I119" s="138"/>
      <c r="J119" s="138"/>
      <c r="K119" s="138"/>
      <c r="L119" s="138"/>
      <c r="M119" s="138"/>
      <c r="N119" s="138"/>
      <c r="O119" s="138"/>
      <c r="P119" s="138"/>
      <c r="Q119" s="138"/>
      <c r="R119" s="138"/>
      <c r="S119" s="138"/>
      <c r="T119" s="138"/>
      <c r="U119" s="138"/>
      <c r="V119" s="138"/>
      <c r="W119" s="138"/>
      <c r="X119" s="138"/>
      <c r="Y119" s="138"/>
      <c r="Z119" s="138"/>
      <c r="AA119" s="138"/>
      <c r="AB119" s="138"/>
      <c r="AC119" s="138"/>
      <c r="AD119" s="138"/>
      <c r="AE119" s="138"/>
      <c r="AF119" s="138"/>
      <c r="AG119" s="138"/>
      <c r="AH119" s="132">
        <v>7.9994239075682687</v>
      </c>
      <c r="AI119" s="132">
        <v>9.1514924264073496</v>
      </c>
      <c r="AJ119" s="132">
        <v>8.2406273381436659</v>
      </c>
      <c r="AK119" s="132">
        <v>10.513041449025074</v>
      </c>
      <c r="AL119" s="132">
        <v>11.362985095547756</v>
      </c>
      <c r="AM119" s="132">
        <v>11.853009812660332</v>
      </c>
      <c r="AN119" s="132">
        <v>10.729091551816625</v>
      </c>
      <c r="AO119" s="132">
        <v>9.9377045569638867</v>
      </c>
      <c r="AP119" s="132">
        <v>8.8840171770166929</v>
      </c>
      <c r="AQ119" s="132">
        <v>11.285685191384708</v>
      </c>
      <c r="AR119" s="132">
        <v>18.73978227982845</v>
      </c>
      <c r="AS119" s="132">
        <v>21.469946672022672</v>
      </c>
      <c r="AT119" s="132">
        <v>22.811853942461099</v>
      </c>
      <c r="AU119" s="132">
        <v>26.374613414071156</v>
      </c>
      <c r="AV119" s="132">
        <v>27.867763726904577</v>
      </c>
      <c r="AW119" s="132">
        <v>28.039681849176091</v>
      </c>
      <c r="AX119" s="132">
        <v>28.320839868976293</v>
      </c>
      <c r="AY119" s="132">
        <v>27.346265561776512</v>
      </c>
      <c r="AZ119" s="132">
        <v>27.983421469315584</v>
      </c>
      <c r="BA119" s="132">
        <v>29.368232737356664</v>
      </c>
      <c r="BB119" s="132">
        <v>31.37890026728321</v>
      </c>
      <c r="BC119" s="132">
        <v>30.017439152197699</v>
      </c>
      <c r="BD119" s="132">
        <v>27.993807270821137</v>
      </c>
      <c r="BE119" s="132">
        <v>32.789037297092108</v>
      </c>
      <c r="BF119" s="132">
        <v>32.572293532840249</v>
      </c>
      <c r="BG119" s="132">
        <v>35.381937395366506</v>
      </c>
      <c r="BH119" s="132">
        <v>41.043463320553997</v>
      </c>
      <c r="BI119" s="132">
        <v>45.531035840314743</v>
      </c>
      <c r="BJ119" s="132">
        <v>37.142056360832285</v>
      </c>
      <c r="BK119" s="132">
        <v>32.789873468784357</v>
      </c>
      <c r="BL119" s="132">
        <v>40.350498524273213</v>
      </c>
      <c r="BM119" s="132">
        <v>49.826942804041714</v>
      </c>
      <c r="BN119" s="132">
        <v>45.279116419636701</v>
      </c>
      <c r="BO119" s="133">
        <v>42.734080303803864</v>
      </c>
    </row>
    <row r="120" spans="1:67">
      <c r="A120" s="149"/>
      <c r="B120" s="4" t="s">
        <v>4</v>
      </c>
      <c r="C120" s="138"/>
      <c r="D120" s="138"/>
      <c r="E120" s="138"/>
      <c r="F120" s="138"/>
      <c r="G120" s="138"/>
      <c r="H120" s="138"/>
      <c r="I120" s="138"/>
      <c r="J120" s="138"/>
      <c r="K120" s="138"/>
      <c r="L120" s="138"/>
      <c r="M120" s="138"/>
      <c r="N120" s="138"/>
      <c r="O120" s="138"/>
      <c r="P120" s="138"/>
      <c r="Q120" s="138"/>
      <c r="R120" s="138"/>
      <c r="S120" s="138"/>
      <c r="T120" s="138"/>
      <c r="U120" s="138"/>
      <c r="V120" s="138"/>
      <c r="W120" s="138"/>
      <c r="X120" s="138"/>
      <c r="Y120" s="138"/>
      <c r="Z120" s="138"/>
      <c r="AA120" s="138"/>
      <c r="AB120" s="138"/>
      <c r="AC120" s="138"/>
      <c r="AD120" s="138"/>
      <c r="AE120" s="138"/>
      <c r="AF120" s="138"/>
      <c r="AG120" s="138"/>
      <c r="AH120" s="132">
        <v>41.481389425861032</v>
      </c>
      <c r="AI120" s="132">
        <v>50.185676818900113</v>
      </c>
      <c r="AJ120" s="132">
        <v>46.999641228185816</v>
      </c>
      <c r="AK120" s="132">
        <v>48.229183487591094</v>
      </c>
      <c r="AL120" s="132">
        <v>52.410550929844632</v>
      </c>
      <c r="AM120" s="132">
        <v>39.176282748977023</v>
      </c>
      <c r="AN120" s="132">
        <v>32.569590421285746</v>
      </c>
      <c r="AO120" s="132">
        <v>29.069841502340697</v>
      </c>
      <c r="AP120" s="132">
        <v>36.643595958524401</v>
      </c>
      <c r="AQ120" s="132">
        <v>36.635195610204349</v>
      </c>
      <c r="AR120" s="132">
        <v>31.675527297898025</v>
      </c>
      <c r="AS120" s="132">
        <v>51.839216085400295</v>
      </c>
      <c r="AT120" s="132">
        <v>47.356506005457192</v>
      </c>
      <c r="AU120" s="132">
        <v>45.677386747166203</v>
      </c>
      <c r="AV120" s="132">
        <v>44.141497251193663</v>
      </c>
      <c r="AW120" s="132">
        <v>39.310215838092809</v>
      </c>
      <c r="AX120" s="132">
        <v>37.799542315075328</v>
      </c>
      <c r="AY120" s="132">
        <v>37.635150938051517</v>
      </c>
      <c r="AZ120" s="132">
        <v>39.915151298825421</v>
      </c>
      <c r="BA120" s="132">
        <v>44.469120530832512</v>
      </c>
      <c r="BB120" s="132">
        <v>53.027311666018662</v>
      </c>
      <c r="BC120" s="132">
        <v>75.917148908313166</v>
      </c>
      <c r="BD120" s="132">
        <v>81.391569328308861</v>
      </c>
      <c r="BE120" s="132">
        <v>83.567817945124972</v>
      </c>
      <c r="BF120" s="132">
        <v>66.188910118249808</v>
      </c>
      <c r="BG120" s="132">
        <v>75.012420806114321</v>
      </c>
      <c r="BH120" s="132">
        <v>64.702177381533062</v>
      </c>
      <c r="BI120" s="132">
        <v>79.076421685056786</v>
      </c>
      <c r="BJ120" s="132">
        <v>68.449115041088916</v>
      </c>
      <c r="BK120" s="132">
        <v>67.116272583194586</v>
      </c>
      <c r="BL120" s="132">
        <v>71.728465934059784</v>
      </c>
      <c r="BM120" s="132">
        <v>85.452635612949663</v>
      </c>
      <c r="BN120" s="132">
        <v>60.348387217791043</v>
      </c>
      <c r="BO120" s="133">
        <v>52.937731157823052</v>
      </c>
    </row>
    <row r="121" spans="1:67">
      <c r="A121" s="1"/>
      <c r="B121" s="7" t="s">
        <v>47</v>
      </c>
      <c r="C121" s="138"/>
      <c r="D121" s="138"/>
      <c r="E121" s="138"/>
      <c r="F121" s="138"/>
      <c r="G121" s="138"/>
      <c r="H121" s="138"/>
      <c r="I121" s="138"/>
      <c r="J121" s="138"/>
      <c r="K121" s="138"/>
      <c r="L121" s="138"/>
      <c r="M121" s="138"/>
      <c r="N121" s="138"/>
      <c r="O121" s="138"/>
      <c r="P121" s="138"/>
      <c r="Q121" s="138"/>
      <c r="R121" s="138"/>
      <c r="S121" s="138"/>
      <c r="T121" s="138"/>
      <c r="U121" s="138"/>
      <c r="V121" s="138"/>
      <c r="W121" s="138"/>
      <c r="X121" s="138"/>
      <c r="Y121" s="138"/>
      <c r="Z121" s="138"/>
      <c r="AA121" s="138"/>
      <c r="AB121" s="138"/>
      <c r="AC121" s="138"/>
      <c r="AD121" s="138"/>
      <c r="AE121" s="138"/>
      <c r="AF121" s="138"/>
      <c r="AG121" s="138"/>
      <c r="AH121" s="132"/>
      <c r="AI121" s="132"/>
      <c r="AJ121" s="132"/>
      <c r="AK121" s="132"/>
      <c r="AL121" s="132"/>
      <c r="AM121" s="132"/>
      <c r="AN121" s="138"/>
      <c r="AO121" s="138"/>
      <c r="AP121" s="138"/>
      <c r="AQ121" s="138"/>
      <c r="AR121" s="138"/>
      <c r="AS121" s="138"/>
      <c r="AT121" s="138"/>
      <c r="AU121" s="138"/>
      <c r="AV121" s="132">
        <v>6.4275527807008697</v>
      </c>
      <c r="AW121" s="132">
        <v>13.245087907099901</v>
      </c>
      <c r="AX121" s="132">
        <v>8.4894867549745499</v>
      </c>
      <c r="AY121" s="132">
        <v>14.5028053002268</v>
      </c>
      <c r="AZ121" s="132">
        <v>3.7886133091462502</v>
      </c>
      <c r="BA121" s="132">
        <v>12.4255421735156</v>
      </c>
      <c r="BB121" s="132">
        <v>11.1666056127874</v>
      </c>
      <c r="BC121" s="132">
        <v>2.6024545695661798</v>
      </c>
      <c r="BD121" s="132">
        <v>4.2613525094196296</v>
      </c>
      <c r="BE121" s="132">
        <v>2.5597487584429501</v>
      </c>
      <c r="BF121" s="132">
        <v>3.5507596735674598</v>
      </c>
      <c r="BG121" s="132">
        <v>17.418041819759701</v>
      </c>
      <c r="BH121" s="132">
        <v>15.113207389938401</v>
      </c>
      <c r="BI121" s="132">
        <v>3.91133439990729</v>
      </c>
      <c r="BJ121" s="132">
        <v>2.8027030792811098</v>
      </c>
      <c r="BK121" s="132">
        <v>3.4839356749320398</v>
      </c>
      <c r="BL121" s="132">
        <v>6.4084765297569204</v>
      </c>
      <c r="BM121" s="132">
        <v>10.279401809342099</v>
      </c>
      <c r="BN121" s="132">
        <v>7.1269748213185098</v>
      </c>
      <c r="BO121" s="133">
        <v>4.0785683481202204</v>
      </c>
    </row>
    <row r="122" spans="1:67">
      <c r="A122" s="150" t="s">
        <v>36</v>
      </c>
      <c r="B122" s="4" t="s">
        <v>3</v>
      </c>
      <c r="C122" s="138"/>
      <c r="D122" s="138"/>
      <c r="E122" s="138"/>
      <c r="F122" s="138"/>
      <c r="G122" s="138"/>
      <c r="H122" s="138"/>
      <c r="I122" s="138"/>
      <c r="J122" s="138"/>
      <c r="K122" s="138"/>
      <c r="L122" s="138"/>
      <c r="M122" s="138"/>
      <c r="N122" s="138"/>
      <c r="O122" s="138"/>
      <c r="P122" s="138"/>
      <c r="Q122" s="138"/>
      <c r="R122" s="138"/>
      <c r="S122" s="138"/>
      <c r="T122" s="138"/>
      <c r="U122" s="138"/>
      <c r="V122" s="138"/>
      <c r="W122" s="134">
        <v>70.388133307579395</v>
      </c>
      <c r="X122" s="134">
        <v>56.390469491061843</v>
      </c>
      <c r="Y122" s="134">
        <v>52.357310428162322</v>
      </c>
      <c r="Z122" s="134">
        <v>45.045961774732454</v>
      </c>
      <c r="AA122" s="134">
        <v>45.36662785384236</v>
      </c>
      <c r="AB122" s="134">
        <v>51.616497660194547</v>
      </c>
      <c r="AC122" s="134">
        <v>56.523776584166626</v>
      </c>
      <c r="AD122" s="134">
        <v>46.46928945681622</v>
      </c>
      <c r="AE122" s="134">
        <v>46.257587210084125</v>
      </c>
      <c r="AF122" s="134">
        <v>49.869931943827766</v>
      </c>
      <c r="AG122" s="134">
        <v>43.560472415624716</v>
      </c>
      <c r="AH122" s="134">
        <v>43.997107730268297</v>
      </c>
      <c r="AI122" s="134">
        <v>43.01489230612696</v>
      </c>
      <c r="AJ122" s="134">
        <v>46.603611846081655</v>
      </c>
      <c r="AK122" s="134">
        <v>44.105578691546626</v>
      </c>
      <c r="AL122" s="134">
        <v>44.688765998402872</v>
      </c>
      <c r="AM122" s="134">
        <v>45.404651214968048</v>
      </c>
      <c r="AN122" s="134">
        <v>42.645985233141573</v>
      </c>
      <c r="AO122" s="134">
        <v>41.369948426163653</v>
      </c>
      <c r="AP122" s="134">
        <v>41.430374510147722</v>
      </c>
      <c r="AQ122" s="134">
        <v>40.736150559887022</v>
      </c>
      <c r="AR122" s="134">
        <v>41.05594302559544</v>
      </c>
      <c r="AS122" s="134">
        <v>46.168900068577656</v>
      </c>
      <c r="AT122" s="134">
        <v>43.429444083833182</v>
      </c>
      <c r="AU122" s="134">
        <v>39.797940206821039</v>
      </c>
      <c r="AV122" s="134">
        <v>40.408576335191128</v>
      </c>
      <c r="AW122" s="134">
        <v>45.366833548412103</v>
      </c>
      <c r="AX122" s="134">
        <v>49.855201026690665</v>
      </c>
      <c r="AY122" s="134">
        <v>53.653435634212364</v>
      </c>
      <c r="AZ122" s="134">
        <v>51.563174811965176</v>
      </c>
      <c r="BA122" s="134">
        <v>48.28195447856374</v>
      </c>
      <c r="BB122" s="134">
        <v>45.539781920832773</v>
      </c>
      <c r="BC122" s="134">
        <v>40.058338011922032</v>
      </c>
      <c r="BD122" s="134">
        <v>37.501984915253836</v>
      </c>
      <c r="BE122" s="134">
        <v>39.017085209177957</v>
      </c>
      <c r="BF122" s="134">
        <v>35.370848409763681</v>
      </c>
      <c r="BG122" s="134">
        <v>35.009467418102261</v>
      </c>
      <c r="BH122" s="134">
        <v>33.620804077143184</v>
      </c>
      <c r="BI122" s="134">
        <v>35.882564559570334</v>
      </c>
      <c r="BJ122" s="134">
        <v>36.400881861581837</v>
      </c>
      <c r="BK122" s="134">
        <v>33.677868951742305</v>
      </c>
      <c r="BL122" s="134">
        <v>31.956410883298776</v>
      </c>
      <c r="BM122" s="134">
        <v>40.45847183604279</v>
      </c>
      <c r="BN122" s="134">
        <v>43.626768964324953</v>
      </c>
      <c r="BO122" s="135">
        <v>41.643867474067058</v>
      </c>
    </row>
    <row r="123" spans="1:67">
      <c r="B123" s="4" t="s">
        <v>4</v>
      </c>
      <c r="C123" s="138"/>
      <c r="D123" s="138"/>
      <c r="E123" s="138"/>
      <c r="F123" s="138"/>
      <c r="G123" s="138"/>
      <c r="H123" s="138"/>
      <c r="I123" s="138"/>
      <c r="J123" s="138"/>
      <c r="K123" s="138"/>
      <c r="L123" s="138"/>
      <c r="M123" s="138"/>
      <c r="N123" s="138"/>
      <c r="O123" s="138"/>
      <c r="P123" s="138"/>
      <c r="Q123" s="138"/>
      <c r="R123" s="138"/>
      <c r="S123" s="138"/>
      <c r="T123" s="138"/>
      <c r="U123" s="138"/>
      <c r="V123" s="138"/>
      <c r="W123" s="134">
        <v>56.274876106237826</v>
      </c>
      <c r="X123" s="134">
        <v>67.788677251380534</v>
      </c>
      <c r="Y123" s="134">
        <v>60.928183921165278</v>
      </c>
      <c r="Z123" s="134">
        <v>52.65262235970377</v>
      </c>
      <c r="AA123" s="134">
        <v>51.54463971295035</v>
      </c>
      <c r="AB123" s="134">
        <v>40.115193711068287</v>
      </c>
      <c r="AC123" s="134">
        <v>46.190893714772642</v>
      </c>
      <c r="AD123" s="134">
        <v>51.377343780980311</v>
      </c>
      <c r="AE123" s="134">
        <v>44.75417539097927</v>
      </c>
      <c r="AF123" s="134">
        <v>46.510224985710551</v>
      </c>
      <c r="AG123" s="134">
        <v>50.198773169775549</v>
      </c>
      <c r="AH123" s="134">
        <v>49.867617489787463</v>
      </c>
      <c r="AI123" s="134">
        <v>48.958567704618936</v>
      </c>
      <c r="AJ123" s="134">
        <v>49.491966163588721</v>
      </c>
      <c r="AK123" s="134">
        <v>45.388102142978056</v>
      </c>
      <c r="AL123" s="134">
        <v>48.87208118810657</v>
      </c>
      <c r="AM123" s="134">
        <v>51.139572762206463</v>
      </c>
      <c r="AN123" s="134">
        <v>50.195105140250497</v>
      </c>
      <c r="AO123" s="134">
        <v>50.760552503486736</v>
      </c>
      <c r="AP123" s="134">
        <v>49.669830636447024</v>
      </c>
      <c r="AQ123" s="134">
        <v>44.396093734839745</v>
      </c>
      <c r="AR123" s="134">
        <v>47.528158812429041</v>
      </c>
      <c r="AS123" s="134">
        <v>48.246322826312934</v>
      </c>
      <c r="AT123" s="134">
        <v>52.523030297888084</v>
      </c>
      <c r="AU123" s="134">
        <v>42.064320384833252</v>
      </c>
      <c r="AV123" s="134">
        <v>40.271803958790485</v>
      </c>
      <c r="AW123" s="134">
        <v>41.467135777587735</v>
      </c>
      <c r="AX123" s="134">
        <v>55.124102732224813</v>
      </c>
      <c r="AY123" s="134">
        <v>65.991062550572806</v>
      </c>
      <c r="AZ123" s="134">
        <v>72.199669481011028</v>
      </c>
      <c r="BA123" s="134">
        <v>59.790522695041872</v>
      </c>
      <c r="BB123" s="134">
        <v>56.649365833305595</v>
      </c>
      <c r="BC123" s="134">
        <v>60.15507076237806</v>
      </c>
      <c r="BD123" s="134">
        <v>60.222919315129388</v>
      </c>
      <c r="BE123" s="134">
        <v>64.063051800075726</v>
      </c>
      <c r="BF123" s="134">
        <v>61.868183377584117</v>
      </c>
      <c r="BG123" s="134">
        <v>58.956720542059756</v>
      </c>
      <c r="BH123" s="134">
        <v>47.598862024000418</v>
      </c>
      <c r="BI123" s="134">
        <v>45.831300736810107</v>
      </c>
      <c r="BJ123" s="134">
        <v>46.500268881053628</v>
      </c>
      <c r="BK123" s="134">
        <v>43.247373451904139</v>
      </c>
      <c r="BL123" s="134">
        <v>51.587892209063604</v>
      </c>
      <c r="BM123" s="134">
        <v>58.804082939283376</v>
      </c>
      <c r="BN123" s="134">
        <v>67.143944997373495</v>
      </c>
      <c r="BO123" s="135">
        <v>67.984642324464488</v>
      </c>
    </row>
    <row r="124" spans="1:67">
      <c r="A124" s="1"/>
      <c r="B124" s="7" t="s">
        <v>47</v>
      </c>
      <c r="C124" s="138"/>
      <c r="D124" s="138"/>
      <c r="E124" s="138"/>
      <c r="F124" s="138"/>
      <c r="G124" s="138"/>
      <c r="H124" s="138"/>
      <c r="I124" s="138"/>
      <c r="J124" s="138"/>
      <c r="K124" s="138"/>
      <c r="L124" s="138"/>
      <c r="M124" s="138"/>
      <c r="N124" s="138"/>
      <c r="O124" s="138"/>
      <c r="P124" s="138"/>
      <c r="Q124" s="138"/>
      <c r="R124" s="138"/>
      <c r="S124" s="138"/>
      <c r="T124" s="138"/>
      <c r="U124" s="138"/>
      <c r="V124" s="138"/>
      <c r="W124" s="134"/>
      <c r="X124" s="134"/>
      <c r="Y124" s="134"/>
      <c r="Z124" s="134"/>
      <c r="AA124" s="134"/>
      <c r="AB124" s="134"/>
      <c r="AC124" s="134"/>
      <c r="AD124" s="134"/>
      <c r="AE124" s="134"/>
      <c r="AF124" s="134"/>
      <c r="AG124" s="134"/>
      <c r="AH124" s="134"/>
      <c r="AI124" s="134"/>
      <c r="AJ124" s="134"/>
      <c r="AK124" s="134"/>
      <c r="AL124" s="134"/>
      <c r="AM124" s="134"/>
      <c r="AN124" s="134"/>
      <c r="AO124" s="134"/>
      <c r="AP124" s="134"/>
      <c r="AQ124" s="134"/>
      <c r="AR124" s="134"/>
      <c r="AS124" s="134"/>
      <c r="AT124" s="134">
        <v>7.1361531145862998</v>
      </c>
      <c r="AU124" s="134">
        <v>4.1366321314474801</v>
      </c>
      <c r="AV124" s="134">
        <v>2.2819460702430701</v>
      </c>
      <c r="AW124" s="134">
        <v>4.9611668929891604</v>
      </c>
      <c r="AX124" s="134">
        <v>6.5478814110171699</v>
      </c>
      <c r="AY124" s="134">
        <v>9.0946430719281004</v>
      </c>
      <c r="AZ124" s="134">
        <v>9.4517265152170502</v>
      </c>
      <c r="BA124" s="134">
        <v>4.8749198764394999</v>
      </c>
      <c r="BB124" s="134">
        <v>5.0055951808119996</v>
      </c>
      <c r="BC124" s="134">
        <v>6.7219977733488596</v>
      </c>
      <c r="BD124" s="134">
        <v>5.6009250229040104</v>
      </c>
      <c r="BE124" s="134">
        <v>5.3501696685960196</v>
      </c>
      <c r="BF124" s="134">
        <v>3.39401538410559</v>
      </c>
      <c r="BG124" s="134">
        <v>6.72858234593338</v>
      </c>
      <c r="BH124" s="134">
        <v>6.1457998111116403</v>
      </c>
      <c r="BI124" s="134">
        <v>4.2915910533787498</v>
      </c>
      <c r="BJ124" s="134">
        <v>3.7223941442269499</v>
      </c>
      <c r="BK124" s="134">
        <v>2.2093823693346901</v>
      </c>
      <c r="BL124" s="134">
        <v>3.6169053010881398</v>
      </c>
      <c r="BM124" s="134">
        <v>6.0812811411241299</v>
      </c>
      <c r="BN124" s="134">
        <v>5.8799346328427502</v>
      </c>
      <c r="BO124" s="135">
        <v>4.23903922877036</v>
      </c>
    </row>
    <row r="125" spans="1:67">
      <c r="A125" s="152" t="s">
        <v>22</v>
      </c>
      <c r="B125" s="4" t="s">
        <v>3</v>
      </c>
      <c r="C125" s="120">
        <v>34.239547068843137</v>
      </c>
      <c r="D125" s="120">
        <v>35.292519393890409</v>
      </c>
      <c r="E125" s="120">
        <v>34.392624545488069</v>
      </c>
      <c r="F125" s="120">
        <v>33.935451677638952</v>
      </c>
      <c r="G125" s="120">
        <v>35.886030032337935</v>
      </c>
      <c r="H125" s="120">
        <v>36.823411280231944</v>
      </c>
      <c r="I125" s="120">
        <v>36.40699068233566</v>
      </c>
      <c r="J125" s="120">
        <v>36.223719328210628</v>
      </c>
      <c r="K125" s="120">
        <v>40.699872090040735</v>
      </c>
      <c r="L125" s="120">
        <v>36.761797566222285</v>
      </c>
      <c r="M125" s="120">
        <v>35.769325514347706</v>
      </c>
      <c r="N125" s="120">
        <v>32.20999269945461</v>
      </c>
      <c r="O125" s="120">
        <v>33.512120813056107</v>
      </c>
      <c r="P125" s="120">
        <v>35.753890820543823</v>
      </c>
      <c r="Q125" s="120">
        <v>45.696887566801131</v>
      </c>
      <c r="R125" s="120">
        <v>36.728582550732249</v>
      </c>
      <c r="S125" s="120">
        <v>41.741470258236234</v>
      </c>
      <c r="T125" s="120">
        <v>42.626041839613791</v>
      </c>
      <c r="U125" s="120">
        <v>36.521203070370355</v>
      </c>
      <c r="V125" s="120">
        <v>34.60332236307508</v>
      </c>
      <c r="W125" s="120">
        <v>35.001629331394334</v>
      </c>
      <c r="X125" s="120">
        <v>35.175003490625947</v>
      </c>
      <c r="Y125" s="120">
        <v>36.423228685315266</v>
      </c>
      <c r="Z125" s="120">
        <v>36.95985991430004</v>
      </c>
      <c r="AA125" s="120">
        <v>45.311927697072214</v>
      </c>
      <c r="AB125" s="120">
        <v>46.774912981688708</v>
      </c>
      <c r="AC125" s="120">
        <v>39.49590840895052</v>
      </c>
      <c r="AD125" s="120">
        <v>33.429990198318812</v>
      </c>
      <c r="AE125" s="120">
        <v>30.488128493597742</v>
      </c>
      <c r="AF125" s="120">
        <v>32.033335638127106</v>
      </c>
      <c r="AG125" s="120">
        <v>31.689874670199764</v>
      </c>
      <c r="AH125" s="120">
        <v>30.011726344451766</v>
      </c>
      <c r="AI125" s="120">
        <v>31.909486927542151</v>
      </c>
      <c r="AJ125" s="120">
        <v>29.442452874173636</v>
      </c>
      <c r="AK125" s="120">
        <v>40.527401864038062</v>
      </c>
      <c r="AL125" s="120">
        <v>41.75929966367061</v>
      </c>
      <c r="AM125" s="120">
        <v>28.054808911974526</v>
      </c>
      <c r="AN125" s="120">
        <v>28.161951042363075</v>
      </c>
      <c r="AO125" s="120">
        <v>27.1844537490724</v>
      </c>
      <c r="AP125" s="120">
        <v>28.737501633735913</v>
      </c>
      <c r="AQ125" s="120">
        <v>27.790058563560272</v>
      </c>
      <c r="AR125" s="120">
        <v>27.469814629524127</v>
      </c>
      <c r="AS125" s="120">
        <v>31.361161437555978</v>
      </c>
      <c r="AT125" s="120">
        <v>28.74101340724901</v>
      </c>
      <c r="AU125" s="120">
        <v>30.141288867863064</v>
      </c>
      <c r="AV125" s="120">
        <v>31.878980225236724</v>
      </c>
      <c r="AW125" s="120">
        <v>32.840930233420927</v>
      </c>
      <c r="AX125" s="120">
        <v>30.490952724143401</v>
      </c>
      <c r="AY125" s="120">
        <v>31.013669071374395</v>
      </c>
      <c r="AZ125" s="120">
        <v>35.412741304810297</v>
      </c>
      <c r="BA125" s="120">
        <v>33.499574590832133</v>
      </c>
      <c r="BB125" s="120">
        <v>35.281376351963388</v>
      </c>
      <c r="BC125" s="120">
        <v>34.982490398342257</v>
      </c>
      <c r="BD125" s="120">
        <v>29.160402657565538</v>
      </c>
      <c r="BE125" s="120">
        <v>28.156958764553657</v>
      </c>
      <c r="BF125" s="120">
        <v>27.353243792347641</v>
      </c>
      <c r="BG125" s="120">
        <v>24.941862453315057</v>
      </c>
      <c r="BH125" s="120">
        <v>25.498786602114343</v>
      </c>
      <c r="BI125" s="120">
        <v>22.69419991685869</v>
      </c>
      <c r="BJ125" s="120">
        <v>22.660488765045191</v>
      </c>
      <c r="BK125" s="120">
        <v>20.99346848429969</v>
      </c>
      <c r="BL125" s="120">
        <v>22.296267836940199</v>
      </c>
      <c r="BM125" s="120">
        <v>24.267360326229465</v>
      </c>
      <c r="BN125" s="120">
        <v>24.251190628616719</v>
      </c>
      <c r="BO125" s="121">
        <v>27.598108723343056</v>
      </c>
    </row>
    <row r="126" spans="1:67">
      <c r="B126" s="4" t="s">
        <v>4</v>
      </c>
      <c r="C126" s="120">
        <v>22.904520503972282</v>
      </c>
      <c r="D126" s="120">
        <v>28.103536525610949</v>
      </c>
      <c r="E126" s="120">
        <v>25.74692895784225</v>
      </c>
      <c r="F126" s="120">
        <v>23.519865907754063</v>
      </c>
      <c r="G126" s="120">
        <v>24.722769981893549</v>
      </c>
      <c r="H126" s="120">
        <v>30.124219647059412</v>
      </c>
      <c r="I126" s="120">
        <v>28.696355192175719</v>
      </c>
      <c r="J126" s="120">
        <v>28.791287666565861</v>
      </c>
      <c r="K126" s="120">
        <v>27.9949636142379</v>
      </c>
      <c r="L126" s="120">
        <v>27.06979361590755</v>
      </c>
      <c r="M126" s="120">
        <v>29.107631181630307</v>
      </c>
      <c r="N126" s="120">
        <v>28.427326473413327</v>
      </c>
      <c r="O126" s="120">
        <v>29.006650840240106</v>
      </c>
      <c r="P126" s="120">
        <v>33.231979741667757</v>
      </c>
      <c r="Q126" s="120">
        <v>38.376183742214636</v>
      </c>
      <c r="R126" s="120">
        <v>36.584784235024934</v>
      </c>
      <c r="S126" s="120">
        <v>36.247753601454122</v>
      </c>
      <c r="T126" s="120">
        <v>36.330562186792235</v>
      </c>
      <c r="U126" s="120">
        <v>37.435494207079692</v>
      </c>
      <c r="V126" s="120">
        <v>37.662605878986518</v>
      </c>
      <c r="W126" s="120">
        <v>41.178660363176341</v>
      </c>
      <c r="X126" s="120">
        <v>42.284195384576115</v>
      </c>
      <c r="Y126" s="120">
        <v>39.326792981187694</v>
      </c>
      <c r="Z126" s="120">
        <v>35.720317054619386</v>
      </c>
      <c r="AA126" s="120">
        <v>31.791270494855805</v>
      </c>
      <c r="AB126" s="120">
        <v>32.397600730371131</v>
      </c>
      <c r="AC126" s="120">
        <v>30.181448754809743</v>
      </c>
      <c r="AD126" s="120">
        <v>29.620258082742172</v>
      </c>
      <c r="AE126" s="120">
        <v>27.890143024233588</v>
      </c>
      <c r="AF126" s="120">
        <v>29.055208406838368</v>
      </c>
      <c r="AG126" s="120">
        <v>27.111620940121149</v>
      </c>
      <c r="AH126" s="120">
        <v>26.986094969845119</v>
      </c>
      <c r="AI126" s="120">
        <v>28.115578408547933</v>
      </c>
      <c r="AJ126" s="120">
        <v>25.906068974910639</v>
      </c>
      <c r="AK126" s="120">
        <v>29.309256152660605</v>
      </c>
      <c r="AL126" s="120">
        <v>34.443044241571371</v>
      </c>
      <c r="AM126" s="120">
        <v>24.749485509182133</v>
      </c>
      <c r="AN126" s="120">
        <v>25.844339295673585</v>
      </c>
      <c r="AO126" s="120">
        <v>26.469380045403685</v>
      </c>
      <c r="AP126" s="120">
        <v>27.156061057138743</v>
      </c>
      <c r="AQ126" s="120">
        <v>27.173933065954937</v>
      </c>
      <c r="AR126" s="120">
        <v>25.644290088520545</v>
      </c>
      <c r="AS126" s="120">
        <v>24.540786789982853</v>
      </c>
      <c r="AT126" s="120">
        <v>24.519047274628004</v>
      </c>
      <c r="AU126" s="120">
        <v>27.977007435731487</v>
      </c>
      <c r="AV126" s="120">
        <v>30.941955815043887</v>
      </c>
      <c r="AW126" s="120">
        <v>30.84944682803107</v>
      </c>
      <c r="AX126" s="120">
        <v>30.939989624299237</v>
      </c>
      <c r="AY126" s="120">
        <v>30.926952225575537</v>
      </c>
      <c r="AZ126" s="120">
        <v>31.260162442108179</v>
      </c>
      <c r="BA126" s="120">
        <v>33.973365490424854</v>
      </c>
      <c r="BB126" s="120">
        <v>29.434526709171116</v>
      </c>
      <c r="BC126" s="120">
        <v>35.318598920782634</v>
      </c>
      <c r="BD126" s="120">
        <v>29.192276595157907</v>
      </c>
      <c r="BE126" s="120">
        <v>25.523458796480785</v>
      </c>
      <c r="BF126" s="120">
        <v>25.359620948796863</v>
      </c>
      <c r="BG126" s="120">
        <v>22.623715908038395</v>
      </c>
      <c r="BH126" s="120">
        <v>23.163720870833902</v>
      </c>
      <c r="BI126" s="120">
        <v>23.343308793428729</v>
      </c>
      <c r="BJ126" s="120">
        <v>21.999921818034274</v>
      </c>
      <c r="BK126" s="120">
        <v>20.949163334752928</v>
      </c>
      <c r="BL126" s="120">
        <v>22.817764939303302</v>
      </c>
      <c r="BM126" s="120">
        <v>28.599030715118857</v>
      </c>
      <c r="BN126" s="120">
        <v>27.752264244531631</v>
      </c>
      <c r="BO126" s="121">
        <v>27.068819260751937</v>
      </c>
    </row>
    <row r="127" spans="1:67">
      <c r="A127" s="1"/>
      <c r="B127" s="7" t="s">
        <v>47</v>
      </c>
      <c r="C127" s="136"/>
      <c r="D127" s="125">
        <v>11.616492146899001</v>
      </c>
      <c r="E127" s="125">
        <v>-1.3412489012052999</v>
      </c>
      <c r="F127" s="125">
        <v>0.94346631046021501</v>
      </c>
      <c r="G127" s="125">
        <v>0.61819252274366798</v>
      </c>
      <c r="H127" s="125">
        <v>2.6111761263301201</v>
      </c>
      <c r="I127" s="125">
        <v>4.1913179840566803</v>
      </c>
      <c r="J127" s="125">
        <v>2.2918519534945698</v>
      </c>
      <c r="K127" s="125">
        <v>5.3504547886787801</v>
      </c>
      <c r="L127" s="125">
        <v>4.4502285422332504</v>
      </c>
      <c r="M127" s="125">
        <v>8.2051905431072107</v>
      </c>
      <c r="N127" s="125">
        <v>-0.44374543627573299</v>
      </c>
      <c r="O127" s="125">
        <v>0.31031369888389798</v>
      </c>
      <c r="P127" s="125">
        <v>11.102986669822901</v>
      </c>
      <c r="Q127" s="125">
        <v>17.359388447064799</v>
      </c>
      <c r="R127" s="125">
        <v>11.4442239670114</v>
      </c>
      <c r="S127" s="125">
        <v>12.0766402169566</v>
      </c>
      <c r="T127" s="125">
        <v>27.421861509147501</v>
      </c>
      <c r="U127" s="125">
        <v>13.242986854592701</v>
      </c>
      <c r="V127" s="125">
        <v>16.342356573625199</v>
      </c>
      <c r="W127" s="125">
        <v>14.7009812997866</v>
      </c>
      <c r="X127" s="125">
        <v>8.7992108330877308</v>
      </c>
      <c r="Y127" s="125">
        <v>7.5831258964214996</v>
      </c>
      <c r="Z127" s="125">
        <v>5.64042843342129</v>
      </c>
      <c r="AA127" s="125">
        <v>4.2847611036187097</v>
      </c>
      <c r="AB127" s="125">
        <v>1.86380327150625</v>
      </c>
      <c r="AC127" s="125">
        <v>9.6829547311651503</v>
      </c>
      <c r="AD127" s="125">
        <v>6.9433062653657096</v>
      </c>
      <c r="AE127" s="125">
        <v>6.9306861720651796</v>
      </c>
      <c r="AF127" s="125">
        <v>1.0495182379038399</v>
      </c>
      <c r="AG127" s="125">
        <v>-0.80587969827803696</v>
      </c>
      <c r="AH127" s="125">
        <v>1.68334849863477</v>
      </c>
      <c r="AI127" s="125">
        <v>4.2313838286997001</v>
      </c>
      <c r="AJ127" s="125">
        <v>2.16471453976754</v>
      </c>
      <c r="AK127" s="125">
        <v>26.0815719947161</v>
      </c>
      <c r="AL127" s="125">
        <v>14.2950690851945</v>
      </c>
      <c r="AM127" s="125">
        <v>2.4808066918755101</v>
      </c>
      <c r="AN127" s="125">
        <v>4.0208333333330399</v>
      </c>
      <c r="AO127" s="125">
        <v>4.6114475951538303</v>
      </c>
      <c r="AP127" s="125">
        <v>0.70237580595596005</v>
      </c>
      <c r="AQ127" s="125">
        <v>2.5307751673798702</v>
      </c>
      <c r="AR127" s="125">
        <v>4.3615291400726202</v>
      </c>
      <c r="AS127" s="125">
        <v>3.0772648515743</v>
      </c>
      <c r="AT127" s="125">
        <v>3.2968074697421099</v>
      </c>
      <c r="AU127" s="125">
        <v>1.4579883560073901</v>
      </c>
      <c r="AV127" s="125">
        <v>3.8858303988647598</v>
      </c>
      <c r="AW127" s="125">
        <v>2.4671914859691801</v>
      </c>
      <c r="AX127" s="125">
        <v>1.89200629349597</v>
      </c>
      <c r="AY127" s="125">
        <v>6.3085276915258097</v>
      </c>
      <c r="AZ127" s="125">
        <v>1.01950457731133</v>
      </c>
      <c r="BA127" s="125">
        <v>1.22645612135479</v>
      </c>
      <c r="BB127" s="125">
        <v>4.9124339505246004</v>
      </c>
      <c r="BC127" s="125">
        <v>1.3045111991559699</v>
      </c>
      <c r="BD127" s="125">
        <v>2.58117037252936</v>
      </c>
      <c r="BE127" s="125">
        <v>0.44868207676614102</v>
      </c>
      <c r="BF127" s="125">
        <v>1.2514995478147699</v>
      </c>
      <c r="BG127" s="125">
        <v>0.72317845751321697</v>
      </c>
      <c r="BH127" s="125">
        <v>0.68588106530460302</v>
      </c>
      <c r="BI127" s="125">
        <v>0.35940903138067698</v>
      </c>
      <c r="BJ127" s="125">
        <v>-1.10686343994188</v>
      </c>
      <c r="BK127" s="125">
        <v>2.4250065682181501</v>
      </c>
      <c r="BL127" s="125">
        <v>4.0919518969286299</v>
      </c>
      <c r="BM127" s="125">
        <v>5.2761672426284596</v>
      </c>
      <c r="BN127" s="125">
        <v>4.3871170700327902</v>
      </c>
      <c r="BO127" s="137">
        <v>3.4663731466016499</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D2C28-E234-FD44-BFCE-D2EDC474B957}">
  <dimension ref="A3:V67"/>
  <sheetViews>
    <sheetView showGridLines="0" zoomScale="75" workbookViewId="0">
      <selection activeCell="B70" sqref="B70"/>
    </sheetView>
  </sheetViews>
  <sheetFormatPr baseColWidth="10" defaultRowHeight="16"/>
  <cols>
    <col min="1" max="1" width="20.83203125" style="73" bestFit="1" customWidth="1"/>
    <col min="2" max="2" width="22.33203125" bestFit="1" customWidth="1"/>
    <col min="3" max="8" width="8.6640625" bestFit="1" customWidth="1"/>
    <col min="9" max="22" width="25.83203125" customWidth="1"/>
  </cols>
  <sheetData>
    <row r="3" spans="1:22">
      <c r="A3" s="71" t="s">
        <v>3</v>
      </c>
    </row>
    <row r="4" spans="1:22">
      <c r="A4" s="72"/>
      <c r="B4" s="63" t="s">
        <v>2</v>
      </c>
      <c r="C4" s="69">
        <f>DATE(2026,1,1)</f>
        <v>46023</v>
      </c>
      <c r="D4" s="69">
        <f>DATE(2027,1,1)</f>
        <v>46388</v>
      </c>
      <c r="E4" s="69">
        <f>DATE(2028,1,1)</f>
        <v>46753</v>
      </c>
      <c r="F4" s="69">
        <f>DATE(2029,1,1)</f>
        <v>47119</v>
      </c>
      <c r="G4" s="69">
        <f>DATE(2030,1,1)</f>
        <v>47484</v>
      </c>
      <c r="H4" s="69">
        <f>DATE(2035,1,1)</f>
        <v>49310</v>
      </c>
      <c r="I4" s="67"/>
      <c r="J4" s="3"/>
      <c r="L4" s="3"/>
      <c r="N4" s="3"/>
      <c r="P4" s="3"/>
      <c r="R4" s="3"/>
      <c r="T4" s="3"/>
      <c r="V4" s="3"/>
    </row>
    <row r="5" spans="1:22">
      <c r="A5" s="72"/>
      <c r="B5" s="64" t="s">
        <v>95</v>
      </c>
      <c r="C5" s="68" cm="1">
        <f t="array" ref="C5:H5">TREND('International Data'!C2:BO2,'International Data'!C1:BO1,'U.S Forecasts'!C4:H4)</f>
        <v>13.297630249240703</v>
      </c>
      <c r="D5" s="68">
        <v>13.42154167812062</v>
      </c>
      <c r="E5" s="68">
        <v>13.545453107000538</v>
      </c>
      <c r="F5" s="68">
        <v>13.66970401924725</v>
      </c>
      <c r="G5" s="68">
        <v>13.793615448127168</v>
      </c>
      <c r="H5" s="68">
        <v>14.413512075893552</v>
      </c>
      <c r="I5" s="68"/>
    </row>
    <row r="6" spans="1:22">
      <c r="A6" s="72"/>
      <c r="B6" s="64" t="s">
        <v>96</v>
      </c>
      <c r="C6" s="68">
        <f>_xlfn.FORECAST.ETS($C$4,'International Data'!$C$2:$BO$2,'International Data'!$C$1:$BO$1)</f>
        <v>11.533567411399433</v>
      </c>
      <c r="D6" s="68">
        <f>_xlfn.FORECAST.ETS(D4,'International Data'!$C$2:$BO$2,'International Data'!$C$1:$BO$1)</f>
        <v>12.532783838950737</v>
      </c>
      <c r="E6" s="68">
        <f>_xlfn.FORECAST.ETS(E4,'International Data'!$C$2:$BO$2,'International Data'!$C$1:$BO$1)</f>
        <v>12.979220593493277</v>
      </c>
      <c r="F6" s="68">
        <f>_xlfn.FORECAST.ETS(F4,'International Data'!$C$2:$BO$2,'International Data'!$C$1:$BO$1)</f>
        <v>12.835841666002729</v>
      </c>
      <c r="G6" s="68">
        <f>_xlfn.FORECAST.ETS(G4,'International Data'!$C$2:$BO$2,'International Data'!$C$1:$BO$1)</f>
        <v>12.769820969326569</v>
      </c>
      <c r="H6" s="68">
        <f>_xlfn.FORECAST.ETS(H4,'International Data'!$C$2:$BO$2,'International Data'!$C$1:$BO$1)</f>
        <v>12.440389665243638</v>
      </c>
    </row>
    <row r="7" spans="1:22">
      <c r="A7" s="72"/>
      <c r="B7" s="64" t="s">
        <v>236</v>
      </c>
    </row>
    <row r="8" spans="1:22">
      <c r="A8" s="72"/>
      <c r="B8" s="64" t="s">
        <v>234</v>
      </c>
    </row>
    <row r="9" spans="1:22">
      <c r="A9" s="72"/>
      <c r="B9" s="64" t="s">
        <v>235</v>
      </c>
    </row>
    <row r="10" spans="1:22">
      <c r="A10" s="72"/>
      <c r="B10" t="s">
        <v>90</v>
      </c>
    </row>
    <row r="11" spans="1:22">
      <c r="A11" s="72"/>
      <c r="B11" t="s">
        <v>90</v>
      </c>
    </row>
    <row r="12" spans="1:22">
      <c r="A12" s="72"/>
      <c r="B12" t="s">
        <v>90</v>
      </c>
    </row>
    <row r="13" spans="1:22">
      <c r="A13" s="72"/>
      <c r="B13" t="s">
        <v>90</v>
      </c>
    </row>
    <row r="14" spans="1:22">
      <c r="A14" s="72"/>
      <c r="B14" s="65" t="s">
        <v>93</v>
      </c>
    </row>
    <row r="15" spans="1:22">
      <c r="A15" s="72"/>
      <c r="B15" s="65"/>
      <c r="C15" s="1"/>
      <c r="D15" s="1"/>
      <c r="E15" s="1"/>
      <c r="F15" s="1"/>
      <c r="G15" s="1"/>
      <c r="H15" s="1"/>
      <c r="J15" s="64"/>
      <c r="L15" s="64"/>
      <c r="N15" s="64"/>
      <c r="P15" s="64"/>
      <c r="R15" s="64"/>
      <c r="T15" s="64"/>
      <c r="V15" s="64"/>
    </row>
    <row r="16" spans="1:22">
      <c r="A16" s="71" t="s">
        <v>4</v>
      </c>
    </row>
    <row r="17" spans="1:22">
      <c r="A17" s="72"/>
      <c r="B17" s="63" t="s">
        <v>2</v>
      </c>
      <c r="C17" s="69">
        <f>DATE(2026,1,1)</f>
        <v>46023</v>
      </c>
      <c r="D17" s="69">
        <f>DATE(2027,1,1)</f>
        <v>46388</v>
      </c>
      <c r="E17" s="69">
        <f>DATE(2028,1,1)</f>
        <v>46753</v>
      </c>
      <c r="F17" s="69">
        <f>DATE(2029,1,1)</f>
        <v>47119</v>
      </c>
      <c r="G17" s="69">
        <f>DATE(2030,1,1)</f>
        <v>47484</v>
      </c>
      <c r="H17" s="69">
        <f>DATE(2035,1,1)</f>
        <v>49310</v>
      </c>
      <c r="J17" s="3"/>
      <c r="L17" s="3"/>
      <c r="N17" s="3"/>
      <c r="P17" s="3"/>
      <c r="R17" s="3"/>
      <c r="T17" s="3"/>
      <c r="V17" s="3"/>
    </row>
    <row r="18" spans="1:22">
      <c r="A18" s="72"/>
      <c r="B18" s="64" t="s">
        <v>95</v>
      </c>
      <c r="C18" s="68" cm="1">
        <f t="array" ref="C18:H18">TREND('International Data'!C3:BO3,'International Data'!C1:BO1,'U.S Forecasts'!C4:H4)</f>
        <v>17.807761292195174</v>
      </c>
      <c r="D18" s="68">
        <v>18.011001927138523</v>
      </c>
      <c r="E18" s="68">
        <v>18.214242562081871</v>
      </c>
      <c r="F18" s="68">
        <v>18.418040020682596</v>
      </c>
      <c r="G18" s="68">
        <v>18.621280655625945</v>
      </c>
      <c r="H18" s="68">
        <v>19.638040654000065</v>
      </c>
    </row>
    <row r="19" spans="1:22">
      <c r="A19" s="72"/>
      <c r="B19" s="64" t="s">
        <v>96</v>
      </c>
      <c r="C19" s="68">
        <f>_xlfn.FORECAST.ETS(C4,'International Data'!$C$3:$BO$3,'International Data'!$C$1:$BO$1)</f>
        <v>14.397875982024148</v>
      </c>
      <c r="D19" s="68">
        <f>_xlfn.FORECAST.ETS(D4,'International Data'!$C$3:$BO$3,'International Data'!$C$1:$BO$1)</f>
        <v>14.601255655016178</v>
      </c>
      <c r="E19" s="70">
        <v>14.398</v>
      </c>
      <c r="F19" s="70">
        <v>14.398</v>
      </c>
      <c r="G19" s="70">
        <v>14.398</v>
      </c>
      <c r="H19" s="70">
        <v>14.398</v>
      </c>
    </row>
    <row r="20" spans="1:22">
      <c r="B20" s="64" t="s">
        <v>236</v>
      </c>
    </row>
    <row r="21" spans="1:22">
      <c r="B21" s="64" t="s">
        <v>234</v>
      </c>
    </row>
    <row r="22" spans="1:22">
      <c r="B22" s="64" t="s">
        <v>235</v>
      </c>
    </row>
    <row r="23" spans="1:22">
      <c r="B23" t="s">
        <v>90</v>
      </c>
    </row>
    <row r="24" spans="1:22">
      <c r="B24" t="s">
        <v>90</v>
      </c>
    </row>
    <row r="25" spans="1:22">
      <c r="B25" t="s">
        <v>90</v>
      </c>
    </row>
    <row r="26" spans="1:22">
      <c r="B26" t="s">
        <v>90</v>
      </c>
    </row>
    <row r="27" spans="1:22">
      <c r="B27" s="65" t="s">
        <v>93</v>
      </c>
    </row>
    <row r="28" spans="1:22">
      <c r="B28" s="65"/>
      <c r="C28" s="1"/>
      <c r="D28" s="1"/>
      <c r="E28" s="1"/>
      <c r="F28" s="1"/>
      <c r="G28" s="1"/>
      <c r="H28" s="1"/>
      <c r="J28" s="64"/>
      <c r="L28" s="64"/>
      <c r="N28" s="64"/>
      <c r="P28" s="64"/>
      <c r="R28" s="64"/>
      <c r="T28" s="64"/>
      <c r="V28" s="64"/>
    </row>
    <row r="29" spans="1:22">
      <c r="A29" s="71" t="s">
        <v>5</v>
      </c>
    </row>
    <row r="30" spans="1:22">
      <c r="A30" s="72"/>
      <c r="B30" s="63" t="s">
        <v>2</v>
      </c>
      <c r="C30" s="69">
        <f>DATE(2026,1,1)</f>
        <v>46023</v>
      </c>
      <c r="D30" s="69">
        <f>DATE(2027,1,1)</f>
        <v>46388</v>
      </c>
      <c r="E30" s="69">
        <f>DATE(2028,1,1)</f>
        <v>46753</v>
      </c>
      <c r="F30" s="69">
        <f>DATE(2029,1,1)</f>
        <v>47119</v>
      </c>
      <c r="G30" s="69">
        <f>DATE(2030,1,1)</f>
        <v>47484</v>
      </c>
      <c r="H30" s="69">
        <f>DATE(2035,1,1)</f>
        <v>49310</v>
      </c>
      <c r="J30" s="3"/>
      <c r="L30" s="3"/>
      <c r="N30" s="3"/>
      <c r="P30" s="3"/>
      <c r="R30" s="3"/>
      <c r="T30" s="3"/>
      <c r="V30" s="3"/>
    </row>
    <row r="31" spans="1:22">
      <c r="A31" s="72"/>
      <c r="B31" s="64" t="s">
        <v>95</v>
      </c>
      <c r="C31" s="68" cm="1">
        <f t="array" ref="C31:H31">TREND('International Data'!AG4:BN4,'International Data'!AG1:BN1,'U.S Forecasts'!C4:H4)</f>
        <v>121.88433959679918</v>
      </c>
      <c r="D31" s="68">
        <v>124.47957009134694</v>
      </c>
      <c r="E31" s="68">
        <v>127.07480058589476</v>
      </c>
      <c r="F31" s="68">
        <v>129.67714130097556</v>
      </c>
      <c r="G31" s="68">
        <v>132.27237179552338</v>
      </c>
      <c r="H31" s="68">
        <v>145.25563448879541</v>
      </c>
    </row>
    <row r="32" spans="1:22">
      <c r="B32" s="64" t="s">
        <v>96</v>
      </c>
      <c r="C32" s="68">
        <f>_xlfn.FORECAST.ETS(C4,'International Data'!$AG$4:$BN$4,'International Data'!$AG$1:$BN$1)</f>
        <v>122.66212530445783</v>
      </c>
      <c r="D32" s="68">
        <f>_xlfn.FORECAST.ETS(D4,'International Data'!$AG$4:$BN$4,'International Data'!$AG$1:$BN$1)</f>
        <v>125.24660671246842</v>
      </c>
      <c r="E32" s="68">
        <f>_xlfn.FORECAST.ETS(E4,'International Data'!$AG$4:$BN$4,'International Data'!$AG$1:$BN$1)</f>
        <v>127.83108812047901</v>
      </c>
      <c r="F32" s="68">
        <f>_xlfn.FORECAST.ETS(F4,'International Data'!$AG$4:$BN$4,'International Data'!$AG$1:$BN$1)</f>
        <v>130.41556952848961</v>
      </c>
      <c r="G32" s="68">
        <f>_xlfn.FORECAST.ETS(G4,'International Data'!$AG$4:$BN$4,'International Data'!$AG$1:$BN$1)</f>
        <v>133.0000509365002</v>
      </c>
      <c r="H32" s="68">
        <f>_xlfn.FORECAST.ETS(H4,'International Data'!$AG$4:$BN$4,'International Data'!$AG$1:$BN$1)</f>
        <v>145.92245797655315</v>
      </c>
    </row>
    <row r="33" spans="1:22">
      <c r="B33" s="64" t="s">
        <v>236</v>
      </c>
    </row>
    <row r="34" spans="1:22">
      <c r="B34" s="64" t="s">
        <v>234</v>
      </c>
    </row>
    <row r="35" spans="1:22">
      <c r="B35" s="64" t="s">
        <v>235</v>
      </c>
    </row>
    <row r="36" spans="1:22">
      <c r="B36" t="s">
        <v>90</v>
      </c>
    </row>
    <row r="37" spans="1:22">
      <c r="B37" t="s">
        <v>90</v>
      </c>
    </row>
    <row r="38" spans="1:22">
      <c r="B38" t="s">
        <v>90</v>
      </c>
    </row>
    <row r="39" spans="1:22">
      <c r="B39" t="s">
        <v>90</v>
      </c>
    </row>
    <row r="40" spans="1:22">
      <c r="B40" s="65" t="s">
        <v>93</v>
      </c>
    </row>
    <row r="41" spans="1:22">
      <c r="B41" s="65"/>
      <c r="C41" s="1"/>
      <c r="D41" s="1"/>
      <c r="E41" s="1"/>
      <c r="F41" s="1"/>
      <c r="G41" s="1"/>
      <c r="H41" s="1"/>
      <c r="J41" s="64"/>
      <c r="L41" s="64"/>
      <c r="N41" s="64"/>
      <c r="P41" s="64"/>
      <c r="R41" s="64"/>
      <c r="T41" s="64"/>
      <c r="V41" s="64"/>
    </row>
    <row r="42" spans="1:22">
      <c r="A42" s="71" t="s">
        <v>91</v>
      </c>
    </row>
    <row r="43" spans="1:22">
      <c r="A43" s="71" t="s">
        <v>92</v>
      </c>
      <c r="B43" s="63" t="s">
        <v>2</v>
      </c>
      <c r="C43" s="69">
        <f>DATE(2026,1,1)</f>
        <v>46023</v>
      </c>
      <c r="D43" s="69">
        <f>DATE(2027,1,1)</f>
        <v>46388</v>
      </c>
      <c r="E43" s="69">
        <f>DATE(2028,1,1)</f>
        <v>46753</v>
      </c>
      <c r="F43" s="69">
        <f>DATE(2029,1,1)</f>
        <v>47119</v>
      </c>
      <c r="G43" s="69">
        <f>DATE(2030,1,1)</f>
        <v>47484</v>
      </c>
      <c r="H43" s="69">
        <f>DATE(2035,1,1)</f>
        <v>49310</v>
      </c>
      <c r="J43" s="3"/>
      <c r="L43" s="3"/>
      <c r="N43" s="3"/>
      <c r="P43" s="3"/>
      <c r="R43" s="3"/>
      <c r="T43" s="3"/>
      <c r="V43" s="3"/>
    </row>
    <row r="44" spans="1:22">
      <c r="B44" s="64" t="s">
        <v>95</v>
      </c>
      <c r="C44" s="68" cm="1">
        <f t="array" ref="C44:H44">TREND('International Data'!AH5:BO5,'International Data'!AH1:BO1,'U.S Forecasts'!C4:H4)</f>
        <v>5.2044782067324995</v>
      </c>
      <c r="D44" s="68">
        <v>5.1764379909540583</v>
      </c>
      <c r="E44" s="68">
        <v>5.1483977751756154</v>
      </c>
      <c r="F44" s="68">
        <v>5.1202807368881924</v>
      </c>
      <c r="G44" s="68">
        <v>5.0922405211097495</v>
      </c>
      <c r="H44" s="68">
        <v>4.9519626197085582</v>
      </c>
    </row>
    <row r="45" spans="1:22">
      <c r="B45" s="64" t="s">
        <v>96</v>
      </c>
      <c r="C45" s="68">
        <f>_xlfn.FORECAST.ETS(C43,'International Data'!$AH$5:$BO$5,'International Data'!$AH$1:$BO$1)</f>
        <v>4.0498808250572953</v>
      </c>
      <c r="D45" s="68">
        <f>_xlfn.FORECAST.ETS(D43,'International Data'!$AH$5:$BO$5,'International Data'!$AH$1:$BO$1)</f>
        <v>4.0218212375859412</v>
      </c>
      <c r="E45" s="68">
        <f>_xlfn.FORECAST.ETS(E43,'International Data'!$AH$5:$BO$5,'International Data'!$AH$1:$BO$1)</f>
        <v>3.9937616501145907</v>
      </c>
      <c r="F45" s="68">
        <f>_xlfn.FORECAST.ETS(F43,'International Data'!$AH$5:$BO$5,'International Data'!$AH$1:$BO$1)</f>
        <v>3.9657020626432375</v>
      </c>
      <c r="G45" s="68">
        <f>_xlfn.FORECAST.ETS(G43,'International Data'!$AH$5:$BO$5,'International Data'!$AH$1:$BO$1)</f>
        <v>3.9376424751718861</v>
      </c>
      <c r="H45" s="68">
        <f>_xlfn.FORECAST.ETS(H43,'International Data'!$AH$5:$BO$5,'International Data'!$AH$1:$BO$1)</f>
        <v>3.7973445378151243</v>
      </c>
    </row>
    <row r="46" spans="1:22">
      <c r="B46" s="64" t="s">
        <v>236</v>
      </c>
    </row>
    <row r="47" spans="1:22">
      <c r="B47" s="64" t="s">
        <v>234</v>
      </c>
    </row>
    <row r="48" spans="1:22">
      <c r="B48" s="64" t="s">
        <v>235</v>
      </c>
    </row>
    <row r="49" spans="1:22">
      <c r="B49" t="s">
        <v>90</v>
      </c>
    </row>
    <row r="50" spans="1:22">
      <c r="B50" t="s">
        <v>90</v>
      </c>
    </row>
    <row r="51" spans="1:22">
      <c r="B51" t="s">
        <v>90</v>
      </c>
    </row>
    <row r="52" spans="1:22">
      <c r="B52" t="s">
        <v>90</v>
      </c>
    </row>
    <row r="53" spans="1:22">
      <c r="A53" s="72"/>
      <c r="B53" s="65" t="s">
        <v>93</v>
      </c>
    </row>
    <row r="54" spans="1:22">
      <c r="A54" s="72"/>
      <c r="B54" s="65"/>
      <c r="C54" s="1"/>
      <c r="D54" s="1"/>
      <c r="E54" s="1"/>
      <c r="F54" s="1"/>
      <c r="G54" s="1"/>
      <c r="H54" s="1"/>
      <c r="J54" s="64"/>
      <c r="L54" s="64"/>
      <c r="N54" s="64"/>
      <c r="P54" s="64"/>
      <c r="R54" s="64"/>
      <c r="T54" s="64"/>
      <c r="V54" s="64"/>
    </row>
    <row r="55" spans="1:22">
      <c r="A55" s="71" t="s">
        <v>47</v>
      </c>
    </row>
    <row r="56" spans="1:22">
      <c r="B56" s="63" t="s">
        <v>2</v>
      </c>
      <c r="C56" s="69">
        <f>DATE(2026,1,1)</f>
        <v>46023</v>
      </c>
      <c r="D56" s="69">
        <f>DATE(2027,1,1)</f>
        <v>46388</v>
      </c>
      <c r="E56" s="69">
        <f>DATE(2028,1,1)</f>
        <v>46753</v>
      </c>
      <c r="F56" s="69">
        <f>DATE(2029,1,1)</f>
        <v>47119</v>
      </c>
      <c r="G56" s="69">
        <f>DATE(2030,1,1)</f>
        <v>47484</v>
      </c>
      <c r="H56" s="69">
        <f>DATE(2035,1,1)</f>
        <v>49310</v>
      </c>
      <c r="J56" s="3"/>
      <c r="L56" s="3"/>
      <c r="N56" s="3"/>
      <c r="P56" s="3"/>
      <c r="R56" s="3"/>
      <c r="T56" s="3"/>
      <c r="V56" s="3"/>
    </row>
    <row r="57" spans="1:22">
      <c r="B57" s="64" t="s">
        <v>95</v>
      </c>
      <c r="C57" s="68" cm="1">
        <f t="array" ref="C57:H57">TREND('International Data'!C6:BO6,'International Data'!C1:BO1,'U.S Forecasts'!C4:H4)</f>
        <v>2.4209483159057967</v>
      </c>
      <c r="D57" s="68">
        <v>2.3816592824657112</v>
      </c>
      <c r="E57" s="68">
        <v>2.3423702490256249</v>
      </c>
      <c r="F57" s="68">
        <v>2.302973574398032</v>
      </c>
      <c r="G57" s="68">
        <v>2.2636845409579465</v>
      </c>
      <c r="H57" s="68">
        <v>2.0671317325700098</v>
      </c>
    </row>
    <row r="58" spans="1:22">
      <c r="B58" s="64" t="s">
        <v>96</v>
      </c>
      <c r="C58" s="68">
        <f>_xlfn.FORECAST.ETS(C56,'International Data'!$C$6:$BO$6,'International Data'!$C$1:$BO$1)</f>
        <v>3.0278027405542676</v>
      </c>
      <c r="D58" s="68">
        <f>_xlfn.FORECAST.ETS(D56,'International Data'!$C$6:$BO$6,'International Data'!$C$1:$BO$1)</f>
        <v>2.9928342461653297</v>
      </c>
      <c r="E58" s="68">
        <f>_xlfn.FORECAST.ETS(E56,'International Data'!$C$6:$BO$6,'International Data'!$C$1:$BO$1)</f>
        <v>2.9578657517763971</v>
      </c>
      <c r="F58" s="68">
        <f>_xlfn.FORECAST.ETS(F56,'International Data'!$C$6:$BO$6,'International Data'!$C$1:$BO$1)</f>
        <v>2.9228972573874592</v>
      </c>
      <c r="G58" s="68">
        <f>_xlfn.FORECAST.ETS(G56,'International Data'!$C$6:$BO$6,'International Data'!$C$1:$BO$1)</f>
        <v>2.8879287629985262</v>
      </c>
      <c r="H58" s="68">
        <f>_xlfn.FORECAST.ETS(H56,'International Data'!$C$6:$BO$6,'International Data'!$C$1:$BO$1)</f>
        <v>2.7130862910538469</v>
      </c>
    </row>
    <row r="59" spans="1:22">
      <c r="B59" s="64" t="s">
        <v>236</v>
      </c>
    </row>
    <row r="60" spans="1:22">
      <c r="B60" s="64" t="s">
        <v>234</v>
      </c>
    </row>
    <row r="61" spans="1:22">
      <c r="B61" s="64" t="s">
        <v>235</v>
      </c>
    </row>
    <row r="62" spans="1:22">
      <c r="B62" t="s">
        <v>90</v>
      </c>
    </row>
    <row r="63" spans="1:22">
      <c r="B63" t="s">
        <v>90</v>
      </c>
    </row>
    <row r="64" spans="1:22">
      <c r="B64" t="s">
        <v>90</v>
      </c>
    </row>
    <row r="65" spans="2:22">
      <c r="B65" t="s">
        <v>90</v>
      </c>
    </row>
    <row r="66" spans="2:22">
      <c r="B66" s="65" t="s">
        <v>93</v>
      </c>
    </row>
    <row r="67" spans="2:22">
      <c r="B67" s="65"/>
      <c r="C67" s="1"/>
      <c r="D67" s="1"/>
      <c r="E67" s="1"/>
      <c r="F67" s="1"/>
      <c r="G67" s="1"/>
      <c r="H67" s="1"/>
      <c r="J67" s="64"/>
      <c r="L67" s="64"/>
      <c r="N67" s="64"/>
      <c r="P67" s="64"/>
      <c r="R67" s="64"/>
      <c r="T67" s="64"/>
      <c r="V67" s="6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B687A-779B-2145-903A-F2CBABF6E8DA}">
  <dimension ref="A2:AW46"/>
  <sheetViews>
    <sheetView showGridLines="0" zoomScale="125" zoomScaleNormal="108" workbookViewId="0">
      <selection activeCell="R10" sqref="R10"/>
    </sheetView>
  </sheetViews>
  <sheetFormatPr baseColWidth="10" defaultRowHeight="16"/>
  <cols>
    <col min="1" max="1" width="20.83203125" style="73" bestFit="1" customWidth="1"/>
    <col min="2" max="2" width="17.1640625" bestFit="1" customWidth="1"/>
    <col min="3" max="3" width="8" bestFit="1" customWidth="1"/>
    <col min="4" max="5" width="7.1640625" bestFit="1" customWidth="1"/>
    <col min="6" max="6" width="8" bestFit="1" customWidth="1"/>
    <col min="7" max="8" width="7.1640625" bestFit="1" customWidth="1"/>
    <col min="9" max="9" width="2.83203125" customWidth="1"/>
    <col min="10" max="10" width="17.1640625" bestFit="1" customWidth="1"/>
    <col min="11" max="16" width="7.1640625" bestFit="1" customWidth="1"/>
    <col min="17" max="17" width="2.83203125" customWidth="1"/>
    <col min="18" max="18" width="17.1640625" bestFit="1" customWidth="1"/>
    <col min="19" max="24" width="7.1640625" bestFit="1" customWidth="1"/>
    <col min="25" max="25" width="2.83203125" customWidth="1"/>
    <col min="26" max="26" width="28.1640625" style="156" bestFit="1" customWidth="1"/>
    <col min="27" max="32" width="6.1640625" style="156" bestFit="1" customWidth="1"/>
    <col min="33" max="33" width="2.83203125" style="156" customWidth="1"/>
    <col min="34" max="34" width="28.1640625" bestFit="1" customWidth="1"/>
    <col min="35" max="35" width="6.1640625" bestFit="1" customWidth="1"/>
    <col min="36" max="40" width="7.1640625" bestFit="1" customWidth="1"/>
    <col min="41" max="41" width="2.83203125" customWidth="1"/>
    <col min="42" max="42" width="17.1640625" bestFit="1" customWidth="1"/>
    <col min="43" max="48" width="7.1640625" bestFit="1" customWidth="1"/>
  </cols>
  <sheetData>
    <row r="2" spans="1:49">
      <c r="A2" s="71" t="s">
        <v>3</v>
      </c>
    </row>
    <row r="3" spans="1:49">
      <c r="A3" s="72"/>
      <c r="B3" s="63" t="s">
        <v>6</v>
      </c>
      <c r="C3" s="69">
        <f>DATE(2026,1,1)</f>
        <v>46023</v>
      </c>
      <c r="D3" s="69">
        <f>DATE(2027,1,1)</f>
        <v>46388</v>
      </c>
      <c r="E3" s="69">
        <f>DATE(2028,1,1)</f>
        <v>46753</v>
      </c>
      <c r="F3" s="69">
        <f>DATE(2029,1,1)</f>
        <v>47119</v>
      </c>
      <c r="G3" s="69">
        <f>DATE(2030,1,1)</f>
        <v>47484</v>
      </c>
      <c r="H3" s="69">
        <f>DATE(2035,1,1)</f>
        <v>49310</v>
      </c>
      <c r="I3" s="67"/>
      <c r="J3" s="63" t="s">
        <v>7</v>
      </c>
      <c r="K3" s="69">
        <f>DATE(2026,1,1)</f>
        <v>46023</v>
      </c>
      <c r="L3" s="69">
        <f>DATE(2027,1,1)</f>
        <v>46388</v>
      </c>
      <c r="M3" s="69">
        <f>DATE(2028,1,1)</f>
        <v>46753</v>
      </c>
      <c r="N3" s="69">
        <f>DATE(2029,1,1)</f>
        <v>47119</v>
      </c>
      <c r="O3" s="69">
        <f>DATE(2030,1,1)</f>
        <v>47484</v>
      </c>
      <c r="P3" s="69">
        <f>DATE(2035,1,1)</f>
        <v>49310</v>
      </c>
      <c r="Q3" s="67"/>
      <c r="R3" s="63" t="s">
        <v>9</v>
      </c>
      <c r="S3" s="69">
        <f>DATE(2026,1,1)</f>
        <v>46023</v>
      </c>
      <c r="T3" s="69">
        <f>DATE(2027,1,1)</f>
        <v>46388</v>
      </c>
      <c r="U3" s="69">
        <f>DATE(2028,1,1)</f>
        <v>46753</v>
      </c>
      <c r="V3" s="69">
        <f>DATE(2029,1,1)</f>
        <v>47119</v>
      </c>
      <c r="W3" s="69">
        <f>DATE(2030,1,1)</f>
        <v>47484</v>
      </c>
      <c r="X3" s="69">
        <f>DATE(2035,1,1)</f>
        <v>49310</v>
      </c>
      <c r="Y3" s="67"/>
      <c r="Z3" s="157" t="s">
        <v>10</v>
      </c>
      <c r="AA3" s="160">
        <f>DATE(2026,1,1)</f>
        <v>46023</v>
      </c>
      <c r="AB3" s="160">
        <f>DATE(2027,1,1)</f>
        <v>46388</v>
      </c>
      <c r="AC3" s="160">
        <f>DATE(2028,1,1)</f>
        <v>46753</v>
      </c>
      <c r="AD3" s="160">
        <f>DATE(2029,1,1)</f>
        <v>47119</v>
      </c>
      <c r="AE3" s="160">
        <f>DATE(2030,1,1)</f>
        <v>47484</v>
      </c>
      <c r="AF3" s="160">
        <f>DATE(2035,1,1)</f>
        <v>49310</v>
      </c>
      <c r="AG3" s="161"/>
      <c r="AH3" s="63" t="s">
        <v>11</v>
      </c>
      <c r="AI3" s="69">
        <f>DATE(2026,1,1)</f>
        <v>46023</v>
      </c>
      <c r="AJ3" s="69">
        <f>DATE(2027,1,1)</f>
        <v>46388</v>
      </c>
      <c r="AK3" s="69">
        <f>DATE(2028,1,1)</f>
        <v>46753</v>
      </c>
      <c r="AL3" s="69">
        <f>DATE(2029,1,1)</f>
        <v>47119</v>
      </c>
      <c r="AM3" s="69">
        <f>DATE(2030,1,1)</f>
        <v>47484</v>
      </c>
      <c r="AN3" s="69">
        <f>DATE(2035,1,1)</f>
        <v>49310</v>
      </c>
      <c r="AO3" s="67"/>
      <c r="AP3" s="63" t="s">
        <v>12</v>
      </c>
      <c r="AQ3" s="69">
        <f>DATE(2026,1,1)</f>
        <v>46023</v>
      </c>
      <c r="AR3" s="69">
        <f>DATE(2027,1,1)</f>
        <v>46388</v>
      </c>
      <c r="AS3" s="69">
        <f>DATE(2028,1,1)</f>
        <v>46753</v>
      </c>
      <c r="AT3" s="69">
        <f>DATE(2029,1,1)</f>
        <v>47119</v>
      </c>
      <c r="AU3" s="69">
        <f>DATE(2030,1,1)</f>
        <v>47484</v>
      </c>
      <c r="AV3" s="69">
        <f>DATE(2035,1,1)</f>
        <v>49310</v>
      </c>
      <c r="AW3" s="67"/>
    </row>
    <row r="4" spans="1:49">
      <c r="A4" s="72"/>
      <c r="B4" t="s">
        <v>94</v>
      </c>
      <c r="C4" s="68" cm="1">
        <f t="array" ref="C4:H4">TREND('International Data'!C7:BO7,'International Data'!C1:BO1,'International Forecast'!C3:H3)</f>
        <v>38.65180950873701</v>
      </c>
      <c r="D4" s="68">
        <v>39.200137841683137</v>
      </c>
      <c r="E4" s="68">
        <v>39.748466174629279</v>
      </c>
      <c r="F4" s="68">
        <v>40.298296776980742</v>
      </c>
      <c r="G4" s="68">
        <v>40.846625109926883</v>
      </c>
      <c r="H4" s="68">
        <v>43.589769044062884</v>
      </c>
      <c r="I4" s="68"/>
      <c r="J4" t="s">
        <v>86</v>
      </c>
      <c r="K4" s="68" cm="1">
        <f t="array" ref="K4:P4">TREND('International Data'!$D$12:$BO$12,'International Data'!$D$1:$BO$1,'International Forecast'!K3:P3)</f>
        <v>37.760747431017705</v>
      </c>
      <c r="L4" s="68">
        <v>38.031690150825682</v>
      </c>
      <c r="M4" s="68">
        <v>38.302632870633659</v>
      </c>
      <c r="N4" s="68">
        <v>38.574317899263036</v>
      </c>
      <c r="O4" s="68">
        <v>38.845260619071013</v>
      </c>
      <c r="P4" s="68">
        <v>40.200716526932311</v>
      </c>
      <c r="Q4" s="68"/>
      <c r="R4" t="s">
        <v>86</v>
      </c>
      <c r="S4" s="68" cm="1">
        <f t="array" ref="S4:X4">TREND('International Data'!$M$22:$BN$22,'International Data'!$M$1:$BN$1,'International Forecast'!S3:X3)</f>
        <v>17.297351826353207</v>
      </c>
      <c r="T4" s="68">
        <v>17.443370023673417</v>
      </c>
      <c r="U4" s="68">
        <v>17.589388220993634</v>
      </c>
      <c r="V4" s="68">
        <v>17.735806468169521</v>
      </c>
      <c r="W4" s="68">
        <v>17.881824665489738</v>
      </c>
      <c r="X4" s="68">
        <v>18.612315701946486</v>
      </c>
      <c r="Y4" s="68"/>
      <c r="Z4" s="156" t="s">
        <v>86</v>
      </c>
      <c r="AA4" s="132" cm="1">
        <f t="array" ref="AA4:AF4">TREND('International Data'!$C$27:$BN$27,'International Data'!$C$1:$BN$1,'International Forecast'!AA3:AF3)</f>
        <v>51.094323582765583</v>
      </c>
      <c r="AB4" s="132">
        <v>51.743215100699899</v>
      </c>
      <c r="AC4" s="132">
        <v>52.392106618634202</v>
      </c>
      <c r="AD4" s="132">
        <v>53.042775921549151</v>
      </c>
      <c r="AE4" s="132">
        <v>53.691667439483467</v>
      </c>
      <c r="AF4" s="132">
        <v>56.937902814135654</v>
      </c>
      <c r="AG4" s="162"/>
      <c r="AH4" t="s">
        <v>86</v>
      </c>
      <c r="AI4" s="117" cm="1">
        <f t="array" ref="AI4:AN4">TREND('International Data'!$AC$31:$BN$31,'International Data'!$AC$1:$BN$1,'International Forecast'!AI3:AN3)</f>
        <v>99.500098776304526</v>
      </c>
      <c r="AJ4" s="117">
        <v>101.55229908113171</v>
      </c>
      <c r="AK4" s="117">
        <v>103.60449938595895</v>
      </c>
      <c r="AL4" s="117">
        <v>105.66232215737472</v>
      </c>
      <c r="AM4" s="117">
        <v>107.71452246220196</v>
      </c>
      <c r="AN4" s="117">
        <v>117.98114645292662</v>
      </c>
      <c r="AO4" s="68"/>
      <c r="AP4" t="s">
        <v>86</v>
      </c>
      <c r="AQ4" s="117" cm="1">
        <f t="array" ref="AQ4:AV4">TREND('International Data'!$M$35:$BO$35,'International Data'!$M$1:$BO$1,'International Forecast'!AQ3:AV3)</f>
        <v>30.087228852036873</v>
      </c>
      <c r="AR4" s="117">
        <v>30.203832198790234</v>
      </c>
      <c r="AS4" s="117">
        <v>30.320435545543592</v>
      </c>
      <c r="AT4" s="117">
        <v>30.437358353520935</v>
      </c>
      <c r="AU4" s="117">
        <v>30.553961700274293</v>
      </c>
      <c r="AV4" s="117">
        <v>31.137297895265071</v>
      </c>
      <c r="AW4" s="68"/>
    </row>
    <row r="5" spans="1:49">
      <c r="A5" s="72"/>
      <c r="B5" t="s">
        <v>87</v>
      </c>
      <c r="C5" s="68">
        <f>_xlfn.FORECAST.ETS(C3,'International Data'!$C$7:$BO$7,'International Data'!$C$1:$BO$1)</f>
        <v>37.394496106370553</v>
      </c>
      <c r="D5" s="68">
        <f>_xlfn.FORECAST.ETS(D3,'International Data'!$C$7:$BO$7,'International Data'!$C$1:$BO$1)</f>
        <v>37.699203667913601</v>
      </c>
      <c r="E5" s="68">
        <f>_xlfn.FORECAST.ETS(E3,'International Data'!$C$7:$BO$7,'International Data'!$C$1:$BO$1)</f>
        <v>38.003911229456648</v>
      </c>
      <c r="F5" s="68">
        <f>_xlfn.FORECAST.ETS(F3,'International Data'!$C$7:$BO$7,'International Data'!$C$1:$BO$1)</f>
        <v>38.308618790999695</v>
      </c>
      <c r="G5" s="68">
        <f>_xlfn.FORECAST.ETS(G3,'International Data'!$C$7:$BO$7,'International Data'!$C$1:$BO$1)</f>
        <v>38.613326352542735</v>
      </c>
      <c r="H5" s="68">
        <f>_xlfn.FORECAST.ETS(H3,'International Data'!$C$7:$BO$7,'International Data'!$C$1:$BO$1)</f>
        <v>40.136864160257964</v>
      </c>
      <c r="J5" t="s">
        <v>87</v>
      </c>
      <c r="K5" s="116">
        <f>_xlfn.FORECAST.ETS(C3,'International Data'!$D$12:$BO$12,'International Data'!$D$1:$BO$1)</f>
        <v>33.003590958347367</v>
      </c>
      <c r="L5" s="116">
        <f>_xlfn.FORECAST.ETS(D3,'International Data'!$D$12:$BO$12,'International Data'!$D$1:$BO$1)</f>
        <v>33.274718765559207</v>
      </c>
      <c r="M5" s="116">
        <f>_xlfn.FORECAST.ETS(E3,'International Data'!$D$12:$BO$12,'International Data'!$D$1:$BO$1)</f>
        <v>33.545846572771048</v>
      </c>
      <c r="N5" s="116">
        <f>_xlfn.FORECAST.ETS(F3,'International Data'!$D$12:$BO$12,'International Data'!$D$1:$BO$1)</f>
        <v>33.816974379982895</v>
      </c>
      <c r="O5" s="116">
        <f>_xlfn.FORECAST.ETS(G3,'International Data'!$D$12:$BO$12,'International Data'!$D$1:$BO$1)</f>
        <v>34.088102187194735</v>
      </c>
      <c r="P5" s="116">
        <f>_xlfn.FORECAST.ETS(H3,'International Data'!$D$12:$BO$12,'International Data'!$D$1:$BO$1)</f>
        <v>35.443741223253937</v>
      </c>
      <c r="R5" t="s">
        <v>87</v>
      </c>
      <c r="S5" s="68">
        <f>_xlfn.FORECAST.ETS(C3,'International Data'!$M$22:$BN$22,'International Data'!$M$1:$BN$1)</f>
        <v>22.031462503393435</v>
      </c>
      <c r="T5" s="68">
        <f>_xlfn.FORECAST.ETS(D3,'International Data'!$M$22:$BN$22,'International Data'!$M$1:$BN$1)</f>
        <v>22.182609563887272</v>
      </c>
      <c r="U5" s="68">
        <f>_xlfn.FORECAST.ETS(E3,'International Data'!$M$22:$BN$22,'International Data'!$M$1:$BN$1)</f>
        <v>22.33375662438111</v>
      </c>
      <c r="V5" s="68">
        <f>_xlfn.FORECAST.ETS(F3,'International Data'!$M$22:$BN$22,'International Data'!$M$1:$BN$1)</f>
        <v>22.484903684874944</v>
      </c>
      <c r="W5" s="68">
        <f>_xlfn.FORECAST.ETS(G3,'International Data'!$M$22:$BN$22,'International Data'!$M$1:$BN$1)</f>
        <v>22.636050745368777</v>
      </c>
      <c r="X5" s="68">
        <f>_xlfn.FORECAST.ETS(H3,'International Data'!$M$22:$BN$22,'International Data'!$M$1:$BN$1)</f>
        <v>23.391786047837957</v>
      </c>
      <c r="Z5" s="156" t="s">
        <v>87</v>
      </c>
      <c r="AA5" s="132">
        <f>_xlfn.FORECAST.ETS(AA3,'International Data'!$C$27:$BN$27,'International Data'!$C$1:$BN$1)</f>
        <v>47.123499489017519</v>
      </c>
      <c r="AB5" s="132">
        <f>_xlfn.FORECAST.ETS(AB3,'International Data'!$C$27:$BN$27,'International Data'!$C$1:$BN$1)</f>
        <v>47.774231037389761</v>
      </c>
      <c r="AC5" s="132">
        <f>_xlfn.FORECAST.ETS(AC3,'International Data'!$C$27:$BN$27,'International Data'!$C$1:$BN$1)</f>
        <v>48.424962585762003</v>
      </c>
      <c r="AD5" s="132">
        <f>_xlfn.FORECAST.ETS(AD3,'International Data'!$C$27:$BN$27,'International Data'!$C$1:$BN$1)</f>
        <v>49.075694134134245</v>
      </c>
      <c r="AE5" s="132">
        <f>_xlfn.FORECAST.ETS(AE3,'International Data'!$C$27:$BN$27,'International Data'!$C$1:$BN$1)</f>
        <v>49.726425682506488</v>
      </c>
      <c r="AF5" s="132">
        <f>_xlfn.FORECAST.ETS(AF3,'International Data'!$C$27:$BN$27,'International Data'!$C$1:$BN$1)</f>
        <v>52.980083424367699</v>
      </c>
      <c r="AH5" t="s">
        <v>87</v>
      </c>
      <c r="AI5" s="117">
        <f>_xlfn.FORECAST.ETS(AI3,'International Data'!$AC$31:$BN$31,'International Data'!$AC$1:$BN$1)</f>
        <v>93.562626204941225</v>
      </c>
      <c r="AJ5" s="117">
        <f>_xlfn.FORECAST.ETS(AI3,'International Data'!$AC$31:$BN$31,'International Data'!$AC$1:$BN$1)</f>
        <v>93.562626204941225</v>
      </c>
      <c r="AK5" s="117">
        <f>_xlfn.FORECAST.ETS(AI3,'International Data'!$AC$31:$BN$31,'International Data'!$AC$1:$BN$1)</f>
        <v>93.562626204941225</v>
      </c>
      <c r="AL5" s="117">
        <f>_xlfn.FORECAST.ETS(AI3,'International Data'!$AC$31:$BN$31,'International Data'!$AC$1:$BN$1)</f>
        <v>93.562626204941225</v>
      </c>
      <c r="AM5" s="117">
        <f>_xlfn.FORECAST.ETS(AI3,'International Data'!$AC$31:$BN$31,'International Data'!$AC$1:$BN$1)</f>
        <v>93.562626204941225</v>
      </c>
      <c r="AN5" s="117">
        <f>_xlfn.FORECAST.ETS(AI3,'International Data'!$AC$31:$BN$31,'International Data'!$AC$1:$BN$1)</f>
        <v>93.562626204941225</v>
      </c>
      <c r="AP5" t="s">
        <v>87</v>
      </c>
      <c r="AQ5" s="117">
        <f>_xlfn.FORECAST.ETS(AQ3,'International Data'!$M$35:$BO$35,'International Data'!$M$1:$BO$1)</f>
        <v>31.035548352230702</v>
      </c>
      <c r="AR5" s="117">
        <f>_xlfn.FORECAST.ETS(AR3,'International Data'!$M$35:$BO$35,'International Data'!$M$1:$BO$1)</f>
        <v>31.154876057967737</v>
      </c>
      <c r="AS5" s="117">
        <f>_xlfn.FORECAST.ETS(AS3,'International Data'!$M$35:$BO$35,'International Data'!$M$1:$BO$1)</f>
        <v>31.274203763704776</v>
      </c>
      <c r="AT5" s="117">
        <f>_xlfn.FORECAST.ETS(AT3,'International Data'!$M$35:$BO$35,'International Data'!$M$1:$BO$1)</f>
        <v>31.393531469441815</v>
      </c>
      <c r="AU5" s="117">
        <f>_xlfn.FORECAST.ETS(AU3,'International Data'!$M$35:$BO$35,'International Data'!$M$1:$BO$1)</f>
        <v>31.512859175178853</v>
      </c>
      <c r="AV5" s="117">
        <f>_xlfn.FORECAST.ETS(AV3,'International Data'!$M$35:$BO$35,'International Data'!$M$1:$BO$1)</f>
        <v>32.109497703864044</v>
      </c>
    </row>
    <row r="6" spans="1:49" hidden="1">
      <c r="A6" s="72"/>
      <c r="C6" s="68"/>
      <c r="D6" s="68"/>
      <c r="E6" s="68"/>
      <c r="F6" s="68"/>
      <c r="G6" s="68"/>
      <c r="H6" s="68"/>
      <c r="K6" s="68"/>
      <c r="L6" s="68"/>
      <c r="M6" s="68"/>
      <c r="N6" s="68"/>
      <c r="O6" s="68"/>
      <c r="P6" s="68"/>
      <c r="S6" s="68"/>
      <c r="T6" s="68"/>
      <c r="U6" s="68"/>
      <c r="V6" s="68"/>
      <c r="W6" s="68"/>
      <c r="X6" s="68"/>
    </row>
    <row r="7" spans="1:49">
      <c r="A7" s="72"/>
      <c r="B7" t="s">
        <v>89</v>
      </c>
      <c r="C7" s="68">
        <v>39.32</v>
      </c>
      <c r="D7" s="68">
        <v>40.78</v>
      </c>
      <c r="E7" s="68">
        <v>44.85</v>
      </c>
      <c r="F7" s="68">
        <v>41.15</v>
      </c>
      <c r="G7" s="68">
        <v>39.770000000000003</v>
      </c>
      <c r="H7" s="68">
        <v>38.869999999999997</v>
      </c>
      <c r="J7" t="s">
        <v>89</v>
      </c>
      <c r="K7" s="68"/>
      <c r="L7" s="68"/>
      <c r="M7" s="68"/>
      <c r="N7" s="68"/>
      <c r="O7" s="68"/>
      <c r="P7" s="68"/>
      <c r="S7" s="68"/>
      <c r="T7" s="68"/>
      <c r="U7" s="68"/>
      <c r="V7" s="68"/>
      <c r="W7" s="68"/>
      <c r="X7" s="68"/>
      <c r="AH7" t="s">
        <v>89</v>
      </c>
      <c r="AP7" t="s">
        <v>89</v>
      </c>
    </row>
    <row r="8" spans="1:49">
      <c r="A8" s="72"/>
      <c r="C8" s="68"/>
      <c r="D8" s="68"/>
      <c r="E8" s="68"/>
      <c r="F8" s="68"/>
      <c r="G8" s="68"/>
      <c r="H8" s="68"/>
      <c r="K8" s="68"/>
      <c r="L8" s="68"/>
      <c r="M8" s="68"/>
      <c r="N8" s="68"/>
      <c r="O8" s="68"/>
      <c r="P8" s="68"/>
      <c r="S8" s="68"/>
      <c r="T8" s="68"/>
      <c r="U8" s="68"/>
      <c r="V8" s="68"/>
      <c r="W8" s="68"/>
      <c r="X8" s="68"/>
      <c r="AH8" t="s">
        <v>89</v>
      </c>
      <c r="AP8" t="s">
        <v>89</v>
      </c>
    </row>
    <row r="9" spans="1:49">
      <c r="A9" s="72"/>
      <c r="B9" s="64" t="s">
        <v>93</v>
      </c>
      <c r="C9" s="68">
        <f t="shared" ref="C9:H9" si="0">AVERAGE(C4:C7)</f>
        <v>38.455435205035855</v>
      </c>
      <c r="D9" s="68">
        <f t="shared" si="0"/>
        <v>39.22644716986558</v>
      </c>
      <c r="E9" s="68">
        <f t="shared" si="0"/>
        <v>40.867459134695309</v>
      </c>
      <c r="F9" s="68">
        <f t="shared" si="0"/>
        <v>39.918971855993476</v>
      </c>
      <c r="G9" s="68">
        <f t="shared" si="0"/>
        <v>39.743317154156536</v>
      </c>
      <c r="H9" s="68">
        <f t="shared" si="0"/>
        <v>40.865544401440282</v>
      </c>
      <c r="K9" s="68">
        <f>AVERAGE(K4:K7)</f>
        <v>35.382169194682533</v>
      </c>
      <c r="L9" s="68">
        <f t="shared" ref="K9:P9" si="1">AVERAGE(L4:L7)</f>
        <v>35.653204458192448</v>
      </c>
      <c r="M9" s="68">
        <f t="shared" si="1"/>
        <v>35.924239721702349</v>
      </c>
      <c r="N9" s="68">
        <f t="shared" si="1"/>
        <v>36.195646139622966</v>
      </c>
      <c r="O9" s="68">
        <f t="shared" si="1"/>
        <v>36.466681403132874</v>
      </c>
      <c r="P9" s="68">
        <f t="shared" si="1"/>
        <v>37.822228875093124</v>
      </c>
      <c r="S9" s="68">
        <f t="shared" ref="S9:X9" si="2">AVERAGE(S4:S7)</f>
        <v>19.664407164873321</v>
      </c>
      <c r="T9" s="68">
        <f t="shared" si="2"/>
        <v>19.812989793780346</v>
      </c>
      <c r="U9" s="68">
        <f t="shared" si="2"/>
        <v>19.961572422687372</v>
      </c>
      <c r="V9" s="68">
        <f t="shared" si="2"/>
        <v>20.110355076522232</v>
      </c>
      <c r="W9" s="68">
        <f t="shared" si="2"/>
        <v>20.258937705429258</v>
      </c>
      <c r="X9" s="68">
        <f t="shared" si="2"/>
        <v>21.00205087489222</v>
      </c>
    </row>
    <row r="10" spans="1:49">
      <c r="A10" s="72"/>
      <c r="B10" s="166"/>
      <c r="C10" s="118"/>
      <c r="D10" s="155">
        <f>D9/C9</f>
        <v>1.0200494926326762</v>
      </c>
      <c r="E10" s="155">
        <f>E9/D9</f>
        <v>1.0418343256457441</v>
      </c>
      <c r="F10" s="155">
        <f>F9/E9</f>
        <v>0.97679113654764516</v>
      </c>
      <c r="G10" s="155">
        <f>G9/F9</f>
        <v>0.99559971878858478</v>
      </c>
      <c r="H10" s="155">
        <f>H9/G9</f>
        <v>1.0282368792451533</v>
      </c>
      <c r="I10" s="1"/>
      <c r="J10" s="65" t="s">
        <v>93</v>
      </c>
      <c r="K10" s="118"/>
      <c r="L10" s="155">
        <f>L9/K9</f>
        <v>1.0076602217919033</v>
      </c>
      <c r="M10" s="155">
        <f>M9/L9</f>
        <v>1.0076019888710908</v>
      </c>
      <c r="N10" s="155">
        <f>N9/M9</f>
        <v>1.0075549662295749</v>
      </c>
      <c r="O10" s="155">
        <f>O9/N9</f>
        <v>1.007488062582566</v>
      </c>
      <c r="P10" s="155">
        <f>P9/O9</f>
        <v>1.037172219127233</v>
      </c>
      <c r="Q10" s="1"/>
      <c r="R10" s="65" t="s">
        <v>93</v>
      </c>
      <c r="S10" s="118"/>
      <c r="T10" s="155">
        <f>T9/S9</f>
        <v>1.0075559170261914</v>
      </c>
      <c r="U10" s="155">
        <f>U9/T9</f>
        <v>1.0074992532905693</v>
      </c>
      <c r="V10" s="155">
        <f>V9/U9</f>
        <v>1.007453453599966</v>
      </c>
      <c r="W10" s="155">
        <f>W9/V9</f>
        <v>1.0073883642701311</v>
      </c>
      <c r="X10" s="155">
        <f>X9/W9</f>
        <v>1.0366807569216137</v>
      </c>
      <c r="Y10" s="1"/>
      <c r="Z10" s="158" t="s">
        <v>93</v>
      </c>
      <c r="AA10" s="163">
        <f t="shared" ref="AA10:AF10" si="3">AVERAGE(AA4:AA5)</f>
        <v>49.108911535891551</v>
      </c>
      <c r="AB10" s="163">
        <f t="shared" si="3"/>
        <v>49.758723069044834</v>
      </c>
      <c r="AC10" s="163">
        <f t="shared" si="3"/>
        <v>50.408534602198102</v>
      </c>
      <c r="AD10" s="163">
        <f t="shared" si="3"/>
        <v>51.059235027841694</v>
      </c>
      <c r="AE10" s="163">
        <f t="shared" si="3"/>
        <v>51.709046560994977</v>
      </c>
      <c r="AF10" s="163">
        <f t="shared" si="3"/>
        <v>54.958993119251673</v>
      </c>
      <c r="AG10" s="164"/>
      <c r="AH10" s="65" t="s">
        <v>93</v>
      </c>
      <c r="AI10" s="1"/>
      <c r="AJ10" s="1"/>
      <c r="AK10" s="1"/>
      <c r="AL10" s="1"/>
      <c r="AM10" s="1"/>
      <c r="AN10" s="1"/>
      <c r="AO10" s="1"/>
      <c r="AP10" s="65" t="s">
        <v>93</v>
      </c>
      <c r="AQ10" s="1"/>
      <c r="AR10" s="1"/>
      <c r="AS10" s="1"/>
      <c r="AT10" s="1"/>
      <c r="AU10" s="1"/>
      <c r="AV10" s="1"/>
      <c r="AW10" s="1"/>
    </row>
    <row r="11" spans="1:49">
      <c r="A11" s="71" t="s">
        <v>4</v>
      </c>
      <c r="C11" s="68"/>
      <c r="D11" s="68"/>
      <c r="E11" s="68"/>
      <c r="F11" s="68"/>
      <c r="G11" s="68"/>
      <c r="H11" s="68"/>
      <c r="K11" s="68"/>
      <c r="L11" s="68"/>
      <c r="M11" s="68"/>
      <c r="N11" s="68"/>
      <c r="O11" s="68"/>
      <c r="P11" s="68"/>
      <c r="S11" s="68"/>
      <c r="T11" s="68"/>
      <c r="U11" s="68"/>
      <c r="V11" s="68"/>
      <c r="W11" s="68"/>
      <c r="X11" s="68"/>
    </row>
    <row r="12" spans="1:49">
      <c r="A12" s="72"/>
      <c r="B12" s="63" t="s">
        <v>6</v>
      </c>
      <c r="C12" s="68"/>
      <c r="D12" s="68"/>
      <c r="E12" s="68"/>
      <c r="F12" s="68"/>
      <c r="G12" s="68"/>
      <c r="H12" s="68"/>
      <c r="J12" s="63" t="s">
        <v>7</v>
      </c>
      <c r="K12" s="68"/>
      <c r="L12" s="68"/>
      <c r="M12" s="68"/>
      <c r="N12" s="68"/>
      <c r="O12" s="68"/>
      <c r="P12" s="68"/>
      <c r="R12" s="63" t="s">
        <v>9</v>
      </c>
      <c r="S12" s="68"/>
      <c r="T12" s="68"/>
      <c r="U12" s="68"/>
      <c r="V12" s="68"/>
      <c r="W12" s="68"/>
      <c r="X12" s="68"/>
      <c r="Z12" s="157" t="s">
        <v>10</v>
      </c>
      <c r="AH12" s="63" t="s">
        <v>11</v>
      </c>
      <c r="AP12" s="63" t="s">
        <v>12</v>
      </c>
    </row>
    <row r="13" spans="1:49">
      <c r="A13" s="72"/>
      <c r="B13" t="s">
        <v>86</v>
      </c>
      <c r="C13" s="68" cm="1">
        <f t="array" ref="C13:H13">TREND('International Data'!C8:BO8,'International Data'!C1:BO1,'International Forecast'!C3:H3)</f>
        <v>39.696995325304655</v>
      </c>
      <c r="D13" s="68">
        <v>40.252421007810099</v>
      </c>
      <c r="E13" s="68">
        <v>40.807846690315543</v>
      </c>
      <c r="F13" s="68">
        <v>41.364794087019632</v>
      </c>
      <c r="G13" s="68">
        <v>41.920219769525076</v>
      </c>
      <c r="H13" s="68">
        <v>44.698869896250955</v>
      </c>
      <c r="J13" t="s">
        <v>86</v>
      </c>
      <c r="K13" s="68" cm="1">
        <f t="array" ref="K13:P13">TREND('International Data'!$D$13:$BO$13,'International Data'!$D$1:$BO$1,'International Forecast'!K3:P3)</f>
        <v>37.409982169264396</v>
      </c>
      <c r="L13" s="68">
        <v>37.694065331168872</v>
      </c>
      <c r="M13" s="68">
        <v>37.978148493073363</v>
      </c>
      <c r="N13" s="68">
        <v>38.263009965010468</v>
      </c>
      <c r="O13" s="68">
        <v>38.547093126914945</v>
      </c>
      <c r="P13" s="68">
        <v>39.968287246469984</v>
      </c>
      <c r="R13" t="s">
        <v>86</v>
      </c>
      <c r="S13" s="68" cm="1">
        <f t="array" ref="S13:X13">TREND('International Data'!$M$23:$BN$23,'International Data'!$M$1:$BN$1,'International Forecast'!S3:X3)</f>
        <v>17.770091410087421</v>
      </c>
      <c r="T13" s="68">
        <v>17.956704447934577</v>
      </c>
      <c r="U13" s="68">
        <v>18.143317485781733</v>
      </c>
      <c r="V13" s="68">
        <v>18.330441792225731</v>
      </c>
      <c r="W13" s="68">
        <v>18.51705483007289</v>
      </c>
      <c r="X13" s="68">
        <v>19.450631287905516</v>
      </c>
      <c r="Z13" s="156" t="s">
        <v>86</v>
      </c>
      <c r="AA13" s="132" cm="1">
        <f t="array" ref="AA13:AF13">TREND('International Data'!$C$28:$BN$28,'International Data'!$C$1:$BN$1,'International Forecast'!AA3:AF3)</f>
        <v>43.86962737509657</v>
      </c>
      <c r="AB13" s="132">
        <v>44.266162832041118</v>
      </c>
      <c r="AC13" s="132">
        <v>44.662698288985666</v>
      </c>
      <c r="AD13" s="132">
        <v>45.060320144442386</v>
      </c>
      <c r="AE13" s="132">
        <v>45.456855601386934</v>
      </c>
      <c r="AF13" s="132">
        <v>47.440619284621846</v>
      </c>
      <c r="AH13" t="s">
        <v>86</v>
      </c>
      <c r="AI13" s="117" cm="1">
        <f t="array" ref="AI13:AN13">TREND('International Data'!$AC$32:$BN$32,'International Data'!$AC$1:$BN$1,'International Forecast'!AI3:AN3)</f>
        <v>94.569854144116306</v>
      </c>
      <c r="AJ13" s="117">
        <v>96.198481914248902</v>
      </c>
      <c r="AK13" s="117">
        <v>97.827109684381497</v>
      </c>
      <c r="AL13" s="117">
        <v>99.460199448404836</v>
      </c>
      <c r="AM13" s="117">
        <v>101.08882721853743</v>
      </c>
      <c r="AN13" s="117">
        <v>109.23642806309115</v>
      </c>
      <c r="AP13" t="s">
        <v>86</v>
      </c>
      <c r="AQ13" s="117" cm="1">
        <f t="array" ref="AQ13:AV13">TREND('International Data'!$M$36:$BO$36,'International Data'!$M$1:$BO$1,'International Forecast'!AQ3:AV3)</f>
        <v>31.835542695562246</v>
      </c>
      <c r="AR13" s="117">
        <v>31.988733930664807</v>
      </c>
      <c r="AS13" s="117">
        <v>32.141925165767368</v>
      </c>
      <c r="AT13" s="117">
        <v>32.295536102883908</v>
      </c>
      <c r="AU13" s="117">
        <v>32.448727337986469</v>
      </c>
      <c r="AV13" s="117">
        <v>33.215103215513253</v>
      </c>
    </row>
    <row r="14" spans="1:49">
      <c r="A14" s="72"/>
      <c r="B14" t="s">
        <v>87</v>
      </c>
      <c r="C14" s="68">
        <f>_xlfn.FORECAST.ETS(C3,'International Data'!$C$8:$BO$8,'International Data'!$C$1:$BO$1)</f>
        <v>38.494561052214081</v>
      </c>
      <c r="D14" s="68">
        <f>_xlfn.FORECAST.ETS(D3,'International Data'!$C$8:$BO$8,'International Data'!$C$1:$BO$1)</f>
        <v>38.778937587665098</v>
      </c>
      <c r="E14" s="68">
        <f>_xlfn.FORECAST.ETS(E3,'International Data'!$C$8:$BO$8,'International Data'!$C$1:$BO$1)</f>
        <v>39.063314123116136</v>
      </c>
      <c r="F14" s="68">
        <f>_xlfn.FORECAST.ETS(F3,'International Data'!$C$8:$BO$8,'International Data'!$C$1:$BO$1)</f>
        <v>39.347690658567153</v>
      </c>
      <c r="G14" s="68">
        <f>_xlfn.FORECAST.ETS(G3,'International Data'!$C$8:$BO$8,'International Data'!$C$1:$BO$1)</f>
        <v>39.632067194018191</v>
      </c>
      <c r="H14" s="68">
        <f>_xlfn.FORECAST.ETS(H3,'International Data'!$C$8:$BO$8,'International Data'!$C$1:$BO$1)</f>
        <v>41.053949871273318</v>
      </c>
      <c r="J14" t="s">
        <v>87</v>
      </c>
      <c r="K14" s="68">
        <f>_xlfn.FORECAST.ETS(C3,'International Data'!$D$13:$BO$13,'International Data'!$D$1:$BO$1)</f>
        <v>33.286252352284627</v>
      </c>
      <c r="L14" s="68">
        <f>_xlfn.FORECAST.ETS(D3,'International Data'!$D$13:$BO$13,'International Data'!$D$1:$BO$1)</f>
        <v>33.570529204752958</v>
      </c>
      <c r="M14" s="68">
        <f>_xlfn.FORECAST.ETS(E3,'International Data'!$D$13:$BO$13,'International Data'!$D$1:$BO$1)</f>
        <v>33.854806057221289</v>
      </c>
      <c r="N14" s="68">
        <f>_xlfn.FORECAST.ETS(F3,'International Data'!$D$13:$BO$13,'International Data'!$D$1:$BO$1)</f>
        <v>34.139082909689613</v>
      </c>
      <c r="O14" s="68">
        <f>_xlfn.FORECAST.ETS(G3,'International Data'!$D$13:$BO$13,'International Data'!$D$1:$BO$1)</f>
        <v>34.423359762157943</v>
      </c>
      <c r="P14" s="68">
        <f>_xlfn.FORECAST.ETS(H3,'International Data'!$D$13:$BO$13,'International Data'!$D$1:$BO$1)</f>
        <v>35.84474402449959</v>
      </c>
      <c r="R14" t="s">
        <v>87</v>
      </c>
      <c r="S14" s="68">
        <f>_xlfn.FORECAST.ETS(C3,'International Data'!$M$22:$BN$22,'International Data'!$M$1:$BN$1)</f>
        <v>22.031462503393435</v>
      </c>
      <c r="T14" s="68">
        <f>_xlfn.FORECAST.ETS(D3,'International Data'!$M$22:$BN$22,'International Data'!$M$1:$BN$1)</f>
        <v>22.182609563887272</v>
      </c>
      <c r="U14" s="68">
        <f>_xlfn.FORECAST.ETS(E3,'International Data'!$M$22:$BN$22,'International Data'!$M$1:$BN$1)</f>
        <v>22.33375662438111</v>
      </c>
      <c r="V14" s="68">
        <f>_xlfn.FORECAST.ETS(F3,'International Data'!$M$22:$BN$22,'International Data'!$M$1:$BN$1)</f>
        <v>22.484903684874944</v>
      </c>
      <c r="W14" s="68">
        <f>_xlfn.FORECAST.ETS(G3,'International Data'!$M$22:$BN$22,'International Data'!$M$1:$BN$1)</f>
        <v>22.636050745368777</v>
      </c>
      <c r="X14" s="68">
        <f>_xlfn.FORECAST.ETS(H3,'International Data'!$M$22:$BN$22,'International Data'!$M$1:$BN$1)</f>
        <v>23.391786047837957</v>
      </c>
      <c r="Z14" s="156" t="s">
        <v>87</v>
      </c>
      <c r="AA14" s="132">
        <f>_xlfn.FORECAST.ETS(C3,'International Data'!$C$28:$BN$28,'International Data'!$C$1:$BN$1)</f>
        <v>45.134431499914193</v>
      </c>
      <c r="AB14" s="132">
        <f>_xlfn.FORECAST.ETS(D3,'International Data'!$C$28:$BN$28,'International Data'!$C$1:$BN$1)</f>
        <v>45.531238892651011</v>
      </c>
      <c r="AC14" s="132">
        <f>_xlfn.FORECAST.ETS(E3,'International Data'!$C$28:$BN$28,'International Data'!$C$1:$BN$1)</f>
        <v>45.928046285387857</v>
      </c>
      <c r="AD14" s="132">
        <f>_xlfn.FORECAST.ETS(F3,'International Data'!$C$28:$BN$28,'International Data'!$C$1:$BN$1)</f>
        <v>46.324853678124676</v>
      </c>
      <c r="AE14" s="132">
        <f>_xlfn.FORECAST.ETS(G3,'International Data'!$C$28:$BN$28,'International Data'!$C$1:$BN$1)</f>
        <v>46.721661070861529</v>
      </c>
      <c r="AF14" s="132">
        <f>_xlfn.FORECAST.ETS(H3,'International Data'!$C$28:$BN$28,'International Data'!$C$1:$BN$1)</f>
        <v>48.705698034545676</v>
      </c>
      <c r="AH14" t="s">
        <v>87</v>
      </c>
      <c r="AI14" s="117">
        <f>_xlfn.FORECAST.ETS(AI3,'International Data'!$AC$32:$BN$32,'International Data'!$AC$1:$BN$1)</f>
        <v>84.585625428659512</v>
      </c>
      <c r="AJ14" s="117">
        <f>_xlfn.FORECAST.ETS(AI3,'International Data'!$AC$32:$BN$32,'International Data'!$AC$1:$BN$1)</f>
        <v>84.585625428659512</v>
      </c>
      <c r="AK14" s="117">
        <f>_xlfn.FORECAST.ETS(AI3,'International Data'!$AC$32:$BN$32,'International Data'!$AC$1:$BN$1)</f>
        <v>84.585625428659512</v>
      </c>
      <c r="AL14" s="117">
        <f>_xlfn.FORECAST.ETS(AI3,'International Data'!$AC$32:$BN$32,'International Data'!$AC$1:$BN$1)</f>
        <v>84.585625428659512</v>
      </c>
      <c r="AM14" s="117">
        <f>_xlfn.FORECAST.ETS(AI3,'International Data'!$AC$32:$BN$32,'International Data'!$AC$1:$BN$1)</f>
        <v>84.585625428659512</v>
      </c>
      <c r="AN14" s="117">
        <f>_xlfn.FORECAST.ETS(AI3,'International Data'!$AC$32:$BN$32,'International Data'!$AC$1:$BN$1)</f>
        <v>84.585625428659512</v>
      </c>
      <c r="AP14" t="s">
        <v>87</v>
      </c>
      <c r="AQ14" s="117">
        <f>_xlfn.FORECAST.ETS(AQ3,'International Data'!$M$36:$BO$36,'International Data'!$M$1:$BO$1)</f>
        <v>32.244625716039707</v>
      </c>
      <c r="AR14" s="117">
        <f>_xlfn.FORECAST.ETS(AR3,'International Data'!$M$36:$BO$36,'International Data'!$M$1:$BO$1)</f>
        <v>32.400765904385686</v>
      </c>
      <c r="AS14" s="117">
        <f>_xlfn.FORECAST.ETS(AS3,'International Data'!$M$36:$BO$36,'International Data'!$M$1:$BO$1)</f>
        <v>32.556906092731658</v>
      </c>
      <c r="AT14" s="117">
        <f>_xlfn.FORECAST.ETS(AT3,'International Data'!$M$36:$BO$36,'International Data'!$M$1:$BO$1)</f>
        <v>32.713046281077638</v>
      </c>
      <c r="AU14" s="117">
        <f>_xlfn.FORECAST.ETS(AU3,'International Data'!$M$36:$BO$36,'International Data'!$M$1:$BO$1)</f>
        <v>32.869186469423617</v>
      </c>
      <c r="AV14" s="117">
        <f>_xlfn.FORECAST.ETS(AV3,'International Data'!$M$36:$BO$36,'International Data'!$M$1:$BO$1)</f>
        <v>33.649887411153507</v>
      </c>
    </row>
    <row r="15" spans="1:49" hidden="1">
      <c r="C15" s="68"/>
      <c r="D15" s="68"/>
      <c r="E15" s="68"/>
      <c r="F15" s="68"/>
      <c r="G15" s="68"/>
      <c r="H15" s="68"/>
      <c r="K15" s="68"/>
      <c r="L15" s="68"/>
      <c r="M15" s="68"/>
      <c r="N15" s="68"/>
      <c r="O15" s="68"/>
      <c r="P15" s="68"/>
      <c r="S15" s="68"/>
      <c r="T15" s="68"/>
      <c r="U15" s="68"/>
      <c r="V15" s="68"/>
      <c r="W15" s="68"/>
      <c r="X15" s="68"/>
    </row>
    <row r="16" spans="1:49">
      <c r="B16" t="s">
        <v>89</v>
      </c>
      <c r="C16" s="68"/>
      <c r="D16" s="68"/>
      <c r="E16" s="68"/>
      <c r="F16" s="68"/>
      <c r="G16" s="68"/>
      <c r="H16" s="68"/>
      <c r="J16" t="s">
        <v>89</v>
      </c>
      <c r="K16" s="68"/>
      <c r="L16" s="68"/>
      <c r="M16" s="68"/>
      <c r="N16" s="68"/>
      <c r="O16" s="68"/>
      <c r="P16" s="68"/>
      <c r="S16" s="68"/>
      <c r="T16" s="68"/>
      <c r="U16" s="68"/>
      <c r="V16" s="68"/>
      <c r="W16" s="68"/>
      <c r="X16" s="68"/>
      <c r="AH16" t="s">
        <v>89</v>
      </c>
      <c r="AP16" t="s">
        <v>89</v>
      </c>
    </row>
    <row r="17" spans="1:49" ht="17" customHeight="1">
      <c r="B17" t="s">
        <v>89</v>
      </c>
      <c r="C17" s="68"/>
      <c r="D17" s="68"/>
      <c r="E17" s="68"/>
      <c r="F17" s="68"/>
      <c r="G17" s="68"/>
      <c r="H17" s="68"/>
      <c r="J17" t="s">
        <v>89</v>
      </c>
      <c r="K17" s="68"/>
      <c r="L17" s="68"/>
      <c r="M17" s="68"/>
      <c r="N17" s="68"/>
      <c r="O17" s="68"/>
      <c r="P17" s="68"/>
      <c r="S17" s="68"/>
      <c r="T17" s="68"/>
      <c r="U17" s="68"/>
      <c r="V17" s="68"/>
      <c r="W17" s="68"/>
      <c r="X17" s="68"/>
      <c r="AH17" t="s">
        <v>89</v>
      </c>
      <c r="AP17" t="s">
        <v>89</v>
      </c>
    </row>
    <row r="18" spans="1:49">
      <c r="C18" s="68"/>
      <c r="D18" s="68"/>
      <c r="E18" s="68"/>
      <c r="F18" s="68"/>
      <c r="G18" s="68"/>
      <c r="H18" s="68"/>
      <c r="K18" s="68"/>
      <c r="L18" s="68"/>
      <c r="M18" s="68"/>
      <c r="N18" s="68"/>
      <c r="O18" s="68"/>
      <c r="P18" s="68"/>
      <c r="S18" s="68"/>
      <c r="T18" s="68"/>
      <c r="U18" s="68"/>
      <c r="V18" s="68"/>
      <c r="W18" s="68"/>
      <c r="X18" s="68"/>
    </row>
    <row r="19" spans="1:49">
      <c r="B19" s="65" t="s">
        <v>93</v>
      </c>
      <c r="C19" s="118"/>
      <c r="D19" s="118"/>
      <c r="E19" s="118"/>
      <c r="F19" s="118"/>
      <c r="G19" s="118"/>
      <c r="H19" s="118"/>
      <c r="I19" s="1"/>
      <c r="J19" s="65" t="s">
        <v>93</v>
      </c>
      <c r="K19" s="118"/>
      <c r="L19" s="118"/>
      <c r="M19" s="118"/>
      <c r="N19" s="118"/>
      <c r="O19" s="118"/>
      <c r="P19" s="118"/>
      <c r="Q19" s="1"/>
      <c r="R19" s="65" t="s">
        <v>93</v>
      </c>
      <c r="S19" s="118"/>
      <c r="T19" s="118"/>
      <c r="U19" s="118"/>
      <c r="V19" s="118"/>
      <c r="W19" s="118"/>
      <c r="X19" s="118"/>
      <c r="Y19" s="1"/>
      <c r="Z19" s="158" t="s">
        <v>93</v>
      </c>
      <c r="AA19" s="163">
        <f t="shared" ref="AA19:AF19" si="4">AVERAGE(AA13:AA14)</f>
        <v>44.502029437505385</v>
      </c>
      <c r="AB19" s="163">
        <f t="shared" si="4"/>
        <v>44.898700862346061</v>
      </c>
      <c r="AC19" s="163">
        <f t="shared" si="4"/>
        <v>45.295372287186765</v>
      </c>
      <c r="AD19" s="163">
        <f t="shared" si="4"/>
        <v>45.692586911283527</v>
      </c>
      <c r="AE19" s="163">
        <f t="shared" si="4"/>
        <v>46.089258336124232</v>
      </c>
      <c r="AF19" s="163">
        <f t="shared" si="4"/>
        <v>48.073158659583761</v>
      </c>
      <c r="AG19" s="164"/>
      <c r="AH19" s="65" t="s">
        <v>93</v>
      </c>
      <c r="AI19" s="1"/>
      <c r="AJ19" s="1"/>
      <c r="AK19" s="1"/>
      <c r="AL19" s="1"/>
      <c r="AM19" s="1"/>
      <c r="AN19" s="1"/>
      <c r="AO19" s="1"/>
      <c r="AP19" s="65" t="s">
        <v>93</v>
      </c>
      <c r="AQ19" s="1"/>
      <c r="AR19" s="1"/>
      <c r="AS19" s="1"/>
      <c r="AT19" s="1"/>
      <c r="AU19" s="1"/>
      <c r="AV19" s="1"/>
      <c r="AW19" s="1"/>
    </row>
    <row r="20" spans="1:49">
      <c r="A20" s="71" t="s">
        <v>5</v>
      </c>
      <c r="C20" s="68"/>
      <c r="D20" s="68"/>
      <c r="E20" s="68"/>
      <c r="F20" s="68"/>
      <c r="G20" s="68"/>
      <c r="H20" s="68"/>
      <c r="K20" s="68"/>
      <c r="L20" s="68"/>
      <c r="M20" s="68"/>
      <c r="N20" s="68"/>
      <c r="O20" s="68"/>
      <c r="P20" s="68"/>
      <c r="S20" s="68"/>
      <c r="T20" s="68"/>
      <c r="U20" s="68"/>
      <c r="V20" s="68"/>
      <c r="W20" s="68"/>
      <c r="X20" s="68"/>
    </row>
    <row r="21" spans="1:49">
      <c r="A21" s="72"/>
      <c r="B21" s="63" t="s">
        <v>6</v>
      </c>
      <c r="C21" s="68"/>
      <c r="D21" s="68"/>
      <c r="E21" s="68"/>
      <c r="F21" s="68"/>
      <c r="G21" s="68"/>
      <c r="H21" s="68"/>
      <c r="J21" s="63" t="s">
        <v>7</v>
      </c>
      <c r="K21" s="68"/>
      <c r="L21" s="68"/>
      <c r="M21" s="68"/>
      <c r="N21" s="68"/>
      <c r="O21" s="68"/>
      <c r="P21" s="68"/>
      <c r="R21" s="63" t="s">
        <v>9</v>
      </c>
      <c r="S21" s="68"/>
      <c r="T21" s="68"/>
      <c r="U21" s="68"/>
      <c r="V21" s="68"/>
      <c r="W21" s="68"/>
      <c r="X21" s="68"/>
      <c r="Z21" s="159"/>
      <c r="AH21" s="3"/>
      <c r="AP21" s="63" t="s">
        <v>12</v>
      </c>
    </row>
    <row r="22" spans="1:49">
      <c r="A22" s="72"/>
      <c r="B22" t="s">
        <v>86</v>
      </c>
      <c r="C22" s="68" cm="1">
        <f t="array" ref="C22:H22">TREND('International Data'!BJ9:BN9,'International Data'!BJ1:BN1,'International Forecast'!C3:H3)</f>
        <v>47.118616480588749</v>
      </c>
      <c r="D22" s="68">
        <v>47.695800318114159</v>
      </c>
      <c r="E22" s="68">
        <v>48.27298415563957</v>
      </c>
      <c r="F22" s="68">
        <v>48.851749318747231</v>
      </c>
      <c r="G22" s="68">
        <v>49.428933156272642</v>
      </c>
      <c r="H22" s="68">
        <v>52.316433669481945</v>
      </c>
      <c r="J22" t="s">
        <v>86</v>
      </c>
      <c r="K22" s="68" cm="1">
        <f t="array" ref="K22:P22">TREND('International Data'!$AL$14:$BN$14,'International Data'!$AL$1:$BN$1,'International Forecast'!K3:P3)</f>
        <v>53.352137253550168</v>
      </c>
      <c r="L22" s="68">
        <v>53.098839310500047</v>
      </c>
      <c r="M22" s="68">
        <v>52.845541367449918</v>
      </c>
      <c r="N22" s="68">
        <v>52.591549457432528</v>
      </c>
      <c r="O22" s="68">
        <v>52.338251514382399</v>
      </c>
      <c r="P22" s="68">
        <v>51.071067832164509</v>
      </c>
      <c r="R22" t="s">
        <v>86</v>
      </c>
      <c r="S22" s="68" cm="1">
        <f t="array" ref="S22:X22">TREND('International Data'!$BC$24:$BN$24,'International Data'!$BC$1:$BN$1,'International Forecast'!S3:X3)</f>
        <v>56.038300395305242</v>
      </c>
      <c r="T22" s="68">
        <v>57.795121101293802</v>
      </c>
      <c r="U22" s="68">
        <v>59.551941807282333</v>
      </c>
      <c r="V22" s="68">
        <v>61.313575720684554</v>
      </c>
      <c r="W22" s="68">
        <v>63.070396426673113</v>
      </c>
      <c r="X22" s="68">
        <v>71.859313164029516</v>
      </c>
      <c r="AA22" s="162"/>
      <c r="AB22" s="162"/>
      <c r="AC22" s="162"/>
      <c r="AD22" s="162"/>
      <c r="AE22" s="162"/>
      <c r="AF22" s="162"/>
      <c r="AI22" s="68"/>
      <c r="AJ22" s="68"/>
      <c r="AK22" s="68"/>
      <c r="AL22" s="68"/>
      <c r="AM22" s="68"/>
      <c r="AN22" s="68"/>
      <c r="AP22" t="s">
        <v>86</v>
      </c>
      <c r="AQ22" s="117" cm="1">
        <f t="array" ref="AQ22:AV22">TREND('International Data'!$AG$37:$BN$37,'International Data'!$AG$1:$BN$1,'International Forecast'!AQ3:AV3)</f>
        <v>191.82004359610221</v>
      </c>
      <c r="AR22" s="117">
        <v>196.05363108607798</v>
      </c>
      <c r="AS22" s="117">
        <v>200.28721857605365</v>
      </c>
      <c r="AT22" s="117">
        <v>204.53240493586497</v>
      </c>
      <c r="AU22" s="117">
        <v>208.76599242584064</v>
      </c>
      <c r="AV22" s="117">
        <v>229.94552874555484</v>
      </c>
    </row>
    <row r="23" spans="1:49">
      <c r="B23" t="s">
        <v>87</v>
      </c>
      <c r="C23" s="68">
        <f>_xlfn.FORECAST.ETS(C3,'International Data'!$BJ$9:$BN$9,'International Data'!$BJ$1:$BN$1)</f>
        <v>46.537382724904106</v>
      </c>
      <c r="D23" s="68">
        <f>_xlfn.FORECAST.ETS(D3,'International Data'!$BJ$9:$BN$9,'International Data'!$BJ$1:$BN$1)</f>
        <v>47.089383609151731</v>
      </c>
      <c r="E23" s="68">
        <f>_xlfn.FORECAST.ETS(E3,'International Data'!$BJ$9:$BN$9,'International Data'!$BJ$1:$BN$1)</f>
        <v>47.641384493399357</v>
      </c>
      <c r="F23" s="68">
        <f>_xlfn.FORECAST.ETS(F3,'International Data'!$BJ$9:$BN$9,'International Data'!$BJ$1:$BN$1)</f>
        <v>48.19338537764699</v>
      </c>
      <c r="G23" s="68">
        <f>_xlfn.FORECAST.ETS(G3,'International Data'!$BJ$9:$BN$9,'International Data'!$BJ$1:$BN$1)</f>
        <v>48.745386261894616</v>
      </c>
      <c r="H23" s="68">
        <f>_xlfn.FORECAST.ETS(H3,'International Data'!$BJ$9:$BN$9,'International Data'!$BJ$1:$BN$1)</f>
        <v>51.505390683132752</v>
      </c>
      <c r="J23" t="s">
        <v>87</v>
      </c>
      <c r="K23" s="68">
        <f>_xlfn.FORECAST.ETS(C3,'International Data'!$AL$14:$BN$14,'International Data'!$AL$1:$BN$1)</f>
        <v>60.584260967154393</v>
      </c>
      <c r="L23" s="68">
        <f>_xlfn.FORECAST.ETS(D3,'International Data'!$AL$14:$BN$14,'International Data'!$AL$1:$BN$1)</f>
        <v>60.330792004502555</v>
      </c>
      <c r="M23" s="68">
        <f>_xlfn.FORECAST.ETS(E3,'International Data'!$AL$14:$BN$14,'International Data'!$AL$1:$BN$1)</f>
        <v>60.077323041850718</v>
      </c>
      <c r="N23" s="68">
        <f>_xlfn.FORECAST.ETS(F3,'International Data'!$AL$14:$BN$14,'International Data'!$AL$1:$BN$1)</f>
        <v>59.823854079198881</v>
      </c>
      <c r="O23" s="68">
        <f>_xlfn.FORECAST.ETS(G3,'International Data'!$AL$14:$BN$14,'International Data'!$AL$1:$BN$1)</f>
        <v>59.570385116547044</v>
      </c>
      <c r="P23" s="68">
        <f>_xlfn.FORECAST.ETS(H3,'International Data'!$AL$14:$BN$14,'International Data'!$AL$1:$BN$1)</f>
        <v>58.303040303287851</v>
      </c>
      <c r="R23" t="s">
        <v>87</v>
      </c>
      <c r="S23" s="68">
        <f>_xlfn.FORECAST.ETS(C3,'International Data'!$BC$24:$BN$24,'International Data'!$BC$1:$BN$1)</f>
        <v>56.899806154356412</v>
      </c>
      <c r="T23" s="68">
        <f>_xlfn.FORECAST.ETS(D3,'International Data'!$BC$24:$BN$24,'International Data'!$BC$1:$BN$1)</f>
        <v>58.646366829081536</v>
      </c>
      <c r="U23" s="68">
        <f>_xlfn.FORECAST.ETS(E3,'International Data'!$BC$24:$BN$24,'International Data'!$BC$1:$BN$1)</f>
        <v>60.392927503806668</v>
      </c>
      <c r="V23" s="68">
        <f>_xlfn.FORECAST.ETS(F3,'International Data'!$BC$24:$BN$24,'International Data'!$BC$1:$BN$1)</f>
        <v>62.139488178531792</v>
      </c>
      <c r="W23" s="68">
        <f>_xlfn.FORECAST.ETS(G3,'International Data'!$BC$24:$BN$24,'International Data'!$BC$1:$BN$1)</f>
        <v>63.886048853256924</v>
      </c>
      <c r="X23" s="68">
        <f>_xlfn.FORECAST.ETS(H3,'International Data'!$BC$24:$BN$24,'International Data'!$BC$1:$BN$1)</f>
        <v>72.618852226882566</v>
      </c>
      <c r="Z23" s="156" t="s">
        <v>233</v>
      </c>
      <c r="AH23" t="s">
        <v>233</v>
      </c>
      <c r="AP23" t="s">
        <v>87</v>
      </c>
      <c r="AQ23" s="117">
        <f>_xlfn.FORECAST.ETS(AQ3,'International Data'!$AG$37:$BN$37,'International Data'!$AG$1:$BN$1)</f>
        <v>152.44252181468093</v>
      </c>
      <c r="AR23" s="117">
        <f>_xlfn.FORECAST.ETS(AR3,'International Data'!$AG$37:$BN$37,'International Data'!$AG$1:$BN$1)</f>
        <v>156.64508158793467</v>
      </c>
      <c r="AS23" s="117">
        <f>_xlfn.FORECAST.ETS(AS3,'International Data'!$AG$37:$BN$37,'International Data'!$AG$1:$BN$1)</f>
        <v>160.84764136118841</v>
      </c>
      <c r="AT23" s="117">
        <f>_xlfn.FORECAST.ETS(AT3,'International Data'!$AG$37:$BN$37,'International Data'!$AG$1:$BN$1)</f>
        <v>165.05020113444215</v>
      </c>
      <c r="AU23" s="117">
        <f>_xlfn.FORECAST.ETS(AU3,'International Data'!$AG$37:$BN$37,'International Data'!$AG$1:$BN$1)</f>
        <v>169.25276090769589</v>
      </c>
      <c r="AV23" s="117">
        <f>_xlfn.FORECAST.ETS(AV3,'International Data'!$AG$37:$BN$37,'International Data'!$AG$1:$BN$1)</f>
        <v>190.26555977396455</v>
      </c>
    </row>
    <row r="24" spans="1:49" hidden="1">
      <c r="C24" s="68"/>
      <c r="D24" s="68"/>
      <c r="E24" s="68"/>
      <c r="F24" s="68"/>
      <c r="G24" s="68"/>
      <c r="H24" s="68"/>
      <c r="K24" s="68"/>
      <c r="L24" s="68"/>
      <c r="M24" s="68"/>
      <c r="N24" s="68"/>
      <c r="O24" s="68"/>
      <c r="P24" s="68"/>
      <c r="S24" s="68"/>
      <c r="T24" s="68"/>
      <c r="U24" s="68"/>
      <c r="V24" s="68"/>
      <c r="W24" s="68"/>
      <c r="X24" s="68"/>
    </row>
    <row r="25" spans="1:49">
      <c r="B25" t="s">
        <v>89</v>
      </c>
      <c r="C25" s="68"/>
      <c r="D25" s="68"/>
      <c r="E25" s="68"/>
      <c r="F25" s="68"/>
      <c r="G25" s="68"/>
      <c r="H25" s="68"/>
      <c r="J25" t="s">
        <v>89</v>
      </c>
      <c r="K25" s="68"/>
      <c r="L25" s="68"/>
      <c r="M25" s="68"/>
      <c r="N25" s="68"/>
      <c r="O25" s="68"/>
      <c r="P25" s="68"/>
      <c r="R25" t="s">
        <v>89</v>
      </c>
      <c r="S25" s="68"/>
      <c r="T25" s="68"/>
      <c r="U25" s="68"/>
      <c r="V25" s="68"/>
      <c r="W25" s="68"/>
      <c r="X25" s="68"/>
      <c r="AP25" t="s">
        <v>89</v>
      </c>
    </row>
    <row r="26" spans="1:49">
      <c r="B26" t="s">
        <v>89</v>
      </c>
      <c r="C26" s="68"/>
      <c r="D26" s="68"/>
      <c r="E26" s="68"/>
      <c r="F26" s="68"/>
      <c r="G26" s="68"/>
      <c r="H26" s="68"/>
      <c r="J26" t="s">
        <v>89</v>
      </c>
      <c r="K26" s="68"/>
      <c r="L26" s="68"/>
      <c r="M26" s="68"/>
      <c r="N26" s="68"/>
      <c r="O26" s="68"/>
      <c r="P26" s="68"/>
      <c r="R26" t="s">
        <v>89</v>
      </c>
      <c r="S26" s="68"/>
      <c r="T26" s="68"/>
      <c r="U26" s="68"/>
      <c r="V26" s="68"/>
      <c r="W26" s="68"/>
      <c r="X26" s="68"/>
      <c r="AP26" t="s">
        <v>89</v>
      </c>
    </row>
    <row r="27" spans="1:49">
      <c r="C27" s="68"/>
      <c r="D27" s="68"/>
      <c r="E27" s="68"/>
      <c r="F27" s="68"/>
      <c r="G27" s="68"/>
      <c r="H27" s="68"/>
      <c r="K27" s="68"/>
      <c r="L27" s="68"/>
      <c r="M27" s="68"/>
      <c r="N27" s="68"/>
      <c r="O27" s="68"/>
      <c r="P27" s="68"/>
      <c r="S27" s="68"/>
      <c r="T27" s="68"/>
      <c r="U27" s="68"/>
      <c r="V27" s="68"/>
      <c r="W27" s="68"/>
      <c r="X27" s="68"/>
    </row>
    <row r="28" spans="1:49">
      <c r="B28" s="65" t="s">
        <v>93</v>
      </c>
      <c r="C28" s="118"/>
      <c r="D28" s="118"/>
      <c r="E28" s="118"/>
      <c r="F28" s="118"/>
      <c r="G28" s="118"/>
      <c r="H28" s="118"/>
      <c r="I28" s="1"/>
      <c r="J28" s="65" t="s">
        <v>93</v>
      </c>
      <c r="K28" s="118"/>
      <c r="L28" s="118"/>
      <c r="M28" s="118"/>
      <c r="N28" s="118"/>
      <c r="O28" s="118"/>
      <c r="P28" s="118"/>
      <c r="Q28" s="1"/>
      <c r="R28" s="65" t="s">
        <v>93</v>
      </c>
      <c r="S28" s="118"/>
      <c r="T28" s="118"/>
      <c r="U28" s="118"/>
      <c r="V28" s="118"/>
      <c r="W28" s="118"/>
      <c r="X28" s="118"/>
      <c r="Y28" s="1"/>
      <c r="Z28" s="158"/>
      <c r="AA28" s="164"/>
      <c r="AB28" s="164"/>
      <c r="AC28" s="164"/>
      <c r="AD28" s="164"/>
      <c r="AE28" s="164"/>
      <c r="AF28" s="164"/>
      <c r="AG28" s="164"/>
      <c r="AH28" s="65"/>
      <c r="AI28" s="1"/>
      <c r="AJ28" s="1"/>
      <c r="AK28" s="1"/>
      <c r="AL28" s="1"/>
      <c r="AM28" s="1"/>
      <c r="AN28" s="1"/>
      <c r="AO28" s="1"/>
      <c r="AP28" s="65" t="s">
        <v>93</v>
      </c>
      <c r="AQ28" s="1"/>
      <c r="AR28" s="1"/>
      <c r="AS28" s="1"/>
      <c r="AT28" s="1"/>
      <c r="AU28" s="1"/>
      <c r="AV28" s="1"/>
      <c r="AW28" s="1"/>
    </row>
    <row r="29" spans="1:49">
      <c r="A29" s="71" t="s">
        <v>91</v>
      </c>
      <c r="C29" s="68"/>
      <c r="D29" s="68"/>
      <c r="E29" s="68"/>
      <c r="F29" s="68"/>
      <c r="G29" s="68"/>
      <c r="H29" s="68"/>
      <c r="K29" s="68"/>
      <c r="L29" s="68"/>
      <c r="M29" s="68"/>
      <c r="N29" s="68"/>
      <c r="O29" s="68"/>
      <c r="P29" s="68"/>
      <c r="S29" s="68"/>
      <c r="T29" s="68"/>
      <c r="U29" s="68"/>
      <c r="V29" s="68"/>
      <c r="W29" s="68"/>
      <c r="X29" s="68"/>
    </row>
    <row r="30" spans="1:49">
      <c r="A30" s="71" t="s">
        <v>92</v>
      </c>
      <c r="B30" s="63" t="s">
        <v>6</v>
      </c>
      <c r="C30" s="68"/>
      <c r="D30" s="68"/>
      <c r="E30" s="68"/>
      <c r="F30" s="68"/>
      <c r="G30" s="68"/>
      <c r="H30" s="68"/>
      <c r="J30" s="63" t="s">
        <v>7</v>
      </c>
      <c r="K30" s="68"/>
      <c r="L30" s="68"/>
      <c r="M30" s="68"/>
      <c r="N30" s="68"/>
      <c r="O30" s="68"/>
      <c r="P30" s="68"/>
      <c r="R30" s="63" t="s">
        <v>9</v>
      </c>
      <c r="S30" s="68"/>
      <c r="T30" s="68"/>
      <c r="U30" s="68"/>
      <c r="V30" s="68"/>
      <c r="W30" s="68"/>
      <c r="X30" s="68"/>
      <c r="Z30" s="157" t="s">
        <v>10</v>
      </c>
      <c r="AH30" s="63" t="s">
        <v>11</v>
      </c>
      <c r="AP30" s="63" t="s">
        <v>12</v>
      </c>
    </row>
    <row r="31" spans="1:49">
      <c r="B31" t="s">
        <v>86</v>
      </c>
      <c r="C31" s="68" cm="1">
        <f t="array" ref="C31:H31">TREND('International Data'!$AH$10:$BO$10,'International Data'!$AH$1:$BO$1,'International Forecast'!C3:H3)</f>
        <v>3.7887425297949413</v>
      </c>
      <c r="D31" s="68">
        <v>3.7811552698731807</v>
      </c>
      <c r="E31" s="68">
        <v>3.7735680099514202</v>
      </c>
      <c r="F31" s="68">
        <v>3.7659599630161749</v>
      </c>
      <c r="G31" s="68">
        <v>3.7583727030944143</v>
      </c>
      <c r="H31" s="68">
        <v>3.7204156164721258</v>
      </c>
      <c r="J31" t="s">
        <v>86</v>
      </c>
      <c r="K31" s="68" cm="1">
        <f t="array" ref="K31:P31">TREND('International Data'!$AH$15:$BO$15,'International Data'!$AH$1:$BO$1,'International Forecast'!K3:P3)</f>
        <v>5.5682778101345516</v>
      </c>
      <c r="L31" s="68">
        <v>5.4534390423759724</v>
      </c>
      <c r="M31" s="68">
        <v>5.3386002746173933</v>
      </c>
      <c r="N31" s="68">
        <v>5.223446880097832</v>
      </c>
      <c r="O31" s="68">
        <v>5.1086081123392528</v>
      </c>
      <c r="P31" s="68">
        <v>4.5340996467853767</v>
      </c>
      <c r="R31" t="s">
        <v>86</v>
      </c>
      <c r="S31" s="68" cm="1">
        <f t="array" ref="S31:X31">TREND('International Data'!$AH$25:$BN$25,'International Data'!$AH$1:$BN$1,'International Forecast'!S3:X3)</f>
        <v>3.39786819086852</v>
      </c>
      <c r="T31" s="68">
        <v>3.3826566438980521</v>
      </c>
      <c r="U31" s="68">
        <v>3.3674450969275842</v>
      </c>
      <c r="V31" s="68">
        <v>3.352191874485964</v>
      </c>
      <c r="W31" s="68">
        <v>3.3369803275154961</v>
      </c>
      <c r="X31" s="68">
        <v>3.2608809171920043</v>
      </c>
      <c r="Z31" s="156" t="s">
        <v>86</v>
      </c>
      <c r="AA31" s="132" cm="1">
        <f t="array" ref="AA31:AF31">TREND('International Data'!$AH$29:$BN$29,'International Data'!$AH$1:$BN$1,'International Forecast'!AA3:AF3)</f>
        <v>3.4796444563299915</v>
      </c>
      <c r="AB31" s="132">
        <v>3.4866654613099701</v>
      </c>
      <c r="AC31" s="132">
        <v>3.4936864662899487</v>
      </c>
      <c r="AD31" s="132">
        <v>3.500726706900009</v>
      </c>
      <c r="AE31" s="132">
        <v>3.5077477118799876</v>
      </c>
      <c r="AF31" s="132">
        <v>3.5428719724099622</v>
      </c>
      <c r="AH31" t="s">
        <v>86</v>
      </c>
      <c r="AI31" s="117" cm="1">
        <f t="array" ref="AI31:AN31">TREND('International Data'!$AH$33:$BO$33,'International Data'!$AH$1:$BO$1,'International Forecast'!AI3:AN3)</f>
        <v>1.4483934650047221</v>
      </c>
      <c r="AJ31" s="117">
        <v>1.4247080758623554</v>
      </c>
      <c r="AK31" s="117">
        <v>1.4010226867199882</v>
      </c>
      <c r="AL31" s="117">
        <v>1.3772724061005186</v>
      </c>
      <c r="AM31" s="117">
        <v>1.3535870169581514</v>
      </c>
      <c r="AN31" s="117">
        <v>1.235095179769214</v>
      </c>
      <c r="AP31" t="s">
        <v>86</v>
      </c>
      <c r="AQ31" s="117" cm="1">
        <f t="array" ref="AQ31:AV31">TREND('International Data'!$AH$38:$BO$38,'International Data'!$AH$1:$BO$1,'International Forecast'!AQ3:AV3)</f>
        <v>3.7944344409199786</v>
      </c>
      <c r="AR31" s="117">
        <v>3.6654090626204443</v>
      </c>
      <c r="AS31" s="117">
        <v>3.53638368432091</v>
      </c>
      <c r="AT31" s="117">
        <v>3.407004811834252</v>
      </c>
      <c r="AU31" s="117">
        <v>3.2779794335347177</v>
      </c>
      <c r="AV31" s="117">
        <v>2.6324990478499259</v>
      </c>
    </row>
    <row r="32" spans="1:49">
      <c r="B32" t="s">
        <v>87</v>
      </c>
      <c r="C32" s="68">
        <f>_xlfn.FORECAST.ETS(C3,'International Data'!$AH$10:$BO$10,'International Data'!$AH$1:$BO$1)</f>
        <v>2.6958149732620322</v>
      </c>
      <c r="D32" s="68">
        <f>_xlfn.FORECAST.ETS(D3,'International Data'!$AH$10:$BO$10,'International Data'!$AH$1:$BO$1)</f>
        <v>2.6882224598930482</v>
      </c>
      <c r="E32" s="68">
        <f>_xlfn.FORECAST.ETS(E3,'International Data'!$AH$10:$BO$10,'International Data'!$AH$1:$BO$1)</f>
        <v>2.6806299465240646</v>
      </c>
      <c r="F32" s="68">
        <f>_xlfn.FORECAST.ETS(F3,'International Data'!$AH$10:$BO$10,'International Data'!$AH$1:$BO$1)</f>
        <v>2.6730374331550806</v>
      </c>
      <c r="G32" s="68">
        <f>_xlfn.FORECAST.ETS(G3,'International Data'!$AH$10:$BO$10,'International Data'!$AH$1:$BO$1)</f>
        <v>2.6654449197860965</v>
      </c>
      <c r="H32" s="68">
        <f>_xlfn.FORECAST.ETS(H3,'International Data'!$AH$10:$BO$10,'International Data'!$AH$1:$BO$1)</f>
        <v>2.6274823529411773</v>
      </c>
      <c r="J32" t="s">
        <v>87</v>
      </c>
      <c r="K32" s="68">
        <f>_xlfn.FORECAST.ETS(C3,'International Data'!$AH$15:$BO$15,'International Data'!$AH$1:$BO$1)</f>
        <v>6.2201659281894583</v>
      </c>
      <c r="L32" s="68">
        <f>_xlfn.FORECAST.ETS(D3,'International Data'!$AH$15:$BO$15,'International Data'!$AH$1:$BO$1)</f>
        <v>6.1052488922841857</v>
      </c>
      <c r="M32" s="68">
        <f>_xlfn.FORECAST.ETS(E3,'International Data'!$AH$15:$BO$15,'International Data'!$AH$1:$BO$1)</f>
        <v>5.9903318563789165</v>
      </c>
      <c r="N32" s="68">
        <f>_xlfn.FORECAST.ETS(F3,'International Data'!$AH$15:$BO$15,'International Data'!$AH$1:$BO$1)</f>
        <v>5.8754148204736429</v>
      </c>
      <c r="O32" s="68">
        <f>_xlfn.FORECAST.ETS(G3,'International Data'!$AH$15:$BO$15,'International Data'!$AH$1:$BO$1)</f>
        <v>5.7604977845683747</v>
      </c>
      <c r="P32" s="68">
        <f>_xlfn.FORECAST.ETS(H3,'International Data'!$AH$15:$BO$15,'International Data'!$AH$1:$BO$1)</f>
        <v>5.1859126050420175</v>
      </c>
      <c r="R32" t="s">
        <v>87</v>
      </c>
      <c r="S32" s="68">
        <f>_xlfn.FORECAST.ETS(C3,'International Data'!$AH$25:$BN$25,'International Data'!$AH$1:$BN$1)</f>
        <v>2.5543322192513371</v>
      </c>
      <c r="T32" s="68">
        <f>_xlfn.FORECAST.ETS(D3,'International Data'!$AH$25:$BN$25,'International Data'!$AH$1:$BN$1)</f>
        <v>2.5391096256684493</v>
      </c>
      <c r="U32" s="68">
        <f>_xlfn.FORECAST.ETS(E3,'International Data'!$AH$25:$BN$25,'International Data'!$AH$1:$BN$1)</f>
        <v>2.523887032085562</v>
      </c>
      <c r="V32" s="68">
        <f>_xlfn.FORECAST.ETS(F3,'International Data'!$AH$25:$BN$25,'International Data'!$AH$1:$BN$1)</f>
        <v>2.5086644385026742</v>
      </c>
      <c r="W32" s="68">
        <f>_xlfn.FORECAST.ETS(G3,'International Data'!$AH$25:$BN$25,'International Data'!$AH$1:$BN$1)</f>
        <v>2.4934418449197864</v>
      </c>
      <c r="X32" s="68">
        <f>_xlfn.FORECAST.ETS(H3,'International Data'!$AH$25:$BN$25,'International Data'!$AH$1:$BN$1)</f>
        <v>2.4173288770053483</v>
      </c>
      <c r="Z32" s="156" t="s">
        <v>87</v>
      </c>
      <c r="AA32" s="132">
        <f>_xlfn.FORECAST.ETS(AA3,'International Data'!$AH$29:$BN$29,'International Data'!$AH$1:$BN$1)</f>
        <v>2.723330683258856</v>
      </c>
      <c r="AB32" s="132">
        <f>_xlfn.FORECAST.ETS(AB3,'International Data'!$AH$29:$BN$29,'International Data'!$AH$1:$BN$1)</f>
        <v>2.7304011643812349</v>
      </c>
      <c r="AC32" s="132">
        <f>_xlfn.FORECAST.ETS(AC3,'International Data'!$AH$29:$BN$29,'International Data'!$AH$1:$BN$1)</f>
        <v>2.7374716455036139</v>
      </c>
      <c r="AD32" s="132">
        <f>_xlfn.FORECAST.ETS(AD3,'International Data'!$AH$29:$BN$29,'International Data'!$AH$1:$BN$1)</f>
        <v>2.7445421266259924</v>
      </c>
      <c r="AE32" s="132">
        <f>_xlfn.FORECAST.ETS(AE3,'International Data'!$AH$29:$BN$29,'International Data'!$AH$1:$BN$1)</f>
        <v>2.7516126077483714</v>
      </c>
      <c r="AF32" s="132">
        <f>_xlfn.FORECAST.ETS(AF3,'International Data'!$AH$29:$BN$29,'International Data'!$AH$1:$BN$1)</f>
        <v>2.7869650133602661</v>
      </c>
      <c r="AH32" t="s">
        <v>87</v>
      </c>
      <c r="AI32" s="117">
        <f>_xlfn.FORECAST.ETS(AI3,'International Data'!$AH$33:$BO$33,'International Data'!$AH$1:$BO$1)</f>
        <v>1.3943981189524106</v>
      </c>
      <c r="AJ32" s="117">
        <f>_xlfn.FORECAST.ETS(AJ3,'International Data'!$AH$33:$BO$33,'International Data'!$AH$1:$BO$1)</f>
        <v>1.374296623231186</v>
      </c>
      <c r="AK32" s="117">
        <f>_xlfn.FORECAST.ETS(AK3,'International Data'!$AH$33:$BO$33,'International Data'!$AH$1:$BO$1)</f>
        <v>1.3541951275099597</v>
      </c>
      <c r="AL32" s="117">
        <f>_xlfn.FORECAST.ETS(AL3,'International Data'!$AH$33:$BO$33,'International Data'!$AH$1:$BO$1)</f>
        <v>1.3340936317887353</v>
      </c>
      <c r="AM32" s="117">
        <f>_xlfn.FORECAST.ETS(AM3,'International Data'!$AH$33:$BO$33,'International Data'!$AH$1:$BO$1)</f>
        <v>1.3139921360675091</v>
      </c>
      <c r="AN32" s="117">
        <f>_xlfn.FORECAST.ETS(AN3,'International Data'!$AH$33:$BO$33,'International Data'!$AH$1:$BO$1)</f>
        <v>1.2134846574613831</v>
      </c>
      <c r="AP32" t="s">
        <v>87</v>
      </c>
      <c r="AQ32" s="117">
        <f>_xlfn.FORECAST.ETS(AQ3,'International Data'!$AH$38:$BO$38,'International Data'!$AH$1:$BO$1)</f>
        <v>3.8527720397249809</v>
      </c>
      <c r="AR32" s="117">
        <f>_xlfn.FORECAST.ETS(AR3,'International Data'!$AH$38:$BO$38,'International Data'!$AH$1:$BO$1)</f>
        <v>3.7236580595874713</v>
      </c>
      <c r="AS32" s="117">
        <f>_xlfn.FORECAST.ETS(AS3,'International Data'!$AH$38:$BO$38,'International Data'!$AH$1:$BO$1)</f>
        <v>3.5945440794499621</v>
      </c>
      <c r="AT32" s="117">
        <f>_xlfn.FORECAST.ETS(AT3,'International Data'!$AH$38:$BO$38,'International Data'!$AH$1:$BO$1)</f>
        <v>3.4654300993124529</v>
      </c>
      <c r="AU32" s="117">
        <f>_xlfn.FORECAST.ETS(AU3,'International Data'!$AH$38:$BO$38,'International Data'!$AH$1:$BO$1)</f>
        <v>3.3363161191749433</v>
      </c>
      <c r="AV32" s="117">
        <f>_xlfn.FORECAST.ETS(AV3,'International Data'!$AH$38:$BO$38,'International Data'!$AH$1:$BO$1)</f>
        <v>2.690746218487396</v>
      </c>
    </row>
    <row r="33" spans="1:49" hidden="1">
      <c r="C33" s="68"/>
      <c r="D33" s="68"/>
      <c r="E33" s="68"/>
      <c r="F33" s="68"/>
      <c r="G33" s="68"/>
      <c r="H33" s="68"/>
      <c r="K33" s="68"/>
      <c r="L33" s="68"/>
      <c r="M33" s="68"/>
      <c r="N33" s="68"/>
      <c r="O33" s="68"/>
      <c r="P33" s="68"/>
      <c r="S33" s="68"/>
      <c r="T33" s="68"/>
      <c r="U33" s="68"/>
      <c r="V33" s="68"/>
      <c r="W33" s="68"/>
      <c r="X33" s="68"/>
      <c r="AA33" s="165"/>
      <c r="AB33" s="165"/>
      <c r="AC33" s="165"/>
      <c r="AD33" s="165"/>
      <c r="AE33" s="165"/>
      <c r="AF33" s="165"/>
    </row>
    <row r="34" spans="1:49">
      <c r="B34" t="s">
        <v>89</v>
      </c>
      <c r="C34" s="68"/>
      <c r="D34" s="68"/>
      <c r="E34" s="68"/>
      <c r="F34" s="68"/>
      <c r="G34" s="68"/>
      <c r="H34" s="68"/>
      <c r="J34" t="s">
        <v>89</v>
      </c>
      <c r="K34" s="68"/>
      <c r="L34" s="68"/>
      <c r="M34" s="68"/>
      <c r="N34" s="68"/>
      <c r="O34" s="68"/>
      <c r="P34" s="68"/>
      <c r="R34" t="s">
        <v>89</v>
      </c>
      <c r="S34" s="68"/>
      <c r="T34" s="68"/>
      <c r="U34" s="68"/>
      <c r="V34" s="68"/>
      <c r="W34" s="68"/>
      <c r="X34" s="68"/>
      <c r="AH34" t="s">
        <v>89</v>
      </c>
      <c r="AP34" t="s">
        <v>89</v>
      </c>
    </row>
    <row r="35" spans="1:49">
      <c r="B35" t="s">
        <v>89</v>
      </c>
      <c r="C35" s="68"/>
      <c r="D35" s="68"/>
      <c r="E35" s="68"/>
      <c r="F35" s="68"/>
      <c r="G35" s="68"/>
      <c r="H35" s="68"/>
      <c r="J35" t="s">
        <v>89</v>
      </c>
      <c r="K35" s="68"/>
      <c r="L35" s="68"/>
      <c r="M35" s="68"/>
      <c r="N35" s="68"/>
      <c r="O35" s="68"/>
      <c r="P35" s="68"/>
      <c r="R35" t="s">
        <v>89</v>
      </c>
      <c r="S35" s="68"/>
      <c r="T35" s="68"/>
      <c r="U35" s="68"/>
      <c r="V35" s="68"/>
      <c r="W35" s="68"/>
      <c r="X35" s="68"/>
      <c r="AH35" t="s">
        <v>89</v>
      </c>
      <c r="AP35" t="s">
        <v>89</v>
      </c>
    </row>
    <row r="36" spans="1:49">
      <c r="C36" s="68"/>
      <c r="D36" s="68"/>
      <c r="E36" s="68"/>
      <c r="F36" s="68"/>
      <c r="G36" s="68"/>
      <c r="H36" s="68"/>
      <c r="K36" s="68"/>
      <c r="L36" s="68"/>
      <c r="M36" s="68"/>
      <c r="N36" s="68"/>
      <c r="O36" s="68"/>
      <c r="P36" s="68"/>
      <c r="S36" s="68"/>
      <c r="T36" s="68"/>
      <c r="U36" s="68"/>
      <c r="V36" s="68"/>
      <c r="W36" s="68"/>
      <c r="X36" s="68"/>
    </row>
    <row r="37" spans="1:49">
      <c r="A37" s="72"/>
      <c r="B37" s="65" t="s">
        <v>93</v>
      </c>
      <c r="C37" s="118"/>
      <c r="D37" s="118"/>
      <c r="E37" s="118"/>
      <c r="F37" s="118"/>
      <c r="G37" s="118"/>
      <c r="H37" s="118"/>
      <c r="I37" s="1"/>
      <c r="J37" s="65" t="s">
        <v>93</v>
      </c>
      <c r="K37" s="118"/>
      <c r="L37" s="118"/>
      <c r="M37" s="118"/>
      <c r="N37" s="118"/>
      <c r="O37" s="118"/>
      <c r="P37" s="118"/>
      <c r="Q37" s="1"/>
      <c r="R37" s="65" t="s">
        <v>93</v>
      </c>
      <c r="S37" s="118"/>
      <c r="T37" s="118"/>
      <c r="U37" s="118"/>
      <c r="V37" s="118"/>
      <c r="W37" s="118"/>
      <c r="X37" s="118"/>
      <c r="Y37" s="1"/>
      <c r="Z37" s="158" t="s">
        <v>93</v>
      </c>
      <c r="AA37" s="163">
        <f t="shared" ref="AA37:AF37" si="5">AVERAGE(AA31:AA32)</f>
        <v>3.1014875697944237</v>
      </c>
      <c r="AB37" s="163">
        <f t="shared" si="5"/>
        <v>3.1085333128456023</v>
      </c>
      <c r="AC37" s="163">
        <f t="shared" si="5"/>
        <v>3.1155790558967813</v>
      </c>
      <c r="AD37" s="163">
        <f t="shared" si="5"/>
        <v>3.1226344167630007</v>
      </c>
      <c r="AE37" s="163">
        <f t="shared" si="5"/>
        <v>3.1296801598141792</v>
      </c>
      <c r="AF37" s="163">
        <f t="shared" si="5"/>
        <v>3.1649184928851142</v>
      </c>
      <c r="AG37" s="164"/>
      <c r="AH37" s="65" t="s">
        <v>93</v>
      </c>
      <c r="AI37" s="1"/>
      <c r="AJ37" s="1"/>
      <c r="AK37" s="1"/>
      <c r="AL37" s="1"/>
      <c r="AM37" s="1"/>
      <c r="AN37" s="1"/>
      <c r="AO37" s="1"/>
      <c r="AP37" s="65" t="s">
        <v>93</v>
      </c>
      <c r="AQ37" s="1"/>
      <c r="AR37" s="1"/>
      <c r="AS37" s="1"/>
      <c r="AT37" s="1"/>
      <c r="AU37" s="1"/>
      <c r="AV37" s="1"/>
      <c r="AW37" s="1"/>
    </row>
    <row r="38" spans="1:49">
      <c r="A38" s="71" t="s">
        <v>47</v>
      </c>
      <c r="C38" s="68"/>
      <c r="D38" s="68"/>
      <c r="E38" s="68"/>
      <c r="F38" s="68"/>
      <c r="G38" s="68"/>
      <c r="H38" s="68"/>
      <c r="K38" s="68"/>
      <c r="L38" s="68"/>
      <c r="M38" s="68"/>
      <c r="N38" s="68"/>
      <c r="O38" s="68"/>
      <c r="P38" s="68"/>
      <c r="S38" s="68"/>
      <c r="T38" s="68"/>
      <c r="U38" s="68"/>
      <c r="V38" s="68"/>
      <c r="W38" s="68"/>
      <c r="X38" s="68"/>
    </row>
    <row r="39" spans="1:49">
      <c r="B39" s="63" t="s">
        <v>6</v>
      </c>
      <c r="C39" s="68"/>
      <c r="D39" s="68"/>
      <c r="E39" s="68"/>
      <c r="F39" s="68"/>
      <c r="G39" s="68"/>
      <c r="H39" s="68"/>
      <c r="J39" s="63" t="s">
        <v>7</v>
      </c>
      <c r="K39" s="68"/>
      <c r="L39" s="68"/>
      <c r="M39" s="68"/>
      <c r="N39" s="68"/>
      <c r="O39" s="68"/>
      <c r="P39" s="68"/>
      <c r="R39" s="63" t="s">
        <v>9</v>
      </c>
      <c r="S39" s="68"/>
      <c r="T39" s="68"/>
      <c r="U39" s="68"/>
      <c r="V39" s="68"/>
      <c r="W39" s="68"/>
      <c r="X39" s="68"/>
      <c r="Z39" s="157" t="s">
        <v>10</v>
      </c>
      <c r="AH39" s="63" t="s">
        <v>11</v>
      </c>
      <c r="AP39" s="63" t="s">
        <v>12</v>
      </c>
    </row>
    <row r="40" spans="1:49">
      <c r="B40" t="s">
        <v>86</v>
      </c>
      <c r="C40" s="68" cm="1">
        <f t="array" ref="C40:H40">TREND('International Data'!$C$11:$BO$11,'International Data'!$C$1:$BO$1,'International Forecast'!C3:H3)</f>
        <v>10.761845577638159</v>
      </c>
      <c r="D40" s="68">
        <v>10.541204600920604</v>
      </c>
      <c r="E40" s="68">
        <v>10.320563624203047</v>
      </c>
      <c r="F40" s="68">
        <v>10.099318151658867</v>
      </c>
      <c r="G40" s="68">
        <v>9.8786771749413127</v>
      </c>
      <c r="H40" s="68">
        <v>8.7748677955269052</v>
      </c>
      <c r="J40" t="s">
        <v>86</v>
      </c>
      <c r="K40" s="68" cm="1">
        <f t="array" ref="K40:P40">TREND('International Data'!$C$16:$BO$16,'International Data'!$C$1:$BO$1,'International Forecast'!K3:P3)</f>
        <v>1.8351078861581618</v>
      </c>
      <c r="L40" s="68">
        <v>1.7796385759340509</v>
      </c>
      <c r="M40" s="68">
        <v>1.7241692657099401</v>
      </c>
      <c r="N40" s="68">
        <v>1.6685479847728866</v>
      </c>
      <c r="O40" s="68">
        <v>1.6130786745487757</v>
      </c>
      <c r="P40" s="68">
        <v>1.3355801527152789</v>
      </c>
      <c r="R40" t="s">
        <v>86</v>
      </c>
      <c r="S40" s="68" cm="1">
        <f t="array" ref="S40:X40">TREND('International Data'!$C$26:$BO$26,'International Data'!$C$1:$BO$1,'International Forecast'!S3:X3)</f>
        <v>-1.4310326896633132</v>
      </c>
      <c r="T40" s="68">
        <v>-1.5592282443523526</v>
      </c>
      <c r="U40" s="68">
        <v>-1.6874237990413956</v>
      </c>
      <c r="V40" s="68">
        <v>-1.8159705744282153</v>
      </c>
      <c r="W40" s="68">
        <v>-1.9441661291172583</v>
      </c>
      <c r="X40" s="68">
        <v>-2.5854951232602428</v>
      </c>
      <c r="Z40" s="156" t="s">
        <v>86</v>
      </c>
      <c r="AA40" s="132" cm="1">
        <f t="array" ref="AA40:AF40">TREND('International Data'!$C$30:$BO$30,'International Data'!$C$1:$BO$1,'International Forecast'!AA3:AF3)</f>
        <v>-1.0499759903841124</v>
      </c>
      <c r="AB40" s="132">
        <v>-1.3013732689312363</v>
      </c>
      <c r="AC40" s="132">
        <v>-1.5527705474783602</v>
      </c>
      <c r="AD40" s="132">
        <v>-1.8048565856927326</v>
      </c>
      <c r="AE40" s="132">
        <v>-2.0562538642398565</v>
      </c>
      <c r="AF40" s="132">
        <v>-3.3139290166427244</v>
      </c>
      <c r="AH40" t="s">
        <v>86</v>
      </c>
      <c r="AI40" s="117" cm="1">
        <f t="array" ref="AI40:AN40">TREND('International Data'!$AM$34:$BO$34,'International Data'!$AM$1:$BO$1,'International Forecast'!AI3:AN3)</f>
        <v>4.6017989414991103</v>
      </c>
      <c r="AJ40" s="117">
        <v>4.5387571851511979</v>
      </c>
      <c r="AK40" s="117">
        <v>4.4757154288032837</v>
      </c>
      <c r="AL40" s="117">
        <v>4.412500955314691</v>
      </c>
      <c r="AM40" s="117">
        <v>4.3494591989667786</v>
      </c>
      <c r="AN40" s="117">
        <v>4.0340777000865327</v>
      </c>
      <c r="AP40" t="s">
        <v>86</v>
      </c>
      <c r="AQ40" s="117" cm="1">
        <f t="array" ref="AQ40:AV40">TREND('International Data'!$C$39:$BO$39,'International Data'!$C$1:$BO$1,'International Forecast'!AQ3:AV3)</f>
        <v>1.639363969986487</v>
      </c>
      <c r="AR40" s="117">
        <v>1.5378741601551713</v>
      </c>
      <c r="AS40" s="117">
        <v>1.4363843503238556</v>
      </c>
      <c r="AT40" s="117">
        <v>1.33461648621903</v>
      </c>
      <c r="AU40" s="117">
        <v>1.233126676387716</v>
      </c>
      <c r="AV40" s="117">
        <v>0.72539957295762925</v>
      </c>
    </row>
    <row r="41" spans="1:49">
      <c r="B41" t="s">
        <v>87</v>
      </c>
      <c r="C41" s="68">
        <f>_xlfn.FORECAST.ETS(C3,'International Data'!$C$11:$BO$11,'International Data'!$C$1:$BO$1)</f>
        <v>4.3876264124223461</v>
      </c>
      <c r="D41" s="68">
        <f>_xlfn.FORECAST.ETS(D3,'International Data'!$C$11:$BO$11,'International Data'!$C$1:$BO$1)</f>
        <v>4.1808366645618555</v>
      </c>
      <c r="E41" s="68">
        <f>_xlfn.FORECAST.ETS(E3,'International Data'!$C$11:$BO$11,'International Data'!$C$1:$BO$1)</f>
        <v>3.9740469167013659</v>
      </c>
      <c r="F41" s="68">
        <f>_xlfn.FORECAST.ETS(F3,'International Data'!$C$11:$BO$11,'International Data'!$C$1:$BO$1)</f>
        <v>3.7672571688408754</v>
      </c>
      <c r="G41" s="68">
        <f>_xlfn.FORECAST.ETS(G3,'International Data'!$C$11:$BO$11,'International Data'!$C$1:$BO$1)</f>
        <v>3.5604674209803857</v>
      </c>
      <c r="H41" s="68">
        <f>_xlfn.FORECAST.ETS(H3,'International Data'!$C$11:$BO$11,'International Data'!$C$1:$BO$1)</f>
        <v>2.5265186816779348</v>
      </c>
      <c r="J41" t="s">
        <v>87</v>
      </c>
      <c r="K41" s="68">
        <f>_xlfn.FORECAST.ETS(C3,'International Data'!$C$16:$BO$16,'International Data'!$C$1:$BO$1)</f>
        <v>2.4503969841959119</v>
      </c>
      <c r="L41" s="68">
        <f>_xlfn.FORECAST.ETS(D3,'International Data'!$C$16:$BO$16,'International Data'!$C$1:$BO$1)</f>
        <v>2.3998473052855021</v>
      </c>
      <c r="M41" s="68">
        <f>_xlfn.FORECAST.ETS(E3,'International Data'!$C$16:$BO$16,'International Data'!$C$1:$BO$1)</f>
        <v>2.3492976263750904</v>
      </c>
      <c r="N41" s="68">
        <f>_xlfn.FORECAST.ETS(F3,'International Data'!$C$16:$BO$16,'International Data'!$C$1:$BO$1)</f>
        <v>2.2987479474646801</v>
      </c>
      <c r="O41" s="68">
        <f>_xlfn.FORECAST.ETS(G3,'International Data'!$C$16:$BO$16,'International Data'!$C$1:$BO$1)</f>
        <v>2.2481982685542685</v>
      </c>
      <c r="P41" s="68">
        <f>_xlfn.FORECAST.ETS(H3,'International Data'!$C$16:$BO$16,'International Data'!$C$1:$BO$1)</f>
        <v>1.995449874002216</v>
      </c>
      <c r="R41" t="s">
        <v>87</v>
      </c>
      <c r="S41" s="68">
        <f>_xlfn.FORECAST.ETS(C3,'International Data'!$C$26:$BO$26,'International Data'!$C$1:$BO$1)</f>
        <v>2.504081177166257</v>
      </c>
      <c r="T41" s="68">
        <f>_xlfn.FORECAST.ETS(D3,'International Data'!$C$26:$BO$26,'International Data'!$C$1:$BO$1)</f>
        <v>2.385267224364541</v>
      </c>
      <c r="U41" s="68">
        <f>_xlfn.FORECAST.ETS(E3,'International Data'!$C$26:$BO$26,'International Data'!$C$1:$BO$1)</f>
        <v>2.2664532715628321</v>
      </c>
      <c r="V41" s="68">
        <f>_xlfn.FORECAST.ETS(F3,'International Data'!$C$26:$BO$26,'International Data'!$C$1:$BO$1)</f>
        <v>2.147639318761116</v>
      </c>
      <c r="W41" s="68">
        <f>_xlfn.FORECAST.ETS(G3,'International Data'!$C$26:$BO$26,'International Data'!$C$1:$BO$1)</f>
        <v>2.0288253659594067</v>
      </c>
      <c r="X41" s="68">
        <f>_xlfn.FORECAST.ETS(H3,'International Data'!$C$26:$BO$26,'International Data'!$C$1:$BO$1)</f>
        <v>1.4347556019508405</v>
      </c>
      <c r="Z41" s="156" t="s">
        <v>87</v>
      </c>
      <c r="AA41" s="132">
        <f>_xlfn.FORECAST.ETS(AA3,'International Data'!$C$30:$BO$30,'International Data'!$C$1:$BO$1)</f>
        <v>1.954074167720222</v>
      </c>
      <c r="AB41" s="132">
        <f>_xlfn.FORECAST.ETS(AB3,'International Data'!$C$30:$BO$30,'International Data'!$C$1:$BO$1)</f>
        <v>1.7136766481444212</v>
      </c>
      <c r="AC41" s="132">
        <f>_xlfn.FORECAST.ETS(AC3,'International Data'!$C$30:$BO$30,'International Data'!$C$1:$BO$1)</f>
        <v>1.4732791285686455</v>
      </c>
      <c r="AD41" s="132">
        <f>_xlfn.FORECAST.ETS(AD3,'International Data'!$C$30:$BO$30,'International Data'!$C$1:$BO$1)</f>
        <v>1.2328816089928449</v>
      </c>
      <c r="AE41" s="132">
        <f>_xlfn.FORECAST.ETS(AE3,'International Data'!$C$30:$BO$30,'International Data'!$C$1:$BO$1)</f>
        <v>0.99248408941706889</v>
      </c>
      <c r="AF41" s="132">
        <f>_xlfn.FORECAST.ETS(AF3,'International Data'!$C$30:$BO$30,'International Data'!$C$1:$BO$1)</f>
        <v>-0.20950350846188429</v>
      </c>
      <c r="AH41" t="s">
        <v>87</v>
      </c>
      <c r="AI41" s="117">
        <f>_xlfn.FORECAST.ETS(AI3,'International Data'!$AM$34:$BO$34,'International Data'!$AM$1:$BO$1)</f>
        <v>3.3587077738497406</v>
      </c>
      <c r="AJ41" s="117">
        <f>_xlfn.FORECAST.ETS(AJ3,'International Data'!$AM$34:$BO$34,'International Data'!$AM$1:$BO$1)</f>
        <v>3.295026688840009</v>
      </c>
      <c r="AK41" s="117">
        <f>_xlfn.FORECAST.ETS(AK3,'International Data'!$AM$34:$BO$34,'International Data'!$AM$1:$BO$1)</f>
        <v>3.2313456038302895</v>
      </c>
      <c r="AL41" s="117">
        <f>_xlfn.FORECAST.ETS(AL3,'International Data'!$AM$34:$BO$34,'International Data'!$AM$1:$BO$1)</f>
        <v>3.1676645188205579</v>
      </c>
      <c r="AM41" s="117">
        <f>_xlfn.FORECAST.ETS(AM3,'International Data'!$AM$34:$BO$34,'International Data'!$AM$1:$BO$1)</f>
        <v>3.1039834338108383</v>
      </c>
      <c r="AN41" s="117">
        <f>_xlfn.FORECAST.ETS(AN3,'International Data'!$AM$34:$BO$34,'International Data'!$AM$1:$BO$1)</f>
        <v>2.7855780087622044</v>
      </c>
      <c r="AP41" t="s">
        <v>87</v>
      </c>
      <c r="AQ41" s="117">
        <f>_xlfn.FORECAST.ETS(AQ3,'International Data'!$C$39:$BO$39,'International Data'!$C$1:$BO$1)</f>
        <v>3.4357353463205946</v>
      </c>
      <c r="AR41" s="117">
        <f>_xlfn.FORECAST.ETS(AR3,'International Data'!$C$39:$BO$39,'International Data'!$C$1:$BO$1)</f>
        <v>3.3437482583651374</v>
      </c>
      <c r="AS41" s="117">
        <f>_xlfn.FORECAST.ETS(AS3,'International Data'!$C$39:$BO$39,'International Data'!$C$1:$BO$1)</f>
        <v>3.2517611704096736</v>
      </c>
      <c r="AT41" s="117">
        <f>_xlfn.FORECAST.ETS(AT3,'International Data'!$C$39:$BO$39,'International Data'!$C$1:$BO$1)</f>
        <v>3.1597740824542169</v>
      </c>
      <c r="AU41" s="117">
        <f>_xlfn.FORECAST.ETS(AU3,'International Data'!$C$39:$BO$39,'International Data'!$C$1:$BO$1)</f>
        <v>3.0677869944987526</v>
      </c>
      <c r="AV41" s="117">
        <f>_xlfn.FORECAST.ETS(AV3,'International Data'!$C$39:$BO$39,'International Data'!$C$1:$BO$1)</f>
        <v>2.6078515547214542</v>
      </c>
    </row>
    <row r="42" spans="1:49" hidden="1">
      <c r="C42" s="68"/>
      <c r="D42" s="68"/>
      <c r="E42" s="68"/>
      <c r="F42" s="68"/>
      <c r="G42" s="68"/>
      <c r="H42" s="68"/>
      <c r="K42" s="68"/>
      <c r="L42" s="68"/>
      <c r="M42" s="68"/>
      <c r="N42" s="68"/>
      <c r="O42" s="68"/>
      <c r="P42" s="68"/>
      <c r="S42" s="68"/>
      <c r="T42" s="68"/>
      <c r="U42" s="68"/>
      <c r="V42" s="68"/>
      <c r="W42" s="68"/>
      <c r="X42" s="68"/>
    </row>
    <row r="43" spans="1:49">
      <c r="B43" t="s">
        <v>89</v>
      </c>
      <c r="C43" s="68"/>
      <c r="D43" s="68"/>
      <c r="E43" s="68"/>
      <c r="F43" s="68"/>
      <c r="G43" s="68"/>
      <c r="H43" s="68"/>
      <c r="J43" t="s">
        <v>89</v>
      </c>
      <c r="K43" s="68"/>
      <c r="L43" s="68"/>
      <c r="M43" s="68"/>
      <c r="N43" s="68"/>
      <c r="O43" s="68"/>
      <c r="P43" s="68"/>
      <c r="R43" t="s">
        <v>89</v>
      </c>
      <c r="S43" s="68"/>
      <c r="T43" s="68"/>
      <c r="U43" s="68"/>
      <c r="V43" s="68"/>
      <c r="W43" s="68"/>
      <c r="X43" s="68"/>
      <c r="AH43" t="s">
        <v>89</v>
      </c>
      <c r="AP43" t="s">
        <v>89</v>
      </c>
    </row>
    <row r="44" spans="1:49">
      <c r="B44" t="s">
        <v>89</v>
      </c>
      <c r="C44" s="68"/>
      <c r="D44" s="68"/>
      <c r="E44" s="68"/>
      <c r="F44" s="68"/>
      <c r="G44" s="68"/>
      <c r="H44" s="68"/>
      <c r="J44" t="s">
        <v>89</v>
      </c>
      <c r="K44" s="68"/>
      <c r="L44" s="68"/>
      <c r="M44" s="68"/>
      <c r="N44" s="68"/>
      <c r="O44" s="68"/>
      <c r="P44" s="68"/>
      <c r="R44" t="s">
        <v>89</v>
      </c>
      <c r="AH44" t="s">
        <v>89</v>
      </c>
      <c r="AP44" t="s">
        <v>89</v>
      </c>
    </row>
    <row r="46" spans="1:49">
      <c r="B46" s="65" t="s">
        <v>93</v>
      </c>
      <c r="C46" s="1"/>
      <c r="D46" s="1"/>
      <c r="E46" s="1"/>
      <c r="F46" s="1"/>
      <c r="G46" s="1"/>
      <c r="H46" s="1"/>
      <c r="I46" s="1"/>
      <c r="J46" s="65" t="s">
        <v>93</v>
      </c>
      <c r="K46" s="1"/>
      <c r="L46" s="1"/>
      <c r="M46" s="1"/>
      <c r="N46" s="1"/>
      <c r="O46" s="1"/>
      <c r="P46" s="1"/>
      <c r="Q46" s="1"/>
      <c r="R46" s="65" t="s">
        <v>93</v>
      </c>
      <c r="S46" s="1"/>
      <c r="T46" s="1"/>
      <c r="U46" s="1"/>
      <c r="V46" s="1"/>
      <c r="W46" s="1"/>
      <c r="X46" s="1"/>
      <c r="Y46" s="1"/>
      <c r="Z46" s="158" t="s">
        <v>93</v>
      </c>
      <c r="AA46" s="163">
        <f t="shared" ref="AA46:AF46" si="6">AVERAGE(AA40:AA41)</f>
        <v>0.45204908866805482</v>
      </c>
      <c r="AB46" s="163">
        <f t="shared" si="6"/>
        <v>0.20615168960659247</v>
      </c>
      <c r="AC46" s="163">
        <f t="shared" si="6"/>
        <v>-3.9745709454857336E-2</v>
      </c>
      <c r="AD46" s="163">
        <f t="shared" si="6"/>
        <v>-0.28598748834994381</v>
      </c>
      <c r="AE46" s="163">
        <f t="shared" si="6"/>
        <v>-0.53188488741139373</v>
      </c>
      <c r="AF46" s="163">
        <f t="shared" si="6"/>
        <v>-1.7617162625523044</v>
      </c>
      <c r="AG46" s="164"/>
      <c r="AH46" s="65" t="s">
        <v>93</v>
      </c>
      <c r="AI46" s="1"/>
      <c r="AJ46" s="1"/>
      <c r="AK46" s="1"/>
      <c r="AL46" s="1"/>
      <c r="AM46" s="1"/>
      <c r="AN46" s="1"/>
      <c r="AO46" s="1"/>
      <c r="AP46" s="65" t="s">
        <v>93</v>
      </c>
      <c r="AQ46" s="1"/>
      <c r="AR46" s="1"/>
      <c r="AS46" s="1"/>
      <c r="AT46" s="1"/>
      <c r="AU46" s="1"/>
      <c r="AV46" s="1"/>
      <c r="AW46"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EF476-692B-C44F-82B8-99BB528C28FE}">
  <dimension ref="B3:P23"/>
  <sheetViews>
    <sheetView showGridLines="0" workbookViewId="0">
      <selection activeCell="B19" sqref="B19"/>
    </sheetView>
  </sheetViews>
  <sheetFormatPr baseColWidth="10" defaultRowHeight="16"/>
  <cols>
    <col min="5" max="5" width="58.6640625" bestFit="1" customWidth="1"/>
  </cols>
  <sheetData>
    <row r="3" spans="2:16">
      <c r="B3" t="s">
        <v>265</v>
      </c>
      <c r="C3" s="167">
        <v>0.5</v>
      </c>
      <c r="E3" t="s">
        <v>266</v>
      </c>
      <c r="G3" t="s">
        <v>267</v>
      </c>
      <c r="I3" t="s">
        <v>268</v>
      </c>
      <c r="J3" t="s">
        <v>269</v>
      </c>
      <c r="L3" t="s">
        <v>270</v>
      </c>
      <c r="M3" t="s">
        <v>271</v>
      </c>
      <c r="O3" t="s">
        <v>272</v>
      </c>
      <c r="P3" t="s">
        <v>273</v>
      </c>
    </row>
    <row r="4" spans="2:16">
      <c r="B4" t="s">
        <v>9</v>
      </c>
      <c r="C4" s="167">
        <v>0.35</v>
      </c>
      <c r="E4" t="s">
        <v>274</v>
      </c>
      <c r="G4" t="s">
        <v>275</v>
      </c>
      <c r="L4" t="s">
        <v>270</v>
      </c>
      <c r="M4" t="s">
        <v>271</v>
      </c>
    </row>
    <row r="5" spans="2:16">
      <c r="B5" t="s">
        <v>276</v>
      </c>
      <c r="C5">
        <v>20</v>
      </c>
      <c r="E5" t="s">
        <v>277</v>
      </c>
      <c r="L5" t="s">
        <v>270</v>
      </c>
      <c r="M5" t="s">
        <v>278</v>
      </c>
    </row>
    <row r="6" spans="2:16">
      <c r="B6" t="s">
        <v>279</v>
      </c>
      <c r="C6">
        <v>32</v>
      </c>
      <c r="E6" t="s">
        <v>280</v>
      </c>
      <c r="L6" t="s">
        <v>270</v>
      </c>
      <c r="M6" t="s">
        <v>278</v>
      </c>
    </row>
    <row r="7" spans="2:16">
      <c r="B7" t="s">
        <v>281</v>
      </c>
      <c r="C7">
        <v>46</v>
      </c>
      <c r="E7" t="s">
        <v>282</v>
      </c>
      <c r="L7" t="s">
        <v>270</v>
      </c>
      <c r="M7" t="s">
        <v>283</v>
      </c>
    </row>
    <row r="8" spans="2:16">
      <c r="B8" t="s">
        <v>284</v>
      </c>
      <c r="C8">
        <v>25</v>
      </c>
      <c r="E8" t="s">
        <v>285</v>
      </c>
      <c r="L8" t="s">
        <v>270</v>
      </c>
      <c r="M8" t="s">
        <v>286</v>
      </c>
    </row>
    <row r="9" spans="2:16">
      <c r="B9" t="s">
        <v>288</v>
      </c>
      <c r="C9" t="s">
        <v>289</v>
      </c>
      <c r="E9" t="s">
        <v>290</v>
      </c>
      <c r="M9" s="167">
        <v>0.3</v>
      </c>
    </row>
    <row r="10" spans="2:16">
      <c r="B10" t="s">
        <v>292</v>
      </c>
      <c r="C10" t="s">
        <v>294</v>
      </c>
    </row>
    <row r="11" spans="2:16">
      <c r="B11" t="s">
        <v>293</v>
      </c>
      <c r="C11">
        <v>26</v>
      </c>
      <c r="M11" s="167">
        <v>0.25</v>
      </c>
    </row>
    <row r="19" spans="2:2">
      <c r="B19" t="s">
        <v>287</v>
      </c>
    </row>
    <row r="23" spans="2:2">
      <c r="B23" t="s">
        <v>291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4C852-4BBB-7242-B34E-89639096C523}">
  <dimension ref="A1:E41"/>
  <sheetViews>
    <sheetView showGridLines="0" tabSelected="1" topLeftCell="A4" workbookViewId="0">
      <selection activeCell="A12" sqref="A12"/>
    </sheetView>
  </sheetViews>
  <sheetFormatPr baseColWidth="10" defaultRowHeight="16"/>
  <cols>
    <col min="1" max="1" width="40.83203125" customWidth="1"/>
    <col min="2" max="3" width="25.83203125" customWidth="1"/>
    <col min="4" max="4" width="50.83203125" customWidth="1"/>
    <col min="5" max="5" width="74" bestFit="1" customWidth="1"/>
  </cols>
  <sheetData>
    <row r="1" spans="1:5">
      <c r="A1" s="171" t="s">
        <v>315</v>
      </c>
      <c r="B1" s="172" t="s">
        <v>295</v>
      </c>
      <c r="C1" s="172"/>
      <c r="D1" s="172" t="s">
        <v>296</v>
      </c>
      <c r="E1" s="173" t="s">
        <v>297</v>
      </c>
    </row>
    <row r="2" spans="1:5">
      <c r="A2" s="174" t="s">
        <v>316</v>
      </c>
      <c r="B2" s="168" t="s">
        <v>298</v>
      </c>
      <c r="C2" s="168"/>
      <c r="D2" s="168" t="s">
        <v>299</v>
      </c>
      <c r="E2" s="175" t="s">
        <v>300</v>
      </c>
    </row>
    <row r="3" spans="1:5">
      <c r="A3" s="176"/>
      <c r="B3" s="168" t="s">
        <v>301</v>
      </c>
      <c r="C3" s="168"/>
      <c r="D3" s="168" t="s">
        <v>302</v>
      </c>
      <c r="E3" s="175" t="s">
        <v>303</v>
      </c>
    </row>
    <row r="4" spans="1:5">
      <c r="A4" s="176"/>
      <c r="B4" s="168" t="s">
        <v>304</v>
      </c>
      <c r="C4" s="168"/>
      <c r="D4" s="168" t="s">
        <v>305</v>
      </c>
      <c r="E4" s="175" t="s">
        <v>306</v>
      </c>
    </row>
    <row r="5" spans="1:5" ht="17" thickBot="1">
      <c r="A5" s="177"/>
      <c r="B5" s="178" t="s">
        <v>307</v>
      </c>
      <c r="C5" s="178"/>
      <c r="D5" s="178" t="s">
        <v>308</v>
      </c>
      <c r="E5" s="179" t="s">
        <v>309</v>
      </c>
    </row>
    <row r="6" spans="1:5">
      <c r="B6" s="168"/>
      <c r="C6" s="168"/>
      <c r="D6" s="168"/>
      <c r="E6" s="168"/>
    </row>
    <row r="7" spans="1:5">
      <c r="B7" s="168" t="s">
        <v>319</v>
      </c>
      <c r="C7" s="168" t="s">
        <v>317</v>
      </c>
      <c r="D7" s="168" t="s">
        <v>320</v>
      </c>
      <c r="E7" s="168" t="s">
        <v>321</v>
      </c>
    </row>
    <row r="8" spans="1:5">
      <c r="B8" s="168"/>
      <c r="C8" s="168"/>
      <c r="D8" s="168"/>
      <c r="E8" s="168"/>
    </row>
    <row r="9" spans="1:5">
      <c r="A9" s="186" t="s">
        <v>14</v>
      </c>
      <c r="B9">
        <v>3</v>
      </c>
      <c r="C9">
        <v>11.79</v>
      </c>
      <c r="D9">
        <v>1</v>
      </c>
      <c r="E9" s="188">
        <v>4</v>
      </c>
    </row>
    <row r="10" spans="1:5">
      <c r="A10" s="184" t="s">
        <v>15</v>
      </c>
      <c r="B10" s="189">
        <v>1</v>
      </c>
      <c r="C10" s="189">
        <v>21.84</v>
      </c>
      <c r="D10" s="187">
        <v>2</v>
      </c>
      <c r="E10" s="187">
        <v>3</v>
      </c>
    </row>
    <row r="11" spans="1:5">
      <c r="A11" s="184" t="s">
        <v>16</v>
      </c>
      <c r="B11" s="189">
        <v>1</v>
      </c>
      <c r="C11" s="189">
        <v>27.47</v>
      </c>
      <c r="D11" s="187">
        <v>2</v>
      </c>
      <c r="E11" s="187">
        <v>4</v>
      </c>
    </row>
    <row r="12" spans="1:5">
      <c r="A12" s="186" t="s">
        <v>17</v>
      </c>
      <c r="B12" s="189">
        <v>1</v>
      </c>
      <c r="C12" s="189">
        <v>46.35</v>
      </c>
      <c r="D12" s="187">
        <v>4</v>
      </c>
      <c r="E12" s="183">
        <v>1</v>
      </c>
    </row>
    <row r="13" spans="1:5">
      <c r="A13" s="184" t="s">
        <v>18</v>
      </c>
      <c r="B13" s="181"/>
      <c r="C13" s="181"/>
      <c r="D13">
        <v>0</v>
      </c>
      <c r="E13" s="183">
        <v>4</v>
      </c>
    </row>
    <row r="14" spans="1:5">
      <c r="A14" s="184" t="s">
        <v>19</v>
      </c>
      <c r="B14" s="181"/>
      <c r="C14" s="181"/>
      <c r="D14">
        <v>0</v>
      </c>
      <c r="E14">
        <v>1</v>
      </c>
    </row>
    <row r="15" spans="1:5">
      <c r="A15" s="184" t="s">
        <v>310</v>
      </c>
      <c r="B15" s="189">
        <v>2</v>
      </c>
      <c r="C15" s="189">
        <v>27.44</v>
      </c>
      <c r="D15" s="187">
        <v>3</v>
      </c>
      <c r="E15" s="187">
        <v>4</v>
      </c>
    </row>
    <row r="16" spans="1:5">
      <c r="A16" s="184" t="s">
        <v>21</v>
      </c>
      <c r="B16" s="181"/>
      <c r="C16" s="181"/>
      <c r="D16">
        <v>0</v>
      </c>
      <c r="E16">
        <v>4</v>
      </c>
    </row>
    <row r="17" spans="1:5">
      <c r="A17" s="184" t="s">
        <v>318</v>
      </c>
      <c r="B17" s="169">
        <v>3</v>
      </c>
      <c r="C17" s="182">
        <v>169.14</v>
      </c>
      <c r="D17">
        <v>0</v>
      </c>
      <c r="E17" s="185">
        <v>2</v>
      </c>
    </row>
    <row r="18" spans="1:5">
      <c r="A18" s="184" t="s">
        <v>311</v>
      </c>
      <c r="B18" s="181">
        <v>3</v>
      </c>
      <c r="C18" s="181"/>
      <c r="D18">
        <v>0</v>
      </c>
      <c r="E18">
        <v>1</v>
      </c>
    </row>
    <row r="19" spans="1:5">
      <c r="A19" s="184" t="s">
        <v>26</v>
      </c>
      <c r="B19" s="181"/>
      <c r="C19" s="181"/>
      <c r="D19">
        <v>0</v>
      </c>
      <c r="E19">
        <v>3</v>
      </c>
    </row>
    <row r="20" spans="1:5">
      <c r="A20" s="184" t="s">
        <v>27</v>
      </c>
      <c r="B20" s="181"/>
      <c r="C20" s="181"/>
      <c r="D20">
        <v>0</v>
      </c>
      <c r="E20">
        <v>3</v>
      </c>
    </row>
    <row r="21" spans="1:5">
      <c r="A21" s="184" t="s">
        <v>28</v>
      </c>
      <c r="B21" s="169">
        <v>3</v>
      </c>
      <c r="C21" s="169">
        <v>9.81</v>
      </c>
      <c r="D21">
        <v>1</v>
      </c>
      <c r="E21">
        <v>1</v>
      </c>
    </row>
    <row r="22" spans="1:5">
      <c r="A22" s="186" t="s">
        <v>29</v>
      </c>
      <c r="B22" s="189">
        <v>2</v>
      </c>
      <c r="C22" s="189">
        <v>40.590000000000003</v>
      </c>
      <c r="D22" s="187">
        <v>3</v>
      </c>
      <c r="E22" s="187">
        <v>4</v>
      </c>
    </row>
    <row r="23" spans="1:5">
      <c r="A23" s="184" t="s">
        <v>30</v>
      </c>
      <c r="B23" s="181"/>
      <c r="C23" s="181"/>
      <c r="D23">
        <v>0</v>
      </c>
      <c r="E23">
        <v>3</v>
      </c>
    </row>
    <row r="24" spans="1:5">
      <c r="A24" s="184" t="s">
        <v>31</v>
      </c>
      <c r="B24" s="181"/>
      <c r="C24" s="181"/>
      <c r="D24">
        <v>0</v>
      </c>
      <c r="E24">
        <v>3</v>
      </c>
    </row>
    <row r="25" spans="1:5">
      <c r="A25" s="184" t="s">
        <v>32</v>
      </c>
      <c r="B25" s="181">
        <v>3</v>
      </c>
      <c r="C25" s="181"/>
      <c r="D25">
        <v>0</v>
      </c>
      <c r="E25">
        <v>3</v>
      </c>
    </row>
    <row r="26" spans="1:5">
      <c r="A26" s="184" t="s">
        <v>33</v>
      </c>
      <c r="B26" s="189">
        <v>1</v>
      </c>
      <c r="C26" s="189">
        <v>44.4</v>
      </c>
      <c r="D26" s="187">
        <v>4</v>
      </c>
      <c r="E26" s="187">
        <v>3</v>
      </c>
    </row>
    <row r="27" spans="1:5">
      <c r="A27" s="170" t="s">
        <v>34</v>
      </c>
      <c r="B27" s="169">
        <v>1</v>
      </c>
      <c r="C27" s="169">
        <v>47.39</v>
      </c>
      <c r="D27">
        <v>4</v>
      </c>
    </row>
    <row r="28" spans="1:5">
      <c r="A28" s="186" t="s">
        <v>35</v>
      </c>
      <c r="B28" s="189">
        <v>3</v>
      </c>
      <c r="C28" s="189">
        <v>52.23</v>
      </c>
      <c r="D28" s="187">
        <v>4</v>
      </c>
      <c r="E28" s="187">
        <v>3</v>
      </c>
    </row>
    <row r="29" spans="1:5">
      <c r="A29" s="184" t="s">
        <v>36</v>
      </c>
      <c r="B29" s="189">
        <v>1</v>
      </c>
      <c r="C29" s="189">
        <v>39.340000000000003</v>
      </c>
      <c r="D29" s="187">
        <v>3</v>
      </c>
      <c r="E29" s="188">
        <v>4</v>
      </c>
    </row>
    <row r="30" spans="1:5">
      <c r="A30" s="180" t="s">
        <v>37</v>
      </c>
      <c r="B30" s="181">
        <v>3</v>
      </c>
      <c r="C30" s="181"/>
      <c r="D30">
        <v>0</v>
      </c>
      <c r="E30" s="183">
        <v>3</v>
      </c>
    </row>
    <row r="31" spans="1:5">
      <c r="A31" s="180" t="s">
        <v>20</v>
      </c>
      <c r="B31" s="181"/>
      <c r="C31" s="181"/>
      <c r="D31">
        <v>0</v>
      </c>
      <c r="E31">
        <v>3</v>
      </c>
    </row>
    <row r="32" spans="1:5">
      <c r="A32" s="184" t="s">
        <v>312</v>
      </c>
      <c r="B32" s="169">
        <v>3</v>
      </c>
      <c r="C32" s="169">
        <v>38.46</v>
      </c>
      <c r="D32">
        <v>3</v>
      </c>
      <c r="E32" s="185">
        <v>2</v>
      </c>
    </row>
    <row r="33" spans="1:5">
      <c r="A33" s="180" t="s">
        <v>39</v>
      </c>
      <c r="B33" s="181">
        <v>3</v>
      </c>
      <c r="C33" s="181"/>
      <c r="D33">
        <v>0</v>
      </c>
      <c r="E33">
        <v>1</v>
      </c>
    </row>
    <row r="34" spans="1:5">
      <c r="A34" s="184" t="s">
        <v>40</v>
      </c>
      <c r="B34" s="189">
        <v>2</v>
      </c>
      <c r="C34" s="189">
        <v>29.42</v>
      </c>
      <c r="D34" s="187">
        <v>3</v>
      </c>
      <c r="E34" s="187"/>
    </row>
    <row r="35" spans="1:5">
      <c r="A35" s="170" t="s">
        <v>41</v>
      </c>
      <c r="B35" s="169">
        <v>3</v>
      </c>
      <c r="C35" s="169">
        <v>23.36</v>
      </c>
      <c r="D35">
        <v>2</v>
      </c>
      <c r="E35">
        <v>4</v>
      </c>
    </row>
    <row r="36" spans="1:5">
      <c r="A36" s="184" t="s">
        <v>42</v>
      </c>
      <c r="B36" s="189">
        <v>2</v>
      </c>
      <c r="C36" s="189">
        <v>33.58</v>
      </c>
      <c r="D36" s="187">
        <v>3</v>
      </c>
      <c r="E36" s="187">
        <v>4</v>
      </c>
    </row>
    <row r="37" spans="1:5">
      <c r="A37" s="170" t="s">
        <v>43</v>
      </c>
      <c r="B37" s="169">
        <v>3</v>
      </c>
      <c r="C37" s="169">
        <v>23.02</v>
      </c>
      <c r="D37">
        <v>3</v>
      </c>
      <c r="E37">
        <v>4</v>
      </c>
    </row>
    <row r="38" spans="1:5">
      <c r="A38" s="184" t="s">
        <v>313</v>
      </c>
      <c r="B38" s="169">
        <v>2</v>
      </c>
      <c r="C38" s="169">
        <v>4.26</v>
      </c>
      <c r="D38">
        <v>1</v>
      </c>
      <c r="E38" s="185">
        <v>2</v>
      </c>
    </row>
    <row r="39" spans="1:5">
      <c r="A39" s="170" t="s">
        <v>44</v>
      </c>
      <c r="B39" s="169">
        <v>2</v>
      </c>
      <c r="C39" s="169"/>
      <c r="D39">
        <v>0</v>
      </c>
      <c r="E39">
        <v>3</v>
      </c>
    </row>
    <row r="40" spans="1:5">
      <c r="A40" s="184" t="s">
        <v>314</v>
      </c>
      <c r="B40" s="169"/>
      <c r="C40" s="169"/>
    </row>
    <row r="41" spans="1:5">
      <c r="B41" s="169"/>
      <c r="C41" s="16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A2D67-8F12-5D48-9335-AB30C8080161}">
  <dimension ref="A3:BD94"/>
  <sheetViews>
    <sheetView showGridLines="0" zoomScale="115" zoomScaleNormal="115" workbookViewId="0">
      <selection activeCell="B98" sqref="B98"/>
    </sheetView>
  </sheetViews>
  <sheetFormatPr baseColWidth="10" defaultRowHeight="16"/>
  <cols>
    <col min="1" max="1" width="17.1640625" style="73" bestFit="1" customWidth="1"/>
    <col min="2" max="2" width="19" bestFit="1" customWidth="1"/>
    <col min="3" max="8" width="8.33203125" bestFit="1" customWidth="1"/>
    <col min="10" max="10" width="19" bestFit="1" customWidth="1"/>
    <col min="11" max="11" width="7.83203125" bestFit="1" customWidth="1"/>
    <col min="12" max="16" width="6.83203125" bestFit="1" customWidth="1"/>
    <col min="18" max="18" width="19" bestFit="1" customWidth="1"/>
    <col min="19" max="24" width="6.6640625" bestFit="1" customWidth="1"/>
    <col min="26" max="26" width="19" bestFit="1" customWidth="1"/>
    <col min="27" max="27" width="7.83203125" bestFit="1" customWidth="1"/>
    <col min="28" max="32" width="6.6640625" bestFit="1" customWidth="1"/>
    <col min="34" max="34" width="19" bestFit="1" customWidth="1"/>
    <col min="35" max="40" width="6.6640625" bestFit="1" customWidth="1"/>
    <col min="42" max="42" width="19" bestFit="1" customWidth="1"/>
    <col min="43" max="48" width="6.6640625" bestFit="1" customWidth="1"/>
    <col min="50" max="50" width="19" bestFit="1" customWidth="1"/>
    <col min="51" max="51" width="7.83203125" bestFit="1" customWidth="1"/>
    <col min="52" max="56" width="6.6640625" bestFit="1" customWidth="1"/>
  </cols>
  <sheetData>
    <row r="3" spans="1:56">
      <c r="A3" s="71" t="s">
        <v>3</v>
      </c>
    </row>
    <row r="4" spans="1:56" ht="18">
      <c r="A4" s="72"/>
      <c r="B4" s="106" t="s">
        <v>15</v>
      </c>
      <c r="C4" s="69">
        <f>DATE(2026,1,1)</f>
        <v>46023</v>
      </c>
      <c r="D4" s="69">
        <f>DATE(2027,1,1)</f>
        <v>46388</v>
      </c>
      <c r="E4" s="69">
        <f>DATE(2028,1,1)</f>
        <v>46753</v>
      </c>
      <c r="F4" s="69">
        <f>DATE(2029,1,1)</f>
        <v>47119</v>
      </c>
      <c r="G4" s="69">
        <f>DATE(2030,1,1)</f>
        <v>47484</v>
      </c>
      <c r="H4" s="69">
        <f>DATE(2035,1,1)</f>
        <v>49310</v>
      </c>
      <c r="J4" s="106" t="s">
        <v>16</v>
      </c>
      <c r="K4" s="69">
        <f>DATE(2026,1,1)</f>
        <v>46023</v>
      </c>
      <c r="L4" s="69">
        <f>DATE(2027,1,1)</f>
        <v>46388</v>
      </c>
      <c r="M4" s="69">
        <f>DATE(2028,1,1)</f>
        <v>46753</v>
      </c>
      <c r="N4" s="69">
        <f>DATE(2029,1,1)</f>
        <v>47119</v>
      </c>
      <c r="O4" s="69">
        <f>DATE(2030,1,1)</f>
        <v>47484</v>
      </c>
      <c r="P4" s="69">
        <f>DATE(2035,1,1)</f>
        <v>49310</v>
      </c>
      <c r="R4" s="106" t="s">
        <v>17</v>
      </c>
      <c r="S4" s="69">
        <f>DATE(2026,1,1)</f>
        <v>46023</v>
      </c>
      <c r="T4" s="69">
        <f>DATE(2027,1,1)</f>
        <v>46388</v>
      </c>
      <c r="U4" s="69">
        <f>DATE(2028,1,1)</f>
        <v>46753</v>
      </c>
      <c r="V4" s="69">
        <f>DATE(2029,1,1)</f>
        <v>47119</v>
      </c>
      <c r="W4" s="69">
        <f>DATE(2030,1,1)</f>
        <v>47484</v>
      </c>
      <c r="X4" s="69">
        <f>DATE(2035,1,1)</f>
        <v>49310</v>
      </c>
      <c r="Z4" s="106" t="s">
        <v>36</v>
      </c>
      <c r="AA4" s="69">
        <f>DATE(2026,1,1)</f>
        <v>46023</v>
      </c>
      <c r="AB4" s="69">
        <f>DATE(2027,1,1)</f>
        <v>46388</v>
      </c>
      <c r="AC4" s="69">
        <f>DATE(2028,1,1)</f>
        <v>46753</v>
      </c>
      <c r="AD4" s="69">
        <f>DATE(2029,1,1)</f>
        <v>47119</v>
      </c>
      <c r="AE4" s="69">
        <f>DATE(2030,1,1)</f>
        <v>47484</v>
      </c>
      <c r="AF4" s="69">
        <f>DATE(2035,1,1)</f>
        <v>49310</v>
      </c>
      <c r="AH4" s="106" t="s">
        <v>33</v>
      </c>
      <c r="AI4" s="69">
        <f>DATE(2026,1,1)</f>
        <v>46023</v>
      </c>
      <c r="AJ4" s="69">
        <f>DATE(2027,1,1)</f>
        <v>46388</v>
      </c>
      <c r="AK4" s="69">
        <f>DATE(2028,1,1)</f>
        <v>46753</v>
      </c>
      <c r="AL4" s="69">
        <f>DATE(2029,1,1)</f>
        <v>47119</v>
      </c>
      <c r="AM4" s="69">
        <f>DATE(2030,1,1)</f>
        <v>47484</v>
      </c>
      <c r="AN4" s="69">
        <f>DATE(2035,1,1)</f>
        <v>49310</v>
      </c>
      <c r="AP4" s="106" t="s">
        <v>34</v>
      </c>
      <c r="AQ4" s="69">
        <f>DATE(2026,1,1)</f>
        <v>46023</v>
      </c>
      <c r="AR4" s="69">
        <f>DATE(2027,1,1)</f>
        <v>46388</v>
      </c>
      <c r="AS4" s="69">
        <f>DATE(2028,1,1)</f>
        <v>46753</v>
      </c>
      <c r="AT4" s="69">
        <f>DATE(2029,1,1)</f>
        <v>47119</v>
      </c>
      <c r="AU4" s="69">
        <f>DATE(2030,1,1)</f>
        <v>47484</v>
      </c>
      <c r="AV4" s="69">
        <f>DATE(2035,1,1)</f>
        <v>49310</v>
      </c>
      <c r="AX4" s="106" t="s">
        <v>34</v>
      </c>
      <c r="AY4" s="69">
        <f>DATE(2026,1,1)</f>
        <v>46023</v>
      </c>
      <c r="AZ4" s="69">
        <f>DATE(2027,1,1)</f>
        <v>46388</v>
      </c>
      <c r="BA4" s="69">
        <f>DATE(2028,1,1)</f>
        <v>46753</v>
      </c>
      <c r="BB4" s="69">
        <f>DATE(2029,1,1)</f>
        <v>47119</v>
      </c>
      <c r="BC4" s="69">
        <f>DATE(2030,1,1)</f>
        <v>47484</v>
      </c>
      <c r="BD4" s="69">
        <f>DATE(2035,1,1)</f>
        <v>49310</v>
      </c>
    </row>
    <row r="5" spans="1:56">
      <c r="A5" s="72"/>
      <c r="B5" s="64" t="s">
        <v>95</v>
      </c>
      <c r="C5" s="68" cm="1">
        <f t="array" ref="C5:H5">TREND('International Data'!C53:BO53,'International Data'!C1:BO1,'Africa Forecasts'!C4:H4)</f>
        <v>27.903659844073342</v>
      </c>
      <c r="D5" s="68">
        <v>28.18390113985269</v>
      </c>
      <c r="E5" s="68">
        <v>28.464142435632045</v>
      </c>
      <c r="F5" s="68">
        <v>28.745151515783387</v>
      </c>
      <c r="G5" s="68">
        <v>29.025392811562742</v>
      </c>
      <c r="H5" s="68">
        <v>30.427367074831484</v>
      </c>
      <c r="J5" s="64" t="s">
        <v>95</v>
      </c>
      <c r="K5" s="68" cm="1">
        <f t="array" ref="K5:P5">TREND('International Data'!C56:BO56,'International Data'!C1:BO1,'Africa Forecasts'!K4:P4)</f>
        <v>52.761614576077164</v>
      </c>
      <c r="L5" s="68">
        <v>52.95729011581362</v>
      </c>
      <c r="M5" s="68">
        <v>53.152965655550076</v>
      </c>
      <c r="N5" s="68">
        <v>53.349177292655668</v>
      </c>
      <c r="O5" s="68">
        <v>53.544852832392124</v>
      </c>
      <c r="P5" s="68">
        <v>54.523766628443525</v>
      </c>
      <c r="R5" s="64" t="s">
        <v>95</v>
      </c>
      <c r="S5" s="68" cm="1">
        <f t="array" ref="S5:X5">TREND('International Data'!W59:BO59,'International Data'!W1:BO1,'Africa Forecasts'!S4:X4)</f>
        <v>43.543768885055869</v>
      </c>
      <c r="T5" s="68">
        <v>44.146269488452759</v>
      </c>
      <c r="U5" s="68">
        <v>44.74877009184965</v>
      </c>
      <c r="V5" s="68">
        <v>45.352921381831194</v>
      </c>
      <c r="W5" s="68">
        <v>45.955421985228085</v>
      </c>
      <c r="X5" s="68">
        <v>48.969575688797178</v>
      </c>
      <c r="Z5" s="64" t="s">
        <v>95</v>
      </c>
      <c r="AA5" s="68" cm="1">
        <f t="array" ref="AA5:AF5">TREND('International Data'!W122:BO122,'International Data'!W1:BO1,'Africa Forecasts'!AA4:AF4)</f>
        <v>35.591320312650808</v>
      </c>
      <c r="AB5" s="68">
        <v>35.234551347556682</v>
      </c>
      <c r="AC5" s="68">
        <v>34.877782382462549</v>
      </c>
      <c r="AD5" s="68">
        <v>34.520035968148981</v>
      </c>
      <c r="AE5" s="68">
        <v>34.163267003054848</v>
      </c>
      <c r="AF5" s="68">
        <v>32.378444728364748</v>
      </c>
      <c r="AH5" s="64" t="s">
        <v>95</v>
      </c>
      <c r="AI5" s="68" cm="1">
        <f t="array" ref="AI5:AN5">TREND('International Data'!D92:BN92,'International Data'!D1:BN1,'Africa Forecasts'!AI4:AN4)</f>
        <v>39.698002150212297</v>
      </c>
      <c r="AJ5" s="68">
        <v>39.878890275139078</v>
      </c>
      <c r="AK5" s="68">
        <v>40.059778400065859</v>
      </c>
      <c r="AL5" s="68">
        <v>40.241162108896546</v>
      </c>
      <c r="AM5" s="68">
        <v>40.422050233823327</v>
      </c>
      <c r="AN5" s="68">
        <v>41.326986442361147</v>
      </c>
      <c r="AP5" s="64" t="s">
        <v>95</v>
      </c>
      <c r="AQ5" s="68" cm="1">
        <f t="array" ref="AQ5:AV5">TREND('International Data'!S95:BN95,'International Data'!S1:BN1,'Africa Forecasts'!AQ4:AV4)</f>
        <v>50.452413896609258</v>
      </c>
      <c r="AR5" s="68">
        <v>50.339901776375577</v>
      </c>
      <c r="AS5" s="68">
        <v>50.227389656141902</v>
      </c>
      <c r="AT5" s="68">
        <v>50.11456928352402</v>
      </c>
      <c r="AU5" s="68">
        <v>50.002057163290345</v>
      </c>
      <c r="AV5" s="68">
        <v>49.439188309737744</v>
      </c>
      <c r="AX5" s="64" t="s">
        <v>95</v>
      </c>
      <c r="AY5" s="68" t="e" cm="1">
        <f t="array" ref="AY5">TREND('International Data'!AA95:BV95,'International Data'!AA1:BV1,'Africa Forecasts'!AY4:BD4)</f>
        <v>#VALUE!</v>
      </c>
      <c r="AZ5" s="68"/>
      <c r="BA5" s="68"/>
      <c r="BB5" s="68"/>
      <c r="BC5" s="68"/>
      <c r="BD5" s="68"/>
    </row>
    <row r="6" spans="1:56">
      <c r="A6" s="72"/>
      <c r="B6" s="64" t="s">
        <v>96</v>
      </c>
      <c r="C6" s="68">
        <f>_xlfn.FORECAST.ETS($C$4,'International Data'!$C$53:$BO$53,'International Data'!$C$1:$BO$1)</f>
        <v>19.866930310352526</v>
      </c>
      <c r="D6" s="68">
        <f>_xlfn.FORECAST.ETS(D4,'International Data'!$C$53:$BO$53,'International Data'!$C$1:$BO$1)</f>
        <v>18.70578301081186</v>
      </c>
      <c r="E6" s="68">
        <f>_xlfn.FORECAST.ETS(E4,'International Data'!$C$53:$BO$53,'International Data'!$C$1:$BO$1)</f>
        <v>19.963513124260878</v>
      </c>
      <c r="F6" s="68">
        <f>_xlfn.FORECAST.ETS(F4,'International Data'!$C$53:$BO$53,'International Data'!$C$1:$BO$1)</f>
        <v>24.264229396332162</v>
      </c>
      <c r="G6" s="68">
        <f>_xlfn.FORECAST.ETS(G4,'International Data'!$C$53:$BO$53,'International Data'!$C$1:$BO$1)</f>
        <v>22.127099029587786</v>
      </c>
      <c r="H6" s="68">
        <f>_xlfn.FORECAST.ETS(H4,'International Data'!$C$53:$BO$53,'International Data'!$C$1:$BO$1)</f>
        <v>25.035590924120964</v>
      </c>
      <c r="J6" s="64" t="s">
        <v>96</v>
      </c>
      <c r="K6" s="68">
        <f>_xlfn.FORECAST.ETS(K4,'International Data'!$C$56:$BO$56,'International Data'!$C$1:$BO$1)</f>
        <v>26.438609886240009</v>
      </c>
      <c r="L6" s="68">
        <f>_xlfn.FORECAST.ETS(L4,'International Data'!$C$56:$BO$56,'International Data'!$C$1:$BO$1)</f>
        <v>26.634418131721056</v>
      </c>
      <c r="M6" s="68">
        <f>_xlfn.FORECAST.ETS(M4,'International Data'!$C$56:$BO$56,'International Data'!$C$1:$BO$1)</f>
        <v>26.830226377202091</v>
      </c>
      <c r="N6" s="68">
        <f>_xlfn.FORECAST.ETS(N4,'International Data'!$C$56:$BO$56,'International Data'!$C$1:$BO$1)</f>
        <v>27.026034622683138</v>
      </c>
      <c r="O6" s="68">
        <f>_xlfn.FORECAST.ETS(O4,'International Data'!$C$56:$BO$56,'International Data'!$C$1:$BO$1)</f>
        <v>27.221842868164174</v>
      </c>
      <c r="P6" s="68">
        <f>_xlfn.FORECAST.ETS(P4,'International Data'!$C$56:$BO$56,'International Data'!$C$1:$BO$1)</f>
        <v>28.200884095569386</v>
      </c>
      <c r="R6" s="64" t="s">
        <v>96</v>
      </c>
      <c r="S6" s="68">
        <f>_xlfn.FORECAST.ETS(S4,'International Data'!$W$59:$BO$59,'International Data'!$W$1:$BO$1)</f>
        <v>43.063098437287003</v>
      </c>
      <c r="T6" s="68">
        <f>_xlfn.FORECAST.ETS(T4,'International Data'!$W$59:$BO$59,'International Data'!$W$1:$BO$1)</f>
        <v>43.666009097669978</v>
      </c>
      <c r="U6" s="68">
        <f>_xlfn.FORECAST.ETS(U4,'International Data'!$W$59:$BO$59,'International Data'!$W$1:$BO$1)</f>
        <v>44.268919758052952</v>
      </c>
      <c r="V6" s="68">
        <f>_xlfn.FORECAST.ETS(V4,'International Data'!$W$59:$BO$59,'International Data'!$W$1:$BO$1)</f>
        <v>44.871830418435927</v>
      </c>
      <c r="W6" s="68">
        <f>_xlfn.FORECAST.ETS(W4,'International Data'!$W$59:$BO$59,'International Data'!$W$1:$BO$1)</f>
        <v>45.474741078818894</v>
      </c>
      <c r="X6" s="68">
        <f>_xlfn.FORECAST.ETS(X4,'International Data'!$W$59:$BO$59,'International Data'!$W$1:$BO$1)</f>
        <v>48.489294380733767</v>
      </c>
      <c r="Z6" s="64" t="s">
        <v>96</v>
      </c>
      <c r="AA6" s="68">
        <f>_xlfn.FORECAST.ETS(AA4,'International Data'!$W$122:$BO$122,'International Data'!$W$1:$BO$1)</f>
        <v>41.020317441064307</v>
      </c>
      <c r="AB6" s="68">
        <f>_xlfn.FORECAST.ETS(AB4,'International Data'!$W$122:$BO$122,'International Data'!$W$1:$BO$1)</f>
        <v>40.649931683369303</v>
      </c>
      <c r="AC6" s="68">
        <f>_xlfn.FORECAST.ETS(AC4,'International Data'!$W$122:$BO$122,'International Data'!$W$1:$BO$1)</f>
        <v>40.279545925674292</v>
      </c>
      <c r="AD6" s="68">
        <f>_xlfn.FORECAST.ETS(AD4,'International Data'!$W$122:$BO$122,'International Data'!$W$1:$BO$1)</f>
        <v>39.909160167979287</v>
      </c>
      <c r="AE6" s="68">
        <f>_xlfn.FORECAST.ETS(AE4,'International Data'!$W$122:$BO$122,'International Data'!$W$1:$BO$1)</f>
        <v>39.538774410284283</v>
      </c>
      <c r="AF6" s="68">
        <f>_xlfn.FORECAST.ETS(AF4,'International Data'!$W$122:$BO$122,'International Data'!$W$1:$BO$1)</f>
        <v>37.686845621809255</v>
      </c>
      <c r="AH6" s="64" t="s">
        <v>96</v>
      </c>
      <c r="AI6" s="68">
        <f>_xlfn.FORECAST.ETS(AI4,'International Data'!$D$92:$BN$92,'International Data'!$D$1:$BN$1)</f>
        <v>39.626666772046754</v>
      </c>
      <c r="AJ6" s="68">
        <f>_xlfn.FORECAST.ETS(AJ4,'International Data'!$D$92:$BN$92,'International Data'!$D$1:$BN$1)</f>
        <v>51.070387468586979</v>
      </c>
      <c r="AK6" s="68">
        <f>_xlfn.FORECAST.ETS(AK4,'International Data'!$D$92:$BN$92,'International Data'!$D$1:$BN$1)</f>
        <v>48.131264110969006</v>
      </c>
      <c r="AL6" s="68">
        <f>_xlfn.FORECAST.ETS(AL4,'International Data'!$D$92:$BN$92,'International Data'!$D$1:$BN$1)</f>
        <v>42.351823836756502</v>
      </c>
      <c r="AM6" s="68">
        <f>_xlfn.FORECAST.ETS(AM4,'International Data'!$D$92:$BN$92,'International Data'!$D$1:$BN$1)</f>
        <v>43.104652347485533</v>
      </c>
      <c r="AN6" s="68">
        <f>_xlfn.FORECAST.ETS(AN4,'International Data'!$D$92:$BN$92,'International Data'!$D$1:$BN$1)</f>
        <v>37.493140379872877</v>
      </c>
      <c r="AP6" s="64" t="s">
        <v>96</v>
      </c>
      <c r="AQ6" s="68">
        <f>_xlfn.FORECAST.ETS(AQ4,'International Data'!$S$95:$BN$95,'International Data'!$S$1:$BN$1)</f>
        <v>47.196546874353366</v>
      </c>
      <c r="AR6" s="68">
        <f>_xlfn.FORECAST.ETS(AR4,'International Data'!$S$95:$BN$95,'International Data'!$S$1:$BN$1)</f>
        <v>47.083956987081734</v>
      </c>
      <c r="AS6" s="68">
        <f>_xlfn.FORECAST.ETS(AS4,'International Data'!$S$95:$BN$95,'International Data'!$S$1:$BN$1)</f>
        <v>46.971367099810109</v>
      </c>
      <c r="AT6" s="68">
        <f>_xlfn.FORECAST.ETS(AT4,'International Data'!$S$95:$BN$95,'International Data'!$S$1:$BN$1)</f>
        <v>46.858777212538477</v>
      </c>
      <c r="AU6" s="68">
        <f>_xlfn.FORECAST.ETS(AU4,'International Data'!$S$95:$BN$95,'International Data'!$S$1:$BN$1)</f>
        <v>46.746187325266845</v>
      </c>
      <c r="AV6" s="68">
        <f>_xlfn.FORECAST.ETS(AV4,'International Data'!$S$95:$BN$95,'International Data'!$S$1:$BN$1)</f>
        <v>46.183237888908685</v>
      </c>
      <c r="AX6" s="64" t="s">
        <v>96</v>
      </c>
      <c r="AY6" s="68">
        <f>_xlfn.FORECAST.ETS(AY4,'International Data'!$S$95:$BN$95,'International Data'!$S$1:$BN$1)</f>
        <v>47.196546874353366</v>
      </c>
      <c r="AZ6" s="68">
        <f>_xlfn.FORECAST.ETS(AZ4,'International Data'!$S$95:$BN$95,'International Data'!$S$1:$BN$1)</f>
        <v>47.083956987081734</v>
      </c>
      <c r="BA6" s="68">
        <f>_xlfn.FORECAST.ETS(BA4,'International Data'!$S$95:$BN$95,'International Data'!$S$1:$BN$1)</f>
        <v>46.971367099810109</v>
      </c>
      <c r="BB6" s="68">
        <f>_xlfn.FORECAST.ETS(BB4,'International Data'!$S$95:$BN$95,'International Data'!$S$1:$BN$1)</f>
        <v>46.858777212538477</v>
      </c>
      <c r="BC6" s="68">
        <f>_xlfn.FORECAST.ETS(BC4,'International Data'!$S$95:$BN$95,'International Data'!$S$1:$BN$1)</f>
        <v>46.746187325266845</v>
      </c>
      <c r="BD6" s="68">
        <f>_xlfn.FORECAST.ETS(BD4,'International Data'!$S$95:$BN$95,'International Data'!$S$1:$BN$1)</f>
        <v>46.183237888908685</v>
      </c>
    </row>
    <row r="7" spans="1:56">
      <c r="A7" s="72"/>
      <c r="B7" t="s">
        <v>89</v>
      </c>
      <c r="J7" t="s">
        <v>89</v>
      </c>
      <c r="R7" t="s">
        <v>89</v>
      </c>
      <c r="Z7" t="s">
        <v>89</v>
      </c>
      <c r="AH7" t="s">
        <v>89</v>
      </c>
      <c r="AP7" t="s">
        <v>89</v>
      </c>
      <c r="AX7" t="s">
        <v>89</v>
      </c>
    </row>
    <row r="8" spans="1:56">
      <c r="A8" s="72"/>
      <c r="B8" t="s">
        <v>89</v>
      </c>
      <c r="J8" t="s">
        <v>89</v>
      </c>
      <c r="R8" t="s">
        <v>89</v>
      </c>
      <c r="Z8" t="s">
        <v>89</v>
      </c>
      <c r="AH8" t="s">
        <v>89</v>
      </c>
      <c r="AP8" t="s">
        <v>89</v>
      </c>
      <c r="AX8" t="s">
        <v>89</v>
      </c>
    </row>
    <row r="9" spans="1:56">
      <c r="A9" s="72"/>
    </row>
    <row r="10" spans="1:56">
      <c r="A10" s="72"/>
    </row>
    <row r="11" spans="1:56">
      <c r="A11" s="72"/>
      <c r="B11" s="65" t="s">
        <v>93</v>
      </c>
      <c r="J11" s="65" t="s">
        <v>93</v>
      </c>
      <c r="R11" s="65" t="s">
        <v>93</v>
      </c>
      <c r="Z11" s="65" t="s">
        <v>93</v>
      </c>
      <c r="AH11" s="65" t="s">
        <v>93</v>
      </c>
      <c r="AP11" s="65" t="s">
        <v>93</v>
      </c>
      <c r="AX11" s="65" t="s">
        <v>93</v>
      </c>
    </row>
    <row r="12" spans="1:56" hidden="1">
      <c r="A12" s="72"/>
      <c r="B12" s="65"/>
      <c r="C12" s="1"/>
      <c r="D12" s="1"/>
      <c r="E12" s="1"/>
      <c r="F12" s="1"/>
      <c r="G12" s="1"/>
      <c r="H12" s="1"/>
      <c r="J12" s="65"/>
      <c r="K12" s="1"/>
      <c r="L12" s="1"/>
      <c r="M12" s="1"/>
      <c r="N12" s="1"/>
      <c r="O12" s="1"/>
      <c r="P12" s="1"/>
      <c r="R12" s="65"/>
      <c r="S12" s="1"/>
      <c r="T12" s="1"/>
      <c r="U12" s="1"/>
      <c r="V12" s="1"/>
      <c r="W12" s="1"/>
      <c r="X12" s="1"/>
      <c r="Z12" s="65"/>
      <c r="AA12" s="1"/>
      <c r="AB12" s="1"/>
      <c r="AC12" s="1"/>
      <c r="AD12" s="1"/>
      <c r="AE12" s="1"/>
      <c r="AF12" s="1"/>
      <c r="AH12" s="65"/>
      <c r="AI12" s="1"/>
      <c r="AJ12" s="1"/>
      <c r="AK12" s="1"/>
      <c r="AL12" s="1"/>
      <c r="AM12" s="1"/>
      <c r="AN12" s="1"/>
      <c r="AP12" s="65"/>
      <c r="AQ12" s="1"/>
      <c r="AR12" s="1"/>
      <c r="AS12" s="1"/>
      <c r="AT12" s="1"/>
      <c r="AU12" s="1"/>
      <c r="AV12" s="1"/>
      <c r="AX12" s="65"/>
      <c r="AY12" s="1"/>
      <c r="AZ12" s="1"/>
      <c r="BA12" s="1"/>
      <c r="BB12" s="1"/>
      <c r="BC12" s="1"/>
      <c r="BD12" s="1"/>
    </row>
    <row r="13" spans="1:56">
      <c r="A13" s="71" t="s">
        <v>4</v>
      </c>
    </row>
    <row r="14" spans="1:56" ht="18">
      <c r="A14" s="72"/>
      <c r="B14" s="106" t="s">
        <v>15</v>
      </c>
      <c r="C14" s="69">
        <f>DATE(2026,1,1)</f>
        <v>46023</v>
      </c>
      <c r="D14" s="69">
        <f>DATE(2027,1,1)</f>
        <v>46388</v>
      </c>
      <c r="E14" s="69">
        <f>DATE(2028,1,1)</f>
        <v>46753</v>
      </c>
      <c r="F14" s="69">
        <f>DATE(2029,1,1)</f>
        <v>47119</v>
      </c>
      <c r="G14" s="69">
        <f>DATE(2030,1,1)</f>
        <v>47484</v>
      </c>
      <c r="H14" s="69">
        <f>DATE(2035,1,1)</f>
        <v>49310</v>
      </c>
      <c r="J14" s="106" t="s">
        <v>16</v>
      </c>
      <c r="K14" s="69">
        <f>DATE(2026,1,1)</f>
        <v>46023</v>
      </c>
      <c r="L14" s="69">
        <f>DATE(2027,1,1)</f>
        <v>46388</v>
      </c>
      <c r="M14" s="69">
        <f>DATE(2028,1,1)</f>
        <v>46753</v>
      </c>
      <c r="N14" s="69">
        <f>DATE(2029,1,1)</f>
        <v>47119</v>
      </c>
      <c r="O14" s="69">
        <f>DATE(2030,1,1)</f>
        <v>47484</v>
      </c>
      <c r="P14" s="69">
        <f>DATE(2035,1,1)</f>
        <v>49310</v>
      </c>
      <c r="R14" s="106" t="s">
        <v>17</v>
      </c>
      <c r="S14" s="69">
        <f>DATE(2026,1,1)</f>
        <v>46023</v>
      </c>
      <c r="T14" s="69">
        <f>DATE(2027,1,1)</f>
        <v>46388</v>
      </c>
      <c r="U14" s="69">
        <f>DATE(2028,1,1)</f>
        <v>46753</v>
      </c>
      <c r="V14" s="69">
        <f>DATE(2029,1,1)</f>
        <v>47119</v>
      </c>
      <c r="W14" s="69">
        <f>DATE(2030,1,1)</f>
        <v>47484</v>
      </c>
      <c r="X14" s="69">
        <f>DATE(2035,1,1)</f>
        <v>49310</v>
      </c>
      <c r="Z14" s="106" t="s">
        <v>36</v>
      </c>
      <c r="AA14" s="69">
        <f>DATE(2026,1,1)</f>
        <v>46023</v>
      </c>
      <c r="AB14" s="69">
        <f>DATE(2027,1,1)</f>
        <v>46388</v>
      </c>
      <c r="AC14" s="69">
        <f>DATE(2028,1,1)</f>
        <v>46753</v>
      </c>
      <c r="AD14" s="69">
        <f>DATE(2029,1,1)</f>
        <v>47119</v>
      </c>
      <c r="AE14" s="69">
        <f>DATE(2030,1,1)</f>
        <v>47484</v>
      </c>
      <c r="AF14" s="69">
        <f>DATE(2035,1,1)</f>
        <v>49310</v>
      </c>
      <c r="AH14" s="106" t="s">
        <v>33</v>
      </c>
      <c r="AI14" s="69">
        <f>DATE(2026,1,1)</f>
        <v>46023</v>
      </c>
      <c r="AJ14" s="69">
        <f>DATE(2027,1,1)</f>
        <v>46388</v>
      </c>
      <c r="AK14" s="69">
        <f>DATE(2028,1,1)</f>
        <v>46753</v>
      </c>
      <c r="AL14" s="69">
        <f>DATE(2029,1,1)</f>
        <v>47119</v>
      </c>
      <c r="AM14" s="69">
        <f>DATE(2030,1,1)</f>
        <v>47484</v>
      </c>
      <c r="AN14" s="69">
        <f>DATE(2035,1,1)</f>
        <v>49310</v>
      </c>
      <c r="AP14" s="106" t="s">
        <v>34</v>
      </c>
      <c r="AQ14" s="69">
        <f>DATE(2026,1,1)</f>
        <v>46023</v>
      </c>
      <c r="AR14" s="69">
        <f>DATE(2027,1,1)</f>
        <v>46388</v>
      </c>
      <c r="AS14" s="69">
        <f>DATE(2028,1,1)</f>
        <v>46753</v>
      </c>
      <c r="AT14" s="69">
        <f>DATE(2029,1,1)</f>
        <v>47119</v>
      </c>
      <c r="AU14" s="69">
        <f>DATE(2030,1,1)</f>
        <v>47484</v>
      </c>
      <c r="AV14" s="69">
        <f>DATE(2035,1,1)</f>
        <v>49310</v>
      </c>
      <c r="AX14" s="106" t="s">
        <v>34</v>
      </c>
      <c r="AY14" s="69">
        <f>DATE(2026,1,1)</f>
        <v>46023</v>
      </c>
      <c r="AZ14" s="69">
        <f>DATE(2027,1,1)</f>
        <v>46388</v>
      </c>
      <c r="BA14" s="69">
        <f>DATE(2028,1,1)</f>
        <v>46753</v>
      </c>
      <c r="BB14" s="69">
        <f>DATE(2029,1,1)</f>
        <v>47119</v>
      </c>
      <c r="BC14" s="69">
        <f>DATE(2030,1,1)</f>
        <v>47484</v>
      </c>
      <c r="BD14" s="69">
        <f>DATE(2035,1,1)</f>
        <v>49310</v>
      </c>
    </row>
    <row r="15" spans="1:56">
      <c r="A15" s="72"/>
      <c r="B15" s="64" t="s">
        <v>95</v>
      </c>
      <c r="C15" s="68" cm="1">
        <f t="array" ref="C15:H15">TREND('International Data'!C54:BO54,'International Data'!C1:BO1,'Africa Forecasts'!C4:H4)</f>
        <v>31.732582822521799</v>
      </c>
      <c r="D15" s="68">
        <v>31.854424331191638</v>
      </c>
      <c r="E15" s="68">
        <v>31.976265839861476</v>
      </c>
      <c r="F15" s="68">
        <v>32.098441160883837</v>
      </c>
      <c r="G15" s="68">
        <v>32.220282669553683</v>
      </c>
      <c r="H15" s="68">
        <v>32.829824025255405</v>
      </c>
      <c r="J15" s="64" t="s">
        <v>95</v>
      </c>
      <c r="K15" s="68" cm="1">
        <f t="array" ref="K15:P15">TREND('International Data'!C57:BO57,'International Data'!C1:BO1,'Africa Forecasts'!K14:P14)</f>
        <v>43.927707529546538</v>
      </c>
      <c r="L15" s="68">
        <v>43.727951994003362</v>
      </c>
      <c r="M15" s="68">
        <v>43.528196458460194</v>
      </c>
      <c r="N15" s="68">
        <v>43.327893647477175</v>
      </c>
      <c r="O15" s="68">
        <v>43.128138111934</v>
      </c>
      <c r="P15" s="68">
        <v>42.128813158778286</v>
      </c>
      <c r="R15" s="64" t="s">
        <v>95</v>
      </c>
      <c r="S15" s="68" cm="1">
        <f t="array" ref="S15:X15">TREND('International Data'!W60:BO60,'International Data'!W1:BO1,'Africa Forecasts'!S14:X14)</f>
        <v>48.279990535454296</v>
      </c>
      <c r="T15" s="68">
        <v>47.7964085032173</v>
      </c>
      <c r="U15" s="68">
        <v>47.312826470980298</v>
      </c>
      <c r="V15" s="68">
        <v>46.8279195564632</v>
      </c>
      <c r="W15" s="68">
        <v>46.344337524226198</v>
      </c>
      <c r="X15" s="68">
        <v>43.925102480761097</v>
      </c>
      <c r="Z15" s="64" t="s">
        <v>95</v>
      </c>
      <c r="AA15" s="68" cm="1">
        <f t="array" ref="AA15:AF15">TREND('International Data'!W123:BO123,'International Data'!W1:BO1,'Africa Forecasts'!AA14:AF14)</f>
        <v>56.716820381407487</v>
      </c>
      <c r="AB15" s="68">
        <v>56.882780124032152</v>
      </c>
      <c r="AC15" s="68">
        <v>57.048739866656831</v>
      </c>
      <c r="AD15" s="68">
        <v>57.215154293507872</v>
      </c>
      <c r="AE15" s="68">
        <v>57.381114036132544</v>
      </c>
      <c r="AF15" s="68">
        <v>58.21136743348228</v>
      </c>
      <c r="AH15" s="64" t="s">
        <v>95</v>
      </c>
      <c r="AI15" s="68" cm="1">
        <f t="array" ref="AI15:AN15">TREND('International Data'!D93:BN93,'International Data'!D1:BN1,'Africa Forecasts'!AI14:AN14)</f>
        <v>54.478805079636395</v>
      </c>
      <c r="AJ15" s="68">
        <v>54.933736962720126</v>
      </c>
      <c r="AK15" s="68">
        <v>55.388668845803856</v>
      </c>
      <c r="AL15" s="68">
        <v>55.84484711760836</v>
      </c>
      <c r="AM15" s="68">
        <v>56.299779000692091</v>
      </c>
      <c r="AN15" s="68">
        <v>58.575684804831518</v>
      </c>
      <c r="AP15" s="64" t="s">
        <v>95</v>
      </c>
      <c r="AQ15" s="68" cm="1">
        <f t="array" ref="AQ15:AV15">TREND('International Data'!S96:BN96,'International Data'!S1:BN1,'Africa Forecasts'!AQ14:AV14)</f>
        <v>58.813924649989737</v>
      </c>
      <c r="AR15" s="68">
        <v>58.797351379316893</v>
      </c>
      <c r="AS15" s="68">
        <v>58.780778108644057</v>
      </c>
      <c r="AT15" s="68">
        <v>58.764159431750194</v>
      </c>
      <c r="AU15" s="68">
        <v>58.747586161077358</v>
      </c>
      <c r="AV15" s="68">
        <v>58.664674401492142</v>
      </c>
      <c r="AX15" s="64" t="s">
        <v>95</v>
      </c>
      <c r="AY15" s="68" t="e" cm="1">
        <f t="array" ref="AY15">TREND('International Data'!AA96:BV96,'International Data'!AA1:BV1,'Africa Forecasts'!AY14:BD14)</f>
        <v>#VALUE!</v>
      </c>
      <c r="AZ15" s="68"/>
      <c r="BA15" s="68"/>
      <c r="BB15" s="68"/>
      <c r="BC15" s="68"/>
      <c r="BD15" s="68"/>
    </row>
    <row r="16" spans="1:56">
      <c r="A16" s="72"/>
      <c r="B16" s="64" t="s">
        <v>96</v>
      </c>
      <c r="C16" s="68">
        <f>_xlfn.FORECAST.ETS(C4,'International Data'!$C$54:$BO$54,'International Data'!$C$1:$BO$1)</f>
        <v>22.339090476601672</v>
      </c>
      <c r="D16" s="68">
        <f>_xlfn.FORECAST.ETS(D4,'International Data'!$C$54:$BO$54,'International Data'!$C$1:$BO$1)</f>
        <v>22.462540242225298</v>
      </c>
      <c r="E16" s="68">
        <f>_xlfn.FORECAST.ETS(E4,'International Data'!$C$54:$BO$54,'International Data'!$C$1:$BO$1)</f>
        <v>22.585990007848913</v>
      </c>
      <c r="F16" s="68">
        <f>_xlfn.FORECAST.ETS(F4,'International Data'!$C$54:$BO$54,'International Data'!$C$1:$BO$1)</f>
        <v>22.709439773472539</v>
      </c>
      <c r="G16" s="68">
        <f>_xlfn.FORECAST.ETS(G4,'International Data'!$C$54:$BO$54,'International Data'!$C$1:$BO$1)</f>
        <v>22.832889539096151</v>
      </c>
      <c r="H16" s="68">
        <f>_xlfn.FORECAST.ETS(H4,'International Data'!$C$54:$BO$54,'International Data'!$C$1:$BO$1)</f>
        <v>23.450138367214254</v>
      </c>
      <c r="J16" s="64" t="s">
        <v>96</v>
      </c>
      <c r="K16" s="68">
        <f>_xlfn.FORECAST.ETS(K14,'International Data'!$C$57:$BO$57,'International Data'!$C$1:$BO$1)</f>
        <v>39.821372389114259</v>
      </c>
      <c r="L16" s="68">
        <f>_xlfn.FORECAST.ETS(L14,'International Data'!$C$57:$BO$57,'International Data'!$C$1:$BO$1)</f>
        <v>39.637356483570322</v>
      </c>
      <c r="M16" s="68">
        <f>_xlfn.FORECAST.ETS(M14,'International Data'!$C$57:$BO$57,'International Data'!$C$1:$BO$1)</f>
        <v>39.453340578026378</v>
      </c>
      <c r="N16" s="68">
        <f>_xlfn.FORECAST.ETS(N14,'International Data'!$C$57:$BO$57,'International Data'!$C$1:$BO$1)</f>
        <v>39.269324672482441</v>
      </c>
      <c r="O16" s="68">
        <f>_xlfn.FORECAST.ETS(O14,'International Data'!$C$57:$BO$57,'International Data'!$C$1:$BO$1)</f>
        <v>39.085308766938503</v>
      </c>
      <c r="P16" s="68">
        <f>_xlfn.FORECAST.ETS(P14,'International Data'!$C$57:$BO$57,'International Data'!$C$1:$BO$1)</f>
        <v>38.165229239218817</v>
      </c>
      <c r="R16" s="64" t="s">
        <v>96</v>
      </c>
      <c r="S16" s="68">
        <f>_xlfn.FORECAST.ETS(S14,'International Data'!$W$60:$BO$60,'International Data'!$W$1:$BO$1)</f>
        <v>55.341269207315101</v>
      </c>
      <c r="T16" s="68">
        <f>_xlfn.FORECAST.ETS(T14,'International Data'!$W$60:$BO$60,'International Data'!$W$1:$BO$1)</f>
        <v>58.74071163081684</v>
      </c>
      <c r="U16" s="68">
        <f>_xlfn.FORECAST.ETS(U14,'International Data'!$W$60:$BO$60,'International Data'!$W$1:$BO$1)</f>
        <v>59.28680567215639</v>
      </c>
      <c r="V16" s="68">
        <f>_xlfn.FORECAST.ETS(V14,'International Data'!$W$60:$BO$60,'International Data'!$W$1:$BO$1)</f>
        <v>60.129120253561439</v>
      </c>
      <c r="W16" s="68">
        <f>_xlfn.FORECAST.ETS(W14,'International Data'!$W$60:$BO$60,'International Data'!$W$1:$BO$1)</f>
        <v>59.989785256381765</v>
      </c>
      <c r="X16" s="68">
        <f>_xlfn.FORECAST.ETS(X14,'International Data'!$W$60:$BO$60,'International Data'!$W$1:$BO$1)</f>
        <v>63.888499631771651</v>
      </c>
      <c r="Z16" s="64" t="s">
        <v>96</v>
      </c>
      <c r="AA16" s="68">
        <f>_xlfn.FORECAST.ETS(AA14,'International Data'!$W$123:$BO$123,'International Data'!$W$1:$BO$1)</f>
        <v>71.309336453927756</v>
      </c>
      <c r="AB16" s="68">
        <f>_xlfn.FORECAST.ETS(AB14,'International Data'!$W$123:$BO$123,'International Data'!$W$1:$BO$1)</f>
        <v>70.82853296656576</v>
      </c>
      <c r="AC16" s="68">
        <f>_xlfn.FORECAST.ETS(AC14,'International Data'!$W$123:$BO$123,'International Data'!$W$1:$BO$1)</f>
        <v>71.563925952453047</v>
      </c>
      <c r="AD16" s="68">
        <f>_xlfn.FORECAST.ETS(AD14,'International Data'!$W$123:$BO$123,'International Data'!$W$1:$BO$1)</f>
        <v>70.393213344809453</v>
      </c>
      <c r="AE16" s="68">
        <f>_xlfn.FORECAST.ETS(AE14,'International Data'!$W$123:$BO$123,'International Data'!$W$1:$BO$1)</f>
        <v>64.762238350673911</v>
      </c>
      <c r="AF16" s="68">
        <f>_xlfn.FORECAST.ETS(AF14,'International Data'!$W$123:$BO$123,'International Data'!$W$1:$BO$1)</f>
        <v>66.308213164037255</v>
      </c>
      <c r="AH16" s="64" t="s">
        <v>96</v>
      </c>
      <c r="AI16" s="68">
        <f>_xlfn.FORECAST.ETS(AI4,'International Data'!$D$93:$BN$93,'International Data'!D1:BN1)</f>
        <v>55.392444755032223</v>
      </c>
      <c r="AJ16" s="68">
        <f>_xlfn.FORECAST.ETS(AJ4,'International Data'!$D$93:$BN$93,'International Data'!E1:BO1)</f>
        <v>55.392444755032223</v>
      </c>
      <c r="AK16" s="68">
        <f>_xlfn.FORECAST.ETS(AK4,'International Data'!$D$93:$BN$93,'International Data'!F1:BP1)</f>
        <v>62.813277694462577</v>
      </c>
      <c r="AL16" s="68">
        <f>_xlfn.FORECAST.ETS(AL4,'International Data'!$D$93:$BN$93,'International Data'!G1:BQ1)</f>
        <v>50.388223109364183</v>
      </c>
      <c r="AM16" s="68">
        <f>_xlfn.FORECAST.ETS(AM4,'International Data'!$D$93:$BN$93,'International Data'!H1:BR1)</f>
        <v>49.583114558172667</v>
      </c>
      <c r="AN16" s="68">
        <f>_xlfn.FORECAST.ETS(AN4,'International Data'!$D$93:$BN$93,'International Data'!I1:BS1)</f>
        <v>56.276842300778476</v>
      </c>
      <c r="AP16" s="64" t="s">
        <v>96</v>
      </c>
      <c r="AQ16" s="68">
        <f>_xlfn.FORECAST.ETS(AQ14,'International Data'!$S$96:$BN$96,'International Data'!$S$1:$BN$1)</f>
        <v>57.519304660240969</v>
      </c>
      <c r="AR16" s="68">
        <f>_xlfn.FORECAST.ETS(AR14,'International Data'!$S$96:$BN$96,'International Data'!$S$1:$BN$1)</f>
        <v>57.5027182505263</v>
      </c>
      <c r="AS16" s="68">
        <f>_xlfn.FORECAST.ETS(AS14,'International Data'!$S$96:$BN$96,'International Data'!$S$1:$BN$1)</f>
        <v>57.48613184081163</v>
      </c>
      <c r="AT16" s="68">
        <f>_xlfn.FORECAST.ETS(AT14,'International Data'!$S$96:$BN$96,'International Data'!$S$1:$BN$1)</f>
        <v>57.469545431096954</v>
      </c>
      <c r="AU16" s="68">
        <f>_xlfn.FORECAST.ETS(AU14,'International Data'!$S$96:$BN$96,'International Data'!$S$1:$BN$1)</f>
        <v>57.452959021382284</v>
      </c>
      <c r="AV16" s="68">
        <f>_xlfn.FORECAST.ETS(AV14,'International Data'!$S$96:$BN$96,'International Data'!$S$1:$BN$1)</f>
        <v>57.37002697280893</v>
      </c>
      <c r="AX16" s="64" t="s">
        <v>96</v>
      </c>
      <c r="AY16" s="68">
        <f>_xlfn.FORECAST.ETS(AY14,'International Data'!$S$96:$BN$96,'International Data'!$S$1:$BN$1)</f>
        <v>57.519304660240969</v>
      </c>
      <c r="AZ16" s="68">
        <f>_xlfn.FORECAST.ETS(AZ14,'International Data'!$S$96:$BN$96,'International Data'!$S$1:$BN$1)</f>
        <v>57.5027182505263</v>
      </c>
      <c r="BA16" s="68">
        <f>_xlfn.FORECAST.ETS(BA14,'International Data'!$S$96:$BN$96,'International Data'!$S$1:$BN$1)</f>
        <v>57.48613184081163</v>
      </c>
      <c r="BB16" s="68">
        <f>_xlfn.FORECAST.ETS(BB14,'International Data'!$S$96:$BN$96,'International Data'!$S$1:$BN$1)</f>
        <v>57.469545431096954</v>
      </c>
      <c r="BC16" s="68">
        <f>_xlfn.FORECAST.ETS(BC14,'International Data'!$S$96:$BN$96,'International Data'!$S$1:$BN$1)</f>
        <v>57.452959021382284</v>
      </c>
      <c r="BD16" s="68">
        <f>_xlfn.FORECAST.ETS(BD14,'International Data'!$S$96:$BN$96,'International Data'!$S$1:$BN$1)</f>
        <v>57.37002697280893</v>
      </c>
    </row>
    <row r="17" spans="1:56">
      <c r="B17" t="s">
        <v>89</v>
      </c>
      <c r="J17" t="s">
        <v>89</v>
      </c>
      <c r="R17" t="s">
        <v>89</v>
      </c>
      <c r="Z17" t="s">
        <v>89</v>
      </c>
      <c r="AH17" t="s">
        <v>89</v>
      </c>
      <c r="AP17" t="s">
        <v>89</v>
      </c>
      <c r="AX17" t="s">
        <v>89</v>
      </c>
    </row>
    <row r="18" spans="1:56">
      <c r="B18" t="s">
        <v>89</v>
      </c>
      <c r="J18" t="s">
        <v>89</v>
      </c>
      <c r="R18" t="s">
        <v>89</v>
      </c>
      <c r="Z18" t="s">
        <v>89</v>
      </c>
      <c r="AH18" t="s">
        <v>89</v>
      </c>
      <c r="AP18" t="s">
        <v>89</v>
      </c>
      <c r="AX18" t="s">
        <v>89</v>
      </c>
    </row>
    <row r="21" spans="1:56">
      <c r="B21" s="65" t="s">
        <v>93</v>
      </c>
      <c r="J21" s="65" t="s">
        <v>93</v>
      </c>
      <c r="R21" s="65" t="s">
        <v>93</v>
      </c>
      <c r="Z21" s="65" t="s">
        <v>93</v>
      </c>
      <c r="AH21" s="65" t="s">
        <v>93</v>
      </c>
      <c r="AP21" s="65" t="s">
        <v>93</v>
      </c>
      <c r="AX21" s="65" t="s">
        <v>93</v>
      </c>
    </row>
    <row r="22" spans="1:56" hidden="1">
      <c r="B22" s="65"/>
      <c r="C22" s="1"/>
      <c r="D22" s="1"/>
      <c r="E22" s="1"/>
      <c r="F22" s="1"/>
      <c r="G22" s="1"/>
      <c r="H22" s="1"/>
      <c r="J22" s="65"/>
      <c r="K22" s="1"/>
      <c r="L22" s="1"/>
      <c r="M22" s="1"/>
      <c r="N22" s="1"/>
      <c r="O22" s="1"/>
      <c r="P22" s="1"/>
      <c r="R22" s="65"/>
      <c r="S22" s="1"/>
      <c r="T22" s="1"/>
      <c r="U22" s="1"/>
      <c r="V22" s="1"/>
      <c r="W22" s="1"/>
      <c r="X22" s="1"/>
      <c r="Z22" s="65"/>
      <c r="AA22" s="1"/>
      <c r="AB22" s="1"/>
      <c r="AC22" s="1"/>
      <c r="AD22" s="1"/>
      <c r="AE22" s="1"/>
      <c r="AF22" s="1"/>
      <c r="AH22" s="65"/>
      <c r="AI22" s="1"/>
      <c r="AJ22" s="1"/>
      <c r="AK22" s="1"/>
      <c r="AL22" s="1"/>
      <c r="AM22" s="1"/>
      <c r="AN22" s="1"/>
      <c r="AP22" s="65"/>
      <c r="AQ22" s="1"/>
      <c r="AR22" s="1"/>
      <c r="AS22" s="1"/>
      <c r="AT22" s="1"/>
      <c r="AU22" s="1"/>
      <c r="AV22" s="1"/>
      <c r="AX22" s="65"/>
      <c r="AY22" s="1"/>
      <c r="AZ22" s="1"/>
      <c r="BA22" s="1"/>
      <c r="BB22" s="1"/>
      <c r="BC22" s="1"/>
      <c r="BD22" s="1"/>
    </row>
    <row r="23" spans="1:56">
      <c r="A23" s="71" t="s">
        <v>47</v>
      </c>
    </row>
    <row r="24" spans="1:56" ht="18">
      <c r="B24" s="106" t="s">
        <v>15</v>
      </c>
      <c r="C24" s="69">
        <f>DATE(2026,1,1)</f>
        <v>46023</v>
      </c>
      <c r="D24" s="69">
        <f>DATE(2027,1,1)</f>
        <v>46388</v>
      </c>
      <c r="E24" s="69">
        <f>DATE(2028,1,1)</f>
        <v>46753</v>
      </c>
      <c r="F24" s="69">
        <f>DATE(2029,1,1)</f>
        <v>47119</v>
      </c>
      <c r="G24" s="69">
        <f>DATE(2030,1,1)</f>
        <v>47484</v>
      </c>
      <c r="H24" s="69">
        <f>DATE(2035,1,1)</f>
        <v>49310</v>
      </c>
      <c r="J24" s="106" t="s">
        <v>16</v>
      </c>
      <c r="K24" s="69">
        <f>DATE(2026,1,1)</f>
        <v>46023</v>
      </c>
      <c r="L24" s="69">
        <f>DATE(2027,1,1)</f>
        <v>46388</v>
      </c>
      <c r="M24" s="69">
        <f>DATE(2028,1,1)</f>
        <v>46753</v>
      </c>
      <c r="N24" s="69">
        <f>DATE(2029,1,1)</f>
        <v>47119</v>
      </c>
      <c r="O24" s="69">
        <f>DATE(2030,1,1)</f>
        <v>47484</v>
      </c>
      <c r="P24" s="69">
        <f>DATE(2035,1,1)</f>
        <v>49310</v>
      </c>
      <c r="R24" s="106" t="s">
        <v>17</v>
      </c>
      <c r="S24" s="69">
        <f>DATE(2026,1,1)</f>
        <v>46023</v>
      </c>
      <c r="T24" s="69">
        <f>DATE(2027,1,1)</f>
        <v>46388</v>
      </c>
      <c r="U24" s="69">
        <f>DATE(2028,1,1)</f>
        <v>46753</v>
      </c>
      <c r="V24" s="69">
        <f>DATE(2029,1,1)</f>
        <v>47119</v>
      </c>
      <c r="W24" s="69">
        <f>DATE(2030,1,1)</f>
        <v>47484</v>
      </c>
      <c r="X24" s="69">
        <f>DATE(2035,1,1)</f>
        <v>49310</v>
      </c>
      <c r="Z24" s="106" t="s">
        <v>36</v>
      </c>
      <c r="AA24" s="69">
        <f>DATE(2026,1,1)</f>
        <v>46023</v>
      </c>
      <c r="AB24" s="69">
        <f>DATE(2027,1,1)</f>
        <v>46388</v>
      </c>
      <c r="AC24" s="69">
        <f>DATE(2028,1,1)</f>
        <v>46753</v>
      </c>
      <c r="AD24" s="69">
        <f>DATE(2029,1,1)</f>
        <v>47119</v>
      </c>
      <c r="AE24" s="69">
        <f>DATE(2030,1,1)</f>
        <v>47484</v>
      </c>
      <c r="AF24" s="69">
        <f>DATE(2035,1,1)</f>
        <v>49310</v>
      </c>
      <c r="AH24" s="106" t="s">
        <v>33</v>
      </c>
      <c r="AI24" s="69">
        <f>DATE(2026,1,1)</f>
        <v>46023</v>
      </c>
      <c r="AJ24" s="69">
        <f>DATE(2027,1,1)</f>
        <v>46388</v>
      </c>
      <c r="AK24" s="69">
        <f>DATE(2028,1,1)</f>
        <v>46753</v>
      </c>
      <c r="AL24" s="69">
        <f>DATE(2029,1,1)</f>
        <v>47119</v>
      </c>
      <c r="AM24" s="69">
        <f>DATE(2030,1,1)</f>
        <v>47484</v>
      </c>
      <c r="AN24" s="69">
        <f>DATE(2035,1,1)</f>
        <v>49310</v>
      </c>
      <c r="AP24" s="106" t="s">
        <v>34</v>
      </c>
      <c r="AQ24" s="69">
        <f>DATE(2026,1,1)</f>
        <v>46023</v>
      </c>
      <c r="AR24" s="69">
        <f>DATE(2027,1,1)</f>
        <v>46388</v>
      </c>
      <c r="AS24" s="69">
        <f>DATE(2028,1,1)</f>
        <v>46753</v>
      </c>
      <c r="AT24" s="69">
        <f>DATE(2029,1,1)</f>
        <v>47119</v>
      </c>
      <c r="AU24" s="69">
        <f>DATE(2030,1,1)</f>
        <v>47484</v>
      </c>
      <c r="AV24" s="69">
        <f>DATE(2035,1,1)</f>
        <v>49310</v>
      </c>
      <c r="AX24" s="106" t="s">
        <v>34</v>
      </c>
      <c r="AY24" s="69">
        <f>DATE(2026,1,1)</f>
        <v>46023</v>
      </c>
      <c r="AZ24" s="69">
        <f>DATE(2027,1,1)</f>
        <v>46388</v>
      </c>
      <c r="BA24" s="69">
        <f>DATE(2028,1,1)</f>
        <v>46753</v>
      </c>
      <c r="BB24" s="69">
        <f>DATE(2029,1,1)</f>
        <v>47119</v>
      </c>
      <c r="BC24" s="69">
        <f>DATE(2030,1,1)</f>
        <v>47484</v>
      </c>
      <c r="BD24" s="69">
        <f>DATE(2035,1,1)</f>
        <v>49310</v>
      </c>
    </row>
    <row r="25" spans="1:56">
      <c r="B25" s="64" t="s">
        <v>95</v>
      </c>
      <c r="C25" s="68" cm="1">
        <f t="array" ref="C25:H25">TREND('International Data'!AJ55:BO55,'International Data'!AJ1:BO1,'Africa Forecasts'!C4:H4)</f>
        <v>-1.778390836485066</v>
      </c>
      <c r="D25" s="68">
        <v>-2.0991569033248894</v>
      </c>
      <c r="E25" s="68">
        <v>-2.4199229701647127</v>
      </c>
      <c r="F25" s="68">
        <v>-2.7415678481465662</v>
      </c>
      <c r="G25" s="68">
        <v>-3.0623339149863895</v>
      </c>
      <c r="H25" s="68">
        <v>-4.6670430603275292</v>
      </c>
      <c r="J25" s="64" t="s">
        <v>95</v>
      </c>
      <c r="K25" s="68" cm="1">
        <f t="array" ref="K25:P25">TREND('International Data'!R58:BO58,'International Data'!R1:BO1,'Africa Forecasts'!K4:P4)</f>
        <v>4.2152970768995068</v>
      </c>
      <c r="L25" s="68">
        <v>4.0438594777100789</v>
      </c>
      <c r="M25" s="68">
        <v>3.872421878520651</v>
      </c>
      <c r="N25" s="68">
        <v>3.7005145872786507</v>
      </c>
      <c r="O25" s="68">
        <v>3.5290769880892263</v>
      </c>
      <c r="P25" s="68">
        <v>2.6714193000895179</v>
      </c>
      <c r="R25" s="64" t="s">
        <v>95</v>
      </c>
      <c r="S25" s="68" cm="1">
        <f t="array" ref="S25:X25">TREND('International Data'!AA61:BO61,'International Data'!AA1:BO1,'Africa Forecasts'!S24:X24)</f>
        <v>0.13105865414490481</v>
      </c>
      <c r="T25" s="68">
        <v>-3.0940017434225808E-2</v>
      </c>
      <c r="U25" s="68">
        <v>-0.19293868901335642</v>
      </c>
      <c r="V25" s="68">
        <v>-0.35538119256941769</v>
      </c>
      <c r="W25" s="68">
        <v>-0.51737986414854831</v>
      </c>
      <c r="X25" s="68">
        <v>-1.3278170540211356</v>
      </c>
      <c r="Z25" s="64" t="s">
        <v>95</v>
      </c>
      <c r="AA25" s="68" cm="1">
        <f t="array" ref="AA25:AF25">TREND('International Data'!AT124:BO124,'International Data'!AT1:BO1,'Africa Forecasts'!AA24:AF24)</f>
        <v>4.3659271036339771</v>
      </c>
      <c r="AB25" s="68">
        <v>4.2880837201636233</v>
      </c>
      <c r="AC25" s="68">
        <v>4.2102403366932695</v>
      </c>
      <c r="AD25" s="68">
        <v>4.1321836836791608</v>
      </c>
      <c r="AE25" s="68">
        <v>4.054340300208807</v>
      </c>
      <c r="AF25" s="68">
        <v>3.6649101133132831</v>
      </c>
      <c r="AH25" s="64" t="s">
        <v>95</v>
      </c>
      <c r="AI25" s="68" cm="1">
        <f t="array" ref="AI25:AN25">TREND('International Data'!AC94:BN94,'International Data'!AC1:BN1,'Africa Forecasts'!AI24:AN24)</f>
        <v>3.4429529366521834</v>
      </c>
      <c r="AJ25" s="68">
        <v>3.3417789920530794</v>
      </c>
      <c r="AK25" s="68">
        <v>3.2406050474539754</v>
      </c>
      <c r="AL25" s="68">
        <v>3.1391539139655578</v>
      </c>
      <c r="AM25" s="68">
        <v>3.0379799693664538</v>
      </c>
      <c r="AN25" s="68">
        <v>2.5318330574816201</v>
      </c>
      <c r="AP25" s="64" t="s">
        <v>95</v>
      </c>
      <c r="AQ25" s="68" cm="1">
        <f t="array" ref="AQ25:AV25">TREND('International Data'!G97:BN97,'International Data'!G1:BN1,'Africa Forecasts'!AQ24:AV24)</f>
        <v>4.186634059633251</v>
      </c>
      <c r="AR25" s="68">
        <v>4.095865059594642</v>
      </c>
      <c r="AS25" s="68">
        <v>4.005096059556033</v>
      </c>
      <c r="AT25" s="68">
        <v>3.9140783773255379</v>
      </c>
      <c r="AU25" s="68">
        <v>3.8233093772869271</v>
      </c>
      <c r="AV25" s="68">
        <v>3.369215694901996</v>
      </c>
      <c r="AX25" s="64" t="s">
        <v>95</v>
      </c>
      <c r="AY25" s="68" t="e" cm="1">
        <f t="array" ref="AY25">TREND('International Data'!O97:BV97,'International Data'!O1:BV1,'Africa Forecasts'!AY24:BD24)</f>
        <v>#VALUE!</v>
      </c>
      <c r="AZ25" s="68"/>
      <c r="BA25" s="68"/>
      <c r="BB25" s="68"/>
      <c r="BC25" s="68"/>
      <c r="BD25" s="68"/>
    </row>
    <row r="26" spans="1:56">
      <c r="B26" s="64" t="s">
        <v>96</v>
      </c>
      <c r="C26" s="68">
        <f>_xlfn.FORECAST.ETS(C24,'International Data'!$AJ$55:$BO$55,'International Data'!$AJ$1:$BO$1)</f>
        <v>-0.55792285502143468</v>
      </c>
      <c r="D26" s="68">
        <f>_xlfn.FORECAST.ETS(D24,'International Data'!$C$6:$BO$6,'International Data'!$C$1:$BO$1)</f>
        <v>2.9928342461653297</v>
      </c>
      <c r="E26" s="68">
        <f>_xlfn.FORECAST.ETS(E24,'International Data'!$C$6:$BO$6,'International Data'!$C$1:$BO$1)</f>
        <v>2.9578657517763971</v>
      </c>
      <c r="F26" s="68">
        <f>_xlfn.FORECAST.ETS(F24,'International Data'!$C$6:$BO$6,'International Data'!$C$1:$BO$1)</f>
        <v>2.9228972573874592</v>
      </c>
      <c r="G26" s="68">
        <f>_xlfn.FORECAST.ETS(G24,'International Data'!$C$6:$BO$6,'International Data'!$C$1:$BO$1)</f>
        <v>2.8879287629985262</v>
      </c>
      <c r="H26" s="68">
        <f>_xlfn.FORECAST.ETS(H24,'International Data'!$C$6:$BO$6,'International Data'!$C$1:$BO$1)</f>
        <v>2.7130862910538469</v>
      </c>
      <c r="J26" s="64" t="s">
        <v>96</v>
      </c>
      <c r="K26" s="68">
        <f>_xlfn.FORECAST.ETS(K24,'International Data'!$R$58:$BO$58,'International Data'!$R$1:$BO$1)</f>
        <v>8.9297561925656943</v>
      </c>
      <c r="L26" s="68">
        <f>_xlfn.FORECAST.ETS(L24,'International Data'!$R$58:$BO$58,'International Data'!$R$1:$BO$1)</f>
        <v>7.9401983530820983</v>
      </c>
      <c r="M26" s="68">
        <f>_xlfn.FORECAST.ETS(M24,'International Data'!$R$58:$BO$58,'International Data'!$R$1:$BO$1)</f>
        <v>6.51084745386337</v>
      </c>
      <c r="N26" s="68">
        <f>_xlfn.FORECAST.ETS(N24,'International Data'!$R$58:$BO$58,'International Data'!$R$1:$BO$1)</f>
        <v>5.4570156487353501</v>
      </c>
      <c r="O26" s="68">
        <f>_xlfn.FORECAST.ETS(O24,'International Data'!$R$58:$BO$58,'International Data'!$R$1:$BO$1)</f>
        <v>4.9806182368782812</v>
      </c>
      <c r="P26" s="68">
        <f>_xlfn.FORECAST.ETS(P24,'International Data'!$R$58:$BO$58,'International Data'!$R$1:$BO$1)</f>
        <v>1.3635404297006555</v>
      </c>
      <c r="R26" s="64" t="s">
        <v>96</v>
      </c>
      <c r="S26" s="68">
        <f>_xlfn.FORECAST.ETS(S24,'International Data'!$AA$61:$BO$61,'International Data'!$AA$1:$BO$1)</f>
        <v>0.91871154201581584</v>
      </c>
      <c r="T26" s="68">
        <f>_xlfn.FORECAST.ETS(T24,'International Data'!$AA$61:$BO$61,'International Data'!$AA$1:$BO$1)</f>
        <v>0.3297779017009802</v>
      </c>
      <c r="U26" s="68">
        <f>_xlfn.FORECAST.ETS(U24,'International Data'!$AA$61:$BO$61,'International Data'!$AA$1:$BO$1)</f>
        <v>-5.145948377220277</v>
      </c>
      <c r="V26" s="68">
        <f>_xlfn.FORECAST.ETS(V24,'International Data'!$AA$61:$BO$61,'International Data'!$AA$1:$BO$1)</f>
        <v>-1.1087930583348609</v>
      </c>
      <c r="W26" s="68">
        <f>_xlfn.FORECAST.ETS(W24,'International Data'!$AA$61:$BO$61,'International Data'!$AA$1:$BO$1)</f>
        <v>-2.3988242253410967</v>
      </c>
      <c r="X26" s="68">
        <f>_xlfn.FORECAST.ETS(X24,'International Data'!$AA$61:$BO$61,'International Data'!$AA$1:$BO$1)</f>
        <v>-0.11337885766377265</v>
      </c>
      <c r="Z26" s="64" t="s">
        <v>96</v>
      </c>
      <c r="AA26" s="68">
        <f>_xlfn.FORECAST.ETS(AA24,'International Data'!$AT$124:$BO$124,'International Data'!$AT$1:$BO$1)</f>
        <v>2.0159778230845982</v>
      </c>
      <c r="AB26" s="68">
        <f>_xlfn.FORECAST.ETS(AB24,'International Data'!$AT$124:$BO$124,'International Data'!$AT$1:$BO$1)</f>
        <v>2.6784957703594436</v>
      </c>
      <c r="AC26" s="68">
        <f>_xlfn.FORECAST.ETS(AC24,'International Data'!$AT$124:$BO$124,'International Data'!$AT$1:$BO$1)</f>
        <v>3.2934602665581498</v>
      </c>
      <c r="AD26" s="68">
        <f>_xlfn.FORECAST.ETS(AD24,'International Data'!$AT$124:$BO$124,'International Data'!$AT$1:$BO$1)</f>
        <v>3.6184047834814335</v>
      </c>
      <c r="AE26" s="68">
        <f>_xlfn.FORECAST.ETS(AE24,'International Data'!$AT$124:$BO$124,'International Data'!$AT$1:$BO$1)</f>
        <v>6.0092440746063351</v>
      </c>
      <c r="AF26" s="68">
        <f>_xlfn.FORECAST.ETS(AF24,'International Data'!$AT$124:$BO$124,'International Data'!$AT$1:$BO$1)</f>
        <v>2.0838347952846701</v>
      </c>
      <c r="AH26" s="64" t="s">
        <v>96</v>
      </c>
      <c r="AI26" s="68">
        <f>_xlfn.FORECAST.ETS(AI24,'International Data'!$AC$94:$BN$94,'International Data'!$AC$1:$BN$1)</f>
        <v>3.4301610696100884</v>
      </c>
      <c r="AJ26" s="68">
        <f>_xlfn.FORECAST.ETS(AJ24,'International Data'!$AC$94:$BN$94,'International Data'!$AC$1:$BN$1)</f>
        <v>3.3305886457176306</v>
      </c>
      <c r="AK26" s="68">
        <f>_xlfn.FORECAST.ETS(AK24,'International Data'!$AC$94:$BN$94,'International Data'!$AC$1:$BN$1)</f>
        <v>3.2310162218251692</v>
      </c>
      <c r="AL26" s="68">
        <f>_xlfn.FORECAST.ETS(AL24,'International Data'!$AC$94:$BN$94,'International Data'!$AC$1:$BN$1)</f>
        <v>3.1314437979327114</v>
      </c>
      <c r="AM26" s="68">
        <f>_xlfn.FORECAST.ETS(AM24,'International Data'!$AC$94:$BN$94,'International Data'!$AC$1:$BN$1)</f>
        <v>3.0318713740402501</v>
      </c>
      <c r="AN26" s="68">
        <f>_xlfn.FORECAST.ETS(AN24,'International Data'!$AC$94:$BN$94,'International Data'!$AC$1:$BN$1)</f>
        <v>2.5340092545779545</v>
      </c>
      <c r="AP26" s="64" t="s">
        <v>96</v>
      </c>
      <c r="AQ26" s="68">
        <f>_xlfn.FORECAST.ETS(AQ24,'International Data'!$G$97:$BN$97,'International Data'!$G$1:$BN$1)</f>
        <v>6.4876017861882485</v>
      </c>
      <c r="AR26" s="68">
        <f>_xlfn.FORECAST.ETS(AR24,'International Data'!$G$97:$BN$97,'International Data'!$G$1:$BN$1)</f>
        <v>5.3983674564549071</v>
      </c>
      <c r="AS26" s="68">
        <f>_xlfn.FORECAST.ETS(AS24,'International Data'!$G$97:$BN$97,'International Data'!$G$1:$BN$1)</f>
        <v>2.5511731640960087</v>
      </c>
      <c r="AT26" s="68">
        <f>_xlfn.FORECAST.ETS(AT24,'International Data'!$G$97:$BN$97,'International Data'!$G$1:$BN$1)</f>
        <v>3.3449751546180693</v>
      </c>
      <c r="AU26" s="68">
        <f>_xlfn.FORECAST.ETS(AU24,'International Data'!$G$97:$BN$97,'International Data'!$G$1:$BN$1)</f>
        <v>-1.6847160057195216</v>
      </c>
      <c r="AV26" s="68">
        <f>_xlfn.FORECAST.ETS(AV24,'International Data'!$G$97:$BN$97,'International Data'!$G$1:$BN$1)</f>
        <v>8.8734660401521079</v>
      </c>
      <c r="AX26" s="64" t="s">
        <v>96</v>
      </c>
      <c r="AY26" s="68">
        <f>_xlfn.FORECAST.ETS(AY24,'International Data'!$G$97:$BN$97,'International Data'!$G$1:$BN$1)</f>
        <v>6.4876017861882485</v>
      </c>
      <c r="AZ26" s="68">
        <f>_xlfn.FORECAST.ETS(AZ24,'International Data'!$G$97:$BN$97,'International Data'!$G$1:$BN$1)</f>
        <v>5.3983674564549071</v>
      </c>
      <c r="BA26" s="68">
        <f>_xlfn.FORECAST.ETS(BA24,'International Data'!$G$97:$BN$97,'International Data'!$G$1:$BN$1)</f>
        <v>2.5511731640960087</v>
      </c>
      <c r="BB26" s="68">
        <f>_xlfn.FORECAST.ETS(BB24,'International Data'!$G$97:$BN$97,'International Data'!$G$1:$BN$1)</f>
        <v>3.3449751546180693</v>
      </c>
      <c r="BC26" s="68">
        <f>_xlfn.FORECAST.ETS(BC24,'International Data'!$G$97:$BN$97,'International Data'!$G$1:$BN$1)</f>
        <v>-1.6847160057195216</v>
      </c>
      <c r="BD26" s="68">
        <f>_xlfn.FORECAST.ETS(BD24,'International Data'!$G$97:$BN$97,'International Data'!$G$1:$BN$1)</f>
        <v>8.8734660401521079</v>
      </c>
    </row>
    <row r="27" spans="1:56">
      <c r="B27" t="s">
        <v>89</v>
      </c>
      <c r="J27" t="s">
        <v>89</v>
      </c>
      <c r="R27" t="s">
        <v>89</v>
      </c>
      <c r="Z27" t="s">
        <v>89</v>
      </c>
      <c r="AH27" t="s">
        <v>89</v>
      </c>
      <c r="AP27" t="s">
        <v>89</v>
      </c>
      <c r="AX27" t="s">
        <v>89</v>
      </c>
    </row>
    <row r="28" spans="1:56">
      <c r="B28" t="s">
        <v>89</v>
      </c>
      <c r="J28" t="s">
        <v>89</v>
      </c>
      <c r="R28" t="s">
        <v>89</v>
      </c>
      <c r="Z28" t="s">
        <v>89</v>
      </c>
      <c r="AH28" t="s">
        <v>89</v>
      </c>
      <c r="AP28" t="s">
        <v>89</v>
      </c>
      <c r="AX28" t="s">
        <v>89</v>
      </c>
    </row>
    <row r="31" spans="1:56">
      <c r="B31" s="65" t="s">
        <v>93</v>
      </c>
      <c r="J31" s="65" t="s">
        <v>93</v>
      </c>
      <c r="R31" s="65" t="s">
        <v>93</v>
      </c>
      <c r="Z31" s="65" t="s">
        <v>93</v>
      </c>
      <c r="AH31" s="65" t="s">
        <v>93</v>
      </c>
      <c r="AP31" s="65" t="s">
        <v>93</v>
      </c>
      <c r="AX31" s="65" t="s">
        <v>93</v>
      </c>
    </row>
    <row r="32" spans="1:56" hidden="1">
      <c r="A32" s="110"/>
      <c r="B32" s="65"/>
      <c r="C32" s="1"/>
      <c r="D32" s="1"/>
      <c r="E32" s="1"/>
      <c r="F32" s="1"/>
      <c r="G32" s="1"/>
      <c r="H32" s="1"/>
      <c r="I32" s="1"/>
      <c r="J32" s="65"/>
      <c r="K32" s="1"/>
      <c r="L32" s="1"/>
      <c r="M32" s="1"/>
      <c r="N32" s="1"/>
      <c r="O32" s="1"/>
      <c r="P32" s="1"/>
      <c r="Q32" s="1"/>
      <c r="R32" s="65"/>
      <c r="S32" s="1"/>
      <c r="T32" s="1"/>
      <c r="U32" s="1"/>
      <c r="V32" s="1"/>
      <c r="W32" s="1"/>
      <c r="X32" s="1"/>
      <c r="Y32" s="1"/>
      <c r="Z32" s="65"/>
      <c r="AA32" s="1"/>
      <c r="AB32" s="1"/>
      <c r="AC32" s="1"/>
      <c r="AD32" s="1"/>
      <c r="AE32" s="1"/>
      <c r="AF32" s="1"/>
      <c r="AG32" s="1"/>
      <c r="AH32" s="65"/>
      <c r="AI32" s="1"/>
      <c r="AJ32" s="1"/>
      <c r="AK32" s="1"/>
      <c r="AL32" s="1"/>
      <c r="AM32" s="1"/>
      <c r="AN32" s="1"/>
      <c r="AO32" s="1"/>
      <c r="AP32" s="65"/>
      <c r="AQ32" s="1"/>
      <c r="AR32" s="1"/>
      <c r="AS32" s="1"/>
      <c r="AT32" s="1"/>
      <c r="AU32" s="1"/>
      <c r="AV32" s="1"/>
      <c r="AW32" s="1"/>
      <c r="AX32" s="65"/>
      <c r="AY32" s="1"/>
      <c r="AZ32" s="1"/>
      <c r="BA32" s="1"/>
      <c r="BB32" s="1"/>
      <c r="BC32" s="1"/>
      <c r="BD32" s="1"/>
    </row>
    <row r="34" spans="1:56">
      <c r="A34" s="71" t="s">
        <v>3</v>
      </c>
    </row>
    <row r="35" spans="1:56" ht="18">
      <c r="A35" s="72"/>
      <c r="B35" s="111" t="s">
        <v>25</v>
      </c>
      <c r="C35" s="69">
        <f>DATE(2026,1,1)</f>
        <v>46023</v>
      </c>
      <c r="D35" s="69">
        <f>DATE(2027,1,1)</f>
        <v>46388</v>
      </c>
      <c r="E35" s="69">
        <f>DATE(2028,1,1)</f>
        <v>46753</v>
      </c>
      <c r="F35" s="69">
        <f>DATE(2029,1,1)</f>
        <v>47119</v>
      </c>
      <c r="G35" s="69">
        <f>DATE(2030,1,1)</f>
        <v>47484</v>
      </c>
      <c r="H35" s="69">
        <f>DATE(2035,1,1)</f>
        <v>49310</v>
      </c>
      <c r="J35" s="111" t="s">
        <v>29</v>
      </c>
      <c r="K35" s="69">
        <f>DATE(2026,1,1)</f>
        <v>46023</v>
      </c>
      <c r="L35" s="69">
        <f>DATE(2027,1,1)</f>
        <v>46388</v>
      </c>
      <c r="M35" s="69">
        <f>DATE(2028,1,1)</f>
        <v>46753</v>
      </c>
      <c r="N35" s="69">
        <f>DATE(2029,1,1)</f>
        <v>47119</v>
      </c>
      <c r="O35" s="69">
        <f>DATE(2030,1,1)</f>
        <v>47484</v>
      </c>
      <c r="P35" s="69">
        <f>DATE(2035,1,1)</f>
        <v>49310</v>
      </c>
      <c r="R35" s="111" t="s">
        <v>40</v>
      </c>
      <c r="S35" s="69">
        <f>DATE(2026,1,1)</f>
        <v>46023</v>
      </c>
      <c r="T35" s="69">
        <f>DATE(2027,1,1)</f>
        <v>46388</v>
      </c>
      <c r="U35" s="69">
        <f>DATE(2028,1,1)</f>
        <v>46753</v>
      </c>
      <c r="V35" s="69">
        <f>DATE(2029,1,1)</f>
        <v>47119</v>
      </c>
      <c r="W35" s="69">
        <f>DATE(2030,1,1)</f>
        <v>47484</v>
      </c>
      <c r="X35" s="69">
        <f>DATE(2035,1,1)</f>
        <v>49310</v>
      </c>
      <c r="Z35" s="111" t="s">
        <v>42</v>
      </c>
      <c r="AA35" s="69">
        <f>DATE(2026,1,1)</f>
        <v>46023</v>
      </c>
      <c r="AB35" s="69">
        <f>DATE(2027,1,1)</f>
        <v>46388</v>
      </c>
      <c r="AC35" s="69">
        <f>DATE(2028,1,1)</f>
        <v>46753</v>
      </c>
      <c r="AD35" s="69">
        <f>DATE(2029,1,1)</f>
        <v>47119</v>
      </c>
      <c r="AE35" s="69">
        <f>DATE(2030,1,1)</f>
        <v>47484</v>
      </c>
      <c r="AF35" s="69">
        <f>DATE(2035,1,1)</f>
        <v>49310</v>
      </c>
      <c r="AH35" s="111" t="s">
        <v>44</v>
      </c>
      <c r="AI35" s="69">
        <f>DATE(2026,1,1)</f>
        <v>46023</v>
      </c>
      <c r="AJ35" s="69">
        <f>DATE(2027,1,1)</f>
        <v>46388</v>
      </c>
      <c r="AK35" s="69">
        <f>DATE(2028,1,1)</f>
        <v>46753</v>
      </c>
      <c r="AL35" s="69">
        <f>DATE(2029,1,1)</f>
        <v>47119</v>
      </c>
      <c r="AM35" s="69">
        <f>DATE(2030,1,1)</f>
        <v>47484</v>
      </c>
      <c r="AN35" s="69">
        <f>DATE(2035,1,1)</f>
        <v>49310</v>
      </c>
      <c r="AP35" s="111" t="s">
        <v>22</v>
      </c>
      <c r="AQ35" s="69">
        <f>DATE(2026,1,1)</f>
        <v>46023</v>
      </c>
      <c r="AR35" s="69">
        <f>DATE(2027,1,1)</f>
        <v>46388</v>
      </c>
      <c r="AS35" s="69">
        <f>DATE(2028,1,1)</f>
        <v>46753</v>
      </c>
      <c r="AT35" s="69">
        <f>DATE(2029,1,1)</f>
        <v>47119</v>
      </c>
      <c r="AU35" s="69">
        <f>DATE(2030,1,1)</f>
        <v>47484</v>
      </c>
      <c r="AV35" s="69">
        <f>DATE(2035,1,1)</f>
        <v>49310</v>
      </c>
      <c r="AX35" s="112"/>
      <c r="AY35" s="69"/>
      <c r="AZ35" s="69"/>
      <c r="BA35" s="69"/>
      <c r="BB35" s="69"/>
      <c r="BC35" s="69"/>
      <c r="BD35" s="69"/>
    </row>
    <row r="36" spans="1:56">
      <c r="A36" s="72"/>
      <c r="B36" s="64" t="s">
        <v>95</v>
      </c>
      <c r="C36" s="68" cm="1">
        <f t="array" ref="C36:H36">TREND('International Data'!I74:BO74,'International Data'!I1:BO1,'Africa Forecasts'!C35:H35)</f>
        <v>10.213571656238869</v>
      </c>
      <c r="D36" s="68">
        <v>9.5976902707001273</v>
      </c>
      <c r="E36" s="68">
        <v>8.9818088851613993</v>
      </c>
      <c r="F36" s="68">
        <v>8.3642401533609103</v>
      </c>
      <c r="G36" s="68">
        <v>7.7483587678221824</v>
      </c>
      <c r="H36" s="68">
        <v>4.6672644938667531</v>
      </c>
      <c r="J36" s="64" t="s">
        <v>95</v>
      </c>
      <c r="K36" s="68" t="e" cm="1">
        <f t="array" ref="K36">TREND('International Data'!C86:BO86,'International Data'!C1:BO1,'Africa Forecasts'!K35:P35)</f>
        <v>#VALUE!</v>
      </c>
      <c r="L36" s="68"/>
      <c r="M36" s="68"/>
      <c r="N36" s="68"/>
      <c r="O36" s="68"/>
      <c r="P36" s="68"/>
      <c r="R36" s="64" t="s">
        <v>95</v>
      </c>
      <c r="S36" s="68" cm="1">
        <f t="array" ref="S36:X36">TREND('International Data'!C101:BO101,'International Data'!C1:BO1,'Africa Forecasts'!S35:X35)</f>
        <v>23.695866610575116</v>
      </c>
      <c r="T36" s="68">
        <v>23.838433475479384</v>
      </c>
      <c r="U36" s="68">
        <v>23.981000340383652</v>
      </c>
      <c r="V36" s="68">
        <v>24.123957799438344</v>
      </c>
      <c r="W36" s="68">
        <v>24.266524664342612</v>
      </c>
      <c r="X36" s="68">
        <v>24.979749583014367</v>
      </c>
      <c r="Z36" s="64" t="s">
        <v>95</v>
      </c>
      <c r="AA36" s="68" cm="1">
        <f t="array" ref="AA36:AF36">TREND('International Data'!C107:BO107,'International Data'!C1:BO1,'Africa Forecasts'!AA35:AF35)</f>
        <v>28.471627402783106</v>
      </c>
      <c r="AB36" s="68">
        <v>28.572413036298066</v>
      </c>
      <c r="AC36" s="68">
        <v>28.673198669813026</v>
      </c>
      <c r="AD36" s="68">
        <v>28.774260428351312</v>
      </c>
      <c r="AE36" s="68">
        <v>28.875046061866271</v>
      </c>
      <c r="AF36" s="68">
        <v>29.379250354464396</v>
      </c>
      <c r="AH36" s="64" t="s">
        <v>95</v>
      </c>
      <c r="AI36" s="68" cm="1">
        <f t="array" ref="AI36:AN36">TREND('International Data'!F113:BO113,'International Data'!F1:BO1,'Africa Forecasts'!AI35:AN35)</f>
        <v>25.014809545205239</v>
      </c>
      <c r="AJ36" s="68">
        <v>24.905716835298549</v>
      </c>
      <c r="AK36" s="68">
        <v>24.796624125391858</v>
      </c>
      <c r="AL36" s="68">
        <v>24.687232531348435</v>
      </c>
      <c r="AM36" s="68">
        <v>24.578139821441745</v>
      </c>
      <c r="AN36" s="68">
        <v>24.032377387771565</v>
      </c>
      <c r="AP36" s="64" t="s">
        <v>95</v>
      </c>
      <c r="AQ36" s="68" cm="1">
        <f t="array" ref="AQ36:AV36">TREND('International Data'!C125:BO125,'International Data'!C1:BO1,'Africa Forecasts'!AQ35:AV35)</f>
        <v>25.859188753528557</v>
      </c>
      <c r="AR36" s="68">
        <v>25.65375388706509</v>
      </c>
      <c r="AS36" s="68">
        <v>25.448319020601627</v>
      </c>
      <c r="AT36" s="68">
        <v>25.24232131888758</v>
      </c>
      <c r="AU36" s="68">
        <v>25.036886452424117</v>
      </c>
      <c r="AV36" s="68">
        <v>24.009149284856214</v>
      </c>
      <c r="AX36" s="64"/>
      <c r="AY36" s="68"/>
      <c r="AZ36" s="68"/>
      <c r="BA36" s="68"/>
      <c r="BB36" s="68"/>
      <c r="BC36" s="68"/>
      <c r="BD36" s="68"/>
    </row>
    <row r="37" spans="1:56">
      <c r="A37" s="72"/>
      <c r="B37" s="64" t="s">
        <v>96</v>
      </c>
      <c r="C37" s="68">
        <f>_xlfn.FORECAST.ETS(C35,'International Data'!$I$74:$BO$74,'International Data'!$I$1:$BO$1)</f>
        <v>5.8221065412906778</v>
      </c>
      <c r="D37" s="68">
        <f>_xlfn.FORECAST.ETS(D35,'International Data'!$I$74:$BO$74,'International Data'!$I$1:$BO$1)</f>
        <v>5.2135233468065936</v>
      </c>
      <c r="E37" s="68">
        <f>_xlfn.FORECAST.ETS(E35,'International Data'!$I$74:$BO$74,'International Data'!$I$1:$BO$1)</f>
        <v>4.6049401523225164</v>
      </c>
      <c r="F37" s="68">
        <f>_xlfn.FORECAST.ETS(F35,'International Data'!$I$74:$BO$74,'International Data'!$I$1:$BO$1)</f>
        <v>3.9963569578384321</v>
      </c>
      <c r="G37" s="68">
        <f>_xlfn.FORECAST.ETS(G35,'International Data'!$I$74:$BO$74,'International Data'!$I$1:$BO$1)</f>
        <v>3.3877737633543554</v>
      </c>
      <c r="H37" s="68">
        <f>_xlfn.FORECAST.ETS(H35,'International Data'!$I$74:$BO$74,'International Data'!$I$1:$BO$1)</f>
        <v>0.34485779093394964</v>
      </c>
      <c r="J37" s="64" t="s">
        <v>96</v>
      </c>
      <c r="K37" s="68" t="e">
        <f>_xlfn.FORECAST.ETS(K35,'International Data'!$C$86:$BO$86,'International Data'!$C$1:$BO$1)</f>
        <v>#NUM!</v>
      </c>
      <c r="L37" s="68" t="e">
        <f>_xlfn.FORECAST.ETS(L35,'International Data'!$C$86:$BO$86,'International Data'!$C$1:$BO$1)</f>
        <v>#NUM!</v>
      </c>
      <c r="M37" s="68" t="e">
        <f>_xlfn.FORECAST.ETS(M35,'International Data'!$C$86:$BO$86,'International Data'!$C$1:$BO$1)</f>
        <v>#NUM!</v>
      </c>
      <c r="N37" s="68" t="e">
        <f>_xlfn.FORECAST.ETS(N35,'International Data'!$C$86:$BO$86,'International Data'!$C$1:$BO$1)</f>
        <v>#NUM!</v>
      </c>
      <c r="O37" s="68" t="e">
        <f>_xlfn.FORECAST.ETS(O35,'International Data'!$C$86:$BO$86,'International Data'!$C$1:$BO$1)</f>
        <v>#NUM!</v>
      </c>
      <c r="P37" s="68" t="e">
        <f>_xlfn.FORECAST.ETS(P35,'International Data'!$C$86:$BO$86,'International Data'!$C$1:$BO$1)</f>
        <v>#NUM!</v>
      </c>
      <c r="R37" s="64" t="s">
        <v>96</v>
      </c>
      <c r="S37" s="68">
        <f>_xlfn.FORECAST.ETS(S35,'International Data'!$C$101:$BO$101,'International Data'!$C$1:$BO$1)</f>
        <v>27.350616823588151</v>
      </c>
      <c r="T37" s="68">
        <f>_xlfn.FORECAST.ETS(T35,'International Data'!$C$101:$BO$101,'International Data'!$C$1:$BO$1)</f>
        <v>27.501531183765632</v>
      </c>
      <c r="U37" s="68">
        <f>_xlfn.FORECAST.ETS(U35,'International Data'!$C$101:$BO$101,'International Data'!$C$1:$BO$1)</f>
        <v>27.652445543943109</v>
      </c>
      <c r="V37" s="68">
        <f>_xlfn.FORECAST.ETS(V35,'International Data'!$C$101:$BO$101,'International Data'!$C$1:$BO$1)</f>
        <v>27.80335990412059</v>
      </c>
      <c r="W37" s="68">
        <f>_xlfn.FORECAST.ETS(W35,'International Data'!$C$101:$BO$101,'International Data'!$C$1:$BO$1)</f>
        <v>27.954274264298071</v>
      </c>
      <c r="X37" s="68">
        <f>_xlfn.FORECAST.ETS(X35,'International Data'!$C$101:$BO$101,'International Data'!$C$1:$BO$1)</f>
        <v>28.708846065185469</v>
      </c>
      <c r="Z37" s="64" t="s">
        <v>96</v>
      </c>
      <c r="AA37" s="68">
        <f>_xlfn.FORECAST.ETS(AA35,'International Data'!$C$107:$BO$107,'International Data'!$C$1:$BO$1)</f>
        <v>32.05155494564837</v>
      </c>
      <c r="AB37" s="68">
        <f>_xlfn.FORECAST.ETS(AB35,'International Data'!$C$107:$BO$107,'International Data'!$C$1:$BO$1)</f>
        <v>32.152409825477505</v>
      </c>
      <c r="AC37" s="68">
        <f>_xlfn.FORECAST.ETS(AC35,'International Data'!$C$107:$BO$107,'International Data'!$C$1:$BO$1)</f>
        <v>32.253264705306641</v>
      </c>
      <c r="AD37" s="68">
        <f>_xlfn.FORECAST.ETS(AD35,'International Data'!$C$107:$BO$107,'International Data'!$C$1:$BO$1)</f>
        <v>32.354119585135777</v>
      </c>
      <c r="AE37" s="68">
        <f>_xlfn.FORECAST.ETS(AE35,'International Data'!$C$107:$BO$107,'International Data'!$C$1:$BO$1)</f>
        <v>32.45497446496492</v>
      </c>
      <c r="AF37" s="68">
        <f>_xlfn.FORECAST.ETS(AF35,'International Data'!$C$107:$BO$107,'International Data'!$C$1:$BO$1)</f>
        <v>32.959248864110599</v>
      </c>
      <c r="AH37" s="64" t="s">
        <v>96</v>
      </c>
      <c r="AI37" s="68">
        <f>_xlfn.FORECAST.ETS(AI35,'International Data'!$F$113:$BO$113,'International Data'!$F$1:$BO$1)</f>
        <v>24.081157504751356</v>
      </c>
      <c r="AJ37" s="68">
        <f>_xlfn.FORECAST.ETS(AJ35,'International Data'!$F$113:$BO$113,'International Data'!$F$1:$BO$1)</f>
        <v>23.996468424919563</v>
      </c>
      <c r="AK37" s="68">
        <f>_xlfn.FORECAST.ETS(AK35,'International Data'!$F$113:$BO$113,'International Data'!$F$1:$BO$1)</f>
        <v>23.911779345087812</v>
      </c>
      <c r="AL37" s="68">
        <f>_xlfn.FORECAST.ETS(AL35,'International Data'!$F$113:$BO$113,'International Data'!$F$1:$BO$1)</f>
        <v>23.827090265256018</v>
      </c>
      <c r="AM37" s="68">
        <f>_xlfn.FORECAST.ETS(AM35,'International Data'!$F$113:$BO$113,'International Data'!$F$1:$BO$1)</f>
        <v>23.742401185424267</v>
      </c>
      <c r="AN37" s="68">
        <f>_xlfn.FORECAST.ETS(AN35,'International Data'!$F$113:$BO$113,'International Data'!$F$1:$BO$1)</f>
        <v>23.318955786265377</v>
      </c>
      <c r="AP37" s="64" t="s">
        <v>96</v>
      </c>
      <c r="AQ37" s="68">
        <f>_xlfn.FORECAST.ETS(AQ35,'International Data'!$C$125:$BO$125,'International Data'!$C$1:$BO$1)</f>
        <v>20.030810222164448</v>
      </c>
      <c r="AR37" s="68">
        <f>_xlfn.FORECAST.ETS(AR35,'International Data'!$C$125:$BO$125,'International Data'!$C$1:$BO$1)</f>
        <v>21.799072550691434</v>
      </c>
      <c r="AS37" s="68">
        <f>_xlfn.FORECAST.ETS(AS35,'International Data'!$C$125:$BO$125,'International Data'!$C$1:$BO$1)</f>
        <v>25.608167183819639</v>
      </c>
      <c r="AT37" s="68">
        <f>_xlfn.FORECAST.ETS(AT35,'International Data'!$C$125:$BO$125,'International Data'!$C$1:$BO$1)</f>
        <v>25.197422812208845</v>
      </c>
      <c r="AU37" s="68">
        <f>_xlfn.FORECAST.ETS(AU35,'International Data'!$C$125:$BO$125,'International Data'!$C$1:$BO$1)</f>
        <v>27.218059368660001</v>
      </c>
      <c r="AV37" s="68">
        <f>_xlfn.FORECAST.ETS(AV35,'International Data'!$C$125:$BO$125,'International Data'!$C$1:$BO$1)</f>
        <v>18.136035978031568</v>
      </c>
      <c r="AX37" s="64"/>
      <c r="AY37" s="68"/>
      <c r="AZ37" s="68"/>
      <c r="BA37" s="68"/>
      <c r="BB37" s="68"/>
      <c r="BC37" s="68"/>
      <c r="BD37" s="68"/>
    </row>
    <row r="38" spans="1:56">
      <c r="A38" s="72"/>
      <c r="B38" t="s">
        <v>89</v>
      </c>
      <c r="J38" t="s">
        <v>89</v>
      </c>
      <c r="R38" t="s">
        <v>89</v>
      </c>
      <c r="Z38" t="s">
        <v>89</v>
      </c>
      <c r="AH38" t="s">
        <v>89</v>
      </c>
      <c r="AP38" t="s">
        <v>89</v>
      </c>
    </row>
    <row r="39" spans="1:56">
      <c r="A39" s="72"/>
      <c r="B39" t="s">
        <v>89</v>
      </c>
      <c r="J39" t="s">
        <v>89</v>
      </c>
      <c r="R39" t="s">
        <v>89</v>
      </c>
      <c r="Z39" t="s">
        <v>89</v>
      </c>
      <c r="AH39" t="s">
        <v>89</v>
      </c>
      <c r="AP39" t="s">
        <v>89</v>
      </c>
    </row>
    <row r="40" spans="1:56">
      <c r="A40" s="72"/>
    </row>
    <row r="41" spans="1:56">
      <c r="A41" s="72"/>
    </row>
    <row r="42" spans="1:56">
      <c r="A42" s="72"/>
      <c r="B42" s="65" t="s">
        <v>93</v>
      </c>
      <c r="J42" s="65" t="s">
        <v>93</v>
      </c>
      <c r="R42" s="65" t="s">
        <v>93</v>
      </c>
      <c r="Z42" s="65" t="s">
        <v>93</v>
      </c>
      <c r="AH42" s="65" t="s">
        <v>93</v>
      </c>
      <c r="AP42" s="65" t="s">
        <v>93</v>
      </c>
      <c r="AX42" s="64"/>
    </row>
    <row r="43" spans="1:56" hidden="1">
      <c r="A43" s="72"/>
      <c r="B43" s="65"/>
      <c r="C43" s="1"/>
      <c r="D43" s="1"/>
      <c r="E43" s="1"/>
      <c r="F43" s="1"/>
      <c r="G43" s="1"/>
      <c r="H43" s="1"/>
      <c r="J43" s="65"/>
      <c r="K43" s="1"/>
      <c r="L43" s="1"/>
      <c r="M43" s="1"/>
      <c r="N43" s="1"/>
      <c r="O43" s="1"/>
      <c r="P43" s="1"/>
      <c r="R43" s="65"/>
      <c r="S43" s="1"/>
      <c r="T43" s="1"/>
      <c r="U43" s="1"/>
      <c r="V43" s="1"/>
      <c r="W43" s="1"/>
      <c r="X43" s="1"/>
      <c r="Z43" s="65"/>
      <c r="AA43" s="1"/>
      <c r="AB43" s="1"/>
      <c r="AC43" s="1"/>
      <c r="AD43" s="1"/>
      <c r="AE43" s="1"/>
      <c r="AF43" s="1"/>
      <c r="AH43" s="65"/>
      <c r="AI43" s="1"/>
      <c r="AJ43" s="1"/>
      <c r="AK43" s="1"/>
      <c r="AL43" s="1"/>
      <c r="AM43" s="1"/>
      <c r="AN43" s="1"/>
      <c r="AP43" s="65"/>
      <c r="AQ43" s="1"/>
      <c r="AR43" s="1"/>
      <c r="AS43" s="1"/>
      <c r="AT43" s="1"/>
      <c r="AU43" s="1"/>
      <c r="AV43" s="1"/>
      <c r="AX43" s="64"/>
    </row>
    <row r="44" spans="1:56">
      <c r="A44" s="71" t="s">
        <v>4</v>
      </c>
    </row>
    <row r="45" spans="1:56" ht="18">
      <c r="A45" s="72"/>
      <c r="B45" s="111" t="s">
        <v>25</v>
      </c>
      <c r="C45" s="69">
        <f>DATE(2026,1,1)</f>
        <v>46023</v>
      </c>
      <c r="D45" s="69">
        <f>DATE(2027,1,1)</f>
        <v>46388</v>
      </c>
      <c r="E45" s="69">
        <f>DATE(2028,1,1)</f>
        <v>46753</v>
      </c>
      <c r="F45" s="69">
        <f>DATE(2029,1,1)</f>
        <v>47119</v>
      </c>
      <c r="G45" s="69">
        <f>DATE(2030,1,1)</f>
        <v>47484</v>
      </c>
      <c r="H45" s="69">
        <f>DATE(2035,1,1)</f>
        <v>49310</v>
      </c>
      <c r="J45" s="111" t="s">
        <v>29</v>
      </c>
      <c r="K45" s="69">
        <f>DATE(2026,1,1)</f>
        <v>46023</v>
      </c>
      <c r="L45" s="69">
        <f>DATE(2027,1,1)</f>
        <v>46388</v>
      </c>
      <c r="M45" s="69">
        <f>DATE(2028,1,1)</f>
        <v>46753</v>
      </c>
      <c r="N45" s="69">
        <f>DATE(2029,1,1)</f>
        <v>47119</v>
      </c>
      <c r="O45" s="69">
        <f>DATE(2030,1,1)</f>
        <v>47484</v>
      </c>
      <c r="P45" s="69">
        <f>DATE(2035,1,1)</f>
        <v>49310</v>
      </c>
      <c r="R45" s="111" t="s">
        <v>40</v>
      </c>
      <c r="S45" s="69">
        <f>DATE(2026,1,1)</f>
        <v>46023</v>
      </c>
      <c r="T45" s="69">
        <f>DATE(2027,1,1)</f>
        <v>46388</v>
      </c>
      <c r="U45" s="69">
        <f>DATE(2028,1,1)</f>
        <v>46753</v>
      </c>
      <c r="V45" s="69">
        <f>DATE(2029,1,1)</f>
        <v>47119</v>
      </c>
      <c r="W45" s="69">
        <f>DATE(2030,1,1)</f>
        <v>47484</v>
      </c>
      <c r="X45" s="69">
        <f>DATE(2035,1,1)</f>
        <v>49310</v>
      </c>
      <c r="Z45" s="111" t="s">
        <v>42</v>
      </c>
      <c r="AA45" s="69">
        <f>DATE(2026,1,1)</f>
        <v>46023</v>
      </c>
      <c r="AB45" s="69">
        <f>DATE(2027,1,1)</f>
        <v>46388</v>
      </c>
      <c r="AC45" s="69">
        <f>DATE(2028,1,1)</f>
        <v>46753</v>
      </c>
      <c r="AD45" s="69">
        <f>DATE(2029,1,1)</f>
        <v>47119</v>
      </c>
      <c r="AE45" s="69">
        <f>DATE(2030,1,1)</f>
        <v>47484</v>
      </c>
      <c r="AF45" s="69">
        <f>DATE(2035,1,1)</f>
        <v>49310</v>
      </c>
      <c r="AH45" s="111" t="s">
        <v>44</v>
      </c>
      <c r="AI45" s="69">
        <f>DATE(2026,1,1)</f>
        <v>46023</v>
      </c>
      <c r="AJ45" s="69">
        <f>DATE(2027,1,1)</f>
        <v>46388</v>
      </c>
      <c r="AK45" s="69">
        <f>DATE(2028,1,1)</f>
        <v>46753</v>
      </c>
      <c r="AL45" s="69">
        <f>DATE(2029,1,1)</f>
        <v>47119</v>
      </c>
      <c r="AM45" s="69">
        <f>DATE(2030,1,1)</f>
        <v>47484</v>
      </c>
      <c r="AN45" s="69">
        <f>DATE(2035,1,1)</f>
        <v>49310</v>
      </c>
      <c r="AP45" s="111" t="s">
        <v>22</v>
      </c>
      <c r="AQ45" s="69">
        <f>DATE(2026,1,1)</f>
        <v>46023</v>
      </c>
      <c r="AR45" s="69">
        <f>DATE(2027,1,1)</f>
        <v>46388</v>
      </c>
      <c r="AS45" s="69">
        <f>DATE(2028,1,1)</f>
        <v>46753</v>
      </c>
      <c r="AT45" s="69">
        <f>DATE(2029,1,1)</f>
        <v>47119</v>
      </c>
      <c r="AU45" s="69">
        <f>DATE(2030,1,1)</f>
        <v>47484</v>
      </c>
      <c r="AV45" s="69">
        <f>DATE(2035,1,1)</f>
        <v>49310</v>
      </c>
      <c r="AX45" s="112"/>
      <c r="AY45" s="69"/>
      <c r="AZ45" s="69"/>
      <c r="BA45" s="69"/>
      <c r="BB45" s="69"/>
      <c r="BC45" s="69"/>
      <c r="BD45" s="69"/>
    </row>
    <row r="46" spans="1:56">
      <c r="A46" s="72"/>
      <c r="B46" s="64" t="s">
        <v>95</v>
      </c>
      <c r="C46" s="68" cm="1">
        <f t="array" ref="C46:H46">TREND('International Data'!$I$75:$BO$75,'International Data'!$I$1:$BO$1,'Africa Forecasts'!C45:H45)</f>
        <v>26.802784262372278</v>
      </c>
      <c r="D46" s="68">
        <v>26.35145273375516</v>
      </c>
      <c r="E46" s="68">
        <v>25.900121205138042</v>
      </c>
      <c r="F46" s="68">
        <v>25.447553151784994</v>
      </c>
      <c r="G46" s="68">
        <v>24.996221623167877</v>
      </c>
      <c r="H46" s="68">
        <v>22.738327455346358</v>
      </c>
      <c r="J46" s="64" t="s">
        <v>95</v>
      </c>
      <c r="K46" s="68"/>
      <c r="L46" s="68"/>
      <c r="M46" s="68"/>
      <c r="N46" s="68"/>
      <c r="O46" s="68"/>
      <c r="P46" s="68"/>
      <c r="R46" s="64" t="s">
        <v>95</v>
      </c>
      <c r="S46" s="68" cm="1">
        <f t="array" ref="S46:X46">TREND('International Data'!C102:BO102,'International Data'!C1:BO1,'Africa Forecasts'!S45:X45)</f>
        <v>42.922078651193637</v>
      </c>
      <c r="T46" s="68">
        <v>43.259119723997841</v>
      </c>
      <c r="U46" s="68">
        <v>43.596160796802039</v>
      </c>
      <c r="V46" s="68">
        <v>43.934125269805705</v>
      </c>
      <c r="W46" s="68">
        <v>44.271166342609909</v>
      </c>
      <c r="X46" s="68">
        <v>45.957295106830379</v>
      </c>
      <c r="Z46" s="64" t="s">
        <v>95</v>
      </c>
      <c r="AA46" s="68" cm="1">
        <f t="array" ref="AA46:AF46">TREND('International Data'!C108:BO108,'International Data'!C1:BO1,'Africa Forecasts'!AA45:AF45)</f>
        <v>27.648114974377339</v>
      </c>
      <c r="AB46" s="68">
        <v>27.784598310761485</v>
      </c>
      <c r="AC46" s="68">
        <v>27.921081647145627</v>
      </c>
      <c r="AD46" s="68">
        <v>28.057938910478768</v>
      </c>
      <c r="AE46" s="68">
        <v>28.194422246862914</v>
      </c>
      <c r="AF46" s="68">
        <v>28.877212855732626</v>
      </c>
      <c r="AH46" s="64" t="s">
        <v>95</v>
      </c>
      <c r="AI46" s="68" cm="1">
        <f t="array" ref="AI46:AN46">TREND('International Data'!F114:BO114,'International Data'!F1:BO1,'Africa Forecasts'!AI45:AN45)</f>
        <v>38.236281295843959</v>
      </c>
      <c r="AJ46" s="68">
        <v>38.235967418874075</v>
      </c>
      <c r="AK46" s="68">
        <v>38.235653541904192</v>
      </c>
      <c r="AL46" s="68">
        <v>38.235338804997404</v>
      </c>
      <c r="AM46" s="68">
        <v>38.235024928027521</v>
      </c>
      <c r="AN46" s="68">
        <v>38.233454683241199</v>
      </c>
      <c r="AP46" s="64" t="s">
        <v>95</v>
      </c>
      <c r="AQ46" s="68" cm="1">
        <f t="array" ref="AQ46:AV46">TREND('International Data'!C126:BO126,'International Data'!C1:BO1,'Africa Forecasts'!AQ45:AV45)</f>
        <v>26.656936338193713</v>
      </c>
      <c r="AR46" s="68">
        <v>26.577889816878574</v>
      </c>
      <c r="AS46" s="68">
        <v>26.498843295563439</v>
      </c>
      <c r="AT46" s="68">
        <v>26.419580208436486</v>
      </c>
      <c r="AU46" s="68">
        <v>26.340533687121351</v>
      </c>
      <c r="AV46" s="68">
        <v>25.94508451473385</v>
      </c>
      <c r="AX46" s="64"/>
      <c r="AY46" s="68"/>
      <c r="AZ46" s="68"/>
      <c r="BA46" s="68"/>
      <c r="BB46" s="68"/>
      <c r="BC46" s="68"/>
      <c r="BD46" s="68"/>
    </row>
    <row r="47" spans="1:56">
      <c r="A47" s="72"/>
      <c r="B47" s="64" t="s">
        <v>96</v>
      </c>
      <c r="C47" s="68">
        <f>_xlfn.FORECAST.ETS(C45,'International Data'!$I$75:$BO$75,'International Data'!$I$1:$BO$1)</f>
        <v>36.284247113001221</v>
      </c>
      <c r="D47" s="68">
        <f>_xlfn.FORECAST.ETS(D45,'International Data'!$I$75:$BO$75,'International Data'!$I$1:$BO$1)</f>
        <v>35.832606407262951</v>
      </c>
      <c r="E47" s="68">
        <f>_xlfn.FORECAST.ETS(E45,'International Data'!$I$75:$BO$75,'International Data'!$I$1:$BO$1)</f>
        <v>35.380965701524715</v>
      </c>
      <c r="F47" s="68">
        <f>_xlfn.FORECAST.ETS(F45,'International Data'!$I$75:$BO$75,'International Data'!$I$1:$BO$1)</f>
        <v>34.929324995786445</v>
      </c>
      <c r="G47" s="68">
        <f>_xlfn.FORECAST.ETS(G45,'International Data'!$I$75:$BO$75,'International Data'!$I$1:$BO$1)</f>
        <v>34.477684290048202</v>
      </c>
      <c r="H47" s="68">
        <f>_xlfn.FORECAST.ETS(H45,'International Data'!$I$75:$BO$75,'International Data'!$I$1:$BO$1)</f>
        <v>32.21948076135692</v>
      </c>
      <c r="J47" s="64" t="s">
        <v>96</v>
      </c>
      <c r="K47" s="68"/>
      <c r="L47" s="68"/>
      <c r="M47" s="68"/>
      <c r="N47" s="68"/>
      <c r="O47" s="68"/>
      <c r="P47" s="68"/>
      <c r="R47" s="64" t="s">
        <v>96</v>
      </c>
      <c r="S47" s="68">
        <f>_xlfn.FORECAST.ETS(S45,'International Data'!$C$102:$BO$102,'International Data'!$C$1:$BO$1)</f>
        <v>44.428156639417679</v>
      </c>
      <c r="T47" s="68">
        <f>_xlfn.FORECAST.ETS(T45,'International Data'!$C$102:$BO$102,'International Data'!$C$1:$BO$1)</f>
        <v>44.77544456835075</v>
      </c>
      <c r="U47" s="68">
        <f>_xlfn.FORECAST.ETS(U45,'International Data'!$C$102:$BO$102,'International Data'!$C$1:$BO$1)</f>
        <v>45.12273249728382</v>
      </c>
      <c r="V47" s="68">
        <f>_xlfn.FORECAST.ETS(V45,'International Data'!$C$102:$BO$102,'International Data'!$C$1:$BO$1)</f>
        <v>45.470020426216884</v>
      </c>
      <c r="W47" s="68">
        <f>_xlfn.FORECAST.ETS(W45,'International Data'!$C$102:$BO$102,'International Data'!$C$1:$BO$1)</f>
        <v>45.817308355149954</v>
      </c>
      <c r="X47" s="68">
        <f>_xlfn.FORECAST.ETS(X45,'International Data'!$C$102:$BO$102,'International Data'!$C$1:$BO$1)</f>
        <v>47.553747999815307</v>
      </c>
      <c r="Z47" s="64" t="s">
        <v>96</v>
      </c>
      <c r="AA47" s="68">
        <f>_xlfn.FORECAST.ETS(AA45,'International Data'!$C$108:$BO$108,'International Data'!$C$1:$BO$1)</f>
        <v>30.38253130109225</v>
      </c>
      <c r="AB47" s="68">
        <f>_xlfn.FORECAST.ETS(AB45,'International Data'!$C$108:$BO$108,'International Data'!$C$1:$BO$1)</f>
        <v>30.519424434655651</v>
      </c>
      <c r="AC47" s="68">
        <f>_xlfn.FORECAST.ETS(AC45,'International Data'!$C$108:$BO$108,'International Data'!$C$1:$BO$1)</f>
        <v>30.656317568219066</v>
      </c>
      <c r="AD47" s="68">
        <f>_xlfn.FORECAST.ETS(AD45,'International Data'!$C$108:$BO$108,'International Data'!$C$1:$BO$1)</f>
        <v>30.793210701782471</v>
      </c>
      <c r="AE47" s="68">
        <f>_xlfn.FORECAST.ETS(AE45,'International Data'!$C$108:$BO$108,'International Data'!$C$1:$BO$1)</f>
        <v>30.930103835345886</v>
      </c>
      <c r="AF47" s="68">
        <f>_xlfn.FORECAST.ETS(AF45,'International Data'!$C$108:$BO$108,'International Data'!$C$1:$BO$1)</f>
        <v>31.614569503162919</v>
      </c>
      <c r="AH47" s="64" t="s">
        <v>96</v>
      </c>
      <c r="AI47" s="68">
        <f>_xlfn.FORECAST.ETS(AI35,'International Data'!$F$114:$BO$114,'International Data'!$F$1:$BO$1)</f>
        <v>38.029791774097241</v>
      </c>
      <c r="AJ47" s="68">
        <f>_xlfn.FORECAST.ETS(AJ35,'International Data'!$F$114:$BO$114,'International Data'!$F$1:$BO$1)</f>
        <v>38.04356683980275</v>
      </c>
      <c r="AK47" s="68">
        <f>_xlfn.FORECAST.ETS(AK35,'International Data'!$F$114:$BO$114,'International Data'!$F$1:$BO$1)</f>
        <v>38.057341905508252</v>
      </c>
      <c r="AL47" s="68">
        <f>_xlfn.FORECAST.ETS(AL35,'International Data'!$F$114:$BO$114,'International Data'!$F$1:$BO$1)</f>
        <v>38.071116971213762</v>
      </c>
      <c r="AM47" s="68">
        <f>_xlfn.FORECAST.ETS(AM35,'International Data'!$F$114:$BO$114,'International Data'!$F$1:$BO$1)</f>
        <v>38.084892036919264</v>
      </c>
      <c r="AN47" s="68">
        <f>_xlfn.FORECAST.ETS(AN35,'International Data'!$F$114:$BO$114,'International Data'!$F$1:$BO$1)</f>
        <v>38.153767365446797</v>
      </c>
      <c r="AP47" s="64" t="s">
        <v>96</v>
      </c>
      <c r="AQ47" s="68">
        <f>_xlfn.FORECAST.ETS(AQ45,'International Data'!$C$126:$BO$126,'International Data'!$C$1:$BO$1)</f>
        <v>26.910616505869804</v>
      </c>
      <c r="AR47" s="68">
        <f>_xlfn.FORECAST.ETS(AR45,'International Data'!$C$126:$BO$126,'International Data'!$C$1:$BO$1)</f>
        <v>26.831515128428741</v>
      </c>
      <c r="AS47" s="68">
        <f>_xlfn.FORECAST.ETS(AS45,'International Data'!$C$126:$BO$126,'International Data'!$C$1:$BO$1)</f>
        <v>26.752413750987674</v>
      </c>
      <c r="AT47" s="68">
        <f>_xlfn.FORECAST.ETS(AT45,'International Data'!$C$126:$BO$126,'International Data'!$C$1:$BO$1)</f>
        <v>26.673312373546608</v>
      </c>
      <c r="AU47" s="68">
        <f>_xlfn.FORECAST.ETS(AU45,'International Data'!$C$126:$BO$126,'International Data'!$C$1:$BO$1)</f>
        <v>26.594210996105542</v>
      </c>
      <c r="AV47" s="68">
        <f>_xlfn.FORECAST.ETS(AV45,'International Data'!$C$126:$BO$126,'International Data'!$C$1:$BO$1)</f>
        <v>26.198704108900216</v>
      </c>
      <c r="AX47" s="64"/>
      <c r="AY47" s="68"/>
      <c r="AZ47" s="68"/>
      <c r="BA47" s="68"/>
      <c r="BB47" s="68"/>
      <c r="BC47" s="68"/>
      <c r="BD47" s="68"/>
    </row>
    <row r="48" spans="1:56">
      <c r="B48" t="s">
        <v>89</v>
      </c>
      <c r="J48" t="s">
        <v>89</v>
      </c>
      <c r="R48" t="s">
        <v>89</v>
      </c>
      <c r="Z48" t="s">
        <v>89</v>
      </c>
      <c r="AH48" t="s">
        <v>89</v>
      </c>
      <c r="AP48" t="s">
        <v>89</v>
      </c>
    </row>
    <row r="49" spans="1:56">
      <c r="B49" t="s">
        <v>89</v>
      </c>
      <c r="J49" t="s">
        <v>89</v>
      </c>
      <c r="R49" t="s">
        <v>89</v>
      </c>
      <c r="Z49" t="s">
        <v>89</v>
      </c>
      <c r="AH49" t="s">
        <v>89</v>
      </c>
      <c r="AP49" t="s">
        <v>89</v>
      </c>
    </row>
    <row r="52" spans="1:56">
      <c r="B52" s="65" t="s">
        <v>93</v>
      </c>
      <c r="J52" s="65" t="s">
        <v>93</v>
      </c>
      <c r="R52" s="65" t="s">
        <v>93</v>
      </c>
      <c r="Z52" s="65" t="s">
        <v>93</v>
      </c>
      <c r="AH52" s="65" t="s">
        <v>93</v>
      </c>
      <c r="AP52" s="65" t="s">
        <v>93</v>
      </c>
      <c r="AX52" s="64"/>
    </row>
    <row r="53" spans="1:56" hidden="1">
      <c r="B53" s="65"/>
      <c r="C53" s="1"/>
      <c r="D53" s="1"/>
      <c r="E53" s="1"/>
      <c r="F53" s="1"/>
      <c r="G53" s="1"/>
      <c r="H53" s="1"/>
      <c r="J53" s="65"/>
      <c r="K53" s="1"/>
      <c r="L53" s="1"/>
      <c r="M53" s="1"/>
      <c r="N53" s="1"/>
      <c r="O53" s="1"/>
      <c r="P53" s="1"/>
      <c r="R53" s="65"/>
      <c r="S53" s="1"/>
      <c r="T53" s="1"/>
      <c r="U53" s="1"/>
      <c r="V53" s="1"/>
      <c r="W53" s="1"/>
      <c r="X53" s="1"/>
      <c r="Z53" s="65"/>
      <c r="AA53" s="1"/>
      <c r="AB53" s="1"/>
      <c r="AC53" s="1"/>
      <c r="AD53" s="1"/>
      <c r="AE53" s="1"/>
      <c r="AF53" s="1"/>
      <c r="AH53" s="65"/>
      <c r="AI53" s="1"/>
      <c r="AJ53" s="1"/>
      <c r="AK53" s="1"/>
      <c r="AL53" s="1"/>
      <c r="AM53" s="1"/>
      <c r="AN53" s="1"/>
      <c r="AP53" s="65"/>
      <c r="AQ53" s="1"/>
      <c r="AR53" s="1"/>
      <c r="AS53" s="1"/>
      <c r="AT53" s="1"/>
      <c r="AU53" s="1"/>
      <c r="AV53" s="1"/>
      <c r="AX53" s="64"/>
    </row>
    <row r="54" spans="1:56">
      <c r="A54" s="71" t="s">
        <v>47</v>
      </c>
    </row>
    <row r="55" spans="1:56" ht="18">
      <c r="B55" s="111" t="s">
        <v>25</v>
      </c>
      <c r="C55" s="69">
        <f>DATE(2026,1,1)</f>
        <v>46023</v>
      </c>
      <c r="D55" s="69">
        <f>DATE(2027,1,1)</f>
        <v>46388</v>
      </c>
      <c r="E55" s="69">
        <f>DATE(2028,1,1)</f>
        <v>46753</v>
      </c>
      <c r="F55" s="69">
        <f>DATE(2029,1,1)</f>
        <v>47119</v>
      </c>
      <c r="G55" s="69">
        <f>DATE(2030,1,1)</f>
        <v>47484</v>
      </c>
      <c r="H55" s="69">
        <f>DATE(2035,1,1)</f>
        <v>49310</v>
      </c>
      <c r="J55" s="111" t="s">
        <v>29</v>
      </c>
      <c r="K55" s="69">
        <f>DATE(2026,1,1)</f>
        <v>46023</v>
      </c>
      <c r="L55" s="69">
        <f>DATE(2027,1,1)</f>
        <v>46388</v>
      </c>
      <c r="M55" s="69">
        <f>DATE(2028,1,1)</f>
        <v>46753</v>
      </c>
      <c r="N55" s="69">
        <f>DATE(2029,1,1)</f>
        <v>47119</v>
      </c>
      <c r="O55" s="69">
        <f>DATE(2030,1,1)</f>
        <v>47484</v>
      </c>
      <c r="P55" s="69">
        <f>DATE(2035,1,1)</f>
        <v>49310</v>
      </c>
      <c r="R55" s="111" t="s">
        <v>40</v>
      </c>
      <c r="S55" s="69">
        <f>DATE(2026,1,1)</f>
        <v>46023</v>
      </c>
      <c r="T55" s="69">
        <f>DATE(2027,1,1)</f>
        <v>46388</v>
      </c>
      <c r="U55" s="69">
        <f>DATE(2028,1,1)</f>
        <v>46753</v>
      </c>
      <c r="V55" s="69">
        <f>DATE(2029,1,1)</f>
        <v>47119</v>
      </c>
      <c r="W55" s="69">
        <f>DATE(2030,1,1)</f>
        <v>47484</v>
      </c>
      <c r="X55" s="69">
        <f>DATE(2035,1,1)</f>
        <v>49310</v>
      </c>
      <c r="Z55" s="111" t="s">
        <v>42</v>
      </c>
      <c r="AA55" s="69">
        <f>DATE(2026,1,1)</f>
        <v>46023</v>
      </c>
      <c r="AB55" s="69">
        <f>DATE(2027,1,1)</f>
        <v>46388</v>
      </c>
      <c r="AC55" s="69">
        <f>DATE(2028,1,1)</f>
        <v>46753</v>
      </c>
      <c r="AD55" s="69">
        <f>DATE(2029,1,1)</f>
        <v>47119</v>
      </c>
      <c r="AE55" s="69">
        <f>DATE(2030,1,1)</f>
        <v>47484</v>
      </c>
      <c r="AF55" s="69">
        <f>DATE(2035,1,1)</f>
        <v>49310</v>
      </c>
      <c r="AH55" s="111" t="s">
        <v>44</v>
      </c>
      <c r="AI55" s="69">
        <f>DATE(2026,1,1)</f>
        <v>46023</v>
      </c>
      <c r="AJ55" s="69">
        <f>DATE(2027,1,1)</f>
        <v>46388</v>
      </c>
      <c r="AK55" s="69">
        <f>DATE(2028,1,1)</f>
        <v>46753</v>
      </c>
      <c r="AL55" s="69">
        <f>DATE(2029,1,1)</f>
        <v>47119</v>
      </c>
      <c r="AM55" s="69">
        <f>DATE(2030,1,1)</f>
        <v>47484</v>
      </c>
      <c r="AN55" s="69">
        <f>DATE(2035,1,1)</f>
        <v>49310</v>
      </c>
      <c r="AP55" s="111" t="s">
        <v>22</v>
      </c>
      <c r="AQ55" s="69">
        <f>DATE(2026,1,1)</f>
        <v>46023</v>
      </c>
      <c r="AR55" s="69">
        <f>DATE(2027,1,1)</f>
        <v>46388</v>
      </c>
      <c r="AS55" s="69">
        <f>DATE(2028,1,1)</f>
        <v>46753</v>
      </c>
      <c r="AT55" s="69">
        <f>DATE(2029,1,1)</f>
        <v>47119</v>
      </c>
      <c r="AU55" s="69">
        <f>DATE(2030,1,1)</f>
        <v>47484</v>
      </c>
      <c r="AV55" s="69">
        <f>DATE(2035,1,1)</f>
        <v>49310</v>
      </c>
      <c r="AX55" s="112"/>
      <c r="AY55" s="69"/>
      <c r="AZ55" s="69"/>
      <c r="BA55" s="69"/>
      <c r="BB55" s="69"/>
      <c r="BC55" s="69"/>
      <c r="BD55" s="69"/>
    </row>
    <row r="56" spans="1:56">
      <c r="B56" s="64" t="s">
        <v>95</v>
      </c>
      <c r="C56" s="68" cm="1">
        <f t="array" ref="C56:H56">TREND('International Data'!$E$76:$BO$76,'International Data'!$E$1:$BO$1,'Africa Forecasts'!$C$55:$H$55)</f>
        <v>8.6447942177300821</v>
      </c>
      <c r="D56" s="68">
        <v>8.6564222671072297</v>
      </c>
      <c r="E56" s="68">
        <v>8.6680503164843792</v>
      </c>
      <c r="F56" s="68">
        <v>8.6797102235310533</v>
      </c>
      <c r="G56" s="68">
        <v>8.6913382729082009</v>
      </c>
      <c r="H56" s="68">
        <v>8.7495103774634693</v>
      </c>
      <c r="J56" s="64" t="s">
        <v>95</v>
      </c>
      <c r="K56" s="68"/>
      <c r="L56" s="68"/>
      <c r="M56" s="68"/>
      <c r="N56" s="68"/>
      <c r="O56" s="68"/>
      <c r="P56" s="68"/>
      <c r="R56" s="64" t="s">
        <v>95</v>
      </c>
      <c r="S56" s="68" cm="1">
        <f t="array" ref="S56:X56">TREND('International Data'!K103:BO103,'International Data'!K1:BO1,'Africa Forecasts'!S55:X55)</f>
        <v>0.36828892862234142</v>
      </c>
      <c r="T56" s="68">
        <v>0.22382476683649699</v>
      </c>
      <c r="U56" s="68">
        <v>7.9360605050649013E-2</v>
      </c>
      <c r="V56" s="68">
        <v>-6.5499348959267678E-2</v>
      </c>
      <c r="W56" s="68">
        <v>-0.2099635107451121</v>
      </c>
      <c r="X56" s="68">
        <v>-0.9326801118984136</v>
      </c>
      <c r="Z56" s="64" t="s">
        <v>95</v>
      </c>
      <c r="AA56" s="68" cm="1">
        <f t="array" ref="AA56:AF56">TREND('International Data'!C109:BO109,'International Data'!C1:BO1,'Africa Forecasts'!AA55:AF55)</f>
        <v>6.7468424756325751</v>
      </c>
      <c r="AB56" s="68">
        <v>6.719325411998712</v>
      </c>
      <c r="AC56" s="68">
        <v>6.6918083483648481</v>
      </c>
      <c r="AD56" s="68">
        <v>6.6642158955155493</v>
      </c>
      <c r="AE56" s="68">
        <v>6.6366988318816862</v>
      </c>
      <c r="AF56" s="68">
        <v>6.4990381244969324</v>
      </c>
      <c r="AH56" s="64" t="s">
        <v>95</v>
      </c>
      <c r="AI56" s="68" cm="1">
        <f t="array" ref="AI56:AN56">TREND('International Data'!J115:BO115,'International Data'!J1:BO1,'Africa Forecasts'!AI55:AN55)</f>
        <v>1.7845076494799468</v>
      </c>
      <c r="AJ56" s="68">
        <v>1.6804051320846547</v>
      </c>
      <c r="AK56" s="68">
        <v>1.5763026146893626</v>
      </c>
      <c r="AL56" s="68">
        <v>1.4719148849176431</v>
      </c>
      <c r="AM56" s="68">
        <v>1.367812367522351</v>
      </c>
      <c r="AN56" s="68">
        <v>0.84701456816946141</v>
      </c>
      <c r="AP56" s="64" t="s">
        <v>95</v>
      </c>
      <c r="AQ56" s="68" cm="1">
        <f t="array" ref="AQ56:AV56">TREND('International Data'!D127:BO127,'International Data'!D1:BO1,'Africa Forecasts'!AQ55:AV55)</f>
        <v>2.0553402329282946</v>
      </c>
      <c r="AR56" s="68">
        <v>1.9595452546713137</v>
      </c>
      <c r="AS56" s="68">
        <v>1.8637502764143346</v>
      </c>
      <c r="AT56" s="68">
        <v>1.7676928461621308</v>
      </c>
      <c r="AU56" s="68">
        <v>1.6718978679051499</v>
      </c>
      <c r="AV56" s="68">
        <v>1.1926605246250279</v>
      </c>
      <c r="AX56" s="64"/>
      <c r="AY56" s="68"/>
      <c r="AZ56" s="68"/>
      <c r="BA56" s="68"/>
      <c r="BB56" s="68"/>
      <c r="BC56" s="68"/>
      <c r="BD56" s="68"/>
    </row>
    <row r="57" spans="1:56">
      <c r="B57" s="64" t="s">
        <v>96</v>
      </c>
      <c r="C57" s="68">
        <f>_xlfn.FORECAST.ETS(C55,'International Data'!$E$76:$BO$76,'International Data'!$E$1:$BO$1)</f>
        <v>12.416667870548046</v>
      </c>
      <c r="D57" s="68">
        <f>_xlfn.FORECAST.ETS(D55,'International Data'!$E$76:$BO$76,'International Data'!$E$1:$BO$1)</f>
        <v>12.446622426019195</v>
      </c>
      <c r="E57" s="68">
        <f>_xlfn.FORECAST.ETS(E55,'International Data'!$E$76:$BO$76,'International Data'!$E$1:$BO$1)</f>
        <v>12.476576981490345</v>
      </c>
      <c r="F57" s="68">
        <f>_xlfn.FORECAST.ETS(F55,'International Data'!$E$76:$BO$76,'International Data'!$E$1:$BO$1)</f>
        <v>12.506531536961493</v>
      </c>
      <c r="G57" s="68">
        <f>_xlfn.FORECAST.ETS(G55,'International Data'!$E$76:$BO$76,'International Data'!$E$1:$BO$1)</f>
        <v>12.536486092432641</v>
      </c>
      <c r="H57" s="68">
        <f>_xlfn.FORECAST.ETS(H55,'International Data'!$E$76:$BO$76,'International Data'!$E$1:$BO$1)</f>
        <v>12.686258869788386</v>
      </c>
      <c r="J57" s="64" t="s">
        <v>96</v>
      </c>
      <c r="K57" s="68"/>
      <c r="L57" s="68"/>
      <c r="M57" s="68"/>
      <c r="N57" s="68"/>
      <c r="O57" s="68"/>
      <c r="P57" s="68"/>
      <c r="R57" s="64" t="s">
        <v>96</v>
      </c>
      <c r="S57" s="68">
        <f>_xlfn.FORECAST.ETS(S55,'International Data'!$K$103:$BO$103,'International Data'!$K$1:$BO$1)</f>
        <v>-0.73310454140081793</v>
      </c>
      <c r="T57" s="68">
        <f>_xlfn.FORECAST.ETS(T55,'International Data'!$K$103:$BO$103,'International Data'!$K$1:$BO$1)</f>
        <v>4.0178385434912336</v>
      </c>
      <c r="U57" s="68">
        <f>_xlfn.FORECAST.ETS(U55,'International Data'!$K$103:$BO$103,'International Data'!$K$1:$BO$1)</f>
        <v>4.4720776366729451</v>
      </c>
      <c r="V57" s="68">
        <f>_xlfn.FORECAST.ETS(V55,'International Data'!$K$103:$BO$103,'International Data'!$K$1:$BO$1)</f>
        <v>9.3650088781566794</v>
      </c>
      <c r="W57" s="68">
        <f>_xlfn.FORECAST.ETS(W55,'International Data'!$K$103:$BO$103,'International Data'!$K$1:$BO$1)</f>
        <v>10.494695624962841</v>
      </c>
      <c r="X57" s="68">
        <f>_xlfn.FORECAST.ETS(X55,'International Data'!$K$103:$BO$103,'International Data'!$K$1:$BO$1)</f>
        <v>-1.7545216330359521</v>
      </c>
      <c r="Z57" s="64" t="s">
        <v>96</v>
      </c>
      <c r="AA57" s="68">
        <f>_xlfn.FORECAST.ETS(AA55,'International Data'!$C$109:$BO$109,'International Data'!$C$1:$BO$1)</f>
        <v>4.4923019410402727</v>
      </c>
      <c r="AB57" s="68">
        <f>_xlfn.FORECAST.ETS(AB55,'International Data'!$C$109:$BO$109,'International Data'!$C$1:$BO$1)</f>
        <v>4.4697755120605054</v>
      </c>
      <c r="AC57" s="68">
        <f>_xlfn.FORECAST.ETS(AC55,'International Data'!$C$109:$BO$109,'International Data'!$C$1:$BO$1)</f>
        <v>4.447249083080731</v>
      </c>
      <c r="AD57" s="68">
        <f>_xlfn.FORECAST.ETS(AD55,'International Data'!$C$109:$BO$109,'International Data'!$C$1:$BO$1)</f>
        <v>4.4247226541009637</v>
      </c>
      <c r="AE57" s="68">
        <f>_xlfn.FORECAST.ETS(AE55,'International Data'!$C$109:$BO$109,'International Data'!$C$1:$BO$1)</f>
        <v>4.4021962251211901</v>
      </c>
      <c r="AF57" s="68">
        <f>_xlfn.FORECAST.ETS(AF55,'International Data'!$C$109:$BO$109,'International Data'!$C$1:$BO$1)</f>
        <v>4.2895640802223403</v>
      </c>
      <c r="AH57" s="64" t="s">
        <v>96</v>
      </c>
      <c r="AI57" s="68">
        <f>_xlfn.FORECAST.ETS(AI55,'International Data'!$J$115:$BO$115,'International Data'!$J$1:$BO$1)</f>
        <v>-8.9958699703298723</v>
      </c>
      <c r="AJ57" s="68">
        <f>_xlfn.FORECAST.ETS(AJ55,'International Data'!$J$115:$BO$115,'International Data'!$J$1:$BO$1)</f>
        <v>-8.8050786514080119</v>
      </c>
      <c r="AK57" s="68">
        <f>_xlfn.FORECAST.ETS(AK55,'International Data'!$J$115:$BO$115,'International Data'!$J$1:$BO$1)</f>
        <v>-4.9742832601862048</v>
      </c>
      <c r="AL57" s="68">
        <f>_xlfn.FORECAST.ETS(AL55,'International Data'!$J$115:$BO$115,'International Data'!$J$1:$BO$1)</f>
        <v>-5.8375996992253967</v>
      </c>
      <c r="AM57" s="68">
        <f>_xlfn.FORECAST.ETS(AM55,'International Data'!$J$115:$BO$115,'International Data'!$J$1:$BO$1)</f>
        <v>-3.1245357798683409</v>
      </c>
      <c r="AN57" s="68">
        <f>_xlfn.FORECAST.ETS(AN55,'International Data'!$J$115:$BO$115,'International Data'!$J$1:$BO$1)</f>
        <v>-6.2936247532486309</v>
      </c>
      <c r="AP57" s="64" t="s">
        <v>96</v>
      </c>
      <c r="AQ57" s="68">
        <f>_xlfn.FORECAST.ETS(AQ55,'International Data'!$D$127:$BO$127,'International Data'!$D$1:$BO$1)</f>
        <v>16.2355881136411</v>
      </c>
      <c r="AR57" s="68">
        <f>_xlfn.FORECAST.ETS(AR55,'International Data'!$D$127:$BO$127,'International Data'!$D$1:$BO$1)</f>
        <v>11.935265791419617</v>
      </c>
      <c r="AS57" s="68">
        <f>_xlfn.FORECAST.ETS(AS55,'International Data'!$D$127:$BO$127,'International Data'!$D$1:$BO$1)</f>
        <v>5.2251541714896499</v>
      </c>
      <c r="AT57" s="68">
        <f>_xlfn.FORECAST.ETS(AT55,'International Data'!$D$127:$BO$127,'International Data'!$D$1:$BO$1)</f>
        <v>3.0698915247048255</v>
      </c>
      <c r="AU57" s="68">
        <f>_xlfn.FORECAST.ETS(AU55,'International Data'!$D$127:$BO$127,'International Data'!$D$1:$BO$1)</f>
        <v>2.8456248997267997</v>
      </c>
      <c r="AV57" s="68">
        <f>_xlfn.FORECAST.ETS(AV55,'International Data'!$D$127:$BO$127,'International Data'!$D$1:$BO$1)</f>
        <v>-1.3555808709821302</v>
      </c>
      <c r="AX57" s="64"/>
      <c r="AY57" s="68"/>
      <c r="AZ57" s="68"/>
      <c r="BA57" s="68"/>
      <c r="BB57" s="68"/>
      <c r="BC57" s="68"/>
      <c r="BD57" s="68"/>
    </row>
    <row r="58" spans="1:56">
      <c r="B58" t="s">
        <v>89</v>
      </c>
      <c r="J58" t="s">
        <v>89</v>
      </c>
      <c r="R58" t="s">
        <v>89</v>
      </c>
      <c r="Z58" t="s">
        <v>89</v>
      </c>
      <c r="AH58" t="s">
        <v>89</v>
      </c>
      <c r="AP58" t="s">
        <v>89</v>
      </c>
    </row>
    <row r="59" spans="1:56">
      <c r="B59" t="s">
        <v>89</v>
      </c>
      <c r="J59" t="s">
        <v>89</v>
      </c>
      <c r="R59" t="s">
        <v>89</v>
      </c>
      <c r="Z59" t="s">
        <v>89</v>
      </c>
      <c r="AH59" t="s">
        <v>89</v>
      </c>
      <c r="AP59" t="s">
        <v>89</v>
      </c>
    </row>
    <row r="62" spans="1:56">
      <c r="B62" s="65" t="s">
        <v>93</v>
      </c>
      <c r="J62" s="65" t="s">
        <v>93</v>
      </c>
      <c r="R62" s="65" t="s">
        <v>93</v>
      </c>
      <c r="Z62" s="65" t="s">
        <v>93</v>
      </c>
      <c r="AH62" s="65" t="s">
        <v>93</v>
      </c>
      <c r="AP62" s="65" t="s">
        <v>93</v>
      </c>
      <c r="AX62" s="64"/>
    </row>
    <row r="63" spans="1:56">
      <c r="A63" s="110"/>
      <c r="B63" s="65"/>
      <c r="C63" s="1"/>
      <c r="D63" s="1"/>
      <c r="E63" s="1"/>
      <c r="F63" s="1"/>
      <c r="G63" s="1"/>
      <c r="H63" s="1"/>
      <c r="I63" s="1"/>
      <c r="J63" s="65"/>
      <c r="K63" s="1"/>
      <c r="L63" s="1"/>
      <c r="M63" s="1"/>
      <c r="N63" s="1"/>
      <c r="O63" s="1"/>
      <c r="P63" s="1"/>
      <c r="Q63" s="1"/>
      <c r="R63" s="65"/>
      <c r="S63" s="1"/>
      <c r="T63" s="1"/>
      <c r="U63" s="1"/>
      <c r="V63" s="1"/>
      <c r="W63" s="1"/>
      <c r="X63" s="1"/>
      <c r="Y63" s="1"/>
      <c r="Z63" s="65"/>
      <c r="AA63" s="1"/>
      <c r="AB63" s="1"/>
      <c r="AC63" s="1"/>
      <c r="AD63" s="1"/>
      <c r="AE63" s="1"/>
      <c r="AF63" s="1"/>
      <c r="AG63" s="1"/>
      <c r="AH63" s="65"/>
      <c r="AI63" s="1"/>
      <c r="AJ63" s="1"/>
      <c r="AK63" s="1"/>
      <c r="AL63" s="1"/>
      <c r="AM63" s="1"/>
      <c r="AN63" s="1"/>
      <c r="AO63" s="1"/>
      <c r="AP63" s="65"/>
      <c r="AQ63" s="1"/>
      <c r="AR63" s="1"/>
      <c r="AS63" s="1"/>
      <c r="AT63" s="1"/>
      <c r="AU63" s="1"/>
      <c r="AV63" s="1"/>
      <c r="AW63" s="1"/>
      <c r="AX63" s="65"/>
      <c r="AY63" s="1"/>
      <c r="AZ63" s="1"/>
      <c r="BA63" s="1"/>
      <c r="BB63" s="1"/>
      <c r="BC63" s="1"/>
      <c r="BD63" s="1"/>
    </row>
    <row r="65" spans="1:56">
      <c r="A65" s="71" t="s">
        <v>3</v>
      </c>
    </row>
    <row r="66" spans="1:56" ht="18">
      <c r="A66" s="72"/>
      <c r="B66" s="104" t="s">
        <v>14</v>
      </c>
      <c r="C66" s="69">
        <f>DATE(2026,1,1)</f>
        <v>46023</v>
      </c>
      <c r="D66" s="69">
        <f>DATE(2027,1,1)</f>
        <v>46388</v>
      </c>
      <c r="E66" s="69">
        <f>DATE(2028,1,1)</f>
        <v>46753</v>
      </c>
      <c r="F66" s="69">
        <f>DATE(2029,1,1)</f>
        <v>47119</v>
      </c>
      <c r="G66" s="69">
        <f>DATE(2030,1,1)</f>
        <v>47484</v>
      </c>
      <c r="H66" s="69">
        <f>DATE(2035,1,1)</f>
        <v>49310</v>
      </c>
      <c r="J66" s="105" t="s">
        <v>23</v>
      </c>
      <c r="K66" s="69">
        <f>DATE(2026,1,1)</f>
        <v>46023</v>
      </c>
      <c r="L66" s="69">
        <f>DATE(2027,1,1)</f>
        <v>46388</v>
      </c>
      <c r="M66" s="69">
        <f>DATE(2028,1,1)</f>
        <v>46753</v>
      </c>
      <c r="N66" s="69">
        <f>DATE(2029,1,1)</f>
        <v>47119</v>
      </c>
      <c r="O66" s="69">
        <f>DATE(2030,1,1)</f>
        <v>47484</v>
      </c>
      <c r="P66" s="69">
        <f>DATE(2035,1,1)</f>
        <v>49310</v>
      </c>
      <c r="R66" s="104" t="s">
        <v>28</v>
      </c>
      <c r="S66" s="69">
        <f>DATE(2026,1,1)</f>
        <v>46023</v>
      </c>
      <c r="T66" s="69">
        <f>DATE(2027,1,1)</f>
        <v>46388</v>
      </c>
      <c r="U66" s="69">
        <f>DATE(2028,1,1)</f>
        <v>46753</v>
      </c>
      <c r="V66" s="69">
        <f>DATE(2029,1,1)</f>
        <v>47119</v>
      </c>
      <c r="W66" s="69">
        <f>DATE(2030,1,1)</f>
        <v>47484</v>
      </c>
      <c r="X66" s="69">
        <f>DATE(2035,1,1)</f>
        <v>49310</v>
      </c>
      <c r="Z66" s="104" t="s">
        <v>38</v>
      </c>
      <c r="AA66" s="69">
        <f>DATE(2026,1,1)</f>
        <v>46023</v>
      </c>
      <c r="AB66" s="69">
        <f>DATE(2027,1,1)</f>
        <v>46388</v>
      </c>
      <c r="AC66" s="69">
        <f>DATE(2028,1,1)</f>
        <v>46753</v>
      </c>
      <c r="AD66" s="69">
        <f>DATE(2029,1,1)</f>
        <v>47119</v>
      </c>
      <c r="AE66" s="69">
        <f>DATE(2030,1,1)</f>
        <v>47484</v>
      </c>
      <c r="AF66" s="69">
        <f>DATE(2035,1,1)</f>
        <v>49310</v>
      </c>
      <c r="AH66" s="104" t="s">
        <v>41</v>
      </c>
      <c r="AI66" s="69">
        <f>DATE(2026,1,1)</f>
        <v>46023</v>
      </c>
      <c r="AJ66" s="69">
        <f>DATE(2027,1,1)</f>
        <v>46388</v>
      </c>
      <c r="AK66" s="69">
        <f>DATE(2028,1,1)</f>
        <v>46753</v>
      </c>
      <c r="AL66" s="69">
        <f>DATE(2029,1,1)</f>
        <v>47119</v>
      </c>
      <c r="AM66" s="69">
        <f>DATE(2030,1,1)</f>
        <v>47484</v>
      </c>
      <c r="AN66" s="69">
        <f>DATE(2035,1,1)</f>
        <v>49310</v>
      </c>
      <c r="AP66" s="104" t="s">
        <v>43</v>
      </c>
      <c r="AQ66" s="69">
        <f>DATE(2026,1,1)</f>
        <v>46023</v>
      </c>
      <c r="AR66" s="69">
        <f>DATE(2027,1,1)</f>
        <v>46388</v>
      </c>
      <c r="AS66" s="69">
        <f>DATE(2028,1,1)</f>
        <v>46753</v>
      </c>
      <c r="AT66" s="69">
        <f>DATE(2029,1,1)</f>
        <v>47119</v>
      </c>
      <c r="AU66" s="69">
        <f>DATE(2030,1,1)</f>
        <v>47484</v>
      </c>
      <c r="AV66" s="69">
        <f>DATE(2035,1,1)</f>
        <v>49310</v>
      </c>
      <c r="AX66" s="104" t="s">
        <v>35</v>
      </c>
      <c r="AY66" s="69">
        <f>DATE(2026,1,1)</f>
        <v>46023</v>
      </c>
      <c r="AZ66" s="69">
        <f>DATE(2027,1,1)</f>
        <v>46388</v>
      </c>
      <c r="BA66" s="69">
        <f>DATE(2028,1,1)</f>
        <v>46753</v>
      </c>
      <c r="BB66" s="69">
        <f>DATE(2029,1,1)</f>
        <v>47119</v>
      </c>
      <c r="BC66" s="69">
        <f>DATE(2030,1,1)</f>
        <v>47484</v>
      </c>
      <c r="BD66" s="69">
        <f>DATE(2035,1,1)</f>
        <v>49310</v>
      </c>
    </row>
    <row r="67" spans="1:56">
      <c r="A67" s="72"/>
      <c r="B67" s="64" t="s">
        <v>95</v>
      </c>
      <c r="C67" s="68" cm="1">
        <f t="array" ref="C67:H67">TREND('International Data'!$AS$50:$BO$50,'International Data'!$AS$1:$BO$1,'Africa Forecasts'!$C$66:$H$66)</f>
        <v>31.934281324962313</v>
      </c>
      <c r="D67" s="68">
        <v>30.548306432673911</v>
      </c>
      <c r="E67" s="68">
        <v>29.16233154038548</v>
      </c>
      <c r="F67" s="68">
        <v>27.772559456611361</v>
      </c>
      <c r="G67" s="68">
        <v>26.386584564322931</v>
      </c>
      <c r="H67" s="68">
        <v>19.452912911395146</v>
      </c>
      <c r="J67" s="64" t="s">
        <v>95</v>
      </c>
      <c r="K67" s="68" cm="1">
        <f t="array" ref="K67:P67">TREND('International Data'!$BD$50:$BO$50,'International Data'!$BD$1:$BO$1,'Africa Forecasts'!$K$66:$P$66)</f>
        <v>40.796733881027478</v>
      </c>
      <c r="L67" s="68">
        <v>40.979287099725369</v>
      </c>
      <c r="M67" s="68">
        <v>41.161840318423273</v>
      </c>
      <c r="N67" s="68">
        <v>41.344893682925822</v>
      </c>
      <c r="O67" s="68">
        <v>41.527446901623719</v>
      </c>
      <c r="P67" s="68">
        <v>42.440713140917865</v>
      </c>
      <c r="R67" s="64" t="s">
        <v>95</v>
      </c>
      <c r="S67" s="68" cm="1">
        <f t="array" ref="S67:X67">TREND('International Data'!$C$83:$BO$83,'International Data'!$C$1:$BO$1,'Africa Forecasts'!$S$66:$X$66)</f>
        <v>13.981335373122576</v>
      </c>
      <c r="T67" s="68">
        <v>13.67085686501197</v>
      </c>
      <c r="U67" s="68">
        <v>13.360378356901364</v>
      </c>
      <c r="V67" s="68">
        <v>13.049049222741147</v>
      </c>
      <c r="W67" s="68">
        <v>12.738570714630541</v>
      </c>
      <c r="X67" s="68">
        <v>11.1853275480279</v>
      </c>
      <c r="Z67" s="64" t="s">
        <v>95</v>
      </c>
      <c r="AA67" s="68" cm="1">
        <f t="array" ref="AA67:AF67">TREND('International Data'!$C$98:$BO$98,'International Data'!$C$1:$BO$1,'Africa Forecasts'!$AA$66:$AF$66)</f>
        <v>15.699482117392806</v>
      </c>
      <c r="AB67" s="68">
        <v>15.817941136523705</v>
      </c>
      <c r="AC67" s="68">
        <v>15.936400155654605</v>
      </c>
      <c r="AD67" s="68">
        <v>16.055183720043395</v>
      </c>
      <c r="AE67" s="68">
        <v>16.173642739174298</v>
      </c>
      <c r="AF67" s="68">
        <v>16.766262380086687</v>
      </c>
      <c r="AH67" s="64" t="s">
        <v>95</v>
      </c>
      <c r="AI67" s="68" cm="1">
        <f t="array" ref="AI67:AN67">TREND('International Data'!$G$104:$BO$104,'International Data'!$G$1:$BO$1,'Africa Forecasts'!$AI$66:$AN$66)</f>
        <v>10.943490914412855</v>
      </c>
      <c r="AJ67" s="68">
        <v>10.684697277206894</v>
      </c>
      <c r="AK67" s="68">
        <v>10.425903640000932</v>
      </c>
      <c r="AL67" s="68">
        <v>10.166400979131389</v>
      </c>
      <c r="AM67" s="68">
        <v>9.9076073419254271</v>
      </c>
      <c r="AN67" s="68">
        <v>8.6129301322320444</v>
      </c>
      <c r="AP67" s="64" t="s">
        <v>95</v>
      </c>
      <c r="AQ67" s="68" cm="1">
        <f t="array" ref="AQ67:AV67">TREND('International Data'!$AG$110:$BO$110,'International Data'!$AG$1:$BO$1,'Africa Forecasts'!$AQ$66:$AV$66)</f>
        <v>19.544092400295614</v>
      </c>
      <c r="AR67" s="68">
        <v>19.766158794743685</v>
      </c>
      <c r="AS67" s="68">
        <v>19.988225189191759</v>
      </c>
      <c r="AT67" s="68">
        <v>20.210899984720509</v>
      </c>
      <c r="AU67" s="68">
        <v>20.432966379168583</v>
      </c>
      <c r="AV67" s="68">
        <v>21.543906752489626</v>
      </c>
      <c r="AX67" s="64" t="s">
        <v>95</v>
      </c>
      <c r="AY67" s="68" cm="1">
        <f t="array" ref="AY67:BD67">TREND('International Data'!$AH$110:$BO$110,'International Data'!$AH$1:$BO$1,'Africa Forecasts'!$AY$66:$BD$66)</f>
        <v>19.345758692887067</v>
      </c>
      <c r="AZ67" s="68">
        <v>19.552579421248602</v>
      </c>
      <c r="BA67" s="68">
        <v>19.759400149610141</v>
      </c>
      <c r="BB67" s="68">
        <v>19.966787510104172</v>
      </c>
      <c r="BC67" s="68">
        <v>20.173608238465711</v>
      </c>
      <c r="BD67" s="68">
        <v>21.20827851240589</v>
      </c>
    </row>
    <row r="68" spans="1:56">
      <c r="A68" s="72"/>
      <c r="B68" s="64" t="s">
        <v>96</v>
      </c>
      <c r="C68" s="68">
        <f>_xlfn.FORECAST.ETS(C66,'International Data'!$AS$50:$BO$50,'International Data'!$AS$1:$BO$1)</f>
        <v>34.217571412085682</v>
      </c>
      <c r="D68" s="68">
        <f>_xlfn.FORECAST.ETS(D66,'International Data'!$AS$50:$BO$50,'International Data'!$AS$1:$BO$1)</f>
        <v>32.869748100091037</v>
      </c>
      <c r="E68" s="68">
        <f>_xlfn.FORECAST.ETS(E66,'International Data'!$AS$50:$BO$50,'International Data'!$AS$1:$BO$1)</f>
        <v>31.521924788096392</v>
      </c>
      <c r="F68" s="68">
        <f>_xlfn.FORECAST.ETS(F66,'International Data'!$AS$50:$BO$50,'International Data'!$AS$1:$BO$1)</f>
        <v>30.174101476101743</v>
      </c>
      <c r="G68" s="68">
        <f>_xlfn.FORECAST.ETS(G66,'International Data'!$AS$50:$BO$50,'International Data'!$AS$1:$BO$1)</f>
        <v>28.826278164107094</v>
      </c>
      <c r="H68" s="68">
        <f>_xlfn.FORECAST.ETS(H66,'International Data'!$AS$50:$BO$50,'International Data'!$AS$1:$BO$1)</f>
        <v>22.087161604133858</v>
      </c>
      <c r="J68" s="64" t="s">
        <v>96</v>
      </c>
      <c r="K68" s="68">
        <f>_xlfn.FORECAST.ETS(K66,'International Data'!$BD$50:$BO$50,'International Data'!$BD$1:$BO$1)</f>
        <v>38.567616224745883</v>
      </c>
      <c r="L68" s="68">
        <f>_xlfn.FORECAST.ETS(L66,'International Data'!$BD$50:$BO$50,'International Data'!$BD$1:$BO$1)</f>
        <v>38.734086739495019</v>
      </c>
      <c r="M68" s="68">
        <f>_xlfn.FORECAST.ETS(M66,'International Data'!$BD$50:$BO$50,'International Data'!$BD$1:$BO$1)</f>
        <v>38.900557254244156</v>
      </c>
      <c r="N68" s="68">
        <f>_xlfn.FORECAST.ETS(N66,'International Data'!$BD$50:$BO$50,'International Data'!$BD$1:$BO$1)</f>
        <v>39.067027768993292</v>
      </c>
      <c r="O68" s="68">
        <f>_xlfn.FORECAST.ETS(O66,'International Data'!$BD$50:$BO$50,'International Data'!$BD$1:$BO$1)</f>
        <v>39.233498283742435</v>
      </c>
      <c r="P68" s="68">
        <f>_xlfn.FORECAST.ETS(P66,'International Data'!$BD$50:$BO$50,'International Data'!$BD$1:$BO$1)</f>
        <v>40.065850857488122</v>
      </c>
      <c r="R68" s="64" t="s">
        <v>96</v>
      </c>
      <c r="S68" s="68">
        <f>_xlfn.FORECAST.ETS(S66,'International Data'!$C$83:$BO$83,'International Data'!$C$1:$BO$1)</f>
        <v>14.796505477154987</v>
      </c>
      <c r="T68" s="68">
        <f>_xlfn.FORECAST.ETS(T66,'International Data'!$C$83:$BO$83,'International Data'!$C$1:$BO$1)</f>
        <v>10.921956708694978</v>
      </c>
      <c r="U68" s="68">
        <f>_xlfn.FORECAST.ETS(U66,'International Data'!$C$83:$BO$83,'International Data'!$C$1:$BO$1)</f>
        <v>9.0158755923993752</v>
      </c>
      <c r="V68" s="68">
        <f>_xlfn.FORECAST.ETS(V66,'International Data'!$C$83:$BO$83,'International Data'!$C$1:$BO$1)</f>
        <v>8.1140475048490792</v>
      </c>
      <c r="W68" s="68">
        <f>_xlfn.FORECAST.ETS(W66,'International Data'!$C$83:$BO$83,'International Data'!$C$1:$BO$1)</f>
        <v>5.0558336811390339</v>
      </c>
      <c r="X68" s="68">
        <f>_xlfn.FORECAST.ETS(X66,'International Data'!$C$83:$BO$83,'International Data'!$C$1:$BO$1)</f>
        <v>2.0469833115681375</v>
      </c>
      <c r="Z68" s="64" t="s">
        <v>96</v>
      </c>
      <c r="AA68" s="68">
        <f>_xlfn.FORECAST.ETS(AA66,'International Data'!$C$98:$BO$98,'International Data'!$C$1:$BO$1)</f>
        <v>31.059161758394591</v>
      </c>
      <c r="AB68" s="68">
        <f>_xlfn.FORECAST.ETS(AB66,'International Data'!$C$98:$BO$98,'International Data'!$C$1:$BO$1)</f>
        <v>31.177702416688106</v>
      </c>
      <c r="AC68" s="68">
        <f>_xlfn.FORECAST.ETS(AC66,'International Data'!$C$98:$BO$98,'International Data'!$C$1:$BO$1)</f>
        <v>31.296243074981625</v>
      </c>
      <c r="AD68" s="68">
        <f>_xlfn.FORECAST.ETS(AD66,'International Data'!$C$98:$BO$98,'International Data'!$C$1:$BO$1)</f>
        <v>31.414783733275144</v>
      </c>
      <c r="AE68" s="68">
        <f>_xlfn.FORECAST.ETS(AE66,'International Data'!$C$98:$BO$98,'International Data'!$C$1:$BO$1)</f>
        <v>31.533324391568662</v>
      </c>
      <c r="AF68" s="68">
        <f>_xlfn.FORECAST.ETS(AF66,'International Data'!$C$98:$BO$98,'International Data'!$C$1:$BO$1)</f>
        <v>32.126027683036249</v>
      </c>
      <c r="AH68" s="64" t="s">
        <v>96</v>
      </c>
      <c r="AI68" s="68">
        <f>_xlfn.FORECAST.ETS(AI66,'International Data'!$G$104:$BO$104,'International Data'!$G$1:$BO$1)</f>
        <v>8.2324027812869698</v>
      </c>
      <c r="AJ68" s="68">
        <f>_xlfn.FORECAST.ETS(AJ66,'International Data'!$G$104:$BO$104,'International Data'!$G$1:$BO$1)</f>
        <v>12.191707629190951</v>
      </c>
      <c r="AK68" s="68">
        <f>_xlfn.FORECAST.ETS(AK66,'International Data'!$G$104:$BO$104,'International Data'!$G$1:$BO$1)</f>
        <v>13.269000501392853</v>
      </c>
      <c r="AL68" s="68">
        <f>_xlfn.FORECAST.ETS(AL66,'International Data'!$G$104:$BO$104,'International Data'!$G$1:$BO$1)</f>
        <v>14.288047613404823</v>
      </c>
      <c r="AM68" s="68">
        <f>_xlfn.FORECAST.ETS(AM66,'International Data'!$G$104:$BO$104,'International Data'!$G$1:$BO$1)</f>
        <v>18.878887866579259</v>
      </c>
      <c r="AN68" s="68">
        <f>_xlfn.FORECAST.ETS(AN66,'International Data'!$G$104:$BO$104,'International Data'!$G$1:$BO$1)</f>
        <v>15.625540599050151</v>
      </c>
      <c r="AP68" s="64" t="s">
        <v>96</v>
      </c>
      <c r="AQ68" s="68">
        <f>_xlfn.FORECAST.ETS(AQ66,'International Data'!$AG$110:$BO$110,'International Data'!$AG$1:$BO$1)</f>
        <v>20.274920468892795</v>
      </c>
      <c r="AR68" s="68">
        <f>_xlfn.FORECAST.ETS(AR66,'International Data'!$AG$110:$BO$110,'International Data'!$AG$1:$BO$1)</f>
        <v>20.4971392682172</v>
      </c>
      <c r="AS68" s="68">
        <f>_xlfn.FORECAST.ETS(AS66,'International Data'!$AG$110:$BO$110,'International Data'!$AG$1:$BO$1)</f>
        <v>20.719358067541606</v>
      </c>
      <c r="AT68" s="68">
        <f>_xlfn.FORECAST.ETS(AT66,'International Data'!$AG$110:$BO$110,'International Data'!$AG$1:$BO$1)</f>
        <v>20.941576866866008</v>
      </c>
      <c r="AU68" s="68">
        <f>_xlfn.FORECAST.ETS(AU66,'International Data'!$AG$110:$BO$110,'International Data'!$AG$1:$BO$1)</f>
        <v>21.163795666190413</v>
      </c>
      <c r="AV68" s="68">
        <f>_xlfn.FORECAST.ETS(AV66,'International Data'!$AG$110:$BO$110,'International Data'!$AG$1:$BO$1)</f>
        <v>22.274889662812434</v>
      </c>
      <c r="AX68" s="64" t="s">
        <v>96</v>
      </c>
      <c r="AY68" s="68">
        <f>_xlfn.FORECAST.ETS(AY66,'International Data'!$AH$110:$BO$110,'International Data'!$AH$1:$BO$1,)</f>
        <v>20.244408632110726</v>
      </c>
      <c r="AZ68" s="68">
        <f>_xlfn.FORECAST.ETS(AZ66,'International Data'!$AH$110:$BO$110,'International Data'!$AH$1:$BO$1,)</f>
        <v>20.451371513044094</v>
      </c>
      <c r="BA68" s="68">
        <f>_xlfn.FORECAST.ETS(BA66,'International Data'!$AH$110:$BO$110,'International Data'!$AH$1:$BO$1,)</f>
        <v>20.658334393977462</v>
      </c>
      <c r="BB68" s="68">
        <f>_xlfn.FORECAST.ETS(BB66,'International Data'!$AH$110:$BO$110,'International Data'!$AH$1:$BO$1,)</f>
        <v>20.865297274910834</v>
      </c>
      <c r="BC68" s="68">
        <f>_xlfn.FORECAST.ETS(BC66,'International Data'!$AH$110:$BO$110,'International Data'!$AH$1:$BO$1,)</f>
        <v>21.072260155844202</v>
      </c>
      <c r="BD68" s="68">
        <f>_xlfn.FORECAST.ETS(BD66,'International Data'!$AH$110:$BO$110,'International Data'!$AH$1:$BO$1,)</f>
        <v>22.107074560511048</v>
      </c>
    </row>
    <row r="69" spans="1:56">
      <c r="A69" s="72"/>
      <c r="B69" t="s">
        <v>89</v>
      </c>
      <c r="J69" t="s">
        <v>89</v>
      </c>
      <c r="R69" t="s">
        <v>89</v>
      </c>
      <c r="Z69" t="s">
        <v>89</v>
      </c>
      <c r="AH69" t="s">
        <v>89</v>
      </c>
      <c r="AP69" t="s">
        <v>89</v>
      </c>
      <c r="AX69" t="s">
        <v>89</v>
      </c>
    </row>
    <row r="70" spans="1:56">
      <c r="A70" s="72"/>
      <c r="B70" t="s">
        <v>89</v>
      </c>
      <c r="J70" t="s">
        <v>89</v>
      </c>
      <c r="R70" t="s">
        <v>89</v>
      </c>
      <c r="Z70" t="s">
        <v>89</v>
      </c>
      <c r="AH70" t="s">
        <v>89</v>
      </c>
      <c r="AP70" t="s">
        <v>89</v>
      </c>
      <c r="AX70" t="s">
        <v>89</v>
      </c>
    </row>
    <row r="71" spans="1:56">
      <c r="A71" s="72"/>
    </row>
    <row r="72" spans="1:56">
      <c r="A72" s="72"/>
    </row>
    <row r="73" spans="1:56">
      <c r="A73" s="72"/>
      <c r="B73" s="65" t="s">
        <v>93</v>
      </c>
      <c r="J73" s="65" t="s">
        <v>93</v>
      </c>
      <c r="R73" s="65" t="s">
        <v>93</v>
      </c>
      <c r="Z73" s="65" t="s">
        <v>93</v>
      </c>
      <c r="AH73" s="65" t="s">
        <v>93</v>
      </c>
      <c r="AP73" s="65" t="s">
        <v>93</v>
      </c>
      <c r="AX73" s="65" t="s">
        <v>93</v>
      </c>
    </row>
    <row r="74" spans="1:56" hidden="1">
      <c r="A74" s="72"/>
      <c r="B74" s="65"/>
      <c r="C74" s="1"/>
      <c r="D74" s="1"/>
      <c r="E74" s="1"/>
      <c r="F74" s="1"/>
      <c r="G74" s="1"/>
      <c r="H74" s="1"/>
      <c r="J74" s="65"/>
      <c r="K74" s="1"/>
      <c r="L74" s="1"/>
      <c r="M74" s="1"/>
      <c r="N74" s="1"/>
      <c r="O74" s="1"/>
      <c r="P74" s="1"/>
      <c r="R74" s="65"/>
      <c r="S74" s="1"/>
      <c r="T74" s="1"/>
      <c r="U74" s="1"/>
      <c r="V74" s="1"/>
      <c r="W74" s="1"/>
      <c r="X74" s="1"/>
      <c r="Z74" s="65"/>
      <c r="AA74" s="1"/>
      <c r="AB74" s="1"/>
      <c r="AC74" s="1"/>
      <c r="AD74" s="1"/>
      <c r="AE74" s="1"/>
      <c r="AF74" s="1"/>
      <c r="AH74" s="65"/>
      <c r="AI74" s="1"/>
      <c r="AJ74" s="1"/>
      <c r="AK74" s="1"/>
      <c r="AL74" s="1"/>
      <c r="AM74" s="1"/>
      <c r="AN74" s="1"/>
      <c r="AP74" s="65"/>
      <c r="AQ74" s="1"/>
      <c r="AR74" s="1"/>
      <c r="AS74" s="1"/>
      <c r="AT74" s="1"/>
      <c r="AU74" s="1"/>
      <c r="AV74" s="1"/>
      <c r="AX74" s="65"/>
      <c r="AY74" s="1"/>
      <c r="AZ74" s="1"/>
      <c r="BA74" s="1"/>
      <c r="BB74" s="1"/>
      <c r="BC74" s="1"/>
      <c r="BD74" s="1"/>
    </row>
    <row r="75" spans="1:56">
      <c r="A75" s="71" t="s">
        <v>4</v>
      </c>
    </row>
    <row r="76" spans="1:56" ht="18">
      <c r="A76" s="72"/>
      <c r="B76" s="104" t="s">
        <v>14</v>
      </c>
      <c r="C76" s="69">
        <f>DATE(2026,1,1)</f>
        <v>46023</v>
      </c>
      <c r="D76" s="69">
        <f>DATE(2027,1,1)</f>
        <v>46388</v>
      </c>
      <c r="E76" s="69">
        <f>DATE(2028,1,1)</f>
        <v>46753</v>
      </c>
      <c r="F76" s="69">
        <f>DATE(2029,1,1)</f>
        <v>47119</v>
      </c>
      <c r="G76" s="69">
        <f>DATE(2030,1,1)</f>
        <v>47484</v>
      </c>
      <c r="H76" s="69">
        <f>DATE(2035,1,1)</f>
        <v>49310</v>
      </c>
      <c r="J76" s="105" t="s">
        <v>23</v>
      </c>
      <c r="K76" s="69">
        <f>DATE(2026,1,1)</f>
        <v>46023</v>
      </c>
      <c r="L76" s="69">
        <f>DATE(2027,1,1)</f>
        <v>46388</v>
      </c>
      <c r="M76" s="69">
        <f>DATE(2028,1,1)</f>
        <v>46753</v>
      </c>
      <c r="N76" s="69">
        <f>DATE(2029,1,1)</f>
        <v>47119</v>
      </c>
      <c r="O76" s="69">
        <f>DATE(2030,1,1)</f>
        <v>47484</v>
      </c>
      <c r="P76" s="69">
        <f>DATE(2035,1,1)</f>
        <v>49310</v>
      </c>
      <c r="R76" s="104" t="s">
        <v>28</v>
      </c>
      <c r="S76" s="69">
        <f>DATE(2026,1,1)</f>
        <v>46023</v>
      </c>
      <c r="T76" s="69">
        <f>DATE(2027,1,1)</f>
        <v>46388</v>
      </c>
      <c r="U76" s="69">
        <f>DATE(2028,1,1)</f>
        <v>46753</v>
      </c>
      <c r="V76" s="69">
        <f>DATE(2029,1,1)</f>
        <v>47119</v>
      </c>
      <c r="W76" s="69">
        <f>DATE(2030,1,1)</f>
        <v>47484</v>
      </c>
      <c r="X76" s="69">
        <f>DATE(2035,1,1)</f>
        <v>49310</v>
      </c>
      <c r="Z76" s="104" t="s">
        <v>38</v>
      </c>
      <c r="AA76" s="69">
        <f>DATE(2026,1,1)</f>
        <v>46023</v>
      </c>
      <c r="AB76" s="69">
        <f>DATE(2027,1,1)</f>
        <v>46388</v>
      </c>
      <c r="AC76" s="69">
        <f>DATE(2028,1,1)</f>
        <v>46753</v>
      </c>
      <c r="AD76" s="69">
        <f>DATE(2029,1,1)</f>
        <v>47119</v>
      </c>
      <c r="AE76" s="69">
        <f>DATE(2030,1,1)</f>
        <v>47484</v>
      </c>
      <c r="AF76" s="69">
        <f>DATE(2035,1,1)</f>
        <v>49310</v>
      </c>
      <c r="AH76" s="104" t="s">
        <v>41</v>
      </c>
      <c r="AI76" s="69">
        <f>DATE(2026,1,1)</f>
        <v>46023</v>
      </c>
      <c r="AJ76" s="69">
        <f>DATE(2027,1,1)</f>
        <v>46388</v>
      </c>
      <c r="AK76" s="69">
        <f>DATE(2028,1,1)</f>
        <v>46753</v>
      </c>
      <c r="AL76" s="69">
        <f>DATE(2029,1,1)</f>
        <v>47119</v>
      </c>
      <c r="AM76" s="69">
        <f>DATE(2030,1,1)</f>
        <v>47484</v>
      </c>
      <c r="AN76" s="69">
        <f>DATE(2035,1,1)</f>
        <v>49310</v>
      </c>
      <c r="AP76" s="104" t="s">
        <v>43</v>
      </c>
      <c r="AQ76" s="69">
        <f>DATE(2026,1,1)</f>
        <v>46023</v>
      </c>
      <c r="AR76" s="69">
        <f>DATE(2027,1,1)</f>
        <v>46388</v>
      </c>
      <c r="AS76" s="69">
        <f>DATE(2028,1,1)</f>
        <v>46753</v>
      </c>
      <c r="AT76" s="69">
        <f>DATE(2029,1,1)</f>
        <v>47119</v>
      </c>
      <c r="AU76" s="69">
        <f>DATE(2030,1,1)</f>
        <v>47484</v>
      </c>
      <c r="AV76" s="69">
        <f>DATE(2035,1,1)</f>
        <v>49310</v>
      </c>
      <c r="AX76" s="104" t="s">
        <v>35</v>
      </c>
      <c r="AY76" s="69">
        <f>DATE(2026,1,1)</f>
        <v>46023</v>
      </c>
      <c r="AZ76" s="69">
        <f>DATE(2027,1,1)</f>
        <v>46388</v>
      </c>
      <c r="BA76" s="69">
        <f>DATE(2028,1,1)</f>
        <v>46753</v>
      </c>
      <c r="BB76" s="69">
        <f>DATE(2029,1,1)</f>
        <v>47119</v>
      </c>
      <c r="BC76" s="69">
        <f>DATE(2030,1,1)</f>
        <v>47484</v>
      </c>
      <c r="BD76" s="69">
        <f>DATE(2035,1,1)</f>
        <v>49310</v>
      </c>
    </row>
    <row r="77" spans="1:56">
      <c r="A77" s="72"/>
      <c r="B77" s="64" t="s">
        <v>95</v>
      </c>
      <c r="C77" s="68" cm="1">
        <f t="array" ref="C77:H77">TREND('International Data'!$AS$51:$BO$51,'International Data'!$AS$1:$BO$1,'Africa Forecasts'!$C$76:$H$76)</f>
        <v>18.589099841374804</v>
      </c>
      <c r="D77" s="68">
        <v>17.308079036596411</v>
      </c>
      <c r="E77" s="68">
        <v>16.027058231817989</v>
      </c>
      <c r="F77" s="68">
        <v>14.742527780999126</v>
      </c>
      <c r="G77" s="68">
        <v>13.461506976220704</v>
      </c>
      <c r="H77" s="68">
        <v>7.0528933062882402</v>
      </c>
      <c r="J77" s="64" t="s">
        <v>95</v>
      </c>
      <c r="K77" s="68" cm="1">
        <f t="array" ref="K77:P77">TREND('International Data'!$BD$51:$BO$51,'International Data'!$BD$1:$BO$1,'Africa Forecasts'!$K$76:$P$76)</f>
        <v>20.611250082974507</v>
      </c>
      <c r="L77" s="68">
        <v>19.747334597924592</v>
      </c>
      <c r="M77" s="68">
        <v>18.883419112874662</v>
      </c>
      <c r="N77" s="68">
        <v>18.017136736084879</v>
      </c>
      <c r="O77" s="68">
        <v>17.153221251034964</v>
      </c>
      <c r="P77" s="68">
        <v>12.831276934045505</v>
      </c>
      <c r="R77" s="64" t="s">
        <v>95</v>
      </c>
      <c r="S77" s="68" cm="1">
        <f t="array" ref="S77:X77">TREND('International Data'!$C$84:$BO$84,'International Data'!$C$1:$BO$1,'Africa Forecasts'!$S$76:$X$76)</f>
        <v>25.770750196115976</v>
      </c>
      <c r="T77" s="68">
        <v>25.649911131848611</v>
      </c>
      <c r="U77" s="68">
        <v>25.529072067581247</v>
      </c>
      <c r="V77" s="68">
        <v>25.407901937384381</v>
      </c>
      <c r="W77" s="68">
        <v>25.287062873117016</v>
      </c>
      <c r="X77" s="68">
        <v>24.68253648585069</v>
      </c>
      <c r="Z77" s="64" t="s">
        <v>95</v>
      </c>
      <c r="AA77" s="68" cm="1">
        <f t="array" ref="AA77:AF77">TREND('International Data'!$C$99:$BO$99,'International Data'!$C$1:$BO$1,'Africa Forecasts'!$AA$76:$AF$76)</f>
        <v>35.01713096768043</v>
      </c>
      <c r="AB77" s="68">
        <v>35.358883644657432</v>
      </c>
      <c r="AC77" s="68">
        <v>35.700636321634427</v>
      </c>
      <c r="AD77" s="68">
        <v>36.04332530731547</v>
      </c>
      <c r="AE77" s="68">
        <v>36.385077984292472</v>
      </c>
      <c r="AF77" s="68">
        <v>38.094777677881503</v>
      </c>
      <c r="AH77" s="64" t="s">
        <v>95</v>
      </c>
      <c r="AI77" s="68" cm="1">
        <f t="array" ref="AI77:AN77">TREND('International Data'!$G$105:$BO$105,'International Data'!$G$1:$BO$1,'Africa Forecasts'!$AI$76:$AN$76)</f>
        <v>26.463984221401585</v>
      </c>
      <c r="AJ77" s="68">
        <v>26.455477111164161</v>
      </c>
      <c r="AK77" s="68">
        <v>26.446970000926736</v>
      </c>
      <c r="AL77" s="68">
        <v>26.438439583537978</v>
      </c>
      <c r="AM77" s="68">
        <v>26.429932473300553</v>
      </c>
      <c r="AN77" s="68">
        <v>26.387373614962097</v>
      </c>
      <c r="AP77" s="64" t="s">
        <v>95</v>
      </c>
      <c r="AQ77" s="68" cm="1">
        <f t="array" ref="AQ77:AV77">TREND('International Data'!$AG$111:$BO$111,'International Data'!$AG$1:$BO$1,'Africa Forecasts'!$AQ$76:$AV$76)</f>
        <v>20.433907521347074</v>
      </c>
      <c r="AR77" s="68">
        <v>20.339295411326816</v>
      </c>
      <c r="AS77" s="68">
        <v>20.244683301306562</v>
      </c>
      <c r="AT77" s="68">
        <v>20.149811980025977</v>
      </c>
      <c r="AU77" s="68">
        <v>20.055199870005723</v>
      </c>
      <c r="AV77" s="68">
        <v>19.581880108644114</v>
      </c>
      <c r="AX77" s="64" t="s">
        <v>95</v>
      </c>
      <c r="AY77" s="68" cm="1">
        <f t="array" ref="AY77:BD77">TREND('International Data'!$AH$111:$BO$111,'International Data'!$AH$1:$BO$1,'Africa Forecasts'!$AY$76:$BD$76)</f>
        <v>20.569472818726204</v>
      </c>
      <c r="AZ77" s="68">
        <v>20.485281444967924</v>
      </c>
      <c r="BA77" s="68">
        <v>20.401090071209644</v>
      </c>
      <c r="BB77" s="68">
        <v>20.316668036153398</v>
      </c>
      <c r="BC77" s="68">
        <v>20.232476662395118</v>
      </c>
      <c r="BD77" s="68">
        <v>19.811289132305753</v>
      </c>
    </row>
    <row r="78" spans="1:56">
      <c r="A78" s="72"/>
      <c r="B78" s="64" t="s">
        <v>96</v>
      </c>
      <c r="C78" s="68">
        <f>_xlfn.FORECAST.ETS(C76,'International Data'!$AS$51:$BO$51,'International Data'!$AS$1:$BO$1)</f>
        <v>17.819901836344801</v>
      </c>
      <c r="D78" s="68">
        <f>_xlfn.FORECAST.ETS(D76,'International Data'!$AS$51:$BO$51,'International Data'!$AS$1:$BO$1)</f>
        <v>16.561436607602346</v>
      </c>
      <c r="E78" s="68">
        <f>_xlfn.FORECAST.ETS(E76,'International Data'!$AS$51:$BO$51,'International Data'!$AS$1:$BO$1)</f>
        <v>15.302971378859889</v>
      </c>
      <c r="F78" s="68">
        <f>_xlfn.FORECAST.ETS(F76,'International Data'!$AS$51:$BO$51,'International Data'!$AS$1:$BO$1)</f>
        <v>14.044506150117437</v>
      </c>
      <c r="G78" s="68">
        <f>_xlfn.FORECAST.ETS(G76,'International Data'!$AS$51:$BO$51,'International Data'!$AS$1:$BO$1)</f>
        <v>12.786040921374978</v>
      </c>
      <c r="H78" s="68">
        <f>_xlfn.FORECAST.ETS(H76,'International Data'!$AS$51:$BO$51,'International Data'!$AS$1:$BO$1)</f>
        <v>6.4937147776627047</v>
      </c>
      <c r="J78" s="64" t="s">
        <v>96</v>
      </c>
      <c r="K78" s="68">
        <f>_xlfn.FORECAST.ETS(K76,'International Data'!$BD$51:$BO$51,'International Data'!$BD$1:$BO$1)</f>
        <v>22.751847712389115</v>
      </c>
      <c r="L78" s="68">
        <f>_xlfn.FORECAST.ETS(L76,'International Data'!$BD$51:$BO$51,'International Data'!$BD$1:$BO$1)</f>
        <v>21.88513872666001</v>
      </c>
      <c r="M78" s="68">
        <f>_xlfn.FORECAST.ETS(M76,'International Data'!$BD$51:$BO$51,'International Data'!$BD$1:$BO$1)</f>
        <v>21.018429740930902</v>
      </c>
      <c r="N78" s="68">
        <f>_xlfn.FORECAST.ETS(N76,'International Data'!$BD$51:$BO$51,'International Data'!$BD$1:$BO$1)</f>
        <v>20.151720755201797</v>
      </c>
      <c r="O78" s="68">
        <f>_xlfn.FORECAST.ETS(O76,'International Data'!$BD$51:$BO$51,'International Data'!$BD$1:$BO$1)</f>
        <v>19.285011769472693</v>
      </c>
      <c r="P78" s="68">
        <f>_xlfn.FORECAST.ETS(P76,'International Data'!$BD$51:$BO$51,'International Data'!$BD$1:$BO$1)</f>
        <v>14.951466840827164</v>
      </c>
      <c r="R78" s="64" t="s">
        <v>96</v>
      </c>
      <c r="S78" s="68">
        <f>_xlfn.FORECAST.ETS(S76,'International Data'!$C$84:$BO$84,'International Data'!$C$1:$BO$1)</f>
        <v>26.422695377119112</v>
      </c>
      <c r="T78" s="68">
        <f>_xlfn.FORECAST.ETS(T76,'International Data'!$C$84:$BO$84,'International Data'!$C$1:$BO$1)</f>
        <v>26.315203515318597</v>
      </c>
      <c r="U78" s="68">
        <f>_xlfn.FORECAST.ETS(U76,'International Data'!$C$84:$BO$84,'International Data'!$C$1:$BO$1)</f>
        <v>26.207711653518079</v>
      </c>
      <c r="V78" s="68">
        <f>_xlfn.FORECAST.ETS(V76,'International Data'!$C$84:$BO$84,'International Data'!$C$1:$BO$1)</f>
        <v>26.100219791717564</v>
      </c>
      <c r="W78" s="68">
        <f>_xlfn.FORECAST.ETS(W76,'International Data'!$C$84:$BO$84,'International Data'!$C$1:$BO$1)</f>
        <v>25.992727929917045</v>
      </c>
      <c r="X78" s="68">
        <f>_xlfn.FORECAST.ETS(X76,'International Data'!$C$84:$BO$84,'International Data'!$C$1:$BO$1)</f>
        <v>25.455268620914463</v>
      </c>
      <c r="Z78" s="64" t="s">
        <v>96</v>
      </c>
      <c r="AA78" s="68">
        <f>_xlfn.FORECAST.ETS(AA76,'International Data'!$C$99:$BO$99,'International Data'!$C$1:$BO$1)</f>
        <v>53.045982452629161</v>
      </c>
      <c r="AB78" s="68">
        <f>_xlfn.FORECAST.ETS(AB76,'International Data'!$C$99:$BO$99,'International Data'!$C$1:$BO$1)</f>
        <v>37.015588451022481</v>
      </c>
      <c r="AC78" s="68">
        <f>_xlfn.FORECAST.ETS(AC76,'International Data'!$C$99:$BO$99,'International Data'!$C$1:$BO$1)</f>
        <v>38.734549535143785</v>
      </c>
      <c r="AD78" s="68">
        <f>_xlfn.FORECAST.ETS(AD76,'International Data'!$C$99:$BO$99,'International Data'!$C$1:$BO$1)</f>
        <v>37.117514843995963</v>
      </c>
      <c r="AE78" s="68">
        <f>_xlfn.FORECAST.ETS(AE76,'International Data'!$C$99:$BO$99,'International Data'!$C$1:$BO$1)</f>
        <v>37.387374797702044</v>
      </c>
      <c r="AF78" s="68">
        <f>_xlfn.FORECAST.ETS(AF76,'International Data'!$C$99:$BO$99,'International Data'!$C$1:$BO$1)</f>
        <v>36.940063015460979</v>
      </c>
      <c r="AH78" s="64" t="s">
        <v>96</v>
      </c>
      <c r="AI78" s="68">
        <f>_xlfn.FORECAST.ETS(AI76,'International Data'!$G$105:$BO$105,'International Data'!$G$1:$BO$1)</f>
        <v>32.359226852147522</v>
      </c>
      <c r="AJ78" s="68">
        <f>_xlfn.FORECAST.ETS(AJ76,'International Data'!$G$105:$BO$105,'International Data'!$G$1:$BO$1)</f>
        <v>28.528169360913736</v>
      </c>
      <c r="AK78" s="68">
        <f>_xlfn.FORECAST.ETS(AK76,'International Data'!$G$105:$BO$105,'International Data'!$G$1:$BO$1)</f>
        <v>26.905929595222503</v>
      </c>
      <c r="AL78" s="68">
        <f>_xlfn.FORECAST.ETS(AL76,'International Data'!$G$105:$BO$105,'International Data'!$G$1:$BO$1)</f>
        <v>28.464704317486408</v>
      </c>
      <c r="AM78" s="68">
        <f>_xlfn.FORECAST.ETS(AM76,'International Data'!$G$105:$BO$105,'International Data'!$G$1:$BO$1)</f>
        <v>39.110146111982061</v>
      </c>
      <c r="AN78" s="68">
        <f>_xlfn.FORECAST.ETS(AN76,'International Data'!$G$105:$BO$105,'International Data'!$G$1:$BO$1)</f>
        <v>32.544355703638942</v>
      </c>
      <c r="AP78" s="64" t="s">
        <v>96</v>
      </c>
      <c r="AQ78" s="68">
        <f>_xlfn.FORECAST.ETS(AQ76,'International Data'!$AG$111:$BO$111,'International Data'!$AG$1:$BO$1)</f>
        <v>21.493286960641953</v>
      </c>
      <c r="AR78" s="68">
        <f>_xlfn.FORECAST.ETS(AR76,'International Data'!$AG$111:$BO$111,'International Data'!$AG$1:$BO$1)</f>
        <v>21.398611515672744</v>
      </c>
      <c r="AS78" s="68">
        <f>_xlfn.FORECAST.ETS(AS76,'International Data'!$AG$111:$BO$111,'International Data'!$AG$1:$BO$1)</f>
        <v>21.303936070703539</v>
      </c>
      <c r="AT78" s="68">
        <f>_xlfn.FORECAST.ETS(AT76,'International Data'!$AG$111:$BO$111,'International Data'!$AG$1:$BO$1)</f>
        <v>21.209260625734331</v>
      </c>
      <c r="AU78" s="68">
        <f>_xlfn.FORECAST.ETS(AU76,'International Data'!$AG$111:$BO$111,'International Data'!$AG$1:$BO$1)</f>
        <v>21.114585180765122</v>
      </c>
      <c r="AV78" s="68">
        <f>_xlfn.FORECAST.ETS(AV76,'International Data'!$AG$111:$BO$111,'International Data'!$AG$1:$BO$1)</f>
        <v>20.641207955919079</v>
      </c>
      <c r="AX78" s="64" t="s">
        <v>96</v>
      </c>
      <c r="AY78" s="68">
        <f>_xlfn.FORECAST.ETS(AY76,'International Data'!$AH$111:$BO$111,'International Data'!$AH$1:$BO$1)</f>
        <v>21.514142980608238</v>
      </c>
      <c r="AZ78" s="68">
        <f>_xlfn.FORECAST.ETS(AZ76,'International Data'!$AH$111:$BO$111,'International Data'!$AH$1:$BO$1)</f>
        <v>21.429895545622173</v>
      </c>
      <c r="BA78" s="68">
        <f>_xlfn.FORECAST.ETS(BA76,'International Data'!$AH$111:$BO$111,'International Data'!$AH$1:$BO$1)</f>
        <v>21.345648110636105</v>
      </c>
      <c r="BB78" s="68">
        <f>_xlfn.FORECAST.ETS(BB76,'International Data'!$AH$111:$BO$111,'International Data'!$AH$1:$BO$1)</f>
        <v>21.261400675650041</v>
      </c>
      <c r="BC78" s="68">
        <f>_xlfn.FORECAST.ETS(BC76,'International Data'!$AH$111:$BO$111,'International Data'!$AH$1:$BO$1)</f>
        <v>21.177153240663973</v>
      </c>
      <c r="BD78" s="68">
        <f>_xlfn.FORECAST.ETS(BD76,'International Data'!$AH$111:$BO$111,'International Data'!$AH$1:$BO$1)</f>
        <v>20.755916065733643</v>
      </c>
    </row>
    <row r="79" spans="1:56">
      <c r="B79" t="s">
        <v>89</v>
      </c>
      <c r="J79" t="s">
        <v>89</v>
      </c>
      <c r="R79" t="s">
        <v>89</v>
      </c>
      <c r="Z79" t="s">
        <v>89</v>
      </c>
      <c r="AH79" t="s">
        <v>89</v>
      </c>
      <c r="AP79" t="s">
        <v>89</v>
      </c>
      <c r="AX79" t="s">
        <v>89</v>
      </c>
    </row>
    <row r="80" spans="1:56">
      <c r="B80" t="s">
        <v>89</v>
      </c>
      <c r="J80" t="s">
        <v>89</v>
      </c>
      <c r="R80" t="s">
        <v>89</v>
      </c>
      <c r="Z80" t="s">
        <v>89</v>
      </c>
      <c r="AH80" t="s">
        <v>89</v>
      </c>
      <c r="AP80" t="s">
        <v>89</v>
      </c>
      <c r="AX80" t="s">
        <v>89</v>
      </c>
    </row>
    <row r="83" spans="1:56">
      <c r="B83" s="65" t="s">
        <v>93</v>
      </c>
      <c r="J83" s="65" t="s">
        <v>93</v>
      </c>
      <c r="R83" s="65" t="s">
        <v>93</v>
      </c>
      <c r="Z83" s="65" t="s">
        <v>93</v>
      </c>
      <c r="AH83" s="65" t="s">
        <v>93</v>
      </c>
      <c r="AP83" s="65" t="s">
        <v>93</v>
      </c>
      <c r="AX83" s="65" t="s">
        <v>93</v>
      </c>
    </row>
    <row r="84" spans="1:56" hidden="1">
      <c r="B84" s="65"/>
      <c r="C84" s="1"/>
      <c r="D84" s="1"/>
      <c r="E84" s="1"/>
      <c r="F84" s="1"/>
      <c r="G84" s="1"/>
      <c r="H84" s="1"/>
      <c r="J84" s="65"/>
      <c r="K84" s="1"/>
      <c r="L84" s="1"/>
      <c r="M84" s="1"/>
      <c r="N84" s="1"/>
      <c r="O84" s="1"/>
      <c r="P84" s="1"/>
      <c r="R84" s="65"/>
      <c r="S84" s="1"/>
      <c r="T84" s="1"/>
      <c r="U84" s="1"/>
      <c r="V84" s="1"/>
      <c r="W84" s="1"/>
      <c r="X84" s="1"/>
      <c r="Z84" s="65"/>
      <c r="AA84" s="1"/>
      <c r="AB84" s="1"/>
      <c r="AC84" s="1"/>
      <c r="AD84" s="1"/>
      <c r="AE84" s="1"/>
      <c r="AF84" s="1"/>
      <c r="AH84" s="65"/>
      <c r="AI84" s="1"/>
      <c r="AJ84" s="1"/>
      <c r="AK84" s="1"/>
      <c r="AL84" s="1"/>
      <c r="AM84" s="1"/>
      <c r="AN84" s="1"/>
      <c r="AP84" s="65"/>
      <c r="AQ84" s="1"/>
      <c r="AR84" s="1"/>
      <c r="AS84" s="1"/>
      <c r="AT84" s="1"/>
      <c r="AU84" s="1"/>
      <c r="AV84" s="1"/>
      <c r="AX84" s="65"/>
      <c r="AY84" s="1"/>
      <c r="AZ84" s="1"/>
      <c r="BA84" s="1"/>
      <c r="BB84" s="1"/>
      <c r="BC84" s="1"/>
      <c r="BD84" s="1"/>
    </row>
    <row r="85" spans="1:56">
      <c r="A85" s="71" t="s">
        <v>47</v>
      </c>
    </row>
    <row r="86" spans="1:56" ht="18">
      <c r="B86" s="104" t="s">
        <v>14</v>
      </c>
      <c r="C86" s="69">
        <f>DATE(2026,1,1)</f>
        <v>46023</v>
      </c>
      <c r="D86" s="69">
        <f>DATE(2027,1,1)</f>
        <v>46388</v>
      </c>
      <c r="E86" s="69">
        <f>DATE(2028,1,1)</f>
        <v>46753</v>
      </c>
      <c r="F86" s="69">
        <f>DATE(2029,1,1)</f>
        <v>47119</v>
      </c>
      <c r="G86" s="69">
        <f>DATE(2030,1,1)</f>
        <v>47484</v>
      </c>
      <c r="H86" s="69">
        <f>DATE(2035,1,1)</f>
        <v>49310</v>
      </c>
      <c r="J86" s="105" t="s">
        <v>23</v>
      </c>
      <c r="K86" s="69">
        <f>DATE(2026,1,1)</f>
        <v>46023</v>
      </c>
      <c r="L86" s="69">
        <f>DATE(2027,1,1)</f>
        <v>46388</v>
      </c>
      <c r="M86" s="69">
        <f>DATE(2028,1,1)</f>
        <v>46753</v>
      </c>
      <c r="N86" s="69">
        <f>DATE(2029,1,1)</f>
        <v>47119</v>
      </c>
      <c r="O86" s="69">
        <f>DATE(2030,1,1)</f>
        <v>47484</v>
      </c>
      <c r="P86" s="69">
        <f>DATE(2035,1,1)</f>
        <v>49310</v>
      </c>
      <c r="R86" s="104" t="s">
        <v>28</v>
      </c>
      <c r="S86" s="69">
        <f>DATE(2026,1,1)</f>
        <v>46023</v>
      </c>
      <c r="T86" s="69">
        <f>DATE(2027,1,1)</f>
        <v>46388</v>
      </c>
      <c r="U86" s="69">
        <f>DATE(2028,1,1)</f>
        <v>46753</v>
      </c>
      <c r="V86" s="69">
        <f>DATE(2029,1,1)</f>
        <v>47119</v>
      </c>
      <c r="W86" s="69">
        <f>DATE(2030,1,1)</f>
        <v>47484</v>
      </c>
      <c r="X86" s="69">
        <f>DATE(2035,1,1)</f>
        <v>49310</v>
      </c>
      <c r="Z86" s="104" t="s">
        <v>38</v>
      </c>
      <c r="AA86" s="69">
        <f>DATE(2026,1,1)</f>
        <v>46023</v>
      </c>
      <c r="AB86" s="69">
        <f>DATE(2027,1,1)</f>
        <v>46388</v>
      </c>
      <c r="AC86" s="69">
        <f>DATE(2028,1,1)</f>
        <v>46753</v>
      </c>
      <c r="AD86" s="69">
        <f>DATE(2029,1,1)</f>
        <v>47119</v>
      </c>
      <c r="AE86" s="69">
        <f>DATE(2030,1,1)</f>
        <v>47484</v>
      </c>
      <c r="AF86" s="69">
        <f>DATE(2035,1,1)</f>
        <v>49310</v>
      </c>
      <c r="AH86" s="104" t="s">
        <v>41</v>
      </c>
      <c r="AI86" s="69">
        <f>DATE(2026,1,1)</f>
        <v>46023</v>
      </c>
      <c r="AJ86" s="69">
        <f>DATE(2027,1,1)</f>
        <v>46388</v>
      </c>
      <c r="AK86" s="69">
        <f>DATE(2028,1,1)</f>
        <v>46753</v>
      </c>
      <c r="AL86" s="69">
        <f>DATE(2029,1,1)</f>
        <v>47119</v>
      </c>
      <c r="AM86" s="69">
        <f>DATE(2030,1,1)</f>
        <v>47484</v>
      </c>
      <c r="AN86" s="69">
        <f>DATE(2035,1,1)</f>
        <v>49310</v>
      </c>
      <c r="AP86" s="104" t="s">
        <v>43</v>
      </c>
      <c r="AQ86" s="69">
        <f>DATE(2026,1,1)</f>
        <v>46023</v>
      </c>
      <c r="AR86" s="69">
        <f>DATE(2027,1,1)</f>
        <v>46388</v>
      </c>
      <c r="AS86" s="69">
        <f>DATE(2028,1,1)</f>
        <v>46753</v>
      </c>
      <c r="AT86" s="69">
        <f>DATE(2029,1,1)</f>
        <v>47119</v>
      </c>
      <c r="AU86" s="69">
        <f>DATE(2030,1,1)</f>
        <v>47484</v>
      </c>
      <c r="AV86" s="69">
        <f>DATE(2035,1,1)</f>
        <v>49310</v>
      </c>
      <c r="AX86" s="104" t="s">
        <v>35</v>
      </c>
      <c r="AY86" s="69">
        <f>DATE(2026,1,1)</f>
        <v>46023</v>
      </c>
      <c r="AZ86" s="69">
        <f>DATE(2027,1,1)</f>
        <v>46388</v>
      </c>
      <c r="BA86" s="69">
        <f>DATE(2028,1,1)</f>
        <v>46753</v>
      </c>
      <c r="BB86" s="69">
        <f>DATE(2029,1,1)</f>
        <v>47119</v>
      </c>
      <c r="BC86" s="69">
        <f>DATE(2030,1,1)</f>
        <v>47484</v>
      </c>
      <c r="BD86" s="69">
        <f>DATE(2035,1,1)</f>
        <v>49310</v>
      </c>
    </row>
    <row r="87" spans="1:56">
      <c r="B87" s="64" t="s">
        <v>95</v>
      </c>
      <c r="C87" s="68" cm="1">
        <f t="array" ref="C87:H87">TREND('International Data'!$AH$52:$BO$52,'International Data'!$AH$1:$BO$1,'Africa Forecasts'!$C$86:$H$86)</f>
        <v>-389.87579235186331</v>
      </c>
      <c r="D87" s="68">
        <v>-428.68577019310396</v>
      </c>
      <c r="E87" s="68">
        <v>-467.49574803434552</v>
      </c>
      <c r="F87" s="68">
        <v>-506.41205458200056</v>
      </c>
      <c r="G87" s="68">
        <v>-545.22203242324213</v>
      </c>
      <c r="H87" s="68">
        <v>-739.3782503358625</v>
      </c>
      <c r="J87" s="64" t="s">
        <v>95</v>
      </c>
      <c r="K87" s="68" cm="1">
        <f t="array" ref="K87:P87">TREND('International Data'!$AR$73:$BO73,'International Data'!$AR$1:$BO$1,'Africa Forecasts'!$K$86:$P$86)</f>
        <v>1.898376113593665</v>
      </c>
      <c r="L87" s="68">
        <v>1.8319080303762441</v>
      </c>
      <c r="M87" s="68">
        <v>1.7654399471588249</v>
      </c>
      <c r="N87" s="68">
        <v>1.6987897596038213</v>
      </c>
      <c r="O87" s="68">
        <v>1.6323216763864004</v>
      </c>
      <c r="P87" s="68">
        <v>1.2997991559617166</v>
      </c>
      <c r="R87" s="64" t="s">
        <v>95</v>
      </c>
      <c r="S87" s="68" cm="1">
        <f t="array" ref="S87:X87">TREND('International Data'!$C$85:$BO$85,'International Data'!$C$1:$BO$1,'Africa Forecasts'!$S$86:$X$86)</f>
        <v>11.107704262712101</v>
      </c>
      <c r="T87" s="68">
        <v>11.149005741468578</v>
      </c>
      <c r="U87" s="68">
        <v>11.190307220225051</v>
      </c>
      <c r="V87" s="68">
        <v>11.231721853717847</v>
      </c>
      <c r="W87" s="68">
        <v>11.27302333247432</v>
      </c>
      <c r="X87" s="68">
        <v>11.479643880993015</v>
      </c>
      <c r="Z87" s="64" t="s">
        <v>95</v>
      </c>
      <c r="AA87" s="68" t="e" cm="1">
        <f t="array" ref="AA87">TREND('International Data'!$J$100:$BO$100,'International Data'!$J$1:$BO$1,'Africa Forecasts'!$AA$86:$AF$86)</f>
        <v>#VALUE!</v>
      </c>
      <c r="AB87" s="68"/>
      <c r="AC87" s="68"/>
      <c r="AD87" s="68"/>
      <c r="AE87" s="68"/>
      <c r="AF87" s="68"/>
      <c r="AH87" s="64" t="s">
        <v>95</v>
      </c>
      <c r="AI87" s="68" cm="1">
        <f t="array" ref="AI87:AN87">TREND('International Data'!$AX$106:$BO$106,'International Data'!$AX$1:$BO$1,'Africa Forecasts'!$AI$86:$AN$86)</f>
        <v>29.289257878842506</v>
      </c>
      <c r="AJ87" s="68">
        <v>30.736415250429985</v>
      </c>
      <c r="AK87" s="68">
        <v>32.183572622017437</v>
      </c>
      <c r="AL87" s="68">
        <v>33.634694808321569</v>
      </c>
      <c r="AM87" s="68">
        <v>35.081852179909049</v>
      </c>
      <c r="AN87" s="68">
        <v>42.321603852563044</v>
      </c>
      <c r="AP87" s="64" t="s">
        <v>95</v>
      </c>
      <c r="AQ87" s="68" cm="1">
        <f t="array" ref="AQ87:AV87">TREND('International Data'!I112:$BO$112,'International Data'!$I$1:$BO$1,'Africa Forecasts'!$AQ$86:$AV$86)</f>
        <v>6.0999853755157503</v>
      </c>
      <c r="AR87" s="68">
        <v>5.8301330106502007</v>
      </c>
      <c r="AS87" s="68">
        <v>5.5602806457846583</v>
      </c>
      <c r="AT87" s="68">
        <v>5.2896889593715386</v>
      </c>
      <c r="AU87" s="68">
        <v>5.0198365945059891</v>
      </c>
      <c r="AV87" s="68">
        <v>3.6698354486306926</v>
      </c>
      <c r="AX87" s="64" t="s">
        <v>95</v>
      </c>
      <c r="AY87" s="68" cm="1">
        <f t="array" ref="AY87:BD87">TREND('International Data'!$AV$121:$BO$121,'International Data'!$AV$1:$BO$1,'Africa Forecasts'!$AY$86:$BD$86)</f>
        <v>5.3927430998463564</v>
      </c>
      <c r="AZ87" s="68">
        <v>5.1938079278777778</v>
      </c>
      <c r="BA87" s="68">
        <v>4.9948727559092028</v>
      </c>
      <c r="BB87" s="68">
        <v>4.7953925560722226</v>
      </c>
      <c r="BC87" s="68">
        <v>4.5964573841036476</v>
      </c>
      <c r="BD87" s="68">
        <v>3.6012364963923638</v>
      </c>
    </row>
    <row r="88" spans="1:56">
      <c r="B88" s="64" t="s">
        <v>96</v>
      </c>
      <c r="C88" s="68">
        <f>_xlfn.FORECAST.ETS(C86,'International Data'!$AH$52:$BO$52,'International Data'!$AH$1:$BO$1)</f>
        <v>-61.866770368186266</v>
      </c>
      <c r="D88" s="68">
        <f>_xlfn.FORECAST.ETS(D86,'International Data'!$AH$52:$BO$52,'International Data'!$AH$1:$BO$1)</f>
        <v>-99.137831959859142</v>
      </c>
      <c r="E88" s="68">
        <f>_xlfn.FORECAST.ETS(E86,'International Data'!$AH$52:$BO$52,'International Data'!$AH$1:$BO$1)</f>
        <v>-136.40889355153115</v>
      </c>
      <c r="F88" s="68">
        <f>_xlfn.FORECAST.ETS(F86,'International Data'!$AH$52:$BO$52,'International Data'!$AH$1:$BO$1)</f>
        <v>-173.67995514320404</v>
      </c>
      <c r="G88" s="68">
        <f>_xlfn.FORECAST.ETS(G86,'International Data'!$AH$52:$BO$52,'International Data'!$AH$1:$BO$1)</f>
        <v>-210.95101673487605</v>
      </c>
      <c r="H88" s="68">
        <f>_xlfn.FORECAST.ETS(H86,'International Data'!$AH$52:$BO$52,'International Data'!$AH$1:$BO$1)</f>
        <v>-397.30632469323876</v>
      </c>
      <c r="J88" s="64" t="s">
        <v>96</v>
      </c>
      <c r="K88" s="68">
        <f>_xlfn.FORECAST.ETS(K86,'International Data'!$AR$73:$BO73,'International Data'!$AR$1:$BO$1)</f>
        <v>1.9513976869366154</v>
      </c>
      <c r="L88" s="68">
        <f>_xlfn.FORECAST.ETS(L86,'International Data'!$AR$73:$BO73,'International Data'!$AR$1:$BO$1)</f>
        <v>1.8917512562377847</v>
      </c>
      <c r="M88" s="68">
        <f>_xlfn.FORECAST.ETS(M86,'International Data'!$AR$73:$BO73,'International Data'!$AR$1:$BO$1)</f>
        <v>1.83210482553896</v>
      </c>
      <c r="N88" s="68">
        <f>_xlfn.FORECAST.ETS(N86,'International Data'!$AR$73:$BO73,'International Data'!$AR$1:$BO$1)</f>
        <v>1.7724583948401291</v>
      </c>
      <c r="O88" s="68">
        <f>_xlfn.FORECAST.ETS(O86,'International Data'!$AR$73:$BO73,'International Data'!$AR$1:$BO$1)</f>
        <v>1.7128119641413044</v>
      </c>
      <c r="P88" s="68">
        <f>_xlfn.FORECAST.ETS(P86,'International Data'!$AR$73:$BO73,'International Data'!$AR$1:$BO$1)</f>
        <v>1.4145798106471628</v>
      </c>
      <c r="R88" s="64" t="s">
        <v>96</v>
      </c>
      <c r="S88" s="68">
        <f>_xlfn.FORECAST.ETS(S86,'International Data'!$C$85:$BO$85,'International Data'!$C$1:$BO$1)</f>
        <v>8.9795680107564007</v>
      </c>
      <c r="T88" s="68">
        <f>_xlfn.FORECAST.ETS(T86,'International Data'!$C$85:$BO$85,'International Data'!$C$1:$BO$1)</f>
        <v>-9.064283099027092</v>
      </c>
      <c r="U88" s="68">
        <f>_xlfn.FORECAST.ETS(U86,'International Data'!$C$85:$BO$85,'International Data'!$C$1:$BO$1)</f>
        <v>-2.4442371940750425</v>
      </c>
      <c r="V88" s="68">
        <f>_xlfn.FORECAST.ETS(V86,'International Data'!$C$85:$BO$85,'International Data'!$C$1:$BO$1)</f>
        <v>-2.1528509264090641</v>
      </c>
      <c r="W88" s="68">
        <f>_xlfn.FORECAST.ETS(W86,'International Data'!$C$85:$BO$85,'International Data'!$C$1:$BO$1)</f>
        <v>0.33026340759711736</v>
      </c>
      <c r="X88" s="68">
        <f>_xlfn.FORECAST.ETS(X86,'International Data'!$C$85:$BO$85,'International Data'!$C$1:$BO$1)</f>
        <v>-7.1044937141927491</v>
      </c>
      <c r="Z88" s="64" t="s">
        <v>96</v>
      </c>
      <c r="AA88" s="68">
        <f>_xlfn.FORECAST.ETS(AA86,'International Data'!$AT$124:$BO$124,'International Data'!$AT$1:$BO$1)</f>
        <v>2.0159778230845982</v>
      </c>
      <c r="AB88" s="68"/>
      <c r="AC88" s="68"/>
      <c r="AD88" s="68"/>
      <c r="AE88" s="68"/>
      <c r="AF88" s="68"/>
      <c r="AH88" s="64" t="s">
        <v>96</v>
      </c>
      <c r="AI88" s="68">
        <f>_xlfn.FORECAST.ETS(AI86,'International Data'!$AX$106:$BO$106,'International Data'!$AX$1:$BO$1)</f>
        <v>41.011670996055813</v>
      </c>
      <c r="AJ88" s="68">
        <f>_xlfn.FORECAST.ETS(AJ86,'International Data'!$AX$106:$BO$106,'International Data'!$AX$1:$BO$1)</f>
        <v>44.264959962888014</v>
      </c>
      <c r="AK88" s="68">
        <f>_xlfn.FORECAST.ETS(AK86,'International Data'!$AX$106:$BO$106,'International Data'!$AX$1:$BO$1)</f>
        <v>47.518248929720187</v>
      </c>
      <c r="AL88" s="68">
        <f>_xlfn.FORECAST.ETS(AL86,'International Data'!$AX$106:$BO$106,'International Data'!$AX$1:$BO$1)</f>
        <v>50.771537896552395</v>
      </c>
      <c r="AM88" s="68">
        <f>_xlfn.FORECAST.ETS(AM86,'International Data'!$AX$106:$BO$106,'International Data'!$AX$1:$BO$1)</f>
        <v>54.024826863384568</v>
      </c>
      <c r="AN88" s="68">
        <f>_xlfn.FORECAST.ETS(AN86,'International Data'!$AX$106:$BO$106,'International Data'!$AX$1:$BO$1)</f>
        <v>70.291271697545511</v>
      </c>
      <c r="AP88" s="64" t="s">
        <v>96</v>
      </c>
      <c r="AQ88" s="68">
        <f>_xlfn.FORECAST.ETS(AQ86,'International Data'!$I$112:$BO$112,'International Data'!$I$1:$BO$1)</f>
        <v>2.7177512288047208</v>
      </c>
      <c r="AR88" s="68">
        <f>_xlfn.FORECAST.ETS(AR86,'International Data'!$I$112:$BO$112,'International Data'!$I$1:$BO$1)</f>
        <v>2.4632051222007871</v>
      </c>
      <c r="AS88" s="68">
        <f>_xlfn.FORECAST.ETS(AS86,'International Data'!$I$112:$BO$112,'International Data'!$I$1:$BO$1)</f>
        <v>2.2086590155968588</v>
      </c>
      <c r="AT88" s="68">
        <f>_xlfn.FORECAST.ETS(AT86,'International Data'!$I$112:$BO$112,'International Data'!$I$1:$BO$1)</f>
        <v>1.954112908992925</v>
      </c>
      <c r="AU88" s="68">
        <f>_xlfn.FORECAST.ETS(AU86,'International Data'!$I$112:$BO$112,'International Data'!$I$1:$BO$1)</f>
        <v>1.6995668023889972</v>
      </c>
      <c r="AV88" s="68">
        <f>_xlfn.FORECAST.ETS(AV86,'International Data'!$I$112:$BO$112,'International Data'!$I$1:$BO$1)</f>
        <v>0.42683626936933933</v>
      </c>
      <c r="AX88" s="64" t="s">
        <v>96</v>
      </c>
      <c r="AY88" s="68">
        <f>_xlfn.FORECAST.ETS(AY86,'International Data'!$AV$121:$BO$121,'International Data'!$AV$1:$BO$1)</f>
        <v>5.3810271802829055</v>
      </c>
      <c r="AZ88" s="68">
        <f>_xlfn.FORECAST.ETS(AZ86,'International Data'!$AV$121:$BO$121,'International Data'!$AV$1:$BO$1)</f>
        <v>5.2040793897406576</v>
      </c>
      <c r="BA88" s="68">
        <f>_xlfn.FORECAST.ETS(BA86,'International Data'!$AV$121:$BO$121,'International Data'!$AV$1:$BO$1)</f>
        <v>5.0271315991984178</v>
      </c>
      <c r="BB88" s="68">
        <f>_xlfn.FORECAST.ETS(BB86,'International Data'!$AV$121:$BO$121,'International Data'!$AV$1:$BO$1)</f>
        <v>4.8501838086561699</v>
      </c>
      <c r="BC88" s="68">
        <f>_xlfn.FORECAST.ETS(BC86,'International Data'!$AV$121:$BO$121,'International Data'!$AV$1:$BO$1)</f>
        <v>4.6732360181139292</v>
      </c>
      <c r="BD88" s="68">
        <f>_xlfn.FORECAST.ETS(BD86,'International Data'!$AV$121:$BO$121,'International Data'!$AV$1:$BO$1)</f>
        <v>3.7884970654027046</v>
      </c>
    </row>
    <row r="89" spans="1:56">
      <c r="B89" t="s">
        <v>89</v>
      </c>
      <c r="J89" t="s">
        <v>89</v>
      </c>
      <c r="R89" t="s">
        <v>89</v>
      </c>
      <c r="Z89" t="s">
        <v>89</v>
      </c>
      <c r="AH89" t="s">
        <v>89</v>
      </c>
      <c r="AP89" t="s">
        <v>89</v>
      </c>
      <c r="AX89" t="s">
        <v>89</v>
      </c>
    </row>
    <row r="90" spans="1:56">
      <c r="B90" t="s">
        <v>89</v>
      </c>
      <c r="J90" t="s">
        <v>89</v>
      </c>
      <c r="R90" t="s">
        <v>89</v>
      </c>
      <c r="Z90" t="s">
        <v>89</v>
      </c>
      <c r="AH90" t="s">
        <v>89</v>
      </c>
      <c r="AP90" t="s">
        <v>89</v>
      </c>
      <c r="AX90" t="s">
        <v>89</v>
      </c>
    </row>
    <row r="93" spans="1:56">
      <c r="B93" s="65" t="s">
        <v>93</v>
      </c>
      <c r="J93" s="65" t="s">
        <v>93</v>
      </c>
      <c r="R93" s="65" t="s">
        <v>93</v>
      </c>
      <c r="Z93" s="65" t="s">
        <v>93</v>
      </c>
      <c r="AH93" s="65" t="s">
        <v>93</v>
      </c>
      <c r="AP93" s="65" t="s">
        <v>93</v>
      </c>
      <c r="AX93" s="65" t="s">
        <v>93</v>
      </c>
    </row>
    <row r="94" spans="1:56" hidden="1">
      <c r="B94" s="65"/>
      <c r="C94" s="1"/>
      <c r="D94" s="1"/>
      <c r="E94" s="1"/>
      <c r="F94" s="1"/>
      <c r="G94" s="1"/>
      <c r="H94" s="1"/>
      <c r="J94" s="65"/>
      <c r="K94" s="1"/>
      <c r="L94" s="1"/>
      <c r="M94" s="1"/>
      <c r="N94" s="1"/>
      <c r="O94" s="1"/>
      <c r="P94" s="1"/>
      <c r="R94" s="65"/>
      <c r="S94" s="1"/>
      <c r="T94" s="1"/>
      <c r="U94" s="1"/>
      <c r="V94" s="1"/>
      <c r="W94" s="1"/>
      <c r="X94" s="1"/>
      <c r="Z94" s="65"/>
      <c r="AA94" s="1"/>
      <c r="AB94" s="1"/>
      <c r="AC94" s="1"/>
      <c r="AD94" s="1"/>
      <c r="AE94" s="1"/>
      <c r="AF94" s="1"/>
      <c r="AH94" s="65"/>
      <c r="AI94" s="1"/>
      <c r="AJ94" s="1"/>
      <c r="AK94" s="1"/>
      <c r="AL94" s="1"/>
      <c r="AM94" s="1"/>
      <c r="AN94" s="1"/>
      <c r="AP94" s="65"/>
      <c r="AQ94" s="1"/>
      <c r="AR94" s="1"/>
      <c r="AS94" s="1"/>
      <c r="AT94" s="1"/>
      <c r="AU94" s="1"/>
      <c r="AV94" s="1"/>
      <c r="AX94" s="65"/>
      <c r="AY94" s="1"/>
      <c r="AZ94" s="1"/>
      <c r="BA94" s="1"/>
      <c r="BB94" s="1"/>
      <c r="BC94" s="1"/>
      <c r="BD94"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57E6C-9C0D-604C-8CBF-543DF22A01B3}">
  <dimension ref="A2:V67"/>
  <sheetViews>
    <sheetView showGridLines="0" zoomScale="82" workbookViewId="0">
      <selection activeCell="J11" sqref="J11"/>
    </sheetView>
  </sheetViews>
  <sheetFormatPr baseColWidth="10" defaultRowHeight="16"/>
  <cols>
    <col min="1" max="1" width="20.5" style="73" bestFit="1" customWidth="1"/>
    <col min="2" max="2" width="19.5" bestFit="1" customWidth="1"/>
    <col min="3" max="8" width="8.1640625" bestFit="1" customWidth="1"/>
    <col min="10" max="22" width="25.83203125" customWidth="1"/>
  </cols>
  <sheetData>
    <row r="2" spans="1:22">
      <c r="A2" s="71" t="s">
        <v>3</v>
      </c>
    </row>
    <row r="3" spans="1:22">
      <c r="A3" s="72"/>
      <c r="B3" s="63" t="s">
        <v>8</v>
      </c>
      <c r="C3" s="69">
        <f>DATE(2026,1,1)</f>
        <v>46023</v>
      </c>
      <c r="D3" s="69">
        <f>DATE(2027,1,1)</f>
        <v>46388</v>
      </c>
      <c r="E3" s="69">
        <f>DATE(2028,1,1)</f>
        <v>46753</v>
      </c>
      <c r="F3" s="69">
        <f>DATE(2029,1,1)</f>
        <v>47119</v>
      </c>
      <c r="G3" s="69">
        <f>DATE(2030,1,1)</f>
        <v>47484</v>
      </c>
      <c r="H3" s="69">
        <f>DATE(2035,1,1)</f>
        <v>49310</v>
      </c>
      <c r="I3" s="67"/>
      <c r="J3" s="3"/>
      <c r="L3" s="3"/>
      <c r="N3" s="3"/>
      <c r="P3" s="3"/>
      <c r="R3" s="3"/>
      <c r="T3" s="3"/>
      <c r="V3" s="3"/>
    </row>
    <row r="4" spans="1:22">
      <c r="A4" s="72"/>
      <c r="B4" s="64" t="s">
        <v>95</v>
      </c>
      <c r="C4" s="68" cm="1">
        <f t="array" ref="C4:H4">TREND('International Data'!C17:BO17,'International Data'!C1:BO1,'China Forecast'!C3:H3)</f>
        <v>28.768884620453122</v>
      </c>
      <c r="D4" s="68">
        <v>29.182515217857862</v>
      </c>
      <c r="E4" s="68">
        <v>29.596145815262609</v>
      </c>
      <c r="F4" s="68">
        <v>30.010909647180789</v>
      </c>
      <c r="G4" s="68">
        <v>30.424540244585529</v>
      </c>
      <c r="H4" s="68">
        <v>32.493826466122677</v>
      </c>
      <c r="I4" s="68"/>
    </row>
    <row r="5" spans="1:22">
      <c r="A5" s="72"/>
      <c r="B5" s="64" t="s">
        <v>96</v>
      </c>
      <c r="C5" s="68">
        <f>_xlfn.FORECAST.ETS(C3,'International Data'!$C$17:$BO$17,'International Data'!$C$1:$BO$1)</f>
        <v>20.85074369601238</v>
      </c>
      <c r="D5" s="68">
        <f>_xlfn.FORECAST.ETS(D3,'International Data'!$C$17:$BO$17,'International Data'!$C$1:$BO$1)</f>
        <v>21.264657225903573</v>
      </c>
      <c r="E5" s="68">
        <f>_xlfn.FORECAST.ETS(E3,'International Data'!$C$17:$BO$17,'International Data'!$C$1:$BO$1)</f>
        <v>21.67857075579478</v>
      </c>
      <c r="F5" s="68">
        <f>_xlfn.FORECAST.ETS(F3,'International Data'!$C$17:$BO$17,'International Data'!$C$1:$BO$1)</f>
        <v>22.092484285685973</v>
      </c>
      <c r="G5" s="68">
        <f>_xlfn.FORECAST.ETS(G3,'International Data'!$C$17:$BO$17,'International Data'!$C$1:$BO$1)</f>
        <v>22.506397815577181</v>
      </c>
      <c r="H5" s="68">
        <f>_xlfn.FORECAST.ETS(H3,'International Data'!$C$17:$BO$17,'International Data'!$C$1:$BO$1)</f>
        <v>24.575965465033175</v>
      </c>
    </row>
    <row r="6" spans="1:22">
      <c r="A6" s="72"/>
      <c r="B6" t="s">
        <v>88</v>
      </c>
    </row>
    <row r="7" spans="1:22">
      <c r="A7" s="72"/>
      <c r="B7" t="s">
        <v>89</v>
      </c>
    </row>
    <row r="8" spans="1:22">
      <c r="A8" s="72"/>
      <c r="B8" t="s">
        <v>89</v>
      </c>
    </row>
    <row r="9" spans="1:22">
      <c r="A9" s="72"/>
      <c r="B9" t="s">
        <v>90</v>
      </c>
    </row>
    <row r="10" spans="1:22">
      <c r="A10" s="72"/>
      <c r="B10" t="s">
        <v>90</v>
      </c>
    </row>
    <row r="11" spans="1:22">
      <c r="A11" s="72"/>
      <c r="B11" t="s">
        <v>90</v>
      </c>
    </row>
    <row r="12" spans="1:22">
      <c r="A12" s="72"/>
      <c r="B12" t="s">
        <v>90</v>
      </c>
    </row>
    <row r="13" spans="1:22">
      <c r="A13" s="72"/>
      <c r="B13" t="s">
        <v>90</v>
      </c>
    </row>
    <row r="14" spans="1:22">
      <c r="A14" s="72"/>
      <c r="B14" s="65" t="s">
        <v>93</v>
      </c>
      <c r="C14" s="1"/>
      <c r="D14" s="1"/>
      <c r="E14" s="1"/>
      <c r="F14" s="1"/>
      <c r="G14" s="1"/>
      <c r="H14" s="1"/>
      <c r="I14" s="1"/>
      <c r="J14" s="64"/>
      <c r="L14" s="64"/>
      <c r="N14" s="64"/>
      <c r="P14" s="64"/>
      <c r="R14" s="64"/>
      <c r="T14" s="64"/>
      <c r="V14" s="64"/>
    </row>
    <row r="15" spans="1:22">
      <c r="A15" s="71" t="s">
        <v>4</v>
      </c>
    </row>
    <row r="16" spans="1:22">
      <c r="A16" s="72"/>
      <c r="B16" s="63" t="s">
        <v>8</v>
      </c>
      <c r="C16" s="69">
        <f>DATE(2026,1,1)</f>
        <v>46023</v>
      </c>
      <c r="D16" s="69">
        <f>DATE(2027,1,1)</f>
        <v>46388</v>
      </c>
      <c r="E16" s="69">
        <f>DATE(2028,1,1)</f>
        <v>46753</v>
      </c>
      <c r="F16" s="69">
        <f>DATE(2029,1,1)</f>
        <v>47119</v>
      </c>
      <c r="G16" s="69">
        <f>DATE(2030,1,1)</f>
        <v>47484</v>
      </c>
      <c r="H16" s="69">
        <f>DATE(2035,1,1)</f>
        <v>49310</v>
      </c>
      <c r="J16" s="3"/>
      <c r="L16" s="3"/>
      <c r="N16" s="3"/>
      <c r="P16" s="3"/>
      <c r="R16" s="3"/>
      <c r="T16" s="3"/>
      <c r="V16" s="3"/>
    </row>
    <row r="17" spans="1:22">
      <c r="A17" s="72"/>
      <c r="B17" s="64" t="s">
        <v>95</v>
      </c>
      <c r="C17" s="68" cm="1">
        <f t="array" ref="C17:H17">TREND('International Data'!C18:BO18,'International Data'!C1:BO1,'China Forecast'!C16:H16)</f>
        <v>25.114334293814046</v>
      </c>
      <c r="D17" s="68">
        <v>25.465155545442101</v>
      </c>
      <c r="E17" s="68">
        <v>25.815976797070164</v>
      </c>
      <c r="F17" s="68">
        <v>26.167759202812277</v>
      </c>
      <c r="G17" s="68">
        <v>26.51858045444034</v>
      </c>
      <c r="H17" s="68">
        <v>28.273647866694688</v>
      </c>
    </row>
    <row r="18" spans="1:22">
      <c r="A18" s="72"/>
      <c r="B18" s="64" t="s">
        <v>96</v>
      </c>
      <c r="C18" s="68">
        <f>_xlfn.FORECAST.ETS(C16,'International Data'!$C$18:$BO$18,'International Data'!$C$1:$BO$1)</f>
        <v>17.877625535177284</v>
      </c>
      <c r="D18" s="68">
        <f>_xlfn.FORECAST.ETS(D16,'International Data'!$C$18:$BO$18,'International Data'!$C$1:$BO$1)</f>
        <v>18.228686551449769</v>
      </c>
      <c r="E18" s="68">
        <f>_xlfn.FORECAST.ETS(E16,'International Data'!$C$18:$BO$18,'International Data'!$C$1:$BO$1)</f>
        <v>18.579747567722254</v>
      </c>
      <c r="F18" s="68">
        <f>_xlfn.FORECAST.ETS(F16,'International Data'!$C$18:$BO$18,'International Data'!$C$1:$BO$1)</f>
        <v>18.930808583994743</v>
      </c>
      <c r="G18" s="68">
        <f>_xlfn.FORECAST.ETS(G16,'International Data'!$C$18:$BO$18,'International Data'!$C$1:$BO$1)</f>
        <v>19.281869600267228</v>
      </c>
      <c r="H18" s="68">
        <f>_xlfn.FORECAST.ETS(H16,'International Data'!$C$18:$BO$18,'International Data'!$C$1:$BO$1)</f>
        <v>21.037174681629658</v>
      </c>
    </row>
    <row r="19" spans="1:22">
      <c r="B19" t="s">
        <v>88</v>
      </c>
    </row>
    <row r="20" spans="1:22">
      <c r="B20" t="s">
        <v>89</v>
      </c>
    </row>
    <row r="21" spans="1:22">
      <c r="B21" t="s">
        <v>89</v>
      </c>
    </row>
    <row r="22" spans="1:22">
      <c r="B22" t="s">
        <v>90</v>
      </c>
    </row>
    <row r="23" spans="1:22">
      <c r="B23" t="s">
        <v>90</v>
      </c>
    </row>
    <row r="24" spans="1:22">
      <c r="B24" t="s">
        <v>90</v>
      </c>
    </row>
    <row r="25" spans="1:22">
      <c r="B25" t="s">
        <v>90</v>
      </c>
    </row>
    <row r="26" spans="1:22">
      <c r="B26" t="s">
        <v>90</v>
      </c>
    </row>
    <row r="27" spans="1:22">
      <c r="B27" s="65" t="s">
        <v>93</v>
      </c>
      <c r="C27" s="1"/>
      <c r="D27" s="1"/>
      <c r="E27" s="1"/>
      <c r="F27" s="1"/>
      <c r="G27" s="1"/>
      <c r="H27" s="1"/>
      <c r="I27" s="1"/>
      <c r="J27" s="64"/>
      <c r="L27" s="64"/>
      <c r="N27" s="64"/>
      <c r="P27" s="64"/>
      <c r="R27" s="64"/>
      <c r="T27" s="64"/>
      <c r="V27" s="64"/>
    </row>
    <row r="28" spans="1:22">
      <c r="A28" s="71" t="s">
        <v>5</v>
      </c>
    </row>
    <row r="29" spans="1:22">
      <c r="A29" s="72"/>
      <c r="B29" s="63" t="s">
        <v>8</v>
      </c>
      <c r="C29" s="69">
        <f>DATE(2026,1,1)</f>
        <v>46023</v>
      </c>
      <c r="D29" s="69">
        <f>DATE(2027,1,1)</f>
        <v>46388</v>
      </c>
      <c r="E29" s="69">
        <f>DATE(2028,1,1)</f>
        <v>46753</v>
      </c>
      <c r="F29" s="69">
        <f>DATE(2029,1,1)</f>
        <v>47119</v>
      </c>
      <c r="G29" s="69">
        <f>DATE(2030,1,1)</f>
        <v>47484</v>
      </c>
      <c r="H29" s="69">
        <f>DATE(2035,1,1)</f>
        <v>49310</v>
      </c>
      <c r="J29" s="3"/>
      <c r="L29" s="3"/>
      <c r="N29" s="3"/>
      <c r="P29" s="3"/>
      <c r="R29" s="3"/>
      <c r="T29" s="3"/>
      <c r="V29" s="3"/>
    </row>
    <row r="30" spans="1:22">
      <c r="A30" s="72"/>
      <c r="B30" s="64" t="s">
        <v>95</v>
      </c>
      <c r="C30" s="68" cm="1">
        <f t="array" ref="C30:H30">TREND('International Data'!AG19:BM19,'International Data'!AG1:BM1,'China Forecast'!C29:H29)</f>
        <v>253.3101720731521</v>
      </c>
      <c r="D30" s="68">
        <v>259.35430426190794</v>
      </c>
      <c r="E30" s="68">
        <v>265.39843645066389</v>
      </c>
      <c r="F30" s="68">
        <v>271.45912790569025</v>
      </c>
      <c r="G30" s="68">
        <v>277.5032600944462</v>
      </c>
      <c r="H30" s="68">
        <v>307.74048030449615</v>
      </c>
    </row>
    <row r="31" spans="1:22">
      <c r="B31" s="64" t="s">
        <v>96</v>
      </c>
      <c r="C31" s="68">
        <f>_xlfn.FORECAST.ETS(C29,'International Data'!$AG$19:$BM$19,'International Data'!$AG$1:$BM$1)</f>
        <v>227.7119918787956</v>
      </c>
      <c r="D31" s="68">
        <f>_xlfn.FORECAST.ETS(D29,'International Data'!$AG$19:$BM$19,'International Data'!$AG$1:$BM$1)</f>
        <v>222.10176742505928</v>
      </c>
      <c r="E31" s="68">
        <f>_xlfn.FORECAST.ETS(E29,'International Data'!$AG$19:$BM$19,'International Data'!$AG$1:$BM$1)</f>
        <v>220.3189944388526</v>
      </c>
      <c r="F31" s="68">
        <f>_xlfn.FORECAST.ETS(F29,'International Data'!$AG$19:$BM$19,'International Data'!$AG$1:$BM$1)</f>
        <v>219.81599151088542</v>
      </c>
      <c r="G31" s="68">
        <f>_xlfn.FORECAST.ETS(G29,'International Data'!$AG$19:$BM$19,'International Data'!$AG$1:$BM$1)</f>
        <v>222.24351169008793</v>
      </c>
      <c r="H31" s="68">
        <f>_xlfn.FORECAST.ETS(H29,'International Data'!$AG$19:$BM$19,'International Data'!$AG$1:$BM$1)</f>
        <v>238.98793990600379</v>
      </c>
    </row>
    <row r="32" spans="1:22">
      <c r="B32" t="s">
        <v>88</v>
      </c>
    </row>
    <row r="33" spans="1:22">
      <c r="B33" t="s">
        <v>89</v>
      </c>
    </row>
    <row r="34" spans="1:22">
      <c r="B34" t="s">
        <v>89</v>
      </c>
    </row>
    <row r="35" spans="1:22">
      <c r="B35" t="s">
        <v>90</v>
      </c>
    </row>
    <row r="36" spans="1:22">
      <c r="B36" t="s">
        <v>90</v>
      </c>
    </row>
    <row r="37" spans="1:22">
      <c r="B37" t="s">
        <v>90</v>
      </c>
    </row>
    <row r="38" spans="1:22">
      <c r="B38" t="s">
        <v>90</v>
      </c>
    </row>
    <row r="39" spans="1:22">
      <c r="B39" t="s">
        <v>90</v>
      </c>
    </row>
    <row r="40" spans="1:22">
      <c r="B40" s="65" t="s">
        <v>93</v>
      </c>
      <c r="C40" s="1"/>
      <c r="D40" s="1"/>
      <c r="E40" s="1"/>
      <c r="F40" s="1"/>
      <c r="G40" s="1"/>
      <c r="H40" s="1"/>
      <c r="I40" s="1"/>
      <c r="J40" s="64"/>
      <c r="L40" s="64"/>
      <c r="N40" s="64"/>
      <c r="P40" s="64"/>
      <c r="R40" s="64"/>
      <c r="T40" s="64"/>
      <c r="V40" s="64"/>
    </row>
    <row r="41" spans="1:22">
      <c r="A41" s="71" t="s">
        <v>91</v>
      </c>
    </row>
    <row r="42" spans="1:22">
      <c r="A42" s="71" t="s">
        <v>92</v>
      </c>
    </row>
    <row r="43" spans="1:22">
      <c r="A43" s="71"/>
      <c r="B43" s="63" t="s">
        <v>8</v>
      </c>
      <c r="C43" s="69">
        <f>DATE(2026,1,1)</f>
        <v>46023</v>
      </c>
      <c r="D43" s="69">
        <f>DATE(2027,1,1)</f>
        <v>46388</v>
      </c>
      <c r="E43" s="69">
        <f>DATE(2028,1,1)</f>
        <v>46753</v>
      </c>
      <c r="F43" s="69">
        <f>DATE(2029,1,1)</f>
        <v>47119</v>
      </c>
      <c r="G43" s="69">
        <f>DATE(2030,1,1)</f>
        <v>47484</v>
      </c>
      <c r="H43" s="69">
        <f>DATE(2035,1,1)</f>
        <v>49310</v>
      </c>
      <c r="J43" s="3"/>
      <c r="L43" s="3"/>
      <c r="N43" s="3"/>
      <c r="P43" s="3"/>
      <c r="R43" s="3"/>
      <c r="T43" s="3"/>
      <c r="V43" s="3"/>
    </row>
    <row r="44" spans="1:22">
      <c r="B44" s="64" t="s">
        <v>95</v>
      </c>
      <c r="C44" s="68" t="e" cm="1">
        <f t="array" ref="C44">TREND('International Data'!AH20:BN20,'International Data'!AH1:BO1,'China Forecast'!C43:H43)</f>
        <v>#REF!</v>
      </c>
      <c r="D44" s="68"/>
      <c r="E44" s="68"/>
      <c r="F44" s="68"/>
      <c r="G44" s="68"/>
      <c r="H44" s="68"/>
    </row>
    <row r="45" spans="1:22">
      <c r="B45" s="64" t="s">
        <v>96</v>
      </c>
      <c r="C45" s="68" t="e">
        <f>_xlfn.FORECAST.ETS(C43,'International Data'!$AH$20:$BN$20,'International Data'!$AH$1:$BO$1)</f>
        <v>#N/A</v>
      </c>
      <c r="D45" s="68" t="e">
        <f>_xlfn.FORECAST.ETS(D43,'International Data'!$AH$20:$BN$20,'International Data'!$AH$1:$BO$1)</f>
        <v>#N/A</v>
      </c>
      <c r="E45" s="68" t="e">
        <f>_xlfn.FORECAST.ETS(E43,'International Data'!$AH$20:$BN$20,'International Data'!$AH$1:$BO$1)</f>
        <v>#N/A</v>
      </c>
      <c r="F45" s="68" t="e">
        <f>_xlfn.FORECAST.ETS(F43,'International Data'!$AH$20:$BN$20,'International Data'!$AH$1:$BO$1)</f>
        <v>#N/A</v>
      </c>
      <c r="G45" s="68" t="e">
        <f>_xlfn.FORECAST.ETS(G43,'International Data'!$AH$20:$BN$20,'International Data'!$AH$1:$BO$1)</f>
        <v>#N/A</v>
      </c>
      <c r="H45" s="68" t="e">
        <f>_xlfn.FORECAST.ETS(H43,'International Data'!$AH$20:$BN$20,'International Data'!$AH$1:$BO$1)</f>
        <v>#N/A</v>
      </c>
    </row>
    <row r="46" spans="1:22">
      <c r="B46" t="s">
        <v>88</v>
      </c>
    </row>
    <row r="47" spans="1:22">
      <c r="B47" t="s">
        <v>89</v>
      </c>
    </row>
    <row r="48" spans="1:22">
      <c r="B48" t="s">
        <v>89</v>
      </c>
    </row>
    <row r="49" spans="1:22">
      <c r="B49" t="s">
        <v>90</v>
      </c>
    </row>
    <row r="50" spans="1:22">
      <c r="B50" t="s">
        <v>90</v>
      </c>
    </row>
    <row r="51" spans="1:22">
      <c r="B51" t="s">
        <v>90</v>
      </c>
    </row>
    <row r="52" spans="1:22">
      <c r="B52" t="s">
        <v>90</v>
      </c>
    </row>
    <row r="53" spans="1:22">
      <c r="A53" s="72"/>
      <c r="B53" t="s">
        <v>90</v>
      </c>
    </row>
    <row r="54" spans="1:22">
      <c r="A54" s="72"/>
      <c r="B54" s="65" t="s">
        <v>93</v>
      </c>
      <c r="C54" s="1"/>
      <c r="D54" s="1"/>
      <c r="E54" s="1"/>
      <c r="F54" s="1"/>
      <c r="G54" s="1"/>
      <c r="H54" s="1"/>
      <c r="I54" s="1"/>
      <c r="J54" s="64"/>
      <c r="L54" s="64"/>
      <c r="N54" s="64"/>
      <c r="P54" s="64"/>
      <c r="R54" s="64"/>
      <c r="T54" s="64"/>
      <c r="V54" s="64"/>
    </row>
    <row r="55" spans="1:22">
      <c r="A55" s="71" t="s">
        <v>47</v>
      </c>
    </row>
    <row r="56" spans="1:22">
      <c r="B56" s="63" t="s">
        <v>8</v>
      </c>
      <c r="C56" s="69">
        <f>DATE(2026,1,1)</f>
        <v>46023</v>
      </c>
      <c r="D56" s="69">
        <f>DATE(2027,1,1)</f>
        <v>46388</v>
      </c>
      <c r="E56" s="69">
        <f>DATE(2028,1,1)</f>
        <v>46753</v>
      </c>
      <c r="F56" s="69">
        <f>DATE(2029,1,1)</f>
        <v>47119</v>
      </c>
      <c r="G56" s="69">
        <f>DATE(2030,1,1)</f>
        <v>47484</v>
      </c>
      <c r="H56" s="69">
        <f>DATE(2035,1,1)</f>
        <v>49310</v>
      </c>
      <c r="J56" s="3"/>
      <c r="L56" s="3"/>
      <c r="N56" s="3"/>
      <c r="P56" s="3"/>
      <c r="R56" s="3"/>
      <c r="T56" s="3"/>
      <c r="V56" s="3"/>
    </row>
    <row r="57" spans="1:22">
      <c r="B57" s="64" t="s">
        <v>95</v>
      </c>
      <c r="C57" s="68" cm="1">
        <f t="array" ref="C57:H57">TREND('International Data'!AD21:BO21,'International Data'!AD1:BO1,'China Forecast'!C56:H56)</f>
        <v>-1.5640448719639295</v>
      </c>
      <c r="D57" s="68">
        <v>-1.861294996987553</v>
      </c>
      <c r="E57" s="68">
        <v>-2.1585451220111764</v>
      </c>
      <c r="F57" s="68">
        <v>-2.4566096309389707</v>
      </c>
      <c r="G57" s="68">
        <v>-2.7538597559626012</v>
      </c>
      <c r="H57" s="68">
        <v>-4.2409247649848965</v>
      </c>
    </row>
    <row r="58" spans="1:22">
      <c r="B58" s="64" t="s">
        <v>96</v>
      </c>
      <c r="C58" s="68">
        <f>_xlfn.FORECAST.ETS(C56,'International Data'!$AD$21:$BO$21,'International Data'!$AD$1:$BO$1)</f>
        <v>-0.38254938454902859</v>
      </c>
      <c r="D58" s="68">
        <f>_xlfn.FORECAST.ETS(D56,'International Data'!$AD$21:$BO$21,'International Data'!$AD$1:$BO$1)</f>
        <v>-0.67570749893811211</v>
      </c>
      <c r="E58" s="68">
        <f>_xlfn.FORECAST.ETS(E56,'International Data'!$AD$21:$BO$21,'International Data'!$AD$1:$BO$1)</f>
        <v>-0.96886561332719068</v>
      </c>
      <c r="F58" s="68">
        <f>_xlfn.FORECAST.ETS(F56,'International Data'!$AD$21:$BO$21,'International Data'!$AD$1:$BO$1)</f>
        <v>-1.262023727716274</v>
      </c>
      <c r="G58" s="68">
        <f>_xlfn.FORECAST.ETS(G56,'International Data'!$AD$21:$BO$21,'International Data'!$AD$1:$BO$1)</f>
        <v>-1.5551818421053527</v>
      </c>
      <c r="H58" s="68">
        <f>_xlfn.FORECAST.ETS(H56,'International Data'!$AD$21:$BO$21,'International Data'!$AD$1:$BO$1)</f>
        <v>-3.0209724140507603</v>
      </c>
    </row>
    <row r="59" spans="1:22">
      <c r="B59" t="s">
        <v>88</v>
      </c>
    </row>
    <row r="60" spans="1:22">
      <c r="B60" t="s">
        <v>89</v>
      </c>
    </row>
    <row r="61" spans="1:22">
      <c r="B61" t="s">
        <v>89</v>
      </c>
    </row>
    <row r="62" spans="1:22">
      <c r="B62" t="s">
        <v>90</v>
      </c>
    </row>
    <row r="63" spans="1:22">
      <c r="B63" t="s">
        <v>90</v>
      </c>
    </row>
    <row r="64" spans="1:22">
      <c r="B64" t="s">
        <v>90</v>
      </c>
    </row>
    <row r="65" spans="2:22">
      <c r="B65" t="s">
        <v>90</v>
      </c>
    </row>
    <row r="66" spans="2:22">
      <c r="B66" t="s">
        <v>90</v>
      </c>
    </row>
    <row r="67" spans="2:22">
      <c r="B67" s="65" t="s">
        <v>93</v>
      </c>
      <c r="C67" s="1"/>
      <c r="D67" s="1"/>
      <c r="E67" s="1"/>
      <c r="F67" s="1"/>
      <c r="G67" s="1"/>
      <c r="H67" s="1"/>
      <c r="I67" s="1"/>
      <c r="J67" s="64"/>
      <c r="L67" s="64"/>
      <c r="N67" s="64"/>
      <c r="P67" s="64"/>
      <c r="R67" s="64"/>
      <c r="T67" s="64"/>
      <c r="V67" s="6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A97F5-5B2D-D343-AE1F-A1B3F33DB148}">
  <dimension ref="A1:H33"/>
  <sheetViews>
    <sheetView showGridLines="0" zoomScale="75" workbookViewId="0">
      <pane xSplit="1" topLeftCell="B1" activePane="topRight" state="frozen"/>
      <selection pane="topRight" activeCell="A27" sqref="A27"/>
    </sheetView>
  </sheetViews>
  <sheetFormatPr baseColWidth="10" defaultRowHeight="16"/>
  <cols>
    <col min="1" max="1" width="32.83203125" bestFit="1" customWidth="1"/>
    <col min="2" max="2" width="14.1640625" style="98" bestFit="1" customWidth="1"/>
    <col min="3" max="3" width="13.83203125" style="98" bestFit="1" customWidth="1"/>
    <col min="4" max="7" width="50.83203125" style="99" customWidth="1"/>
  </cols>
  <sheetData>
    <row r="1" spans="1:7" s="97" customFormat="1" ht="21">
      <c r="A1" s="8" t="s">
        <v>13</v>
      </c>
      <c r="B1" s="89" t="s">
        <v>157</v>
      </c>
      <c r="C1" s="83" t="s">
        <v>158</v>
      </c>
      <c r="D1" s="92" t="s">
        <v>226</v>
      </c>
      <c r="E1" s="95" t="s">
        <v>227</v>
      </c>
      <c r="F1" s="95" t="s">
        <v>228</v>
      </c>
      <c r="G1" s="95" t="s">
        <v>229</v>
      </c>
    </row>
    <row r="2" spans="1:7" ht="70">
      <c r="A2" s="87" t="s">
        <v>14</v>
      </c>
      <c r="B2" s="90">
        <v>6.5</v>
      </c>
      <c r="C2" s="86">
        <v>5.5</v>
      </c>
      <c r="D2" s="93" t="s">
        <v>104</v>
      </c>
      <c r="E2" s="93" t="s">
        <v>103</v>
      </c>
      <c r="F2" s="93" t="s">
        <v>224</v>
      </c>
      <c r="G2" s="93" t="s">
        <v>225</v>
      </c>
    </row>
    <row r="3" spans="1:7" ht="84">
      <c r="A3" s="87" t="s">
        <v>15</v>
      </c>
      <c r="B3" s="90">
        <v>8.5</v>
      </c>
      <c r="C3" s="86">
        <v>7</v>
      </c>
      <c r="D3" s="93" t="s">
        <v>105</v>
      </c>
      <c r="E3" s="96" t="s">
        <v>230</v>
      </c>
      <c r="F3" s="93" t="s">
        <v>223</v>
      </c>
      <c r="G3" s="93" t="s">
        <v>222</v>
      </c>
    </row>
    <row r="4" spans="1:7" ht="98">
      <c r="A4" s="87" t="s">
        <v>16</v>
      </c>
      <c r="B4" s="90">
        <v>8</v>
      </c>
      <c r="C4" s="86">
        <v>9</v>
      </c>
      <c r="D4" s="93" t="s">
        <v>106</v>
      </c>
      <c r="E4" s="93" t="s">
        <v>107</v>
      </c>
      <c r="F4" s="93" t="s">
        <v>221</v>
      </c>
      <c r="G4" s="93" t="s">
        <v>220</v>
      </c>
    </row>
    <row r="5" spans="1:7" ht="84">
      <c r="A5" s="88" t="s">
        <v>17</v>
      </c>
      <c r="B5" s="91">
        <v>9</v>
      </c>
      <c r="C5" s="84">
        <v>8.5</v>
      </c>
      <c r="D5" s="94" t="s">
        <v>108</v>
      </c>
      <c r="E5" s="94" t="s">
        <v>109</v>
      </c>
      <c r="F5" s="94" t="s">
        <v>218</v>
      </c>
      <c r="G5" s="94" t="s">
        <v>219</v>
      </c>
    </row>
    <row r="6" spans="1:7" ht="168">
      <c r="A6" s="140" t="s">
        <v>18</v>
      </c>
      <c r="B6" s="90">
        <v>3.5</v>
      </c>
      <c r="C6" s="86">
        <v>1.5</v>
      </c>
      <c r="D6" s="93" t="s">
        <v>110</v>
      </c>
      <c r="E6" s="93" t="s">
        <v>111</v>
      </c>
      <c r="F6" s="93" t="s">
        <v>217</v>
      </c>
      <c r="G6" s="93" t="s">
        <v>216</v>
      </c>
    </row>
    <row r="7" spans="1:7" ht="140">
      <c r="A7" s="87" t="s">
        <v>19</v>
      </c>
      <c r="B7" s="90">
        <v>4</v>
      </c>
      <c r="C7" s="86">
        <v>2.5</v>
      </c>
      <c r="D7" s="93" t="s">
        <v>112</v>
      </c>
      <c r="E7" s="93" t="s">
        <v>113</v>
      </c>
      <c r="F7" s="93" t="s">
        <v>215</v>
      </c>
      <c r="G7" s="93" t="s">
        <v>214</v>
      </c>
    </row>
    <row r="8" spans="1:7" ht="126">
      <c r="A8" s="87" t="s">
        <v>20</v>
      </c>
      <c r="B8" s="90">
        <v>6</v>
      </c>
      <c r="C8" s="86">
        <v>2.8</v>
      </c>
      <c r="D8" s="93" t="s">
        <v>114</v>
      </c>
      <c r="E8" s="93" t="s">
        <v>115</v>
      </c>
      <c r="F8" s="93" t="s">
        <v>212</v>
      </c>
      <c r="G8" s="93" t="s">
        <v>213</v>
      </c>
    </row>
    <row r="9" spans="1:7" ht="70">
      <c r="A9" s="87" t="s">
        <v>21</v>
      </c>
      <c r="B9" s="90">
        <v>4</v>
      </c>
      <c r="C9" s="86">
        <v>3.3</v>
      </c>
      <c r="D9" s="93" t="s">
        <v>116</v>
      </c>
      <c r="E9" s="93" t="s">
        <v>117</v>
      </c>
      <c r="F9" s="93" t="s">
        <v>210</v>
      </c>
      <c r="G9" s="93" t="s">
        <v>211</v>
      </c>
    </row>
    <row r="10" spans="1:7" ht="98">
      <c r="A10" s="87" t="s">
        <v>22</v>
      </c>
      <c r="B10" s="90">
        <v>7</v>
      </c>
      <c r="C10" s="86">
        <v>6.5</v>
      </c>
      <c r="D10" s="93" t="s">
        <v>118</v>
      </c>
      <c r="E10" s="93" t="s">
        <v>119</v>
      </c>
      <c r="F10" s="93" t="s">
        <v>209</v>
      </c>
      <c r="G10" s="93" t="s">
        <v>208</v>
      </c>
    </row>
    <row r="11" spans="1:7" ht="84">
      <c r="A11" s="87" t="s">
        <v>23</v>
      </c>
      <c r="B11" s="90">
        <v>7</v>
      </c>
      <c r="C11" s="86">
        <v>4</v>
      </c>
      <c r="D11" s="93" t="s">
        <v>120</v>
      </c>
      <c r="E11" s="93" t="s">
        <v>121</v>
      </c>
      <c r="F11" s="93" t="s">
        <v>162</v>
      </c>
      <c r="G11" s="93" t="s">
        <v>207</v>
      </c>
    </row>
    <row r="12" spans="1:7" ht="84">
      <c r="A12" s="140" t="s">
        <v>24</v>
      </c>
      <c r="B12" s="90">
        <v>7.5</v>
      </c>
      <c r="C12" s="86">
        <v>4</v>
      </c>
      <c r="D12" s="93" t="s">
        <v>122</v>
      </c>
      <c r="E12" s="93" t="s">
        <v>124</v>
      </c>
      <c r="F12" s="93" t="s">
        <v>206</v>
      </c>
      <c r="G12" s="93" t="s">
        <v>205</v>
      </c>
    </row>
    <row r="13" spans="1:7" ht="126">
      <c r="A13" s="87" t="s">
        <v>25</v>
      </c>
      <c r="B13" s="90">
        <v>7</v>
      </c>
      <c r="C13" s="86">
        <v>5.5</v>
      </c>
      <c r="D13" s="93" t="s">
        <v>125</v>
      </c>
      <c r="E13" s="93" t="s">
        <v>123</v>
      </c>
      <c r="F13" s="93" t="s">
        <v>204</v>
      </c>
      <c r="G13" s="93" t="s">
        <v>163</v>
      </c>
    </row>
    <row r="14" spans="1:7" ht="140">
      <c r="A14" s="87" t="s">
        <v>26</v>
      </c>
      <c r="B14" s="90">
        <v>4</v>
      </c>
      <c r="C14" s="86">
        <v>5</v>
      </c>
      <c r="D14" s="93" t="s">
        <v>126</v>
      </c>
      <c r="E14" s="93" t="s">
        <v>127</v>
      </c>
      <c r="F14" s="93" t="s">
        <v>203</v>
      </c>
      <c r="G14" s="93" t="s">
        <v>202</v>
      </c>
    </row>
    <row r="15" spans="1:7" ht="98">
      <c r="A15" s="87" t="s">
        <v>27</v>
      </c>
      <c r="B15" s="90">
        <v>4</v>
      </c>
      <c r="C15" s="86">
        <v>4</v>
      </c>
      <c r="D15" s="93" t="s">
        <v>128</v>
      </c>
      <c r="E15" s="93" t="s">
        <v>129</v>
      </c>
      <c r="F15" s="93" t="s">
        <v>201</v>
      </c>
      <c r="G15" s="93" t="s">
        <v>200</v>
      </c>
    </row>
    <row r="16" spans="1:7" ht="70">
      <c r="A16" s="87" t="s">
        <v>28</v>
      </c>
      <c r="B16" s="90">
        <v>7</v>
      </c>
      <c r="C16" s="86">
        <v>5</v>
      </c>
      <c r="D16" s="93" t="s">
        <v>130</v>
      </c>
      <c r="E16" s="93" t="s">
        <v>131</v>
      </c>
      <c r="F16" s="93" t="s">
        <v>199</v>
      </c>
      <c r="G16" s="93" t="s">
        <v>198</v>
      </c>
    </row>
    <row r="17" spans="1:8" ht="112">
      <c r="A17" s="87" t="s">
        <v>29</v>
      </c>
      <c r="B17" s="90">
        <v>9</v>
      </c>
      <c r="C17" s="86">
        <v>5</v>
      </c>
      <c r="D17" s="93" t="s">
        <v>132</v>
      </c>
      <c r="E17" s="93" t="s">
        <v>109</v>
      </c>
      <c r="F17" s="93" t="s">
        <v>197</v>
      </c>
      <c r="G17" s="93" t="s">
        <v>196</v>
      </c>
    </row>
    <row r="18" spans="1:8" ht="84">
      <c r="A18" s="140" t="s">
        <v>30</v>
      </c>
      <c r="B18" s="90">
        <v>4</v>
      </c>
      <c r="C18" s="86">
        <v>4</v>
      </c>
      <c r="D18" s="93" t="s">
        <v>133</v>
      </c>
      <c r="E18" s="93" t="s">
        <v>134</v>
      </c>
      <c r="F18" s="93" t="s">
        <v>164</v>
      </c>
      <c r="G18" s="93" t="s">
        <v>195</v>
      </c>
    </row>
    <row r="19" spans="1:8" ht="98">
      <c r="A19" s="87" t="s">
        <v>31</v>
      </c>
      <c r="B19" s="90">
        <v>5.5</v>
      </c>
      <c r="C19" s="86">
        <v>2.5</v>
      </c>
      <c r="D19" s="93" t="s">
        <v>135</v>
      </c>
      <c r="E19" s="93" t="s">
        <v>136</v>
      </c>
      <c r="F19" s="93" t="s">
        <v>193</v>
      </c>
      <c r="G19" s="93" t="s">
        <v>194</v>
      </c>
    </row>
    <row r="20" spans="1:8" ht="98">
      <c r="A20" s="140" t="s">
        <v>32</v>
      </c>
      <c r="B20" s="90">
        <v>5</v>
      </c>
      <c r="C20" s="86">
        <v>6.8</v>
      </c>
      <c r="D20" s="93" t="s">
        <v>138</v>
      </c>
      <c r="E20" s="93" t="s">
        <v>137</v>
      </c>
      <c r="F20" s="93" t="s">
        <v>192</v>
      </c>
      <c r="G20" s="93" t="s">
        <v>191</v>
      </c>
    </row>
    <row r="21" spans="1:8" ht="84">
      <c r="A21" s="87" t="s">
        <v>33</v>
      </c>
      <c r="B21" s="90">
        <v>9</v>
      </c>
      <c r="C21" s="86">
        <v>7.2</v>
      </c>
      <c r="D21" s="93" t="s">
        <v>139</v>
      </c>
      <c r="E21" s="93" t="s">
        <v>109</v>
      </c>
      <c r="F21" s="93" t="s">
        <v>190</v>
      </c>
      <c r="G21" s="93" t="s">
        <v>189</v>
      </c>
    </row>
    <row r="22" spans="1:8" ht="168">
      <c r="A22" s="87" t="s">
        <v>34</v>
      </c>
      <c r="B22" s="90">
        <v>9</v>
      </c>
      <c r="C22" s="86">
        <v>6.5</v>
      </c>
      <c r="D22" s="93" t="s">
        <v>140</v>
      </c>
      <c r="E22" s="93" t="s">
        <v>109</v>
      </c>
      <c r="F22" s="93" t="s">
        <v>187</v>
      </c>
      <c r="G22" s="93" t="s">
        <v>188</v>
      </c>
    </row>
    <row r="23" spans="1:8" ht="98">
      <c r="A23" s="87" t="s">
        <v>35</v>
      </c>
      <c r="B23" s="90">
        <v>8</v>
      </c>
      <c r="C23" s="86">
        <v>3.8</v>
      </c>
      <c r="D23" s="93" t="s">
        <v>141</v>
      </c>
      <c r="E23" s="93" t="s">
        <v>109</v>
      </c>
      <c r="F23" s="93" t="s">
        <v>186</v>
      </c>
      <c r="G23" s="93" t="s">
        <v>185</v>
      </c>
    </row>
    <row r="24" spans="1:8" ht="140">
      <c r="A24" s="87" t="s">
        <v>36</v>
      </c>
      <c r="B24" s="90">
        <v>9</v>
      </c>
      <c r="C24" s="86">
        <v>7.6</v>
      </c>
      <c r="D24" s="93" t="s">
        <v>142</v>
      </c>
      <c r="E24" s="93" t="s">
        <v>109</v>
      </c>
      <c r="F24" s="93" t="s">
        <v>184</v>
      </c>
      <c r="G24" s="93" t="s">
        <v>183</v>
      </c>
    </row>
    <row r="25" spans="1:8" ht="56">
      <c r="A25" s="140" t="s">
        <v>37</v>
      </c>
      <c r="B25" s="90">
        <v>5.5</v>
      </c>
      <c r="C25" s="86">
        <v>4.5</v>
      </c>
      <c r="D25" s="93" t="s">
        <v>143</v>
      </c>
      <c r="E25" s="93" t="s">
        <v>144</v>
      </c>
      <c r="F25" s="93" t="s">
        <v>182</v>
      </c>
      <c r="G25" s="93" t="s">
        <v>181</v>
      </c>
    </row>
    <row r="26" spans="1:8" ht="84">
      <c r="A26" s="87" t="s">
        <v>38</v>
      </c>
      <c r="B26" s="90">
        <v>7.5</v>
      </c>
      <c r="C26" s="86">
        <v>3.8</v>
      </c>
      <c r="D26" s="93" t="s">
        <v>145</v>
      </c>
      <c r="E26" s="93" t="s">
        <v>146</v>
      </c>
      <c r="F26" s="93" t="s">
        <v>179</v>
      </c>
      <c r="G26" s="93" t="s">
        <v>180</v>
      </c>
      <c r="H26" s="85"/>
    </row>
    <row r="27" spans="1:8" ht="112">
      <c r="A27" s="140" t="s">
        <v>39</v>
      </c>
      <c r="B27" s="90">
        <v>4.5</v>
      </c>
      <c r="C27" s="86">
        <v>6.1</v>
      </c>
      <c r="D27" s="93" t="s">
        <v>147</v>
      </c>
      <c r="E27" s="93" t="s">
        <v>148</v>
      </c>
      <c r="F27" s="93" t="s">
        <v>177</v>
      </c>
      <c r="G27" s="93" t="s">
        <v>178</v>
      </c>
    </row>
    <row r="28" spans="1:8" ht="98">
      <c r="A28" s="87" t="s">
        <v>40</v>
      </c>
      <c r="B28" s="90">
        <v>8.5</v>
      </c>
      <c r="C28" s="86">
        <v>5.4</v>
      </c>
      <c r="D28" s="93" t="s">
        <v>149</v>
      </c>
      <c r="E28" s="93" t="s">
        <v>150</v>
      </c>
      <c r="F28" s="93" t="s">
        <v>176</v>
      </c>
      <c r="G28" s="93" t="s">
        <v>175</v>
      </c>
    </row>
    <row r="29" spans="1:8" ht="84">
      <c r="A29" s="87" t="s">
        <v>41</v>
      </c>
      <c r="B29" s="90">
        <v>5.5</v>
      </c>
      <c r="C29" s="86">
        <v>5.5</v>
      </c>
      <c r="D29" s="93" t="s">
        <v>151</v>
      </c>
      <c r="E29" s="93" t="s">
        <v>152</v>
      </c>
      <c r="F29" s="93" t="s">
        <v>173</v>
      </c>
      <c r="G29" s="93" t="s">
        <v>174</v>
      </c>
    </row>
    <row r="30" spans="1:8" ht="112">
      <c r="A30" s="87" t="s">
        <v>42</v>
      </c>
      <c r="B30" s="90">
        <v>7.5</v>
      </c>
      <c r="C30" s="86">
        <v>5.5</v>
      </c>
      <c r="D30" s="93" t="s">
        <v>153</v>
      </c>
      <c r="E30" s="93" t="s">
        <v>154</v>
      </c>
      <c r="F30" s="93" t="s">
        <v>171</v>
      </c>
      <c r="G30" s="93" t="s">
        <v>172</v>
      </c>
    </row>
    <row r="31" spans="1:8" ht="84">
      <c r="A31" s="87" t="s">
        <v>43</v>
      </c>
      <c r="B31" s="90">
        <v>5.5</v>
      </c>
      <c r="C31" s="86">
        <v>4.5</v>
      </c>
      <c r="D31" s="93" t="s">
        <v>155</v>
      </c>
      <c r="E31" s="93" t="s">
        <v>156</v>
      </c>
      <c r="F31" s="93" t="s">
        <v>169</v>
      </c>
      <c r="G31" s="93" t="s">
        <v>170</v>
      </c>
    </row>
    <row r="32" spans="1:8" ht="98">
      <c r="A32" s="87" t="s">
        <v>44</v>
      </c>
      <c r="B32" s="90">
        <v>8.5</v>
      </c>
      <c r="C32" s="86">
        <v>4</v>
      </c>
      <c r="D32" s="93" t="s">
        <v>159</v>
      </c>
      <c r="E32" s="93" t="s">
        <v>109</v>
      </c>
      <c r="F32" s="93" t="s">
        <v>168</v>
      </c>
      <c r="G32" s="93" t="s">
        <v>167</v>
      </c>
    </row>
    <row r="33" spans="1:7" ht="127" thickBot="1">
      <c r="A33" s="100" t="s">
        <v>45</v>
      </c>
      <c r="B33" s="101">
        <v>4</v>
      </c>
      <c r="C33" s="102">
        <v>4.5</v>
      </c>
      <c r="D33" s="103" t="s">
        <v>160</v>
      </c>
      <c r="E33" s="103" t="s">
        <v>161</v>
      </c>
      <c r="F33" s="103" t="s">
        <v>165</v>
      </c>
      <c r="G33" s="103" t="s">
        <v>166</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26CD2-D5AF-D447-824E-CEC36D7E51F6}">
  <dimension ref="A1:AD40"/>
  <sheetViews>
    <sheetView showGridLines="0" zoomScale="68" zoomScaleNormal="100" workbookViewId="0">
      <selection activeCell="B40" sqref="B40"/>
    </sheetView>
  </sheetViews>
  <sheetFormatPr baseColWidth="10" defaultRowHeight="16"/>
  <cols>
    <col min="1" max="1" width="29.1640625" style="9" bestFit="1" customWidth="1"/>
    <col min="2" max="2" width="99" bestFit="1" customWidth="1"/>
    <col min="3" max="3" width="41" bestFit="1" customWidth="1"/>
    <col min="4" max="4" width="41" customWidth="1"/>
    <col min="5" max="5" width="41" style="22" bestFit="1" customWidth="1"/>
    <col min="6" max="15" width="2.83203125" customWidth="1"/>
    <col min="16" max="16" width="35.83203125" style="40" customWidth="1"/>
    <col min="17" max="25" width="2.83203125" style="9" customWidth="1"/>
    <col min="26" max="26" width="2.6640625" customWidth="1"/>
    <col min="27" max="27" width="99" style="113" bestFit="1" customWidth="1"/>
    <col min="28" max="28" width="1.83203125" customWidth="1"/>
    <col min="29" max="29" width="99" bestFit="1" customWidth="1"/>
    <col min="30" max="30" width="35.83203125" style="40" customWidth="1"/>
    <col min="31" max="85" width="99" bestFit="1" customWidth="1"/>
    <col min="86" max="86" width="103.33203125" bestFit="1" customWidth="1"/>
    <col min="87" max="87" width="45.5" bestFit="1" customWidth="1"/>
  </cols>
  <sheetData>
    <row r="1" spans="1:30">
      <c r="A1" s="14" t="s">
        <v>48</v>
      </c>
      <c r="B1" s="12" t="s">
        <v>51</v>
      </c>
      <c r="C1" s="12" t="s">
        <v>52</v>
      </c>
      <c r="D1" s="37" t="s">
        <v>102</v>
      </c>
      <c r="F1" s="12"/>
      <c r="G1" s="12"/>
      <c r="H1" s="12"/>
      <c r="I1" s="12"/>
      <c r="J1" s="12"/>
      <c r="K1" s="12"/>
      <c r="L1" s="12"/>
      <c r="M1" s="12"/>
      <c r="N1" s="12"/>
      <c r="O1" s="12"/>
      <c r="P1" s="38"/>
      <c r="Q1" s="15"/>
      <c r="R1" s="15"/>
      <c r="S1" s="15"/>
      <c r="T1" s="15"/>
      <c r="U1" s="15"/>
      <c r="V1" s="15"/>
      <c r="W1" s="15"/>
      <c r="X1" s="15"/>
      <c r="Y1" s="15"/>
      <c r="Z1" s="12"/>
      <c r="AD1" s="38"/>
    </row>
    <row r="2" spans="1:30">
      <c r="A2" s="9" t="s">
        <v>14</v>
      </c>
      <c r="B2" s="13">
        <v>5.5</v>
      </c>
      <c r="C2" s="13">
        <v>6.5</v>
      </c>
      <c r="D2" s="46">
        <f>B2+C2</f>
        <v>12</v>
      </c>
      <c r="E2" s="44"/>
      <c r="F2" s="13"/>
      <c r="G2" s="13"/>
      <c r="H2" s="13"/>
      <c r="I2" s="13"/>
      <c r="J2" s="13"/>
      <c r="K2" s="13"/>
      <c r="L2" s="13"/>
      <c r="M2" s="13"/>
      <c r="N2" s="13"/>
      <c r="O2" s="13"/>
      <c r="P2" s="39"/>
      <c r="Q2" s="12"/>
      <c r="R2" s="12"/>
      <c r="S2" s="12"/>
      <c r="T2" s="12"/>
      <c r="U2" s="12"/>
      <c r="V2" s="12"/>
      <c r="W2" s="12"/>
      <c r="X2" s="12"/>
      <c r="Y2" s="12"/>
      <c r="Z2" s="13"/>
      <c r="AA2" s="114"/>
      <c r="AD2" s="39"/>
    </row>
    <row r="3" spans="1:30">
      <c r="A3" s="9" t="s">
        <v>15</v>
      </c>
      <c r="B3" s="13">
        <v>7</v>
      </c>
      <c r="C3" s="13">
        <v>8.5</v>
      </c>
      <c r="D3" s="47">
        <f t="shared" ref="D3:D33" si="0">B3+C3</f>
        <v>15.5</v>
      </c>
      <c r="E3" s="44"/>
      <c r="F3" s="12"/>
      <c r="G3" s="12"/>
      <c r="H3" s="12"/>
      <c r="I3" s="12"/>
      <c r="J3" s="12"/>
      <c r="K3" s="79" t="s">
        <v>53</v>
      </c>
      <c r="L3" s="12"/>
      <c r="M3" s="12"/>
      <c r="N3" s="12"/>
      <c r="O3" s="12"/>
      <c r="P3" s="78" t="s">
        <v>13</v>
      </c>
      <c r="Q3" s="40" t="s">
        <v>54</v>
      </c>
      <c r="R3" s="15"/>
      <c r="S3" s="15"/>
      <c r="T3" s="15"/>
      <c r="U3" s="15"/>
      <c r="V3" s="15"/>
      <c r="W3" s="15"/>
      <c r="X3" s="15"/>
      <c r="Y3" s="15"/>
      <c r="Z3" s="24"/>
      <c r="AA3" s="24"/>
      <c r="AD3" s="38"/>
    </row>
    <row r="4" spans="1:30">
      <c r="A4" s="9" t="s">
        <v>16</v>
      </c>
      <c r="B4" s="13">
        <v>9</v>
      </c>
      <c r="C4" s="13">
        <v>8</v>
      </c>
      <c r="D4" s="47">
        <f t="shared" si="0"/>
        <v>17</v>
      </c>
      <c r="E4" s="45">
        <v>6.5</v>
      </c>
      <c r="F4" s="13"/>
      <c r="G4" s="13"/>
      <c r="H4" s="13"/>
      <c r="I4" s="13"/>
      <c r="J4" s="25"/>
      <c r="K4" s="26"/>
      <c r="L4" s="26"/>
      <c r="M4" s="26"/>
      <c r="N4" s="26"/>
      <c r="O4" s="27"/>
      <c r="P4" s="43" t="s">
        <v>14</v>
      </c>
      <c r="Q4" s="29"/>
      <c r="R4" s="29"/>
      <c r="S4" s="29"/>
      <c r="T4" s="29"/>
      <c r="U4" s="29"/>
      <c r="V4" s="12"/>
      <c r="W4" s="12"/>
      <c r="X4" s="12"/>
      <c r="Y4" s="12"/>
      <c r="Z4" s="13"/>
      <c r="AA4" s="115">
        <v>5.5</v>
      </c>
      <c r="AD4" s="39"/>
    </row>
    <row r="5" spans="1:30">
      <c r="A5" s="9" t="s">
        <v>17</v>
      </c>
      <c r="B5" s="13">
        <v>8.5</v>
      </c>
      <c r="C5" s="13">
        <v>9</v>
      </c>
      <c r="D5" s="47">
        <f t="shared" si="0"/>
        <v>17.5</v>
      </c>
      <c r="E5" s="45">
        <v>8.5</v>
      </c>
      <c r="F5" s="13"/>
      <c r="G5" s="13"/>
      <c r="H5" s="28"/>
      <c r="I5" s="28"/>
      <c r="J5" s="28"/>
      <c r="K5" s="28"/>
      <c r="L5" s="28"/>
      <c r="M5" s="28"/>
      <c r="N5" s="28"/>
      <c r="O5" s="28"/>
      <c r="P5" s="41" t="s">
        <v>15</v>
      </c>
      <c r="Q5" s="33"/>
      <c r="R5" s="34"/>
      <c r="S5" s="34"/>
      <c r="T5" s="34"/>
      <c r="U5" s="34"/>
      <c r="V5" s="34"/>
      <c r="W5" s="35"/>
      <c r="X5" s="12"/>
      <c r="Y5" s="12"/>
      <c r="Z5" s="13"/>
      <c r="AA5" s="115">
        <v>7</v>
      </c>
      <c r="AD5" s="39"/>
    </row>
    <row r="6" spans="1:30">
      <c r="A6" s="9" t="s">
        <v>18</v>
      </c>
      <c r="B6" s="13">
        <v>1.5</v>
      </c>
      <c r="C6" s="13">
        <v>3.5</v>
      </c>
      <c r="D6" s="48">
        <f t="shared" si="0"/>
        <v>5</v>
      </c>
      <c r="E6" s="45">
        <v>8</v>
      </c>
      <c r="F6" s="13"/>
      <c r="G6" s="13"/>
      <c r="H6" s="16"/>
      <c r="I6" s="17"/>
      <c r="J6" s="17"/>
      <c r="K6" s="17"/>
      <c r="L6" s="17"/>
      <c r="M6" s="17"/>
      <c r="N6" s="17"/>
      <c r="O6" s="18"/>
      <c r="P6" s="41" t="s">
        <v>16</v>
      </c>
      <c r="Q6" s="30"/>
      <c r="R6" s="31"/>
      <c r="S6" s="31"/>
      <c r="T6" s="31"/>
      <c r="U6" s="31"/>
      <c r="V6" s="31"/>
      <c r="W6" s="31"/>
      <c r="X6" s="31"/>
      <c r="Y6" s="32"/>
      <c r="Z6" s="13"/>
      <c r="AA6" s="115">
        <v>9</v>
      </c>
      <c r="AD6" s="39"/>
    </row>
    <row r="7" spans="1:30">
      <c r="A7" s="9" t="s">
        <v>19</v>
      </c>
      <c r="B7" s="13">
        <v>2.5</v>
      </c>
      <c r="C7" s="13">
        <v>4</v>
      </c>
      <c r="D7" s="48">
        <f t="shared" si="0"/>
        <v>6.5</v>
      </c>
      <c r="E7" s="45">
        <v>9</v>
      </c>
      <c r="F7" s="13"/>
      <c r="G7" s="16"/>
      <c r="H7" s="17"/>
      <c r="I7" s="17"/>
      <c r="J7" s="17"/>
      <c r="K7" s="17"/>
      <c r="L7" s="17"/>
      <c r="M7" s="17"/>
      <c r="N7" s="17"/>
      <c r="O7" s="18"/>
      <c r="P7" s="41" t="s">
        <v>17</v>
      </c>
      <c r="Q7" s="29"/>
      <c r="R7" s="29"/>
      <c r="S7" s="29"/>
      <c r="T7" s="29"/>
      <c r="U7" s="29"/>
      <c r="V7" s="29"/>
      <c r="W7" s="29"/>
      <c r="X7" s="29"/>
      <c r="Y7" s="12"/>
      <c r="Z7" s="13"/>
      <c r="AA7" s="115">
        <v>8.5</v>
      </c>
      <c r="AD7" s="39"/>
    </row>
    <row r="8" spans="1:30">
      <c r="A8" s="9" t="s">
        <v>22</v>
      </c>
      <c r="B8" s="13">
        <v>6.5</v>
      </c>
      <c r="C8" s="13">
        <v>7</v>
      </c>
      <c r="D8" s="49">
        <f t="shared" si="0"/>
        <v>13.5</v>
      </c>
      <c r="E8" s="45">
        <v>3.5</v>
      </c>
      <c r="F8" s="13"/>
      <c r="G8" s="13"/>
      <c r="H8" s="13"/>
      <c r="I8" s="13"/>
      <c r="J8" s="13"/>
      <c r="K8" s="13"/>
      <c r="L8" s="13"/>
      <c r="M8" s="28"/>
      <c r="N8" s="28"/>
      <c r="O8" s="28"/>
      <c r="P8" s="39" t="s">
        <v>18</v>
      </c>
      <c r="Q8" s="29"/>
      <c r="R8" s="12"/>
      <c r="S8" s="12"/>
      <c r="T8" s="12"/>
      <c r="U8" s="12"/>
      <c r="V8" s="12"/>
      <c r="W8" s="12"/>
      <c r="X8" s="12"/>
      <c r="Y8" s="12"/>
      <c r="Z8" s="13"/>
      <c r="AA8" s="115">
        <v>1.5</v>
      </c>
      <c r="AD8" s="39"/>
    </row>
    <row r="9" spans="1:30">
      <c r="A9" s="9" t="s">
        <v>21</v>
      </c>
      <c r="B9" s="13">
        <v>3.3</v>
      </c>
      <c r="C9" s="13">
        <v>4</v>
      </c>
      <c r="D9" s="48">
        <f t="shared" si="0"/>
        <v>7.3</v>
      </c>
      <c r="E9" s="45">
        <v>4</v>
      </c>
      <c r="F9" s="13"/>
      <c r="G9" s="13"/>
      <c r="H9" s="13"/>
      <c r="I9" s="13"/>
      <c r="J9" s="13"/>
      <c r="K9" s="13"/>
      <c r="L9" s="16"/>
      <c r="M9" s="17"/>
      <c r="N9" s="17"/>
      <c r="O9" s="18"/>
      <c r="P9" s="39" t="s">
        <v>19</v>
      </c>
      <c r="Q9" s="29"/>
      <c r="R9" s="29"/>
      <c r="S9" s="12"/>
      <c r="T9" s="12"/>
      <c r="U9" s="12"/>
      <c r="V9" s="12"/>
      <c r="W9" s="12"/>
      <c r="X9" s="12"/>
      <c r="Y9" s="12"/>
      <c r="Z9" s="13"/>
      <c r="AA9" s="115">
        <v>2.5</v>
      </c>
      <c r="AD9" s="39"/>
    </row>
    <row r="10" spans="1:30">
      <c r="A10" s="9" t="s">
        <v>23</v>
      </c>
      <c r="B10" s="13">
        <v>4</v>
      </c>
      <c r="C10" s="13">
        <v>7</v>
      </c>
      <c r="D10" s="46">
        <f t="shared" si="0"/>
        <v>11</v>
      </c>
      <c r="E10" s="45">
        <v>7</v>
      </c>
      <c r="F10" s="13"/>
      <c r="G10" s="13"/>
      <c r="H10" s="13"/>
      <c r="I10" s="16"/>
      <c r="J10" s="17"/>
      <c r="K10" s="17"/>
      <c r="L10" s="17"/>
      <c r="M10" s="17"/>
      <c r="N10" s="17"/>
      <c r="O10" s="18"/>
      <c r="P10" s="42" t="s">
        <v>22</v>
      </c>
      <c r="Q10" s="29"/>
      <c r="R10" s="29"/>
      <c r="S10" s="29"/>
      <c r="T10" s="29"/>
      <c r="U10" s="29"/>
      <c r="V10" s="29"/>
      <c r="W10" s="12"/>
      <c r="X10" s="12"/>
      <c r="Y10" s="12"/>
      <c r="Z10" s="13"/>
      <c r="AA10" s="115">
        <v>6.5</v>
      </c>
      <c r="AD10" s="39"/>
    </row>
    <row r="11" spans="1:30">
      <c r="A11" s="9" t="s">
        <v>24</v>
      </c>
      <c r="B11" s="13">
        <v>4</v>
      </c>
      <c r="C11" s="13">
        <v>7.5</v>
      </c>
      <c r="D11" s="46">
        <f t="shared" si="0"/>
        <v>11.5</v>
      </c>
      <c r="E11" s="45">
        <v>4</v>
      </c>
      <c r="F11" s="13"/>
      <c r="G11" s="13"/>
      <c r="H11" s="13"/>
      <c r="I11" s="13"/>
      <c r="J11" s="13"/>
      <c r="K11" s="13"/>
      <c r="L11" s="16"/>
      <c r="M11" s="17"/>
      <c r="N11" s="17"/>
      <c r="O11" s="18"/>
      <c r="P11" s="39" t="s">
        <v>21</v>
      </c>
      <c r="Q11" s="29"/>
      <c r="R11" s="29"/>
      <c r="S11" s="29"/>
      <c r="T11" s="12"/>
      <c r="U11" s="12"/>
      <c r="V11" s="12"/>
      <c r="W11" s="12"/>
      <c r="X11" s="12"/>
      <c r="Y11" s="12"/>
      <c r="Z11" s="13"/>
      <c r="AA11" s="115">
        <v>3.3</v>
      </c>
      <c r="AD11" s="39"/>
    </row>
    <row r="12" spans="1:30">
      <c r="A12" s="9" t="s">
        <v>26</v>
      </c>
      <c r="B12" s="13">
        <v>5</v>
      </c>
      <c r="C12" s="13">
        <v>4</v>
      </c>
      <c r="D12" s="48">
        <f t="shared" si="0"/>
        <v>9</v>
      </c>
      <c r="E12" s="45">
        <v>7</v>
      </c>
      <c r="F12" s="13"/>
      <c r="G12" s="13"/>
      <c r="H12" s="13"/>
      <c r="I12" s="16"/>
      <c r="J12" s="17"/>
      <c r="K12" s="17"/>
      <c r="L12" s="17"/>
      <c r="M12" s="17"/>
      <c r="N12" s="17"/>
      <c r="O12" s="18"/>
      <c r="P12" s="43" t="s">
        <v>23</v>
      </c>
      <c r="Q12" s="30"/>
      <c r="R12" s="31"/>
      <c r="S12" s="31"/>
      <c r="T12" s="32"/>
      <c r="U12" s="12"/>
      <c r="V12" s="12"/>
      <c r="W12" s="12"/>
      <c r="X12" s="12"/>
      <c r="Y12" s="12"/>
      <c r="Z12" s="13"/>
      <c r="AA12" s="115">
        <v>4</v>
      </c>
      <c r="AD12" s="39"/>
    </row>
    <row r="13" spans="1:30">
      <c r="A13" s="9" t="s">
        <v>27</v>
      </c>
      <c r="B13" s="13">
        <v>4</v>
      </c>
      <c r="C13" s="13">
        <v>4</v>
      </c>
      <c r="D13" s="48">
        <f t="shared" si="0"/>
        <v>8</v>
      </c>
      <c r="E13" s="45">
        <v>7.5</v>
      </c>
      <c r="F13" s="13"/>
      <c r="G13" s="13"/>
      <c r="H13" s="13"/>
      <c r="I13" s="28"/>
      <c r="J13" s="28"/>
      <c r="K13" s="28"/>
      <c r="L13" s="28"/>
      <c r="M13" s="28"/>
      <c r="N13" s="28"/>
      <c r="O13" s="28"/>
      <c r="P13" s="43" t="s">
        <v>24</v>
      </c>
      <c r="Q13" s="36"/>
      <c r="R13" s="12"/>
      <c r="S13" s="12"/>
      <c r="T13" s="37"/>
      <c r="U13" s="12"/>
      <c r="V13" s="12"/>
      <c r="W13" s="12"/>
      <c r="X13" s="12"/>
      <c r="Y13" s="12"/>
      <c r="Z13" s="13"/>
      <c r="AA13" s="115">
        <v>4</v>
      </c>
      <c r="AD13" s="39"/>
    </row>
    <row r="14" spans="1:30">
      <c r="A14" s="9" t="s">
        <v>28</v>
      </c>
      <c r="B14" s="13">
        <v>5</v>
      </c>
      <c r="C14" s="13">
        <v>7</v>
      </c>
      <c r="D14" s="46">
        <f t="shared" si="0"/>
        <v>12</v>
      </c>
      <c r="E14" s="45">
        <v>4</v>
      </c>
      <c r="F14" s="13"/>
      <c r="G14" s="13"/>
      <c r="H14" s="13"/>
      <c r="I14" s="13"/>
      <c r="J14" s="13"/>
      <c r="K14" s="13"/>
      <c r="L14" s="16"/>
      <c r="M14" s="17"/>
      <c r="N14" s="17"/>
      <c r="O14" s="18"/>
      <c r="P14" s="39" t="s">
        <v>26</v>
      </c>
      <c r="Q14" s="30"/>
      <c r="R14" s="31"/>
      <c r="S14" s="31"/>
      <c r="T14" s="31"/>
      <c r="U14" s="32"/>
      <c r="V14" s="12"/>
      <c r="W14" s="12"/>
      <c r="X14" s="12"/>
      <c r="Y14" s="12"/>
      <c r="Z14" s="13"/>
      <c r="AA14" s="115">
        <v>5</v>
      </c>
      <c r="AD14" s="39"/>
    </row>
    <row r="15" spans="1:30">
      <c r="A15" s="9" t="s">
        <v>29</v>
      </c>
      <c r="B15" s="13">
        <v>5</v>
      </c>
      <c r="C15" s="13">
        <v>9</v>
      </c>
      <c r="D15" s="49">
        <f t="shared" si="0"/>
        <v>14</v>
      </c>
      <c r="E15" s="45">
        <v>4</v>
      </c>
      <c r="F15" s="13"/>
      <c r="G15" s="13"/>
      <c r="H15" s="13"/>
      <c r="I15" s="13"/>
      <c r="J15" s="13"/>
      <c r="K15" s="13"/>
      <c r="L15" s="19"/>
      <c r="M15" s="20"/>
      <c r="N15" s="20"/>
      <c r="O15" s="21"/>
      <c r="P15" s="39" t="s">
        <v>27</v>
      </c>
      <c r="Q15" s="33"/>
      <c r="R15" s="34"/>
      <c r="S15" s="34"/>
      <c r="T15" s="35"/>
      <c r="U15" s="12"/>
      <c r="V15" s="12"/>
      <c r="W15" s="12"/>
      <c r="X15" s="12"/>
      <c r="Y15" s="12"/>
      <c r="Z15" s="13"/>
      <c r="AA15" s="115">
        <v>4</v>
      </c>
      <c r="AD15" s="39"/>
    </row>
    <row r="16" spans="1:30">
      <c r="A16" s="9" t="s">
        <v>30</v>
      </c>
      <c r="B16" s="13">
        <v>4</v>
      </c>
      <c r="C16" s="13">
        <v>4</v>
      </c>
      <c r="D16" s="48">
        <f t="shared" si="0"/>
        <v>8</v>
      </c>
      <c r="E16" s="45">
        <v>7</v>
      </c>
      <c r="F16" s="13"/>
      <c r="G16" s="13"/>
      <c r="H16" s="13"/>
      <c r="I16" s="16"/>
      <c r="J16" s="17"/>
      <c r="K16" s="17"/>
      <c r="L16" s="17"/>
      <c r="M16" s="17"/>
      <c r="N16" s="17"/>
      <c r="O16" s="18"/>
      <c r="P16" s="43" t="s">
        <v>28</v>
      </c>
      <c r="Q16" s="30"/>
      <c r="R16" s="31"/>
      <c r="S16" s="31"/>
      <c r="T16" s="31"/>
      <c r="U16" s="32"/>
      <c r="V16" s="12"/>
      <c r="W16" s="12"/>
      <c r="X16" s="12"/>
      <c r="Y16" s="12"/>
      <c r="Z16" s="13"/>
      <c r="AA16" s="115">
        <v>5</v>
      </c>
      <c r="AD16" s="39"/>
    </row>
    <row r="17" spans="1:30">
      <c r="A17" s="9" t="s">
        <v>31</v>
      </c>
      <c r="B17" s="13">
        <v>2.5</v>
      </c>
      <c r="C17" s="13">
        <v>5.5</v>
      </c>
      <c r="D17" s="48">
        <f t="shared" si="0"/>
        <v>8</v>
      </c>
      <c r="E17" s="45">
        <v>9</v>
      </c>
      <c r="F17" s="13"/>
      <c r="G17" s="16"/>
      <c r="H17" s="17"/>
      <c r="I17" s="17"/>
      <c r="J17" s="17"/>
      <c r="K17" s="17"/>
      <c r="L17" s="17"/>
      <c r="M17" s="17"/>
      <c r="N17" s="17"/>
      <c r="O17" s="18"/>
      <c r="P17" s="42" t="s">
        <v>29</v>
      </c>
      <c r="Q17" s="30"/>
      <c r="R17" s="31"/>
      <c r="S17" s="31"/>
      <c r="T17" s="31"/>
      <c r="U17" s="32"/>
      <c r="V17" s="12"/>
      <c r="W17" s="12"/>
      <c r="X17" s="12"/>
      <c r="Y17" s="12"/>
      <c r="Z17" s="13"/>
      <c r="AA17" s="115">
        <v>5</v>
      </c>
      <c r="AD17" s="39"/>
    </row>
    <row r="18" spans="1:30">
      <c r="A18" s="9" t="s">
        <v>32</v>
      </c>
      <c r="B18" s="13">
        <v>6.8</v>
      </c>
      <c r="C18" s="13">
        <v>5</v>
      </c>
      <c r="D18" s="46">
        <f t="shared" si="0"/>
        <v>11.8</v>
      </c>
      <c r="E18" s="45">
        <v>4</v>
      </c>
      <c r="F18" s="13"/>
      <c r="G18" s="13"/>
      <c r="H18" s="13"/>
      <c r="I18" s="13"/>
      <c r="J18" s="13"/>
      <c r="K18" s="13"/>
      <c r="L18" s="19"/>
      <c r="M18" s="20"/>
      <c r="N18" s="20"/>
      <c r="O18" s="21"/>
      <c r="P18" s="39" t="s">
        <v>30</v>
      </c>
      <c r="Q18" s="30"/>
      <c r="R18" s="31"/>
      <c r="S18" s="31"/>
      <c r="T18" s="32"/>
      <c r="U18" s="12"/>
      <c r="V18" s="12"/>
      <c r="W18" s="12"/>
      <c r="X18" s="12"/>
      <c r="Y18" s="12"/>
      <c r="Z18" s="13"/>
      <c r="AA18" s="115">
        <v>4</v>
      </c>
      <c r="AD18" s="39"/>
    </row>
    <row r="19" spans="1:30">
      <c r="A19" s="9" t="s">
        <v>33</v>
      </c>
      <c r="B19" s="13">
        <v>7.2</v>
      </c>
      <c r="C19" s="13">
        <v>9</v>
      </c>
      <c r="D19" s="47">
        <f t="shared" si="0"/>
        <v>16.2</v>
      </c>
      <c r="E19" s="45">
        <v>5.5</v>
      </c>
      <c r="F19" s="13"/>
      <c r="G19" s="13"/>
      <c r="H19" s="13"/>
      <c r="I19" s="13"/>
      <c r="J19" s="13"/>
      <c r="K19" s="28"/>
      <c r="L19" s="28"/>
      <c r="M19" s="28"/>
      <c r="N19" s="28"/>
      <c r="O19" s="28"/>
      <c r="P19" s="39" t="s">
        <v>31</v>
      </c>
      <c r="Q19" s="29"/>
      <c r="R19" s="29"/>
      <c r="S19" s="12"/>
      <c r="T19" s="12"/>
      <c r="U19" s="12"/>
      <c r="V19" s="12"/>
      <c r="W19" s="12"/>
      <c r="X19" s="12"/>
      <c r="Y19" s="12"/>
      <c r="Z19" s="13"/>
      <c r="AA19" s="115">
        <v>2.5</v>
      </c>
      <c r="AD19" s="39"/>
    </row>
    <row r="20" spans="1:30">
      <c r="A20" s="9" t="s">
        <v>34</v>
      </c>
      <c r="B20" s="13">
        <v>6.5</v>
      </c>
      <c r="C20" s="13">
        <v>9</v>
      </c>
      <c r="D20" s="47">
        <f t="shared" si="0"/>
        <v>15.5</v>
      </c>
      <c r="E20" s="45">
        <v>5</v>
      </c>
      <c r="F20" s="13"/>
      <c r="G20" s="13"/>
      <c r="H20" s="13"/>
      <c r="I20" s="13"/>
      <c r="J20" s="13"/>
      <c r="K20" s="16"/>
      <c r="L20" s="17"/>
      <c r="M20" s="17"/>
      <c r="N20" s="17"/>
      <c r="O20" s="18"/>
      <c r="P20" s="43" t="s">
        <v>32</v>
      </c>
      <c r="Q20" s="29"/>
      <c r="R20" s="29"/>
      <c r="S20" s="29"/>
      <c r="T20" s="29"/>
      <c r="U20" s="29"/>
      <c r="V20" s="29"/>
      <c r="W20" s="29"/>
      <c r="X20" s="12"/>
      <c r="Y20" s="12"/>
      <c r="Z20" s="13"/>
      <c r="AA20" s="115">
        <v>6.8</v>
      </c>
      <c r="AD20" s="39"/>
    </row>
    <row r="21" spans="1:30">
      <c r="A21" s="9" t="s">
        <v>35</v>
      </c>
      <c r="B21" s="13">
        <v>3.8</v>
      </c>
      <c r="C21" s="13">
        <v>8</v>
      </c>
      <c r="D21" s="46">
        <f t="shared" si="0"/>
        <v>11.8</v>
      </c>
      <c r="E21" s="45">
        <v>9</v>
      </c>
      <c r="F21" s="13"/>
      <c r="G21" s="16"/>
      <c r="H21" s="17"/>
      <c r="I21" s="17"/>
      <c r="J21" s="17"/>
      <c r="K21" s="17"/>
      <c r="L21" s="17"/>
      <c r="M21" s="17"/>
      <c r="N21" s="17"/>
      <c r="O21" s="18"/>
      <c r="P21" s="41" t="s">
        <v>33</v>
      </c>
      <c r="Q21" s="29"/>
      <c r="R21" s="29"/>
      <c r="S21" s="29"/>
      <c r="T21" s="29"/>
      <c r="U21" s="29"/>
      <c r="V21" s="29"/>
      <c r="W21" s="29"/>
      <c r="X21" s="29"/>
      <c r="Y21" s="12"/>
      <c r="Z21" s="13"/>
      <c r="AA21" s="115">
        <v>7.2</v>
      </c>
      <c r="AD21" s="39"/>
    </row>
    <row r="22" spans="1:30">
      <c r="A22" s="9" t="s">
        <v>36</v>
      </c>
      <c r="B22" s="13">
        <v>7.6</v>
      </c>
      <c r="C22" s="13">
        <v>9</v>
      </c>
      <c r="D22" s="47">
        <f t="shared" si="0"/>
        <v>16.600000000000001</v>
      </c>
      <c r="E22" s="45">
        <v>9</v>
      </c>
      <c r="F22" s="13"/>
      <c r="G22" s="16"/>
      <c r="H22" s="17"/>
      <c r="I22" s="17"/>
      <c r="J22" s="17"/>
      <c r="K22" s="17"/>
      <c r="L22" s="17"/>
      <c r="M22" s="17"/>
      <c r="N22" s="17"/>
      <c r="O22" s="18"/>
      <c r="P22" s="41" t="s">
        <v>34</v>
      </c>
      <c r="Q22" s="29"/>
      <c r="R22" s="29"/>
      <c r="S22" s="29"/>
      <c r="T22" s="29"/>
      <c r="U22" s="29"/>
      <c r="V22" s="29"/>
      <c r="W22" s="29"/>
      <c r="X22" s="12"/>
      <c r="Y22" s="12"/>
      <c r="Z22" s="13"/>
      <c r="AA22" s="115">
        <v>6.5</v>
      </c>
      <c r="AD22" s="39"/>
    </row>
    <row r="23" spans="1:30">
      <c r="A23" s="9" t="s">
        <v>37</v>
      </c>
      <c r="B23" s="13">
        <v>4.5</v>
      </c>
      <c r="C23" s="13">
        <v>5.5</v>
      </c>
      <c r="D23" s="46">
        <f t="shared" si="0"/>
        <v>10</v>
      </c>
      <c r="E23" s="45">
        <v>8</v>
      </c>
      <c r="F23" s="13"/>
      <c r="G23" s="13"/>
      <c r="H23" s="19"/>
      <c r="I23" s="20"/>
      <c r="J23" s="20"/>
      <c r="K23" s="20"/>
      <c r="L23" s="20"/>
      <c r="M23" s="20"/>
      <c r="N23" s="20"/>
      <c r="O23" s="21"/>
      <c r="P23" s="43" t="s">
        <v>35</v>
      </c>
      <c r="Q23" s="29"/>
      <c r="R23" s="29"/>
      <c r="S23" s="29"/>
      <c r="T23" s="12"/>
      <c r="U23" s="12"/>
      <c r="V23" s="12"/>
      <c r="W23" s="12"/>
      <c r="X23" s="12"/>
      <c r="Y23" s="12"/>
      <c r="Z23" s="13"/>
      <c r="AA23" s="115">
        <v>3.8</v>
      </c>
      <c r="AD23" s="39"/>
    </row>
    <row r="24" spans="1:30">
      <c r="A24" s="9" t="s">
        <v>20</v>
      </c>
      <c r="B24" s="13">
        <v>2.8</v>
      </c>
      <c r="C24" s="13">
        <v>6</v>
      </c>
      <c r="D24" s="48">
        <f t="shared" si="0"/>
        <v>8.8000000000000007</v>
      </c>
      <c r="E24" s="45">
        <v>9</v>
      </c>
      <c r="F24" s="13"/>
      <c r="G24" s="16"/>
      <c r="H24" s="17"/>
      <c r="I24" s="17"/>
      <c r="J24" s="17"/>
      <c r="K24" s="17"/>
      <c r="L24" s="17"/>
      <c r="M24" s="17"/>
      <c r="N24" s="17"/>
      <c r="O24" s="18"/>
      <c r="P24" s="41" t="s">
        <v>36</v>
      </c>
      <c r="Q24" s="29"/>
      <c r="R24" s="29"/>
      <c r="S24" s="29"/>
      <c r="T24" s="29"/>
      <c r="U24" s="29"/>
      <c r="V24" s="29"/>
      <c r="W24" s="29"/>
      <c r="X24" s="12"/>
      <c r="Y24" s="12"/>
      <c r="Z24" s="13"/>
      <c r="AA24" s="115">
        <v>7.6</v>
      </c>
      <c r="AD24" s="39"/>
    </row>
    <row r="25" spans="1:30">
      <c r="A25" s="9" t="s">
        <v>38</v>
      </c>
      <c r="B25" s="13">
        <v>3.8</v>
      </c>
      <c r="C25" s="13">
        <v>7.5</v>
      </c>
      <c r="D25" s="46">
        <f t="shared" si="0"/>
        <v>11.3</v>
      </c>
      <c r="E25" s="45">
        <v>5.5</v>
      </c>
      <c r="F25" s="13"/>
      <c r="G25" s="13"/>
      <c r="H25" s="13"/>
      <c r="I25" s="13"/>
      <c r="J25" s="13"/>
      <c r="K25" s="28"/>
      <c r="L25" s="28"/>
      <c r="M25" s="28"/>
      <c r="N25" s="28"/>
      <c r="O25" s="28"/>
      <c r="P25" s="43" t="s">
        <v>37</v>
      </c>
      <c r="Q25" s="29"/>
      <c r="R25" s="29"/>
      <c r="S25" s="29"/>
      <c r="T25" s="29"/>
      <c r="U25" s="12"/>
      <c r="V25" s="12"/>
      <c r="W25" s="12"/>
      <c r="X25" s="12"/>
      <c r="Y25" s="12"/>
      <c r="Z25" s="13"/>
      <c r="AA25" s="115">
        <v>4.5</v>
      </c>
      <c r="AD25" s="39"/>
    </row>
    <row r="26" spans="1:30">
      <c r="A26" s="9" t="s">
        <v>39</v>
      </c>
      <c r="B26" s="13">
        <v>6.1</v>
      </c>
      <c r="C26" s="13">
        <v>4.5</v>
      </c>
      <c r="D26" s="46">
        <f t="shared" si="0"/>
        <v>10.6</v>
      </c>
      <c r="E26" s="45">
        <v>6</v>
      </c>
      <c r="F26" s="13"/>
      <c r="G26" s="13"/>
      <c r="H26" s="13"/>
      <c r="I26" s="13"/>
      <c r="J26" s="16"/>
      <c r="K26" s="17"/>
      <c r="L26" s="17"/>
      <c r="M26" s="17"/>
      <c r="N26" s="17"/>
      <c r="O26" s="18"/>
      <c r="P26" s="39" t="s">
        <v>20</v>
      </c>
      <c r="Q26" s="29"/>
      <c r="R26" s="29"/>
      <c r="S26" s="12"/>
      <c r="T26" s="12"/>
      <c r="U26" s="12"/>
      <c r="V26" s="12"/>
      <c r="W26" s="12"/>
      <c r="X26" s="12"/>
      <c r="Y26" s="12"/>
      <c r="Z26" s="13"/>
      <c r="AA26" s="115">
        <v>2.8</v>
      </c>
      <c r="AD26" s="39"/>
    </row>
    <row r="27" spans="1:30">
      <c r="A27" s="9" t="s">
        <v>40</v>
      </c>
      <c r="B27" s="13">
        <v>5.4</v>
      </c>
      <c r="C27" s="13">
        <v>8.5</v>
      </c>
      <c r="D27" s="49">
        <f t="shared" si="0"/>
        <v>13.9</v>
      </c>
      <c r="E27" s="45">
        <v>7.5</v>
      </c>
      <c r="F27" s="13"/>
      <c r="G27" s="13"/>
      <c r="H27" s="13"/>
      <c r="I27" s="28"/>
      <c r="J27" s="28"/>
      <c r="K27" s="28"/>
      <c r="L27" s="28"/>
      <c r="M27" s="28"/>
      <c r="N27" s="28"/>
      <c r="O27" s="28"/>
      <c r="P27" s="43" t="s">
        <v>38</v>
      </c>
      <c r="Q27" s="29"/>
      <c r="R27" s="29"/>
      <c r="S27" s="29"/>
      <c r="T27" s="12"/>
      <c r="U27" s="12"/>
      <c r="V27" s="12"/>
      <c r="W27" s="12"/>
      <c r="X27" s="12"/>
      <c r="Y27" s="12"/>
      <c r="Z27" s="13"/>
      <c r="AA27" s="115">
        <v>3.8</v>
      </c>
      <c r="AD27" s="39"/>
    </row>
    <row r="28" spans="1:30">
      <c r="A28" s="9" t="s">
        <v>41</v>
      </c>
      <c r="B28" s="13">
        <v>5.5</v>
      </c>
      <c r="C28" s="13">
        <v>5.5</v>
      </c>
      <c r="D28" s="46">
        <f t="shared" si="0"/>
        <v>11</v>
      </c>
      <c r="E28" s="45">
        <v>4.5</v>
      </c>
      <c r="F28" s="13"/>
      <c r="G28" s="13"/>
      <c r="H28" s="13"/>
      <c r="I28" s="13"/>
      <c r="J28" s="13"/>
      <c r="K28" s="13"/>
      <c r="L28" s="28"/>
      <c r="M28" s="28"/>
      <c r="N28" s="28"/>
      <c r="O28" s="28"/>
      <c r="P28" s="43" t="s">
        <v>39</v>
      </c>
      <c r="Q28" s="29"/>
      <c r="R28" s="29"/>
      <c r="S28" s="29"/>
      <c r="T28" s="29"/>
      <c r="U28" s="29"/>
      <c r="V28" s="29"/>
      <c r="W28" s="12"/>
      <c r="X28" s="12"/>
      <c r="Y28" s="12"/>
      <c r="Z28" s="13"/>
      <c r="AA28" s="115">
        <v>6.1</v>
      </c>
      <c r="AD28" s="39"/>
    </row>
    <row r="29" spans="1:30">
      <c r="A29" s="9" t="s">
        <v>42</v>
      </c>
      <c r="B29" s="13">
        <v>5.5</v>
      </c>
      <c r="C29" s="13">
        <v>7.5</v>
      </c>
      <c r="D29" s="49">
        <f t="shared" si="0"/>
        <v>13</v>
      </c>
      <c r="E29" s="45">
        <v>8.5</v>
      </c>
      <c r="F29" s="13"/>
      <c r="G29" s="13"/>
      <c r="H29" s="28"/>
      <c r="I29" s="28"/>
      <c r="J29" s="28"/>
      <c r="K29" s="28"/>
      <c r="L29" s="28"/>
      <c r="M29" s="28"/>
      <c r="N29" s="28"/>
      <c r="O29" s="28"/>
      <c r="P29" s="42" t="s">
        <v>40</v>
      </c>
      <c r="Q29" s="29"/>
      <c r="R29" s="29"/>
      <c r="S29" s="29"/>
      <c r="T29" s="29"/>
      <c r="U29" s="29"/>
      <c r="V29" s="12"/>
      <c r="W29" s="12"/>
      <c r="X29" s="12"/>
      <c r="Y29" s="12"/>
      <c r="Z29" s="13"/>
      <c r="AA29" s="115">
        <v>5.4</v>
      </c>
      <c r="AD29" s="39"/>
    </row>
    <row r="30" spans="1:30">
      <c r="A30" s="9" t="s">
        <v>43</v>
      </c>
      <c r="B30" s="13">
        <v>4.5</v>
      </c>
      <c r="C30" s="13">
        <v>5.5</v>
      </c>
      <c r="D30" s="46">
        <f t="shared" si="0"/>
        <v>10</v>
      </c>
      <c r="E30" s="45">
        <v>5.5</v>
      </c>
      <c r="F30" s="13"/>
      <c r="G30" s="13"/>
      <c r="H30" s="13"/>
      <c r="I30" s="13"/>
      <c r="J30" s="13"/>
      <c r="K30" s="28"/>
      <c r="L30" s="28"/>
      <c r="M30" s="28"/>
      <c r="N30" s="28"/>
      <c r="O30" s="28"/>
      <c r="P30" s="43" t="s">
        <v>41</v>
      </c>
      <c r="Q30" s="29"/>
      <c r="R30" s="29"/>
      <c r="S30" s="29"/>
      <c r="T30" s="29"/>
      <c r="U30" s="29"/>
      <c r="V30" s="12"/>
      <c r="W30" s="12"/>
      <c r="X30" s="12"/>
      <c r="Y30" s="12"/>
      <c r="Z30" s="13"/>
      <c r="AA30" s="115">
        <v>5.5</v>
      </c>
      <c r="AD30" s="39"/>
    </row>
    <row r="31" spans="1:30">
      <c r="A31" s="9" t="s">
        <v>25</v>
      </c>
      <c r="B31" s="13">
        <v>5.5</v>
      </c>
      <c r="C31" s="13">
        <v>7</v>
      </c>
      <c r="D31" s="49">
        <f t="shared" si="0"/>
        <v>12.5</v>
      </c>
      <c r="E31" s="45">
        <v>7.5</v>
      </c>
      <c r="F31" s="13"/>
      <c r="G31" s="13"/>
      <c r="H31" s="13"/>
      <c r="I31" s="28"/>
      <c r="J31" s="28"/>
      <c r="K31" s="28"/>
      <c r="L31" s="28"/>
      <c r="M31" s="28"/>
      <c r="N31" s="28"/>
      <c r="O31" s="28"/>
      <c r="P31" s="42" t="s">
        <v>42</v>
      </c>
      <c r="Q31" s="29"/>
      <c r="R31" s="29"/>
      <c r="S31" s="29"/>
      <c r="T31" s="29"/>
      <c r="U31" s="29"/>
      <c r="V31" s="12"/>
      <c r="W31" s="12"/>
      <c r="X31" s="12"/>
      <c r="Y31" s="12"/>
      <c r="Z31" s="13"/>
      <c r="AA31" s="115">
        <v>5.5</v>
      </c>
      <c r="AD31" s="39"/>
    </row>
    <row r="32" spans="1:30">
      <c r="A32" s="9" t="s">
        <v>44</v>
      </c>
      <c r="B32" s="13">
        <v>4</v>
      </c>
      <c r="C32" s="13">
        <v>8.5</v>
      </c>
      <c r="D32" s="49">
        <f t="shared" si="0"/>
        <v>12.5</v>
      </c>
      <c r="E32" s="45">
        <v>5.5</v>
      </c>
      <c r="F32" s="23"/>
      <c r="G32" s="13"/>
      <c r="H32" s="13"/>
      <c r="I32" s="13"/>
      <c r="J32" s="13"/>
      <c r="K32" s="28"/>
      <c r="L32" s="28"/>
      <c r="M32" s="28"/>
      <c r="N32" s="28"/>
      <c r="O32" s="28"/>
      <c r="P32" s="43" t="s">
        <v>43</v>
      </c>
      <c r="Q32" s="29"/>
      <c r="R32" s="29"/>
      <c r="S32" s="29"/>
      <c r="T32" s="29"/>
      <c r="U32" s="12"/>
      <c r="V32" s="12"/>
      <c r="W32" s="12"/>
      <c r="X32" s="12"/>
      <c r="Y32" s="12"/>
      <c r="Z32" s="13"/>
      <c r="AA32" s="115">
        <v>4.5</v>
      </c>
      <c r="AD32" s="39"/>
    </row>
    <row r="33" spans="1:30">
      <c r="A33" s="9" t="s">
        <v>45</v>
      </c>
      <c r="B33" s="13">
        <v>4.5</v>
      </c>
      <c r="C33" s="13">
        <v>4</v>
      </c>
      <c r="D33" s="48">
        <f t="shared" si="0"/>
        <v>8.5</v>
      </c>
      <c r="E33" s="45">
        <v>7</v>
      </c>
      <c r="F33" s="13"/>
      <c r="G33" s="13"/>
      <c r="H33" s="13"/>
      <c r="I33" s="16"/>
      <c r="J33" s="17"/>
      <c r="K33" s="17"/>
      <c r="L33" s="17"/>
      <c r="M33" s="17"/>
      <c r="N33" s="17"/>
      <c r="O33" s="18"/>
      <c r="P33" s="42" t="s">
        <v>25</v>
      </c>
      <c r="Q33" s="29"/>
      <c r="R33" s="29"/>
      <c r="S33" s="29"/>
      <c r="T33" s="29"/>
      <c r="U33" s="29"/>
      <c r="V33" s="12"/>
      <c r="W33" s="12"/>
      <c r="X33" s="12"/>
      <c r="Y33" s="12"/>
      <c r="Z33" s="13"/>
      <c r="AA33" s="115">
        <v>5.5</v>
      </c>
      <c r="AD33" s="39"/>
    </row>
    <row r="34" spans="1:30">
      <c r="A34" s="80" t="s">
        <v>49</v>
      </c>
      <c r="B34" s="81"/>
      <c r="C34" s="81"/>
      <c r="D34" s="82"/>
      <c r="E34" s="45">
        <v>8.5</v>
      </c>
      <c r="F34" s="13"/>
      <c r="G34" s="13"/>
      <c r="H34" s="28"/>
      <c r="I34" s="28"/>
      <c r="J34" s="28"/>
      <c r="K34" s="28"/>
      <c r="L34" s="28"/>
      <c r="M34" s="28"/>
      <c r="N34" s="28"/>
      <c r="O34" s="28"/>
      <c r="P34" s="42" t="s">
        <v>44</v>
      </c>
      <c r="Q34" s="30"/>
      <c r="R34" s="31"/>
      <c r="S34" s="31"/>
      <c r="T34" s="32"/>
      <c r="U34" s="12"/>
      <c r="V34" s="12"/>
      <c r="W34" s="12"/>
      <c r="X34" s="12"/>
      <c r="Y34" s="12"/>
      <c r="Z34" s="13"/>
      <c r="AA34" s="115">
        <v>4</v>
      </c>
      <c r="AD34" s="39"/>
    </row>
    <row r="35" spans="1:30">
      <c r="A35" s="10" t="s">
        <v>50</v>
      </c>
      <c r="B35" s="11">
        <v>161.29999999999998</v>
      </c>
      <c r="C35" s="11">
        <v>208.5</v>
      </c>
      <c r="D35" s="48"/>
      <c r="E35" s="45">
        <v>4</v>
      </c>
      <c r="F35" s="13"/>
      <c r="G35" s="13"/>
      <c r="H35" s="13"/>
      <c r="I35" s="13"/>
      <c r="J35" s="13"/>
      <c r="K35" s="13"/>
      <c r="L35" s="16"/>
      <c r="M35" s="17"/>
      <c r="N35" s="17"/>
      <c r="O35" s="18"/>
      <c r="P35" s="39" t="s">
        <v>45</v>
      </c>
      <c r="Q35" s="29"/>
      <c r="R35" s="29"/>
      <c r="S35" s="29"/>
      <c r="T35" s="29"/>
      <c r="U35" s="12"/>
      <c r="V35" s="12"/>
      <c r="W35" s="12"/>
      <c r="X35" s="12"/>
      <c r="Y35" s="12"/>
      <c r="Z35" s="13"/>
      <c r="AA35" s="115">
        <v>4.5</v>
      </c>
      <c r="AD35" s="39"/>
    </row>
    <row r="37" spans="1:30">
      <c r="J37" s="74"/>
      <c r="L37" s="58" t="s">
        <v>98</v>
      </c>
      <c r="Q37" s="56"/>
      <c r="S37" s="58" t="s">
        <v>55</v>
      </c>
    </row>
    <row r="38" spans="1:30">
      <c r="J38" s="75"/>
      <c r="L38" s="64" t="s">
        <v>99</v>
      </c>
      <c r="Q38" s="57"/>
      <c r="S38" s="58" t="s">
        <v>97</v>
      </c>
    </row>
    <row r="39" spans="1:30">
      <c r="J39" s="76"/>
      <c r="L39" s="64" t="s">
        <v>100</v>
      </c>
    </row>
    <row r="40" spans="1:30">
      <c r="J40" s="77"/>
      <c r="L40" s="64" t="s">
        <v>101</v>
      </c>
    </row>
  </sheetData>
  <pageMargins left="0.7" right="0.7" top="0.75" bottom="0.75" header="0.3" footer="0.3"/>
  <pageSetup orientation="portrait" horizontalDpi="0" verticalDpi="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26395-FF64-B241-A0B2-41CF0E6E5A8E}">
  <dimension ref="A1:AB34"/>
  <sheetViews>
    <sheetView showGridLines="0" workbookViewId="0">
      <selection activeCell="A11" sqref="A11"/>
    </sheetView>
  </sheetViews>
  <sheetFormatPr baseColWidth="10" defaultRowHeight="16"/>
  <cols>
    <col min="1" max="1" width="35.83203125" style="54" customWidth="1"/>
    <col min="2" max="4" width="30.83203125" customWidth="1"/>
    <col min="5" max="5" width="32.83203125" bestFit="1" customWidth="1"/>
    <col min="6" max="6" width="30.83203125" style="2" customWidth="1"/>
    <col min="7" max="10" width="30.83203125" customWidth="1"/>
    <col min="11" max="11" width="35.83203125" style="2" customWidth="1"/>
    <col min="12" max="15" width="30.83203125" customWidth="1"/>
    <col min="16" max="16" width="32" style="2" bestFit="1" customWidth="1"/>
    <col min="17" max="17" width="31" customWidth="1"/>
    <col min="18" max="18" width="40.83203125" bestFit="1" customWidth="1"/>
    <col min="19" max="19" width="40.83203125" customWidth="1"/>
    <col min="20" max="20" width="40.1640625" bestFit="1" customWidth="1"/>
    <col min="21" max="21" width="30.83203125" style="2" customWidth="1"/>
    <col min="22" max="22" width="30.83203125" customWidth="1"/>
    <col min="23" max="23" width="32.1640625" bestFit="1" customWidth="1"/>
    <col min="24" max="24" width="40.1640625" bestFit="1" customWidth="1"/>
    <col min="25" max="25" width="30.83203125" customWidth="1"/>
    <col min="26" max="26" width="30.83203125" style="2" customWidth="1"/>
    <col min="27" max="27" width="30.83203125" customWidth="1"/>
    <col min="28" max="28" width="40.1640625" bestFit="1" customWidth="1"/>
  </cols>
  <sheetData>
    <row r="1" spans="1:28">
      <c r="D1" s="59" t="s">
        <v>81</v>
      </c>
      <c r="I1" s="59" t="s">
        <v>85</v>
      </c>
      <c r="N1" s="59" t="s">
        <v>84</v>
      </c>
      <c r="S1" s="59" t="s">
        <v>83</v>
      </c>
      <c r="X1" s="59" t="s">
        <v>82</v>
      </c>
    </row>
    <row r="2" spans="1:28">
      <c r="A2" s="61" t="s">
        <v>13</v>
      </c>
      <c r="B2" s="55" t="s">
        <v>56</v>
      </c>
      <c r="C2" s="55" t="s">
        <v>57</v>
      </c>
      <c r="D2" s="55" t="s">
        <v>58</v>
      </c>
      <c r="E2" s="55" t="s">
        <v>59</v>
      </c>
      <c r="F2" s="62" t="s">
        <v>60</v>
      </c>
      <c r="G2" s="55" t="s">
        <v>61</v>
      </c>
      <c r="H2" s="55" t="s">
        <v>62</v>
      </c>
      <c r="I2" s="55" t="s">
        <v>63</v>
      </c>
      <c r="J2" s="55" t="s">
        <v>64</v>
      </c>
      <c r="K2" s="62" t="s">
        <v>65</v>
      </c>
      <c r="L2" s="55" t="s">
        <v>66</v>
      </c>
      <c r="M2" s="55" t="s">
        <v>67</v>
      </c>
      <c r="N2" s="55" t="s">
        <v>68</v>
      </c>
      <c r="O2" s="55" t="s">
        <v>69</v>
      </c>
      <c r="P2" s="62" t="s">
        <v>70</v>
      </c>
      <c r="Q2" s="55" t="s">
        <v>71</v>
      </c>
      <c r="R2" s="55" t="s">
        <v>72</v>
      </c>
      <c r="S2" s="55" t="s">
        <v>73</v>
      </c>
      <c r="T2" s="55" t="s">
        <v>74</v>
      </c>
      <c r="U2" s="62" t="s">
        <v>75</v>
      </c>
      <c r="V2" s="55" t="s">
        <v>76</v>
      </c>
      <c r="W2" s="55" t="s">
        <v>77</v>
      </c>
      <c r="X2" s="55" t="s">
        <v>78</v>
      </c>
      <c r="Y2" s="55" t="s">
        <v>79</v>
      </c>
      <c r="Z2" s="62" t="s">
        <v>80</v>
      </c>
      <c r="AB2" s="60"/>
    </row>
    <row r="3" spans="1:28">
      <c r="A3" s="50" t="s">
        <v>14</v>
      </c>
    </row>
    <row r="4" spans="1:28">
      <c r="A4" s="51" t="s">
        <v>15</v>
      </c>
    </row>
    <row r="5" spans="1:28">
      <c r="A5" s="51" t="s">
        <v>16</v>
      </c>
    </row>
    <row r="6" spans="1:28">
      <c r="A6" s="51" t="s">
        <v>17</v>
      </c>
    </row>
    <row r="7" spans="1:28">
      <c r="A7" s="52" t="s">
        <v>18</v>
      </c>
    </row>
    <row r="8" spans="1:28">
      <c r="A8" s="52" t="s">
        <v>19</v>
      </c>
    </row>
    <row r="9" spans="1:28">
      <c r="A9" s="53" t="s">
        <v>22</v>
      </c>
    </row>
    <row r="10" spans="1:28">
      <c r="A10" s="52" t="s">
        <v>21</v>
      </c>
    </row>
    <row r="11" spans="1:28">
      <c r="A11" s="50" t="s">
        <v>23</v>
      </c>
    </row>
    <row r="12" spans="1:28">
      <c r="A12" s="50" t="s">
        <v>24</v>
      </c>
    </row>
    <row r="13" spans="1:28">
      <c r="A13" s="52" t="s">
        <v>26</v>
      </c>
    </row>
    <row r="14" spans="1:28">
      <c r="A14" s="52" t="s">
        <v>27</v>
      </c>
    </row>
    <row r="15" spans="1:28">
      <c r="A15" s="50" t="s">
        <v>28</v>
      </c>
    </row>
    <row r="16" spans="1:28">
      <c r="A16" s="53" t="s">
        <v>29</v>
      </c>
    </row>
    <row r="17" spans="1:1">
      <c r="A17" s="52" t="s">
        <v>30</v>
      </c>
    </row>
    <row r="18" spans="1:1">
      <c r="A18" s="52" t="s">
        <v>31</v>
      </c>
    </row>
    <row r="19" spans="1:1">
      <c r="A19" s="50" t="s">
        <v>32</v>
      </c>
    </row>
    <row r="20" spans="1:1">
      <c r="A20" s="51" t="s">
        <v>33</v>
      </c>
    </row>
    <row r="21" spans="1:1">
      <c r="A21" s="51" t="s">
        <v>34</v>
      </c>
    </row>
    <row r="22" spans="1:1">
      <c r="A22" s="50" t="s">
        <v>35</v>
      </c>
    </row>
    <row r="23" spans="1:1">
      <c r="A23" s="51" t="s">
        <v>36</v>
      </c>
    </row>
    <row r="24" spans="1:1">
      <c r="A24" s="50" t="s">
        <v>37</v>
      </c>
    </row>
    <row r="25" spans="1:1">
      <c r="A25" s="52" t="s">
        <v>20</v>
      </c>
    </row>
    <row r="26" spans="1:1">
      <c r="A26" s="50" t="s">
        <v>38</v>
      </c>
    </row>
    <row r="27" spans="1:1">
      <c r="A27" s="50" t="s">
        <v>39</v>
      </c>
    </row>
    <row r="28" spans="1:1">
      <c r="A28" s="53" t="s">
        <v>40</v>
      </c>
    </row>
    <row r="29" spans="1:1">
      <c r="A29" s="50" t="s">
        <v>41</v>
      </c>
    </row>
    <row r="30" spans="1:1">
      <c r="A30" s="53" t="s">
        <v>42</v>
      </c>
    </row>
    <row r="31" spans="1:1">
      <c r="A31" s="50" t="s">
        <v>43</v>
      </c>
    </row>
    <row r="32" spans="1:1">
      <c r="A32" s="53" t="s">
        <v>25</v>
      </c>
    </row>
    <row r="33" spans="1:1">
      <c r="A33" s="53" t="s">
        <v>44</v>
      </c>
    </row>
    <row r="34" spans="1:1">
      <c r="A34" s="52" t="s">
        <v>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1651C-3744-D147-B0B9-4782EE55C3FF}">
  <dimension ref="A1:F18"/>
  <sheetViews>
    <sheetView showGridLines="0" workbookViewId="0">
      <selection activeCell="E18" sqref="E18"/>
    </sheetView>
  </sheetViews>
  <sheetFormatPr baseColWidth="10" defaultRowHeight="16"/>
  <cols>
    <col min="1" max="1" width="6.1640625" style="12" bestFit="1" customWidth="1"/>
    <col min="2" max="2" width="16.5" style="12" bestFit="1" customWidth="1"/>
    <col min="3" max="3" width="20.5" style="12" bestFit="1" customWidth="1"/>
    <col min="4" max="4" width="22.6640625" style="12" bestFit="1" customWidth="1"/>
    <col min="5" max="5" width="25.83203125" style="12" bestFit="1" customWidth="1"/>
    <col min="6" max="6" width="10.83203125" style="12"/>
  </cols>
  <sheetData>
    <row r="1" spans="1:5">
      <c r="A1" s="154" t="s">
        <v>237</v>
      </c>
      <c r="B1" s="154" t="s">
        <v>238</v>
      </c>
      <c r="C1" s="154" t="s">
        <v>239</v>
      </c>
      <c r="D1" s="154" t="s">
        <v>240</v>
      </c>
      <c r="E1" s="154" t="s">
        <v>241</v>
      </c>
    </row>
    <row r="2" spans="1:5">
      <c r="A2" s="12">
        <v>1980</v>
      </c>
      <c r="B2" s="12" t="s">
        <v>242</v>
      </c>
      <c r="C2" s="12">
        <v>2.6</v>
      </c>
      <c r="D2" s="12" t="s">
        <v>243</v>
      </c>
      <c r="E2" s="12">
        <v>90.4</v>
      </c>
    </row>
    <row r="3" spans="1:5">
      <c r="A3" s="12">
        <v>1981</v>
      </c>
      <c r="B3" s="12" t="s">
        <v>244</v>
      </c>
      <c r="C3" s="12">
        <v>2.5</v>
      </c>
      <c r="D3" s="12" t="s">
        <v>249</v>
      </c>
      <c r="E3" s="12">
        <v>104.7</v>
      </c>
    </row>
    <row r="4" spans="1:5">
      <c r="A4" s="12">
        <v>1982</v>
      </c>
      <c r="B4" s="12" t="s">
        <v>245</v>
      </c>
      <c r="C4" s="12">
        <v>3.9</v>
      </c>
      <c r="D4" s="12" t="s">
        <v>253</v>
      </c>
      <c r="E4" s="12">
        <v>117.9</v>
      </c>
    </row>
    <row r="5" spans="1:5">
      <c r="A5" s="12">
        <v>1983</v>
      </c>
      <c r="B5" s="12" t="s">
        <v>246</v>
      </c>
      <c r="C5" s="12">
        <v>5.9</v>
      </c>
      <c r="D5" s="12" t="s">
        <v>250</v>
      </c>
      <c r="E5" s="12">
        <v>131.80000000000001</v>
      </c>
    </row>
    <row r="6" spans="1:5">
      <c r="A6" s="12">
        <v>1984</v>
      </c>
      <c r="B6" s="12" t="s">
        <v>247</v>
      </c>
      <c r="C6" s="12">
        <v>4.7</v>
      </c>
      <c r="D6" s="12" t="s">
        <v>251</v>
      </c>
      <c r="E6" s="12">
        <v>151.5</v>
      </c>
    </row>
    <row r="7" spans="1:5">
      <c r="A7" s="12">
        <v>1985</v>
      </c>
      <c r="B7" s="12" t="s">
        <v>248</v>
      </c>
      <c r="C7" s="12">
        <v>5</v>
      </c>
      <c r="D7" s="12" t="s">
        <v>252</v>
      </c>
      <c r="E7" s="12">
        <v>164.7</v>
      </c>
    </row>
    <row r="8" spans="1:5">
      <c r="A8" s="12">
        <v>1986</v>
      </c>
      <c r="E8" s="12">
        <v>123.6</v>
      </c>
    </row>
    <row r="13" spans="1:5">
      <c r="A13" s="12">
        <v>2020</v>
      </c>
      <c r="B13" s="12">
        <v>1.1000000000000001</v>
      </c>
      <c r="C13" s="12" t="s">
        <v>254</v>
      </c>
      <c r="D13" s="12" t="s">
        <v>255</v>
      </c>
      <c r="E13" s="12">
        <v>93.3</v>
      </c>
    </row>
    <row r="14" spans="1:5">
      <c r="A14" s="12">
        <v>2021</v>
      </c>
      <c r="B14" s="12">
        <v>1.4</v>
      </c>
      <c r="C14" s="12" t="s">
        <v>256</v>
      </c>
      <c r="D14" s="12" t="s">
        <v>261</v>
      </c>
      <c r="E14" s="12">
        <v>89.2</v>
      </c>
    </row>
    <row r="15" spans="1:5">
      <c r="A15" s="12">
        <v>2022</v>
      </c>
      <c r="B15" s="12">
        <v>1.38</v>
      </c>
      <c r="C15" s="12" t="s">
        <v>257</v>
      </c>
      <c r="D15" s="12" t="s">
        <v>264</v>
      </c>
      <c r="E15" s="12">
        <v>110.1</v>
      </c>
    </row>
    <row r="16" spans="1:5">
      <c r="A16" s="12">
        <v>2023</v>
      </c>
      <c r="B16" s="12">
        <v>1.06</v>
      </c>
      <c r="C16" s="12" t="s">
        <v>258</v>
      </c>
      <c r="D16" s="12" t="s">
        <v>262</v>
      </c>
      <c r="E16" s="12">
        <v>101.3</v>
      </c>
    </row>
    <row r="17" spans="1:5">
      <c r="A17" s="12">
        <v>2024</v>
      </c>
      <c r="B17" s="12">
        <v>1.2050000000000001</v>
      </c>
      <c r="C17" s="12" t="s">
        <v>259</v>
      </c>
      <c r="D17" s="12" t="s">
        <v>263</v>
      </c>
      <c r="E17" s="12">
        <v>108.5</v>
      </c>
    </row>
    <row r="18" spans="1:5">
      <c r="A18" s="12"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International Data</vt:lpstr>
      <vt:lpstr>U.S Forecasts</vt:lpstr>
      <vt:lpstr>International Forecast</vt:lpstr>
      <vt:lpstr>U.S Tariffs</vt:lpstr>
      <vt:lpstr>Africa</vt:lpstr>
      <vt:lpstr>Africa Forecasts</vt:lpstr>
      <vt:lpstr>China Forecast</vt:lpstr>
      <vt:lpstr>Africa Scores</vt:lpstr>
      <vt:lpstr>Africa Qualitative</vt:lpstr>
      <vt:lpstr>Africa Quantitative</vt:lpstr>
      <vt:lpstr>Plaza Accord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Samie, Faraz</dc:creator>
  <cp:lastModifiedBy>Samie, Faraz</cp:lastModifiedBy>
  <dcterms:created xsi:type="dcterms:W3CDTF">2025-07-19T01:20:50Z</dcterms:created>
  <dcterms:modified xsi:type="dcterms:W3CDTF">2025-08-01T19:12:54Z</dcterms:modified>
</cp:coreProperties>
</file>