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IN10\Downloads\"/>
    </mc:Choice>
  </mc:AlternateContent>
  <xr:revisionPtr revIDLastSave="0" documentId="13_ncr:1_{F7D158CA-40A4-41E9-BEF3-4F0417579DD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4" r:id="rId1"/>
    <sheet name="Sales Data" sheetId="2" r:id="rId2"/>
    <sheet name="Customer Info" sheetId="3" r:id="rId3"/>
  </sheets>
  <calcPr calcId="191028"/>
  <pivotCaches>
    <pivotCache cacheId="0" r:id="rId4"/>
  </pivotCaches>
</workbook>
</file>

<file path=xl/calcChain.xml><?xml version="1.0" encoding="utf-8"?>
<calcChain xmlns="http://schemas.openxmlformats.org/spreadsheetml/2006/main">
  <c r="L84" i="2" l="1"/>
  <c r="Q87" i="2"/>
  <c r="P85" i="2"/>
  <c r="F85" i="2"/>
  <c r="E85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O85" i="2"/>
  <c r="M16" i="2"/>
  <c r="M34" i="2"/>
  <c r="M36" i="2"/>
  <c r="M47" i="2"/>
  <c r="M64" i="2"/>
  <c r="M26" i="2"/>
  <c r="M5" i="2"/>
  <c r="M28" i="2"/>
  <c r="M69" i="2"/>
  <c r="M54" i="2"/>
  <c r="M75" i="2"/>
  <c r="M23" i="2"/>
  <c r="M19" i="2"/>
  <c r="M76" i="2"/>
  <c r="M73" i="2"/>
  <c r="M66" i="2"/>
  <c r="M6" i="2"/>
  <c r="M22" i="2"/>
  <c r="M52" i="2"/>
  <c r="M18" i="2"/>
  <c r="M83" i="2"/>
  <c r="M13" i="2"/>
  <c r="M61" i="2"/>
  <c r="M80" i="2"/>
  <c r="M29" i="2"/>
  <c r="M24" i="2"/>
  <c r="M7" i="2"/>
  <c r="M45" i="2"/>
  <c r="M10" i="2"/>
  <c r="M42" i="2"/>
  <c r="M8" i="2"/>
  <c r="M68" i="2"/>
  <c r="M48" i="2"/>
  <c r="M67" i="2"/>
  <c r="M39" i="2"/>
  <c r="M27" i="2"/>
  <c r="M65" i="2"/>
  <c r="M70" i="2"/>
  <c r="M72" i="2"/>
  <c r="M31" i="2"/>
  <c r="M74" i="2"/>
  <c r="M21" i="2"/>
  <c r="M40" i="2"/>
  <c r="M79" i="2"/>
  <c r="M56" i="2"/>
  <c r="M57" i="2"/>
  <c r="M46" i="2"/>
  <c r="M32" i="2"/>
  <c r="M49" i="2"/>
  <c r="M55" i="2"/>
  <c r="M60" i="2"/>
  <c r="M25" i="2"/>
  <c r="M20" i="2"/>
  <c r="M41" i="2"/>
  <c r="M63" i="2"/>
  <c r="M51" i="2"/>
  <c r="M58" i="2"/>
  <c r="M33" i="2"/>
  <c r="M30" i="2"/>
  <c r="M81" i="2"/>
  <c r="M84" i="2"/>
  <c r="M37" i="2"/>
  <c r="M43" i="2"/>
  <c r="M12" i="2"/>
  <c r="M53" i="2"/>
  <c r="M78" i="2"/>
  <c r="M35" i="2"/>
  <c r="M44" i="2"/>
  <c r="M14" i="2"/>
  <c r="M9" i="2"/>
  <c r="M71" i="2"/>
  <c r="M17" i="2"/>
  <c r="M62" i="2"/>
  <c r="M38" i="2"/>
  <c r="M59" i="2"/>
  <c r="M50" i="2"/>
  <c r="M15" i="2"/>
  <c r="M82" i="2"/>
  <c r="M77" i="2"/>
  <c r="M11" i="2"/>
  <c r="L16" i="2"/>
  <c r="L34" i="2"/>
  <c r="L36" i="2"/>
  <c r="L47" i="2"/>
  <c r="L64" i="2"/>
  <c r="L26" i="2"/>
  <c r="L5" i="2"/>
  <c r="L28" i="2"/>
  <c r="L69" i="2"/>
  <c r="L54" i="2"/>
  <c r="L75" i="2"/>
  <c r="L23" i="2"/>
  <c r="L19" i="2"/>
  <c r="L76" i="2"/>
  <c r="L73" i="2"/>
  <c r="L66" i="2"/>
  <c r="L6" i="2"/>
  <c r="L22" i="2"/>
  <c r="L52" i="2"/>
  <c r="L18" i="2"/>
  <c r="L83" i="2"/>
  <c r="L13" i="2"/>
  <c r="L61" i="2"/>
  <c r="L80" i="2"/>
  <c r="L29" i="2"/>
  <c r="L24" i="2"/>
  <c r="L7" i="2"/>
  <c r="L45" i="2"/>
  <c r="L10" i="2"/>
  <c r="L42" i="2"/>
  <c r="L8" i="2"/>
  <c r="L68" i="2"/>
  <c r="L48" i="2"/>
  <c r="L67" i="2"/>
  <c r="L39" i="2"/>
  <c r="L27" i="2"/>
  <c r="L65" i="2"/>
  <c r="L70" i="2"/>
  <c r="L72" i="2"/>
  <c r="L31" i="2"/>
  <c r="L74" i="2"/>
  <c r="L21" i="2"/>
  <c r="L40" i="2"/>
  <c r="L79" i="2"/>
  <c r="L56" i="2"/>
  <c r="L57" i="2"/>
  <c r="L46" i="2"/>
  <c r="L32" i="2"/>
  <c r="L49" i="2"/>
  <c r="L55" i="2"/>
  <c r="L60" i="2"/>
  <c r="L25" i="2"/>
  <c r="L20" i="2"/>
  <c r="L41" i="2"/>
  <c r="L63" i="2"/>
  <c r="L51" i="2"/>
  <c r="L58" i="2"/>
  <c r="L33" i="2"/>
  <c r="L30" i="2"/>
  <c r="L81" i="2"/>
  <c r="L37" i="2"/>
  <c r="L43" i="2"/>
  <c r="L12" i="2"/>
  <c r="L53" i="2"/>
  <c r="L78" i="2"/>
  <c r="L35" i="2"/>
  <c r="L44" i="2"/>
  <c r="L14" i="2"/>
  <c r="L9" i="2"/>
  <c r="L71" i="2"/>
  <c r="L17" i="2"/>
  <c r="L62" i="2"/>
  <c r="L38" i="2"/>
  <c r="L59" i="2"/>
  <c r="L50" i="2"/>
  <c r="L15" i="2"/>
  <c r="L82" i="2"/>
  <c r="L77" i="2"/>
  <c r="L11" i="2"/>
  <c r="G16" i="2"/>
  <c r="G34" i="2"/>
  <c r="G36" i="2"/>
  <c r="G47" i="2"/>
  <c r="G64" i="2"/>
  <c r="G26" i="2"/>
  <c r="G5" i="2"/>
  <c r="G28" i="2"/>
  <c r="G69" i="2"/>
  <c r="G54" i="2"/>
  <c r="G75" i="2"/>
  <c r="G23" i="2"/>
  <c r="G19" i="2"/>
  <c r="G76" i="2"/>
  <c r="G73" i="2"/>
  <c r="G66" i="2"/>
  <c r="G6" i="2"/>
  <c r="G22" i="2"/>
  <c r="G52" i="2"/>
  <c r="G18" i="2"/>
  <c r="G83" i="2"/>
  <c r="G13" i="2"/>
  <c r="G61" i="2"/>
  <c r="G80" i="2"/>
  <c r="G29" i="2"/>
  <c r="G24" i="2"/>
  <c r="G7" i="2"/>
  <c r="G45" i="2"/>
  <c r="G10" i="2"/>
  <c r="G42" i="2"/>
  <c r="G8" i="2"/>
  <c r="G68" i="2"/>
  <c r="G48" i="2"/>
  <c r="G67" i="2"/>
  <c r="G39" i="2"/>
  <c r="G27" i="2"/>
  <c r="G65" i="2"/>
  <c r="G70" i="2"/>
  <c r="G72" i="2"/>
  <c r="G31" i="2"/>
  <c r="G74" i="2"/>
  <c r="G21" i="2"/>
  <c r="G40" i="2"/>
  <c r="G79" i="2"/>
  <c r="G56" i="2"/>
  <c r="G57" i="2"/>
  <c r="G46" i="2"/>
  <c r="G32" i="2"/>
  <c r="G49" i="2"/>
  <c r="G55" i="2"/>
  <c r="G60" i="2"/>
  <c r="G25" i="2"/>
  <c r="G20" i="2"/>
  <c r="G41" i="2"/>
  <c r="G63" i="2"/>
  <c r="G51" i="2"/>
  <c r="G58" i="2"/>
  <c r="G33" i="2"/>
  <c r="G30" i="2"/>
  <c r="G81" i="2"/>
  <c r="G84" i="2"/>
  <c r="G37" i="2"/>
  <c r="G43" i="2"/>
  <c r="G12" i="2"/>
  <c r="G53" i="2"/>
  <c r="G78" i="2"/>
  <c r="G35" i="2"/>
  <c r="G44" i="2"/>
  <c r="G14" i="2"/>
  <c r="G9" i="2"/>
  <c r="G71" i="2"/>
  <c r="G17" i="2"/>
  <c r="G62" i="2"/>
  <c r="G38" i="2"/>
  <c r="G59" i="2"/>
  <c r="G50" i="2"/>
  <c r="G15" i="2"/>
  <c r="G82" i="2"/>
  <c r="G77" i="2"/>
  <c r="G11" i="2"/>
  <c r="H16" i="2"/>
  <c r="H34" i="2"/>
  <c r="H36" i="2"/>
  <c r="H47" i="2"/>
  <c r="H64" i="2"/>
  <c r="H26" i="2"/>
  <c r="H5" i="2"/>
  <c r="H28" i="2"/>
  <c r="H69" i="2"/>
  <c r="H54" i="2"/>
  <c r="H75" i="2"/>
  <c r="H23" i="2"/>
  <c r="H19" i="2"/>
  <c r="H76" i="2"/>
  <c r="H73" i="2"/>
  <c r="H66" i="2"/>
  <c r="H6" i="2"/>
  <c r="H22" i="2"/>
  <c r="H52" i="2"/>
  <c r="H18" i="2"/>
  <c r="H83" i="2"/>
  <c r="H13" i="2"/>
  <c r="H61" i="2"/>
  <c r="H80" i="2"/>
  <c r="H29" i="2"/>
  <c r="H24" i="2"/>
  <c r="H7" i="2"/>
  <c r="H45" i="2"/>
  <c r="H10" i="2"/>
  <c r="H42" i="2"/>
  <c r="H8" i="2"/>
  <c r="H68" i="2"/>
  <c r="H48" i="2"/>
  <c r="H67" i="2"/>
  <c r="H39" i="2"/>
  <c r="H27" i="2"/>
  <c r="H65" i="2"/>
  <c r="H70" i="2"/>
  <c r="H72" i="2"/>
  <c r="H31" i="2"/>
  <c r="H74" i="2"/>
  <c r="H21" i="2"/>
  <c r="H40" i="2"/>
  <c r="H79" i="2"/>
  <c r="H56" i="2"/>
  <c r="H57" i="2"/>
  <c r="H46" i="2"/>
  <c r="H32" i="2"/>
  <c r="H49" i="2"/>
  <c r="H55" i="2"/>
  <c r="H60" i="2"/>
  <c r="H25" i="2"/>
  <c r="H20" i="2"/>
  <c r="H41" i="2"/>
  <c r="H63" i="2"/>
  <c r="H51" i="2"/>
  <c r="H58" i="2"/>
  <c r="H33" i="2"/>
  <c r="H30" i="2"/>
  <c r="H81" i="2"/>
  <c r="H84" i="2"/>
  <c r="H37" i="2"/>
  <c r="H43" i="2"/>
  <c r="H12" i="2"/>
  <c r="H53" i="2"/>
  <c r="H78" i="2"/>
  <c r="H35" i="2"/>
  <c r="H44" i="2"/>
  <c r="H14" i="2"/>
  <c r="H9" i="2"/>
  <c r="H71" i="2"/>
  <c r="H17" i="2"/>
  <c r="H62" i="2"/>
  <c r="H38" i="2"/>
  <c r="H59" i="2"/>
  <c r="H50" i="2"/>
  <c r="H15" i="2"/>
  <c r="H82" i="2"/>
  <c r="H77" i="2"/>
  <c r="H11" i="2"/>
  <c r="S16" i="2"/>
  <c r="S34" i="2"/>
  <c r="S36" i="2"/>
  <c r="S47" i="2"/>
  <c r="S64" i="2"/>
  <c r="S26" i="2"/>
  <c r="S5" i="2"/>
  <c r="S28" i="2"/>
  <c r="S69" i="2"/>
  <c r="S54" i="2"/>
  <c r="S75" i="2"/>
  <c r="S23" i="2"/>
  <c r="S19" i="2"/>
  <c r="S76" i="2"/>
  <c r="S73" i="2"/>
  <c r="S66" i="2"/>
  <c r="S6" i="2"/>
  <c r="S22" i="2"/>
  <c r="S52" i="2"/>
  <c r="S18" i="2"/>
  <c r="S83" i="2"/>
  <c r="S13" i="2"/>
  <c r="S61" i="2"/>
  <c r="S80" i="2"/>
  <c r="S29" i="2"/>
  <c r="S24" i="2"/>
  <c r="S7" i="2"/>
  <c r="S45" i="2"/>
  <c r="S10" i="2"/>
  <c r="S42" i="2"/>
  <c r="S8" i="2"/>
  <c r="S68" i="2"/>
  <c r="S48" i="2"/>
  <c r="S67" i="2"/>
  <c r="S39" i="2"/>
  <c r="S27" i="2"/>
  <c r="S65" i="2"/>
  <c r="S70" i="2"/>
  <c r="S72" i="2"/>
  <c r="S31" i="2"/>
  <c r="S74" i="2"/>
  <c r="S21" i="2"/>
  <c r="S40" i="2"/>
  <c r="S79" i="2"/>
  <c r="S56" i="2"/>
  <c r="S57" i="2"/>
  <c r="S46" i="2"/>
  <c r="S32" i="2"/>
  <c r="S49" i="2"/>
  <c r="S55" i="2"/>
  <c r="S60" i="2"/>
  <c r="S25" i="2"/>
  <c r="S20" i="2"/>
  <c r="S41" i="2"/>
  <c r="S63" i="2"/>
  <c r="S51" i="2"/>
  <c r="S58" i="2"/>
  <c r="S33" i="2"/>
  <c r="S30" i="2"/>
  <c r="S81" i="2"/>
  <c r="S84" i="2"/>
  <c r="S37" i="2"/>
  <c r="S43" i="2"/>
  <c r="S12" i="2"/>
  <c r="S53" i="2"/>
  <c r="S78" i="2"/>
  <c r="S35" i="2"/>
  <c r="S44" i="2"/>
  <c r="S14" i="2"/>
  <c r="S9" i="2"/>
  <c r="S71" i="2"/>
  <c r="S17" i="2"/>
  <c r="S62" i="2"/>
  <c r="S38" i="2"/>
  <c r="S59" i="2"/>
  <c r="S50" i="2"/>
  <c r="S15" i="2"/>
  <c r="S82" i="2"/>
  <c r="S77" i="2"/>
  <c r="S11" i="2"/>
  <c r="T16" i="2"/>
  <c r="T34" i="2"/>
  <c r="T36" i="2"/>
  <c r="T47" i="2"/>
  <c r="T64" i="2"/>
  <c r="T26" i="2"/>
  <c r="T5" i="2"/>
  <c r="T28" i="2"/>
  <c r="T69" i="2"/>
  <c r="T54" i="2"/>
  <c r="T75" i="2"/>
  <c r="T23" i="2"/>
  <c r="T19" i="2"/>
  <c r="T76" i="2"/>
  <c r="T73" i="2"/>
  <c r="T66" i="2"/>
  <c r="T6" i="2"/>
  <c r="T22" i="2"/>
  <c r="T52" i="2"/>
  <c r="T18" i="2"/>
  <c r="T83" i="2"/>
  <c r="T13" i="2"/>
  <c r="T61" i="2"/>
  <c r="T80" i="2"/>
  <c r="T29" i="2"/>
  <c r="T24" i="2"/>
  <c r="T7" i="2"/>
  <c r="T45" i="2"/>
  <c r="T10" i="2"/>
  <c r="T42" i="2"/>
  <c r="T8" i="2"/>
  <c r="T68" i="2"/>
  <c r="T48" i="2"/>
  <c r="T67" i="2"/>
  <c r="T39" i="2"/>
  <c r="T27" i="2"/>
  <c r="T65" i="2"/>
  <c r="T70" i="2"/>
  <c r="T72" i="2"/>
  <c r="T31" i="2"/>
  <c r="T74" i="2"/>
  <c r="T21" i="2"/>
  <c r="T40" i="2"/>
  <c r="T79" i="2"/>
  <c r="T56" i="2"/>
  <c r="T57" i="2"/>
  <c r="T46" i="2"/>
  <c r="T32" i="2"/>
  <c r="T49" i="2"/>
  <c r="T55" i="2"/>
  <c r="T60" i="2"/>
  <c r="T25" i="2"/>
  <c r="T20" i="2"/>
  <c r="T41" i="2"/>
  <c r="T63" i="2"/>
  <c r="T51" i="2"/>
  <c r="T58" i="2"/>
  <c r="T33" i="2"/>
  <c r="T30" i="2"/>
  <c r="T81" i="2"/>
  <c r="T84" i="2"/>
  <c r="T37" i="2"/>
  <c r="T43" i="2"/>
  <c r="T12" i="2"/>
  <c r="T53" i="2"/>
  <c r="T78" i="2"/>
  <c r="T35" i="2"/>
  <c r="T44" i="2"/>
  <c r="T14" i="2"/>
  <c r="T9" i="2"/>
  <c r="T71" i="2"/>
  <c r="T17" i="2"/>
  <c r="T62" i="2"/>
  <c r="T38" i="2"/>
  <c r="T59" i="2"/>
  <c r="T50" i="2"/>
  <c r="T15" i="2"/>
  <c r="T82" i="2"/>
  <c r="T77" i="2"/>
  <c r="T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BB5AF-F7C3-427A-A9FE-5856A37A004E}" keepAlive="1" name="Query - a" description="Connection to the 'a' query in the workbook." type="5" refreshedVersion="0" background="1">
    <dbPr connection="Provider=Microsoft.Mashup.OleDb.1;Data Source=$Workbook$;Location=a;Extended Properties=&quot;&quot;" command="SELECT * FROM [a]"/>
  </connection>
  <connection id="2" xr16:uid="{70DFDE9F-E880-4C94-80B6-5345AA69C1C1}" keepAlive="1" name="Query - a (2)" description="Connection to the 'a (2)' query in the workbook." type="5" refreshedVersion="0" background="1">
    <dbPr connection="Provider=Microsoft.Mashup.OleDb.1;Data Source=$Workbook$;Location=&quot;a (2)&quot;;Extended Properties=&quot;&quot;" command="SELECT * FROM [a (2)]"/>
  </connection>
</connections>
</file>

<file path=xl/sharedStrings.xml><?xml version="1.0" encoding="utf-8"?>
<sst xmlns="http://schemas.openxmlformats.org/spreadsheetml/2006/main" count="619" uniqueCount="128">
  <si>
    <t>Office Chair Sales</t>
  </si>
  <si>
    <t>Q1-Q2 2020</t>
  </si>
  <si>
    <t>Num</t>
  </si>
  <si>
    <t>Customer ID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</si>
  <si>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</si>
  <si>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</si>
  <si>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</si>
  <si>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</si>
  <si>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</si>
  <si>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</si>
  <si>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</si>
  <si>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</si>
  <si>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</si>
  <si>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</si>
  <si>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</si>
  <si>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</si>
  <si>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</si>
  <si>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</si>
  <si>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</si>
  <si>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</si>
  <si>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</si>
  <si>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</si>
  <si>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</si>
  <si>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</si>
  <si>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</si>
  <si>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</si>
  <si>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</si>
  <si>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</si>
  <si>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</si>
  <si>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</si>
  <si>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</si>
  <si>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</si>
  <si>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</si>
  <si>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</si>
  <si>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</si>
  <si>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</si>
  <si>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</si>
  <si>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</si>
  <si>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</si>
  <si>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</si>
  <si>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</si>
  <si>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</si>
  <si>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</si>
  <si>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</si>
  <si>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</si>
  <si>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</si>
  <si>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</si>
  <si>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</si>
  <si>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</si>
  <si>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</si>
  <si>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</si>
  <si>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</si>
  <si>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</si>
  <si>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</si>
  <si>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</si>
  <si>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</si>
  <si>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</si>
  <si>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</si>
  <si>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</si>
  <si>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</si>
  <si>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</si>
  <si>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</si>
  <si>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</si>
  <si>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</si>
  <si>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</si>
  <si>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</si>
  <si>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</si>
  <si>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</si>
  <si>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</si>
  <si>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</si>
  <si>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</si>
  <si>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</si>
  <si>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</si>
  <si>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</si>
  <si>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</si>
  <si>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</si>
  <si>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final price</t>
  </si>
  <si>
    <t>Sum of final price</t>
  </si>
  <si>
    <t>Row Labels</t>
  </si>
  <si>
    <t>Grand Total</t>
  </si>
  <si>
    <t>Column Labels</t>
  </si>
  <si>
    <t>Gray</t>
  </si>
  <si>
    <t>Column1</t>
  </si>
  <si>
    <t>date</t>
  </si>
  <si>
    <t>month</t>
  </si>
  <si>
    <t>sales rep</t>
  </si>
  <si>
    <t>region</t>
  </si>
  <si>
    <t>customer id</t>
  </si>
  <si>
    <t>company name</t>
  </si>
  <si>
    <t>representatives</t>
  </si>
  <si>
    <t>color</t>
  </si>
  <si>
    <t>item code</t>
  </si>
  <si>
    <t>number</t>
  </si>
  <si>
    <t>price / unit</t>
  </si>
  <si>
    <t>total</t>
  </si>
  <si>
    <t>discount</t>
  </si>
  <si>
    <t>Column2</t>
  </si>
  <si>
    <t>flash black</t>
  </si>
  <si>
    <t>urban red</t>
  </si>
  <si>
    <t>flash brown</t>
  </si>
  <si>
    <t>volt Gray</t>
  </si>
  <si>
    <t>energy brown</t>
  </si>
  <si>
    <t>cosmo white</t>
  </si>
  <si>
    <t>urban brown</t>
  </si>
  <si>
    <t>energy black</t>
  </si>
  <si>
    <t>volt white</t>
  </si>
  <si>
    <t>cosmo Gray</t>
  </si>
  <si>
    <t>energy white</t>
  </si>
  <si>
    <t>aero red</t>
  </si>
  <si>
    <t>volt black</t>
  </si>
  <si>
    <t>cosmo black</t>
  </si>
  <si>
    <t>urban black</t>
  </si>
  <si>
    <t>flash white</t>
  </si>
  <si>
    <t>volt brown</t>
  </si>
  <si>
    <t>aero white</t>
  </si>
  <si>
    <t>flash Gray</t>
  </si>
  <si>
    <t>aero Gray</t>
  </si>
  <si>
    <t>urban Gray</t>
  </si>
  <si>
    <t>aero black</t>
  </si>
  <si>
    <t>volt red</t>
  </si>
  <si>
    <t>flash red</t>
  </si>
  <si>
    <t>energy Gray</t>
  </si>
  <si>
    <t>Energy h</t>
  </si>
  <si>
    <t>energy h black</t>
  </si>
  <si>
    <t>Column3</t>
  </si>
  <si>
    <t>Column22</t>
  </si>
  <si>
    <t>Column4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</si>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</sst>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165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6" fillId="0" borderId="0" xfId="0" applyFont="1"/>
  </cellXfs>
  <cellStyles count="1">
    <cellStyle name="Normal" xfId="0" builtinId="0"/>
  </cellStyles>
  <dxfs count="34">
    <dxf>
      <numFmt numFmtId="164" formatCode="&quot;$&quot;#,##0"/>
    </dxf>
    <dxf>
      <numFmt numFmtId="0" formatCode="General"/>
    </dxf>
    <dxf>
      <numFmt numFmtId="164" formatCode="&quot;$&quot;#,##0"/>
    </dxf>
    <dxf>
      <numFmt numFmtId="164" formatCode="&quot;$&quot;#,##0"/>
      <alignment horizontal="general" vertical="center" textRotation="0" wrapText="0" indent="0" justifyLastLine="0" shrinkToFit="0" readingOrder="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\-mm\-dd;@"/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theme="1"/>
      </font>
      <fill>
        <patternFill>
          <bgColor theme="5" tint="-0.499984740745262"/>
        </patternFill>
      </fill>
    </dxf>
    <dxf>
      <fill>
        <patternFill>
          <bgColor theme="1" tint="0.499984740745262"/>
        </patternFill>
      </fill>
    </dxf>
    <dxf>
      <numFmt numFmtId="164" formatCode="&quot;$&quot;#,##0"/>
      <alignment horizontal="general" vertical="center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\-mm\-dd;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 WIN10" refreshedDate="45018.092459837964" createdVersion="8" refreshedVersion="8" minRefreshableVersion="3" recordCount="80" xr:uid="{2E862DE4-6742-4684-B6FB-7FD2FE516216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resentatives" numFmtId="0">
      <sharedItems/>
    </cacheField>
    <cacheField name="Model" numFmtId="0">
      <sharedItems/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s v="Lucas Adams"/>
    <s v="Flash"/>
    <s v="black"/>
    <s v="F2248bl"/>
    <n v="15"/>
    <n v="235"/>
    <n v="3525"/>
    <s v="N"/>
    <n v="3525"/>
  </r>
  <r>
    <n v="2"/>
    <d v="2020-01-06T00:00:00"/>
    <x v="0"/>
    <x v="1"/>
    <s v="West"/>
    <n v="144"/>
    <s v="Affinity"/>
    <s v="Christina Bell"/>
    <s v="Urban"/>
    <s v="red"/>
    <s v="U2683rd"/>
    <n v="22"/>
    <n v="260"/>
    <n v="5720"/>
    <s v="Y"/>
    <n v="5434"/>
  </r>
  <r>
    <n v="3"/>
    <d v="2020-01-09T00:00:00"/>
    <x v="0"/>
    <x v="2"/>
    <s v="West"/>
    <n v="136"/>
    <s v="Telmark"/>
    <s v="Emily Flores"/>
    <s v="Energy"/>
    <s v="black"/>
    <s v="E2376bl"/>
    <n v="16"/>
    <n v="350"/>
    <n v="5600"/>
    <s v="N"/>
    <n v="5600"/>
  </r>
  <r>
    <n v="4"/>
    <d v="2020-01-12T00:00:00"/>
    <x v="0"/>
    <x v="3"/>
    <s v="South"/>
    <n v="144"/>
    <s v="Affinity"/>
    <s v="Christina Bell"/>
    <s v="Flash"/>
    <s v="brown"/>
    <s v="F2248br"/>
    <n v="30"/>
    <n v="235"/>
    <n v="7050"/>
    <s v="Y"/>
    <n v="6697.5"/>
  </r>
  <r>
    <n v="5"/>
    <d v="2020-01-12T00:00:00"/>
    <x v="0"/>
    <x v="0"/>
    <s v="North"/>
    <n v="166"/>
    <s v="Port Royale"/>
    <s v="Dan Hill"/>
    <s v="Volt"/>
    <s v="gray"/>
    <s v="V2944gr"/>
    <n v="32"/>
    <n v="295"/>
    <n v="9440"/>
    <s v="Y"/>
    <n v="8968"/>
  </r>
  <r>
    <n v="6"/>
    <d v="2020-01-15T00:00:00"/>
    <x v="0"/>
    <x v="4"/>
    <s v="North"/>
    <n v="136"/>
    <s v="Telmark"/>
    <s v="Emily Flores"/>
    <s v="Energy"/>
    <s v="brown"/>
    <s v="E2376br"/>
    <n v="14"/>
    <n v="350"/>
    <n v="4900"/>
    <s v="N"/>
    <n v="4900"/>
  </r>
  <r>
    <n v="7"/>
    <d v="2020-01-18T00:00:00"/>
    <x v="0"/>
    <x v="5"/>
    <s v="South"/>
    <n v="152"/>
    <s v="Secspace"/>
    <s v="Rob Nelson"/>
    <s v="Cosmo"/>
    <s v="white"/>
    <s v="C2699wh"/>
    <n v="8"/>
    <n v="375"/>
    <n v="3000"/>
    <s v="N"/>
    <n v="3000"/>
  </r>
  <r>
    <n v="8"/>
    <d v="2020-01-22T00:00:00"/>
    <x v="0"/>
    <x v="1"/>
    <s v="West"/>
    <n v="132"/>
    <s v="Bankia"/>
    <s v="Lucas Adams"/>
    <s v="Flash"/>
    <s v="brown"/>
    <s v="F2248br"/>
    <n v="22"/>
    <n v="235"/>
    <n v="5170"/>
    <s v="Y"/>
    <n v="4911.5"/>
  </r>
  <r>
    <n v="9"/>
    <d v="2020-01-22T00:00:00"/>
    <x v="0"/>
    <x v="2"/>
    <s v="West"/>
    <n v="136"/>
    <s v="Telmark"/>
    <s v="Emily Flores"/>
    <s v="Urban"/>
    <s v="brown"/>
    <s v="U2683br"/>
    <n v="40"/>
    <n v="260"/>
    <n v="10400"/>
    <s v="Y"/>
    <n v="9880"/>
  </r>
  <r>
    <n v="10"/>
    <d v="2020-01-26T00:00:00"/>
    <x v="0"/>
    <x v="0"/>
    <s v="North"/>
    <n v="166"/>
    <s v="Port Royale"/>
    <s v="Dan Hill"/>
    <s v="Energy"/>
    <s v="black"/>
    <s v="E2376bl"/>
    <n v="25"/>
    <n v="350"/>
    <n v="8750"/>
    <s v="Y"/>
    <n v="8312.5"/>
  </r>
  <r>
    <n v="11"/>
    <d v="2020-01-28T00:00:00"/>
    <x v="0"/>
    <x v="5"/>
    <s v="South"/>
    <n v="157"/>
    <s v="MarkPlus"/>
    <s v="Matt Reed"/>
    <s v="Energy"/>
    <s v="black"/>
    <s v="E2376bl"/>
    <n v="33"/>
    <n v="350"/>
    <n v="11550"/>
    <s v="Y"/>
    <n v="10972.5"/>
  </r>
  <r>
    <n v="12"/>
    <d v="2020-02-04T00:00:00"/>
    <x v="1"/>
    <x v="3"/>
    <s v="South"/>
    <n v="178"/>
    <s v="Vento"/>
    <s v="Amanda Wood"/>
    <s v="Volt"/>
    <s v="white"/>
    <s v="V2944wh"/>
    <n v="15"/>
    <n v="295"/>
    <n v="4425"/>
    <s v="N"/>
    <n v="4425"/>
  </r>
  <r>
    <n v="13"/>
    <d v="2020-02-07T00:00:00"/>
    <x v="1"/>
    <x v="0"/>
    <s v="North"/>
    <n v="180"/>
    <s v="Milago"/>
    <s v="Sam Cooper"/>
    <s v="Cosmo"/>
    <s v="gray"/>
    <s v="C2699gr"/>
    <n v="10"/>
    <n v="375"/>
    <n v="3750"/>
    <s v="N"/>
    <n v="3750"/>
  </r>
  <r>
    <n v="14"/>
    <d v="2020-02-08T00:00:00"/>
    <x v="1"/>
    <x v="6"/>
    <s v="West"/>
    <n v="132"/>
    <s v="Bankia"/>
    <s v="Lucas Adams"/>
    <s v="Urban"/>
    <s v="brown"/>
    <s v="U2683br"/>
    <n v="45"/>
    <n v="260"/>
    <n v="11700"/>
    <s v="Y"/>
    <n v="11115"/>
  </r>
  <r>
    <n v="15"/>
    <d v="2020-02-10T00:00:00"/>
    <x v="1"/>
    <x v="1"/>
    <s v="West"/>
    <n v="180"/>
    <s v="Milago"/>
    <s v="Sam Cooper"/>
    <s v="Energy"/>
    <s v="white"/>
    <s v="E2376wh"/>
    <n v="32"/>
    <n v="350"/>
    <n v="11200"/>
    <s v="Y"/>
    <n v="10640"/>
  </r>
  <r>
    <n v="16"/>
    <d v="2020-02-12T00:00:00"/>
    <x v="1"/>
    <x v="3"/>
    <s v="South"/>
    <n v="166"/>
    <s v="Port Royale"/>
    <s v="Dan Hill"/>
    <s v="Energy"/>
    <s v="black"/>
    <s v="E2376bl"/>
    <n v="28"/>
    <n v="350"/>
    <n v="9800"/>
    <s v="Y"/>
    <n v="9310"/>
  </r>
  <r>
    <n v="17"/>
    <d v="2020-02-14T00:00:00"/>
    <x v="1"/>
    <x v="2"/>
    <s v="West"/>
    <n v="162"/>
    <s v="Cruise"/>
    <s v="Denise Harris"/>
    <s v="Aero"/>
    <s v="red"/>
    <s v="A2258rd"/>
    <n v="10"/>
    <n v="220"/>
    <n v="2200"/>
    <s v="N"/>
    <n v="2200"/>
  </r>
  <r>
    <n v="18"/>
    <d v="2020-02-15T00:00:00"/>
    <x v="1"/>
    <x v="0"/>
    <s v="North"/>
    <n v="136"/>
    <s v="Telmark"/>
    <s v="Emily Flores"/>
    <s v="Urban"/>
    <s v="brown"/>
    <s v="U2683br"/>
    <n v="16"/>
    <n v="260"/>
    <n v="4160"/>
    <s v="N"/>
    <n v="4160"/>
  </r>
  <r>
    <n v="19"/>
    <d v="2020-02-19T00:00:00"/>
    <x v="1"/>
    <x v="5"/>
    <s v="South"/>
    <n v="132"/>
    <s v="Bankia"/>
    <s v="Lucas Adams"/>
    <s v="Flash"/>
    <s v="brown"/>
    <s v="F2248br"/>
    <n v="35"/>
    <n v="235"/>
    <n v="8225"/>
    <s v="Y"/>
    <n v="7813.75"/>
  </r>
  <r>
    <n v="20"/>
    <d v="2020-02-21T00:00:00"/>
    <x v="1"/>
    <x v="1"/>
    <s v="West"/>
    <n v="132"/>
    <s v="Bankia"/>
    <s v="Lucas Adams"/>
    <s v="Volt"/>
    <s v="black"/>
    <s v="V2944bl"/>
    <n v="12"/>
    <n v="295"/>
    <n v="3540"/>
    <s v="N"/>
    <n v="3540"/>
  </r>
  <r>
    <n v="21"/>
    <d v="2020-02-26T00:00:00"/>
    <x v="1"/>
    <x v="3"/>
    <s v="South"/>
    <n v="136"/>
    <s v="Telmark"/>
    <s v="Emily Flores"/>
    <s v="Cosmo"/>
    <s v="gray"/>
    <s v="C2699gr"/>
    <n v="40"/>
    <n v="375"/>
    <n v="15000"/>
    <s v="Y"/>
    <n v="14250"/>
  </r>
  <r>
    <n v="22"/>
    <d v="2020-02-28T00:00:00"/>
    <x v="1"/>
    <x v="4"/>
    <s v="North"/>
    <n v="144"/>
    <s v="Affinity"/>
    <s v="Christina Bell"/>
    <s v="Energy"/>
    <s v="brown"/>
    <s v="E2376br"/>
    <n v="10"/>
    <n v="350"/>
    <n v="3500"/>
    <s v="N"/>
    <n v="3500"/>
  </r>
  <r>
    <n v="23"/>
    <d v="2020-03-01T00:00:00"/>
    <x v="2"/>
    <x v="2"/>
    <s v="West"/>
    <n v="132"/>
    <s v="Bankia"/>
    <s v="Lucas Adams"/>
    <s v="Cosmo"/>
    <s v="black"/>
    <s v="C2699bl"/>
    <n v="25"/>
    <n v="375"/>
    <n v="9375"/>
    <s v="Y"/>
    <n v="8906.25"/>
  </r>
  <r>
    <n v="24"/>
    <d v="2020-03-04T00:00:00"/>
    <x v="2"/>
    <x v="6"/>
    <s v="West"/>
    <n v="162"/>
    <s v="Cruise"/>
    <s v="Denise Harris"/>
    <s v="Urban"/>
    <s v="black"/>
    <s v="U2683bl"/>
    <n v="50"/>
    <n v="260"/>
    <n v="13000"/>
    <s v="Y"/>
    <n v="12350"/>
  </r>
  <r>
    <n v="25"/>
    <d v="2020-03-07T00:00:00"/>
    <x v="2"/>
    <x v="1"/>
    <s v="West"/>
    <n v="180"/>
    <s v="Milago"/>
    <s v="Sam Cooper"/>
    <s v="Flash"/>
    <s v="white"/>
    <s v="F2248wh"/>
    <n v="22"/>
    <n v="235"/>
    <n v="5170"/>
    <s v="Y"/>
    <n v="4911.5"/>
  </r>
  <r>
    <n v="26"/>
    <d v="2020-03-09T00:00:00"/>
    <x v="2"/>
    <x v="0"/>
    <s v="North"/>
    <n v="144"/>
    <s v="Affinity"/>
    <s v="Christina Bell"/>
    <s v="Volt"/>
    <s v="brown"/>
    <s v="V2944br"/>
    <n v="15"/>
    <n v="295"/>
    <n v="4425"/>
    <s v="N"/>
    <n v="4425"/>
  </r>
  <r>
    <n v="27"/>
    <d v="2020-03-11T00:00:00"/>
    <x v="2"/>
    <x v="4"/>
    <s v="North"/>
    <n v="166"/>
    <s v="Port Royale"/>
    <s v="Dan Hill"/>
    <s v="Aero"/>
    <s v="white"/>
    <s v="A2258wh"/>
    <n v="10"/>
    <n v="220"/>
    <n v="2200"/>
    <s v="N"/>
    <n v="2200"/>
  </r>
  <r>
    <n v="28"/>
    <d v="2020-03-12T00:00:00"/>
    <x v="2"/>
    <x v="3"/>
    <s v="South"/>
    <n v="178"/>
    <s v="Vento"/>
    <s v="Amanda Wood"/>
    <s v="Energy"/>
    <s v="black"/>
    <s v="E2376bl"/>
    <n v="20"/>
    <n v="350"/>
    <n v="7000"/>
    <s v="Y"/>
    <n v="6650"/>
  </r>
  <r>
    <n v="29"/>
    <d v="2020-03-14T00:00:00"/>
    <x v="2"/>
    <x v="6"/>
    <s v="West"/>
    <n v="157"/>
    <s v="MarkPlus"/>
    <s v="Matt Reed"/>
    <s v="Flash"/>
    <s v="gray"/>
    <s v="F2248gr"/>
    <n v="14"/>
    <n v="235"/>
    <n v="3290"/>
    <s v="N"/>
    <n v="3290"/>
  </r>
  <r>
    <n v="30"/>
    <d v="2020-03-18T00:00:00"/>
    <x v="2"/>
    <x v="1"/>
    <s v="West"/>
    <n v="152"/>
    <s v="Secspace"/>
    <s v="Rob Nelson"/>
    <s v="Aero"/>
    <s v="gray"/>
    <s v="A2258gr"/>
    <n v="28"/>
    <n v="220"/>
    <n v="6160"/>
    <s v="Y"/>
    <n v="5852"/>
  </r>
  <r>
    <n v="31"/>
    <d v="2020-03-23T00:00:00"/>
    <x v="2"/>
    <x v="6"/>
    <s v="West"/>
    <n v="162"/>
    <s v="Cruise"/>
    <s v="Denise Harris"/>
    <s v="Flash"/>
    <s v="black"/>
    <s v="F2248bl"/>
    <n v="12"/>
    <n v="235"/>
    <n v="2820"/>
    <s v="N"/>
    <n v="2820"/>
  </r>
  <r>
    <n v="32"/>
    <d v="2020-03-24T00:00:00"/>
    <x v="2"/>
    <x v="0"/>
    <s v="North"/>
    <n v="180"/>
    <s v="Milago"/>
    <s v="Sam Cooper"/>
    <s v="Volt"/>
    <s v="white"/>
    <s v="V2944wh"/>
    <n v="35"/>
    <n v="295"/>
    <n v="10325"/>
    <s v="Y"/>
    <n v="9808.75"/>
  </r>
  <r>
    <n v="33"/>
    <d v="2020-03-26T00:00:00"/>
    <x v="2"/>
    <x v="3"/>
    <s v="South"/>
    <n v="178"/>
    <s v="Vento"/>
    <s v="Amanda Wood"/>
    <s v="Cosmo"/>
    <s v="white"/>
    <s v="C2699wh"/>
    <n v="20"/>
    <n v="375"/>
    <n v="7500"/>
    <s v="Y"/>
    <n v="7125"/>
  </r>
  <r>
    <n v="34"/>
    <d v="2020-03-28T00:00:00"/>
    <x v="2"/>
    <x v="4"/>
    <s v="North"/>
    <n v="152"/>
    <s v="Secspace"/>
    <s v="Rob Nelson"/>
    <s v="Aero"/>
    <s v="gray"/>
    <s v="A2258gr"/>
    <n v="45"/>
    <n v="220"/>
    <n v="9900"/>
    <s v="Y"/>
    <n v="9405"/>
  </r>
  <r>
    <n v="35"/>
    <d v="2020-04-02T00:00:00"/>
    <x v="3"/>
    <x v="1"/>
    <s v="West"/>
    <n v="136"/>
    <s v="Telmark"/>
    <s v="Emily Flores"/>
    <s v="Cosmo"/>
    <s v="black"/>
    <s v="C2699bl"/>
    <n v="15"/>
    <n v="375"/>
    <n v="5625"/>
    <s v="N"/>
    <n v="5625"/>
  </r>
  <r>
    <n v="36"/>
    <d v="2020-04-06T00:00:00"/>
    <x v="3"/>
    <x v="6"/>
    <s v="West"/>
    <n v="132"/>
    <s v="Bankia"/>
    <s v="Lucas Adams"/>
    <s v="Energy"/>
    <s v="black"/>
    <s v="E2376bl"/>
    <n v="14"/>
    <n v="350"/>
    <n v="4900"/>
    <s v="N"/>
    <n v="4900"/>
  </r>
  <r>
    <n v="37"/>
    <d v="2020-04-07T00:00:00"/>
    <x v="3"/>
    <x v="3"/>
    <s v="South"/>
    <n v="157"/>
    <s v="MarkPlus"/>
    <s v="Matt Reed"/>
    <s v="Volt"/>
    <s v="gray"/>
    <s v="V2944gr"/>
    <n v="32"/>
    <n v="295"/>
    <n v="9440"/>
    <s v="Y"/>
    <n v="8968"/>
  </r>
  <r>
    <n v="38"/>
    <d v="2020-04-11T00:00:00"/>
    <x v="3"/>
    <x v="2"/>
    <s v="West"/>
    <n v="132"/>
    <s v="Bankia"/>
    <s v="Lucas Adams"/>
    <s v="Urban"/>
    <s v="black"/>
    <s v="U2683bl"/>
    <n v="40"/>
    <n v="260"/>
    <n v="10400"/>
    <s v="Y"/>
    <n v="9880"/>
  </r>
  <r>
    <n v="39"/>
    <d v="2020-04-12T00:00:00"/>
    <x v="3"/>
    <x v="4"/>
    <s v="North"/>
    <n v="166"/>
    <s v="Port Royale"/>
    <s v="Dan Hill"/>
    <s v="Flash"/>
    <s v="black"/>
    <s v="F2248bl"/>
    <n v="45"/>
    <n v="235"/>
    <n v="10575"/>
    <s v="Y"/>
    <n v="10046.25"/>
  </r>
  <r>
    <n v="40"/>
    <d v="2020-04-12T00:00:00"/>
    <x v="3"/>
    <x v="1"/>
    <s v="West"/>
    <n v="180"/>
    <s v="Milago"/>
    <s v="Sam Cooper"/>
    <s v="Aero"/>
    <s v="white"/>
    <s v="A2258wh"/>
    <n v="24"/>
    <n v="220"/>
    <n v="5280"/>
    <s v="Y"/>
    <n v="5016"/>
  </r>
  <r>
    <n v="41"/>
    <d v="2020-04-14T00:00:00"/>
    <x v="3"/>
    <x v="6"/>
    <s v="West"/>
    <n v="132"/>
    <s v="Bankia"/>
    <s v="Lucas Adams"/>
    <s v="Cosmo"/>
    <s v="black"/>
    <s v="C2699bl"/>
    <n v="30"/>
    <n v="375"/>
    <n v="11250"/>
    <s v="Y"/>
    <n v="10687.5"/>
  </r>
  <r>
    <n v="42"/>
    <d v="2020-04-15T00:00:00"/>
    <x v="3"/>
    <x v="6"/>
    <s v="West"/>
    <n v="144"/>
    <s v="Affinity"/>
    <s v="Christina Bell"/>
    <s v="Urban"/>
    <s v="red"/>
    <s v="U2683rd"/>
    <n v="15"/>
    <n v="260"/>
    <n v="3900"/>
    <s v="N"/>
    <n v="3900"/>
  </r>
  <r>
    <n v="43"/>
    <d v="2020-04-16T00:00:00"/>
    <x v="3"/>
    <x v="4"/>
    <s v="North"/>
    <n v="157"/>
    <s v="MarkPlus"/>
    <s v="Matt Reed"/>
    <s v="Cosmo"/>
    <s v="black"/>
    <s v="C2699bl"/>
    <n v="15"/>
    <n v="375"/>
    <n v="5625"/>
    <s v="N"/>
    <n v="5625"/>
  </r>
  <r>
    <n v="44"/>
    <d v="2020-04-19T00:00:00"/>
    <x v="3"/>
    <x v="0"/>
    <s v="North"/>
    <n v="180"/>
    <s v="Milago"/>
    <s v="Sam Cooper"/>
    <s v="Volt"/>
    <s v="brown"/>
    <s v="V2944br"/>
    <n v="42"/>
    <n v="295"/>
    <n v="12390"/>
    <s v="Y"/>
    <n v="11770.5"/>
  </r>
  <r>
    <n v="45"/>
    <d v="2020-04-20T00:00:00"/>
    <x v="3"/>
    <x v="0"/>
    <s v="North"/>
    <n v="132"/>
    <s v="Bankia"/>
    <s v="Lucas Adams"/>
    <s v="Energy"/>
    <s v="black"/>
    <s v="E2376bl"/>
    <n v="26"/>
    <n v="350"/>
    <n v="9100"/>
    <s v="Y"/>
    <n v="8645"/>
  </r>
  <r>
    <n v="46"/>
    <d v="2020-04-22T00:00:00"/>
    <x v="3"/>
    <x v="3"/>
    <s v="South"/>
    <n v="162"/>
    <s v="Cruise"/>
    <s v="Denise Harris"/>
    <s v="Urban"/>
    <s v="gray"/>
    <s v="U2683gr"/>
    <n v="35"/>
    <n v="260"/>
    <n v="9100"/>
    <s v="Y"/>
    <n v="8645"/>
  </r>
  <r>
    <n v="47"/>
    <d v="2020-04-23T00:00:00"/>
    <x v="3"/>
    <x v="4"/>
    <s v="North"/>
    <n v="144"/>
    <s v="Affinity"/>
    <s v="Christina Bell"/>
    <s v="Aero"/>
    <s v="white"/>
    <s v="A2258wh"/>
    <n v="32"/>
    <n v="220"/>
    <n v="7040"/>
    <s v="Y"/>
    <n v="6688"/>
  </r>
  <r>
    <n v="48"/>
    <d v="2020-04-27T00:00:00"/>
    <x v="3"/>
    <x v="6"/>
    <s v="West"/>
    <n v="132"/>
    <s v="Bankia"/>
    <s v="Lucas Adams"/>
    <s v="Volt"/>
    <s v="brown"/>
    <s v="V2944br"/>
    <n v="18"/>
    <n v="295"/>
    <n v="5310"/>
    <s v="N"/>
    <n v="5310"/>
  </r>
  <r>
    <n v="49"/>
    <d v="2020-04-27T00:00:00"/>
    <x v="3"/>
    <x v="3"/>
    <s v="South"/>
    <n v="180"/>
    <s v="Milago"/>
    <s v="Sam Cooper"/>
    <s v="Energy"/>
    <s v="black"/>
    <s v="E2376bl"/>
    <n v="22"/>
    <n v="350"/>
    <n v="7700"/>
    <s v="Y"/>
    <n v="7315"/>
  </r>
  <r>
    <n v="50"/>
    <d v="2020-04-30T00:00:00"/>
    <x v="3"/>
    <x v="5"/>
    <s v="South"/>
    <n v="162"/>
    <s v="Cruise"/>
    <s v="Denise Harris"/>
    <s v="Flash"/>
    <s v="gray"/>
    <s v="F2248gr"/>
    <n v="38"/>
    <n v="235"/>
    <n v="8930"/>
    <s v="Y"/>
    <n v="8483.5"/>
  </r>
  <r>
    <n v="51"/>
    <d v="2020-05-01T00:00:00"/>
    <x v="4"/>
    <x v="0"/>
    <s v="North"/>
    <n v="180"/>
    <s v="Milago"/>
    <s v="Sam Cooper"/>
    <s v="Aero"/>
    <s v="black"/>
    <s v="A2258bl"/>
    <n v="42"/>
    <n v="220"/>
    <n v="9240"/>
    <s v="Y"/>
    <n v="8778"/>
  </r>
  <r>
    <n v="52"/>
    <d v="2020-05-03T00:00:00"/>
    <x v="4"/>
    <x v="6"/>
    <s v="West"/>
    <n v="162"/>
    <s v="Cruise"/>
    <s v="Denise Harris"/>
    <s v="Volt"/>
    <s v="red"/>
    <s v="V2944rd"/>
    <n v="15"/>
    <n v="295"/>
    <n v="4425"/>
    <s v="N"/>
    <n v="4425"/>
  </r>
  <r>
    <n v="53"/>
    <d v="2020-05-07T00:00:00"/>
    <x v="4"/>
    <x v="3"/>
    <s v="South"/>
    <n v="136"/>
    <s v="Telmark"/>
    <s v="Emily Flores"/>
    <s v="Cosmo"/>
    <s v="gray"/>
    <s v="C2699gr"/>
    <n v="10"/>
    <n v="375"/>
    <n v="3750"/>
    <s v="N"/>
    <n v="3750"/>
  </r>
  <r>
    <n v="54"/>
    <d v="2020-05-08T00:00:00"/>
    <x v="4"/>
    <x v="2"/>
    <s v="West"/>
    <n v="136"/>
    <s v="Telmark"/>
    <s v="Emily Flores"/>
    <s v="Flash"/>
    <s v="black"/>
    <s v="F2248bl"/>
    <n v="26"/>
    <n v="235"/>
    <n v="6110"/>
    <s v="Y"/>
    <n v="5804.5"/>
  </r>
  <r>
    <n v="55"/>
    <d v="2020-05-12T00:00:00"/>
    <x v="4"/>
    <x v="4"/>
    <s v="North"/>
    <n v="152"/>
    <s v="Secspace"/>
    <s v="Rob Nelson"/>
    <s v="Flash"/>
    <s v="red"/>
    <s v="F2248rd"/>
    <n v="40"/>
    <n v="235"/>
    <n v="9400"/>
    <s v="Y"/>
    <n v="8930"/>
  </r>
  <r>
    <n v="56"/>
    <d v="2020-05-13T00:00:00"/>
    <x v="4"/>
    <x v="5"/>
    <s v="South"/>
    <n v="180"/>
    <s v="Milago"/>
    <s v="Sam Cooper"/>
    <s v="Urban"/>
    <s v="black"/>
    <s v="U2683bl"/>
    <n v="30"/>
    <n v="260"/>
    <n v="7800"/>
    <s v="Y"/>
    <n v="7410"/>
  </r>
  <r>
    <n v="57"/>
    <d v="2020-05-15T00:00:00"/>
    <x v="4"/>
    <x v="3"/>
    <s v="South"/>
    <n v="152"/>
    <s v="Secspace"/>
    <s v="Rob Nelson"/>
    <s v="Energy"/>
    <s v="gray"/>
    <s v="E2376gr"/>
    <n v="26"/>
    <n v="350"/>
    <n v="9100"/>
    <s v="Y"/>
    <n v="8645"/>
  </r>
  <r>
    <n v="58"/>
    <d v="2020-05-17T00:00:00"/>
    <x v="4"/>
    <x v="4"/>
    <s v="North"/>
    <n v="132"/>
    <s v="Bankia"/>
    <s v="Lucas Adams"/>
    <s v="Volt"/>
    <s v="black"/>
    <s v="V2944bl"/>
    <n v="18"/>
    <n v="295"/>
    <n v="5310"/>
    <s v="N"/>
    <n v="5310"/>
  </r>
  <r>
    <n v="59"/>
    <d v="2020-05-19T00:00:00"/>
    <x v="4"/>
    <x v="2"/>
    <s v="West"/>
    <n v="180"/>
    <s v="Milago"/>
    <s v="Sam Cooper"/>
    <s v="Flash"/>
    <s v="gray"/>
    <s v="F2248gr"/>
    <n v="22"/>
    <n v="235"/>
    <n v="5170"/>
    <s v="Y"/>
    <n v="4911.5"/>
  </r>
  <r>
    <n v="60"/>
    <d v="2020-05-21T00:00:00"/>
    <x v="4"/>
    <x v="3"/>
    <s v="South"/>
    <n v="144"/>
    <s v="Affinity"/>
    <s v="Christina Bell"/>
    <s v="Energy"/>
    <s v="black"/>
    <s v="E2376bl"/>
    <n v="42"/>
    <n v="350"/>
    <n v="14700"/>
    <s v="Y"/>
    <n v="13965"/>
  </r>
  <r>
    <n v="61"/>
    <d v="2020-05-21T00:00:00"/>
    <x v="4"/>
    <x v="6"/>
    <s v="West"/>
    <n v="162"/>
    <s v="Cruise"/>
    <s v="Denise Harris"/>
    <s v="Energy"/>
    <s v="white"/>
    <s v="E2376wh"/>
    <n v="45"/>
    <n v="350"/>
    <n v="15750"/>
    <s v="Y"/>
    <n v="14962.5"/>
  </r>
  <r>
    <n v="62"/>
    <d v="2020-05-24T00:00:00"/>
    <x v="4"/>
    <x v="3"/>
    <s v="South"/>
    <n v="132"/>
    <s v="Bankia"/>
    <s v="Lucas Adams"/>
    <s v="Volt"/>
    <s v="red"/>
    <s v="V2944rd"/>
    <n v="20"/>
    <n v="295"/>
    <n v="5900"/>
    <s v="Y"/>
    <n v="5605"/>
  </r>
  <r>
    <n v="63"/>
    <d v="2020-05-26T00:00:00"/>
    <x v="4"/>
    <x v="0"/>
    <s v="North"/>
    <n v="136"/>
    <s v="Telmark"/>
    <s v="Emily Flores"/>
    <s v="Volt"/>
    <s v="black"/>
    <s v="V2944bl"/>
    <n v="22"/>
    <n v="295"/>
    <n v="6490"/>
    <s v="Y"/>
    <n v="6165.5"/>
  </r>
  <r>
    <n v="64"/>
    <d v="2020-05-27T00:00:00"/>
    <x v="4"/>
    <x v="5"/>
    <s v="South"/>
    <n v="157"/>
    <s v="MarkPlus"/>
    <s v="Matt Reed"/>
    <s v="Aero"/>
    <s v="white"/>
    <s v="A2258wh"/>
    <n v="15"/>
    <n v="220"/>
    <n v="3300"/>
    <s v="N"/>
    <n v="3300"/>
  </r>
  <r>
    <n v="65"/>
    <d v="2020-05-28T00:00:00"/>
    <x v="4"/>
    <x v="4"/>
    <s v="North"/>
    <n v="132"/>
    <s v="Bankia"/>
    <s v="Lucas Adams"/>
    <s v="Flash"/>
    <s v="brown"/>
    <s v="F2248br"/>
    <n v="35"/>
    <n v="235"/>
    <n v="8225"/>
    <s v="Y"/>
    <n v="7813.75"/>
  </r>
  <r>
    <n v="66"/>
    <d v="2020-06-02T00:00:00"/>
    <x v="5"/>
    <x v="5"/>
    <s v="South"/>
    <n v="178"/>
    <s v="Vento"/>
    <s v="Amanda Wood"/>
    <s v="Cosmo"/>
    <s v="gray"/>
    <s v="C2699gr"/>
    <n v="33"/>
    <n v="375"/>
    <n v="12375"/>
    <s v="Y"/>
    <n v="11756.25"/>
  </r>
  <r>
    <n v="67"/>
    <d v="2020-06-05T00:00:00"/>
    <x v="5"/>
    <x v="3"/>
    <s v="South"/>
    <n v="144"/>
    <s v="Affinity"/>
    <s v="Christina Bell"/>
    <s v="Urban"/>
    <s v="black"/>
    <s v="U2683bl"/>
    <n v="22"/>
    <n v="260"/>
    <n v="5720"/>
    <s v="Y"/>
    <n v="5434"/>
  </r>
  <r>
    <n v="68"/>
    <d v="2020-06-05T00:00:00"/>
    <x v="5"/>
    <x v="5"/>
    <s v="South"/>
    <n v="136"/>
    <s v="Telmark"/>
    <s v="Emily Flores"/>
    <s v="Urban"/>
    <s v="gray"/>
    <s v="U2683gr"/>
    <n v="26"/>
    <n v="260"/>
    <n v="6760"/>
    <s v="Y"/>
    <n v="6422"/>
  </r>
  <r>
    <n v="69"/>
    <d v="2020-06-08T00:00:00"/>
    <x v="5"/>
    <x v="0"/>
    <s v="North"/>
    <n v="132"/>
    <s v="Bankia"/>
    <s v="Lucas Adams"/>
    <s v="Aero"/>
    <s v="red"/>
    <s v="A2258rd"/>
    <n v="16"/>
    <n v="220"/>
    <n v="3520"/>
    <s v="N"/>
    <n v="3520"/>
  </r>
  <r>
    <n v="70"/>
    <d v="2020-06-09T00:00:00"/>
    <x v="5"/>
    <x v="6"/>
    <s v="West"/>
    <n v="178"/>
    <s v="Vento"/>
    <s v="Amanda Wood"/>
    <s v="Volt"/>
    <s v="black"/>
    <s v="V2944bl"/>
    <n v="10"/>
    <n v="295"/>
    <n v="2950"/>
    <s v="N"/>
    <n v="2950"/>
  </r>
  <r>
    <n v="71"/>
    <d v="2020-06-09T00:00:00"/>
    <x v="5"/>
    <x v="2"/>
    <s v="West"/>
    <n v="162"/>
    <s v="Cruise"/>
    <s v="Denise Harris"/>
    <s v="Urban"/>
    <s v="black"/>
    <s v="U2683bl"/>
    <n v="40"/>
    <n v="260"/>
    <n v="10400"/>
    <s v="Y"/>
    <n v="9880"/>
  </r>
  <r>
    <n v="72"/>
    <d v="2020-06-12T00:00:00"/>
    <x v="5"/>
    <x v="1"/>
    <s v="West"/>
    <n v="157"/>
    <s v="MarkPlus"/>
    <s v="Matt Reed"/>
    <s v="Flash"/>
    <s v="brown"/>
    <s v="F2248br"/>
    <n v="15"/>
    <n v="235"/>
    <n v="3525"/>
    <s v="N"/>
    <n v="3525"/>
  </r>
  <r>
    <n v="73"/>
    <d v="2020-06-14T00:00:00"/>
    <x v="5"/>
    <x v="4"/>
    <s v="North"/>
    <n v="132"/>
    <s v="Bankia"/>
    <s v="Lucas Adams"/>
    <s v="Cosmo"/>
    <s v="gray"/>
    <s v="C2699gr"/>
    <n v="25"/>
    <n v="375"/>
    <n v="9375"/>
    <s v="Y"/>
    <n v="8906.25"/>
  </r>
  <r>
    <n v="74"/>
    <d v="1900-06-15T00:00:00"/>
    <x v="5"/>
    <x v="0"/>
    <s v="North"/>
    <n v="144"/>
    <s v="Affinity"/>
    <s v="Christina Bell"/>
    <s v="Volt"/>
    <s v="gray"/>
    <s v="V2944gr"/>
    <n v="20"/>
    <n v="295"/>
    <n v="5900"/>
    <s v="Y"/>
    <n v="5605"/>
  </r>
  <r>
    <n v="75"/>
    <d v="2020-06-18T00:00:00"/>
    <x v="5"/>
    <x v="5"/>
    <s v="South"/>
    <n v="166"/>
    <s v="Port Royale"/>
    <s v="Dan Hill"/>
    <s v="Urban"/>
    <s v="red"/>
    <s v="U2683rd"/>
    <n v="35"/>
    <n v="260"/>
    <n v="9100"/>
    <s v="Y"/>
    <n v="8645"/>
  </r>
  <r>
    <n v="76"/>
    <d v="2020-06-23T00:00:00"/>
    <x v="5"/>
    <x v="3"/>
    <s v="South"/>
    <n v="178"/>
    <s v="Vento"/>
    <s v="Amanda Wood"/>
    <s v="Energy"/>
    <s v="black"/>
    <s v="E2376bl"/>
    <n v="22"/>
    <n v="350"/>
    <n v="7700"/>
    <s v="Y"/>
    <n v="7315"/>
  </r>
  <r>
    <n v="77"/>
    <d v="2020-06-24T00:00:00"/>
    <x v="5"/>
    <x v="1"/>
    <s v="West"/>
    <n v="166"/>
    <s v="Port Royale"/>
    <s v="Dan Hill"/>
    <s v="Aero"/>
    <s v="white"/>
    <s v="A2258wh"/>
    <n v="16"/>
    <n v="220"/>
    <n v="3520"/>
    <s v="N"/>
    <n v="3520"/>
  </r>
  <r>
    <n v="78"/>
    <d v="2020-06-27T00:00:00"/>
    <x v="5"/>
    <x v="2"/>
    <s v="West"/>
    <n v="162"/>
    <s v="Cruise"/>
    <s v="Denise Harris"/>
    <s v="Volt"/>
    <s v="black"/>
    <s v="V2944bl"/>
    <n v="50"/>
    <n v="295"/>
    <n v="14750"/>
    <s v="Y"/>
    <n v="14012.5"/>
  </r>
  <r>
    <n v="79"/>
    <d v="2020-06-29T00:00:00"/>
    <x v="5"/>
    <x v="4"/>
    <s v="North"/>
    <n v="178"/>
    <s v="Vento"/>
    <s v="Amanda Wood"/>
    <s v="Cosmo"/>
    <s v="gray"/>
    <s v="C2699gr"/>
    <n v="32"/>
    <n v="375"/>
    <n v="12000"/>
    <s v="Y"/>
    <n v="11400"/>
  </r>
  <r>
    <n v="80"/>
    <d v="2020-06-29T00:00:00"/>
    <x v="5"/>
    <x v="1"/>
    <s v="West"/>
    <n v="136"/>
    <s v="Telmark"/>
    <s v="Emily Flores"/>
    <s v="Flash"/>
    <s v="white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A0FB1-0DA8-4DCE-B866-CC1022DD90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2" firstHeaderRow="1" firstDataRow="2" firstDataCol="1"/>
  <pivotFields count="16">
    <pivotField showAll="0"/>
    <pivotField numFmtId="14" showAll="0"/>
    <pivotField axis="axisCol" showAll="0">
      <items count="7">
        <item x="0"/>
        <item x="1"/>
        <item h="1" x="2"/>
        <item h="1" x="3"/>
        <item h="1" x="4"/>
        <item h="1" x="5"/>
        <item t="default"/>
      </items>
    </pivotField>
    <pivotField axis="axisRow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numFmtId="16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final price" fld="1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136FD-BB6C-4358-A605-8CD5486FB528}" name="Table1" displayName="Table1" ref="A4:T85" totalsRowCount="1" headerRowDxfId="33">
  <autoFilter ref="A4:T84" xr:uid="{817136FD-BB6C-4358-A605-8CD5486FB528}"/>
  <tableColumns count="20">
    <tableColumn id="1" xr3:uid="{E4655766-468A-48E7-8F6B-C236AFC0D452}" name="Num"/>
    <tableColumn id="2" xr3:uid="{BC19DD5C-A89E-4EE6-AC1C-6A24FDBCF95C}" name="date" dataDxfId="32" totalsRowDxfId="13"/>
    <tableColumn id="3" xr3:uid="{6EB5489F-F4C1-4269-B5AD-B87AB9C747BD}" name="month" dataDxfId="31" totalsRowDxfId="12"/>
    <tableColumn id="4" xr3:uid="{83E9BFE7-70BD-416E-88E6-66A9C3D2DF7F}" name="sales rep" dataDxfId="30" totalsRowDxfId="11"/>
    <tableColumn id="5" xr3:uid="{EDC71CB5-E3DE-4005-A2FB-5DA8EC658D9E}" name="region" totalsRowFunction="custom" dataDxfId="29" totalsRowDxfId="10">
      <totalsRowFormula>COUNTIF(Table1[region], "north")</totalsRowFormula>
    </tableColumn>
    <tableColumn id="6" xr3:uid="{11B7033B-362F-4E4E-AAE7-DD24E75F6DA1}" name="customer id" totalsRowFunction="custom" dataDxfId="28" totalsRowDxfId="9">
      <totalsRowFormula>COUNTIFS(Table1[customer id], "&gt;150",Table1[region],"north")</totalsRowFormula>
    </tableColumn>
    <tableColumn id="15" xr3:uid="{60F08AED-63A3-4E2A-8AA6-879896AFEE81}" name="company name" dataDxfId="27" totalsRowDxfId="8">
      <calculatedColumnFormula>VLOOKUP(Table1[[#This Row],[customer id]],'Customer Info'!$A$4:$C$12,2,FALSE)</calculatedColumnFormula>
    </tableColumn>
    <tableColumn id="16" xr3:uid="{39826978-BB9C-48BA-8E96-F57DB402EE73}" name="representatives" dataDxfId="26" totalsRowDxfId="7">
      <calculatedColumnFormula>VLOOKUP(Table1[[#This Row],[customer id]],'Customer Info'!$A$4:$C$12,3,FALSE)</calculatedColumnFormula>
    </tableColumn>
    <tableColumn id="7" xr3:uid="{1BEC216A-1D40-4FCB-95FF-A6E44A9E7BFA}" name="Column1"/>
    <tableColumn id="8" xr3:uid="{E5737A1A-20EE-4E73-ACCF-C2BF1FEEE807}" name="color"/>
    <tableColumn id="19" xr3:uid="{A76ADDE9-7C6C-4766-965C-0BA83299CA6D}" name="Column2"/>
    <tableColumn id="24" xr3:uid="{67EC5310-5D3E-44A8-97CF-83B5DCBE9401}" name="Column22" dataDxfId="25" totalsRowDxfId="6">
      <calculatedColumnFormula>LEFT(K5,SEARCH(" ",K5,1))</calculatedColumnFormula>
    </tableColumn>
    <tableColumn id="23" xr3:uid="{5796F5FC-7195-4548-A911-C874086B5E00}" name="Column3" dataDxfId="24" totalsRowDxfId="5">
      <calculatedColumnFormula>RIGHT(K5,LEN(K5)-SEARCH(" ",K5,1))</calculatedColumnFormula>
    </tableColumn>
    <tableColumn id="9" xr3:uid="{3A548BFE-1DAD-4E4F-985B-15C2DC3E55BE}" name="item code"/>
    <tableColumn id="10" xr3:uid="{187EEFC9-6C8C-48F2-B5B6-4BED087DF074}" name="number" totalsRowFunction="sum"/>
    <tableColumn id="11" xr3:uid="{ABCC3A4E-9F0A-4BE3-96B4-9C62325536E0}" name="price / unit" totalsRowFunction="custom" dataDxfId="21" totalsRowDxfId="4">
      <totalsRowFormula>SUMIF(Table1[price / unit],"&gt;300")</totalsRowFormula>
    </tableColumn>
    <tableColumn id="17" xr3:uid="{CD10736D-24F6-4AAB-BECF-D698649F346A}" name="Column4" dataDxfId="19" totalsRowDxfId="3">
      <calculatedColumnFormula>_xlfn.IFS(P5 &gt; 300, "expensive", 300&gt; P5&gt;200, "good", P5&lt;=200, "poor")</calculatedColumnFormula>
    </tableColumn>
    <tableColumn id="12" xr3:uid="{68FFCBF5-7C19-4B6A-96EC-764AA791D745}" name="total" dataDxfId="20" totalsRowDxfId="2"/>
    <tableColumn id="13" xr3:uid="{7668278F-43E8-46B6-8F9D-1FF834BB2CE0}" name="discount" dataDxfId="23" totalsRowDxfId="1">
      <calculatedColumnFormula>IF(Table1[[#This Row],[number]]&gt;=20,"Y","N")</calculatedColumnFormula>
    </tableColumn>
    <tableColumn id="14" xr3:uid="{7D064AFA-99CE-415A-8D3E-F9F16233EBEC}" name="final price" dataDxfId="22" totalsRowDxfId="0">
      <calculatedColumnFormula>IF(Table1[[#This Row],[number]]&gt;=20,0.95*Table1[[#This Row],[total]],Table1[[#This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612F-2159-49CD-8BF1-1ECD1DC6663D}">
  <dimension ref="A3:D12"/>
  <sheetViews>
    <sheetView workbookViewId="0">
      <selection activeCell="B12" sqref="B12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9" bestFit="1" customWidth="1"/>
    <col min="4" max="4" width="11.28515625" bestFit="1" customWidth="1"/>
    <col min="5" max="6" width="10" bestFit="1" customWidth="1"/>
    <col min="7" max="7" width="9" bestFit="1" customWidth="1"/>
    <col min="8" max="8" width="11.28515625" bestFit="1" customWidth="1"/>
  </cols>
  <sheetData>
    <row r="3" spans="1:4" x14ac:dyDescent="0.25">
      <c r="A3" s="16" t="s">
        <v>77</v>
      </c>
      <c r="B3" s="16" t="s">
        <v>80</v>
      </c>
    </row>
    <row r="4" spans="1:4" x14ac:dyDescent="0.25">
      <c r="A4" s="16" t="s">
        <v>78</v>
      </c>
      <c r="B4" t="s">
        <v>4</v>
      </c>
      <c r="C4" t="s">
        <v>31</v>
      </c>
      <c r="D4" t="s">
        <v>79</v>
      </c>
    </row>
    <row r="5" spans="1:4" x14ac:dyDescent="0.25">
      <c r="A5" s="5" t="s">
        <v>10</v>
      </c>
      <c r="B5" s="19">
        <v>10345.5</v>
      </c>
      <c r="C5" s="19">
        <v>14180</v>
      </c>
      <c r="D5" s="19">
        <v>24525.5</v>
      </c>
    </row>
    <row r="6" spans="1:4" x14ac:dyDescent="0.25">
      <c r="A6" s="5" t="s">
        <v>26</v>
      </c>
      <c r="B6" s="19">
        <v>13972.5</v>
      </c>
      <c r="C6" s="19">
        <v>7813.75</v>
      </c>
      <c r="D6" s="19">
        <v>21786.25</v>
      </c>
    </row>
    <row r="7" spans="1:4" x14ac:dyDescent="0.25">
      <c r="A7" s="5" t="s">
        <v>34</v>
      </c>
      <c r="B7" s="19"/>
      <c r="C7" s="19">
        <v>11115</v>
      </c>
      <c r="D7" s="19">
        <v>11115</v>
      </c>
    </row>
    <row r="8" spans="1:4" x14ac:dyDescent="0.25">
      <c r="A8" s="5" t="s">
        <v>5</v>
      </c>
      <c r="B8" s="19">
        <v>20805.5</v>
      </c>
      <c r="C8" s="19">
        <v>7910</v>
      </c>
      <c r="D8" s="19">
        <v>28715.5</v>
      </c>
    </row>
    <row r="9" spans="1:4" x14ac:dyDescent="0.25">
      <c r="A9" s="5" t="s">
        <v>18</v>
      </c>
      <c r="B9" s="19">
        <v>6697.5</v>
      </c>
      <c r="C9" s="19">
        <v>27985</v>
      </c>
      <c r="D9" s="19">
        <v>34682.5</v>
      </c>
    </row>
    <row r="10" spans="1:4" x14ac:dyDescent="0.25">
      <c r="A10" s="5" t="s">
        <v>15</v>
      </c>
      <c r="B10" s="19">
        <v>15480</v>
      </c>
      <c r="C10" s="19">
        <v>2200</v>
      </c>
      <c r="D10" s="19">
        <v>17680</v>
      </c>
    </row>
    <row r="11" spans="1:4" x14ac:dyDescent="0.25">
      <c r="A11" s="5" t="s">
        <v>24</v>
      </c>
      <c r="B11" s="19">
        <v>4900</v>
      </c>
      <c r="C11" s="19">
        <v>3500</v>
      </c>
      <c r="D11" s="19">
        <v>8400</v>
      </c>
    </row>
    <row r="12" spans="1:4" x14ac:dyDescent="0.25">
      <c r="A12" s="5" t="s">
        <v>79</v>
      </c>
      <c r="B12" s="19">
        <v>72201</v>
      </c>
      <c r="C12" s="19">
        <v>74703.75</v>
      </c>
      <c r="D12" s="19">
        <v>146904.75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T88"/>
  <sheetViews>
    <sheetView tabSelected="1" topLeftCell="E76" workbookViewId="0">
      <selection activeCell="M88" sqref="M88"/>
    </sheetView>
  </sheetViews>
  <sheetFormatPr defaultColWidth="8.85546875" defaultRowHeight="15" x14ac:dyDescent="0.25"/>
  <cols>
    <col min="1" max="1" width="8" customWidth="1"/>
    <col min="2" max="2" width="10.42578125" bestFit="1" customWidth="1"/>
    <col min="3" max="3" width="9.140625" customWidth="1"/>
    <col min="4" max="4" width="13.7109375" bestFit="1" customWidth="1"/>
    <col min="5" max="5" width="9.28515625" customWidth="1"/>
    <col min="6" max="8" width="14" customWidth="1"/>
    <col min="9" max="10" width="9" customWidth="1"/>
    <col min="11" max="11" width="13.85546875" bestFit="1" customWidth="1"/>
    <col min="12" max="13" width="13.85546875" customWidth="1"/>
    <col min="14" max="14" width="12.28515625" customWidth="1"/>
    <col min="15" max="15" width="10.42578125" customWidth="1"/>
    <col min="16" max="16" width="13.140625" customWidth="1"/>
    <col min="17" max="17" width="13.140625" style="20" customWidth="1"/>
    <col min="18" max="18" width="11.140625" bestFit="1" customWidth="1"/>
    <col min="20" max="20" width="10.140625" style="4" bestFit="1" customWidth="1"/>
  </cols>
  <sheetData>
    <row r="1" spans="1:20" ht="21" x14ac:dyDescent="0.35">
      <c r="A1" s="1" t="s">
        <v>0</v>
      </c>
    </row>
    <row r="2" spans="1:20" ht="21" x14ac:dyDescent="0.35">
      <c r="A2" s="1" t="s">
        <v>1</v>
      </c>
    </row>
    <row r="4" spans="1:20" x14ac:dyDescent="0.25">
      <c r="A4" s="2" t="s">
        <v>2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2" t="s">
        <v>82</v>
      </c>
      <c r="J4" s="2" t="s">
        <v>90</v>
      </c>
      <c r="K4" s="2" t="s">
        <v>96</v>
      </c>
      <c r="L4" s="2" t="s">
        <v>125</v>
      </c>
      <c r="M4" s="2" t="s">
        <v>124</v>
      </c>
      <c r="N4" s="2" t="s">
        <v>91</v>
      </c>
      <c r="O4" s="2" t="s">
        <v>92</v>
      </c>
      <c r="P4" s="2" t="s">
        <v>93</v>
      </c>
      <c r="Q4" s="20" t="s">
        <v>126</v>
      </c>
      <c r="R4" s="2" t="s">
        <v>94</v>
      </c>
      <c r="S4" s="2" t="s">
        <v>95</v>
      </c>
      <c r="T4" s="15" t="s">
        <v>76</v>
      </c>
    </row>
    <row r="5" spans="1:20" x14ac:dyDescent="0.25">
      <c r="A5">
        <v>7</v>
      </c>
      <c r="B5" s="17">
        <v>43848</v>
      </c>
      <c r="C5" s="2" t="s">
        <v>4</v>
      </c>
      <c r="D5" s="5" t="s">
        <v>26</v>
      </c>
      <c r="E5" s="2" t="s">
        <v>19</v>
      </c>
      <c r="F5" s="2">
        <v>152</v>
      </c>
      <c r="G5" s="2" t="str">
        <f>VLOOKUP(Table1[[#This Row],[customer id]],'Customer Info'!$A$4:$C$12,2,FALSE)</f>
        <v>Secspace</v>
      </c>
      <c r="H5" s="2" t="str">
        <f>VLOOKUP(Table1[[#This Row],[customer id]],'Customer Info'!$A$4:$C$12,3,FALSE)</f>
        <v>Rob Nelson</v>
      </c>
      <c r="I5" t="s">
        <v>27</v>
      </c>
      <c r="J5" t="s">
        <v>28</v>
      </c>
      <c r="K5" t="s">
        <v>102</v>
      </c>
      <c r="L5" t="str">
        <f>LEFT(K5,SEARCH(" ",K5,1))</f>
        <v xml:space="preserve">cosmo </v>
      </c>
      <c r="M5" t="str">
        <f>RIGHT(K5,LEN(K5)-SEARCH(" ",K5,1))</f>
        <v>white</v>
      </c>
      <c r="N5" t="s">
        <v>29</v>
      </c>
      <c r="O5">
        <v>8</v>
      </c>
      <c r="P5" s="4">
        <v>375</v>
      </c>
      <c r="Q5" s="21" t="str">
        <f t="shared" ref="Q5:Q36" si="0">_xlfn.IFS(P5 &gt; 300, "expensive", 300&gt; P5&gt;200, "good", P5&lt;=200, "poor")</f>
        <v>expensive</v>
      </c>
      <c r="R5" s="4">
        <v>3000</v>
      </c>
      <c r="S5" t="str">
        <f>IF(Table1[[#This Row],[number]]&gt;=20,"Y","N")</f>
        <v>N</v>
      </c>
      <c r="T5" s="4">
        <f>IF(Table1[[#This Row],[number]]&gt;=20,0.95*Table1[[#This Row],[total]],Table1[[#This Row],[total]])</f>
        <v>3000</v>
      </c>
    </row>
    <row r="6" spans="1:20" x14ac:dyDescent="0.25">
      <c r="A6">
        <v>17</v>
      </c>
      <c r="B6" s="17">
        <v>43875</v>
      </c>
      <c r="C6" s="2" t="s">
        <v>31</v>
      </c>
      <c r="D6" s="5" t="s">
        <v>15</v>
      </c>
      <c r="E6" s="2" t="s">
        <v>11</v>
      </c>
      <c r="F6" s="2">
        <v>162</v>
      </c>
      <c r="G6" s="2" t="str">
        <f>VLOOKUP(Table1[[#This Row],[customer id]],'Customer Info'!$A$4:$C$12,2,FALSE)</f>
        <v>Cruise</v>
      </c>
      <c r="H6" s="2" t="str">
        <f>VLOOKUP(Table1[[#This Row],[customer id]],'Customer Info'!$A$4:$C$12,3,FALSE)</f>
        <v>Denise Harris</v>
      </c>
      <c r="I6" t="s">
        <v>36</v>
      </c>
      <c r="J6" t="s">
        <v>13</v>
      </c>
      <c r="K6" t="s">
        <v>108</v>
      </c>
      <c r="L6" t="str">
        <f>LEFT(K6,SEARCH(" ",K6,1))</f>
        <v xml:space="preserve">aero </v>
      </c>
      <c r="M6" t="str">
        <f>RIGHT(K6,LEN(K6)-SEARCH(" ",K6,1))</f>
        <v>red</v>
      </c>
      <c r="N6" t="s">
        <v>37</v>
      </c>
      <c r="O6">
        <v>10</v>
      </c>
      <c r="P6" s="4">
        <v>220</v>
      </c>
      <c r="Q6" s="21" t="str">
        <f t="shared" si="0"/>
        <v>good</v>
      </c>
      <c r="R6" s="4">
        <v>2200</v>
      </c>
      <c r="S6" t="str">
        <f>IF(Table1[[#This Row],[number]]&gt;=20,"Y","N")</f>
        <v>N</v>
      </c>
      <c r="T6" s="4">
        <f>IF(Table1[[#This Row],[number]]&gt;=20,0.95*Table1[[#This Row],[total]],Table1[[#This Row],[total]])</f>
        <v>2200</v>
      </c>
    </row>
    <row r="7" spans="1:20" x14ac:dyDescent="0.25">
      <c r="A7">
        <v>27</v>
      </c>
      <c r="B7" s="17">
        <v>43901</v>
      </c>
      <c r="C7" s="2" t="s">
        <v>39</v>
      </c>
      <c r="D7" s="5" t="s">
        <v>24</v>
      </c>
      <c r="E7" s="2" t="s">
        <v>6</v>
      </c>
      <c r="F7" s="2">
        <v>166</v>
      </c>
      <c r="G7" s="2" t="str">
        <f>VLOOKUP(Table1[[#This Row],[customer id]],'Customer Info'!$A$4:$C$12,2,FALSE)</f>
        <v>Port Royale</v>
      </c>
      <c r="H7" s="2" t="str">
        <f>VLOOKUP(Table1[[#This Row],[customer id]],'Customer Info'!$A$4:$C$12,3,FALSE)</f>
        <v>Dan Hill</v>
      </c>
      <c r="I7" t="s">
        <v>36</v>
      </c>
      <c r="J7" t="s">
        <v>28</v>
      </c>
      <c r="K7" t="s">
        <v>114</v>
      </c>
      <c r="L7" t="str">
        <f>LEFT(K7,SEARCH(" ",K7,1))</f>
        <v xml:space="preserve">aero </v>
      </c>
      <c r="M7" t="str">
        <f>RIGHT(K7,LEN(K7)-SEARCH(" ",K7,1))</f>
        <v>white</v>
      </c>
      <c r="N7" t="s">
        <v>44</v>
      </c>
      <c r="O7">
        <v>10</v>
      </c>
      <c r="P7" s="4">
        <v>220</v>
      </c>
      <c r="Q7" s="21" t="str">
        <f t="shared" si="0"/>
        <v>good</v>
      </c>
      <c r="R7" s="4">
        <v>2200</v>
      </c>
      <c r="S7" t="str">
        <f>IF(Table1[[#This Row],[number]]&gt;=20,"Y","N")</f>
        <v>N</v>
      </c>
      <c r="T7" s="4">
        <f>IF(Table1[[#This Row],[number]]&gt;=20,0.95*Table1[[#This Row],[total]],Table1[[#This Row],[total]])</f>
        <v>2200</v>
      </c>
    </row>
    <row r="8" spans="1:20" x14ac:dyDescent="0.25">
      <c r="A8">
        <v>31</v>
      </c>
      <c r="B8" s="17">
        <v>43913</v>
      </c>
      <c r="C8" s="2" t="s">
        <v>39</v>
      </c>
      <c r="D8" s="5" t="s">
        <v>34</v>
      </c>
      <c r="E8" s="2" t="s">
        <v>11</v>
      </c>
      <c r="F8" s="2">
        <v>162</v>
      </c>
      <c r="G8" s="2" t="str">
        <f>VLOOKUP(Table1[[#This Row],[customer id]],'Customer Info'!$A$4:$C$12,2,FALSE)</f>
        <v>Cruise</v>
      </c>
      <c r="H8" s="2" t="str">
        <f>VLOOKUP(Table1[[#This Row],[customer id]],'Customer Info'!$A$4:$C$12,3,FALSE)</f>
        <v>Denise Harris</v>
      </c>
      <c r="I8" t="s">
        <v>7</v>
      </c>
      <c r="J8" t="s">
        <v>8</v>
      </c>
      <c r="K8" t="s">
        <v>97</v>
      </c>
      <c r="L8" t="str">
        <f>LEFT(K8,SEARCH(" ",K8,1))</f>
        <v xml:space="preserve">flash </v>
      </c>
      <c r="M8" t="str">
        <f>RIGHT(K8,LEN(K8)-SEARCH(" ",K8,1))</f>
        <v>black</v>
      </c>
      <c r="N8" t="s">
        <v>9</v>
      </c>
      <c r="O8">
        <v>12</v>
      </c>
      <c r="P8" s="4">
        <v>235</v>
      </c>
      <c r="Q8" s="21" t="str">
        <f t="shared" si="0"/>
        <v>good</v>
      </c>
      <c r="R8" s="4">
        <v>2820</v>
      </c>
      <c r="S8" t="str">
        <f>IF(Table1[[#This Row],[number]]&gt;=20,"Y","N")</f>
        <v>N</v>
      </c>
      <c r="T8" s="4">
        <f>IF(Table1[[#This Row],[number]]&gt;=20,0.95*Table1[[#This Row],[total]],Table1[[#This Row],[total]])</f>
        <v>2820</v>
      </c>
    </row>
    <row r="9" spans="1:20" x14ac:dyDescent="0.25">
      <c r="A9">
        <v>70</v>
      </c>
      <c r="B9" s="17">
        <v>43991</v>
      </c>
      <c r="C9" s="2" t="s">
        <v>54</v>
      </c>
      <c r="D9" s="5" t="s">
        <v>34</v>
      </c>
      <c r="E9" s="2" t="s">
        <v>11</v>
      </c>
      <c r="F9" s="2">
        <v>178</v>
      </c>
      <c r="G9" s="2" t="str">
        <f>VLOOKUP(Table1[[#This Row],[customer id]],'Customer Info'!$A$4:$C$12,2,FALSE)</f>
        <v>Vento</v>
      </c>
      <c r="H9" s="2" t="str">
        <f>VLOOKUP(Table1[[#This Row],[customer id]],'Customer Info'!$A$4:$C$12,3,FALSE)</f>
        <v>Amanda Wood</v>
      </c>
      <c r="I9" t="s">
        <v>22</v>
      </c>
      <c r="J9" t="s">
        <v>8</v>
      </c>
      <c r="K9" t="s">
        <v>109</v>
      </c>
      <c r="L9" t="str">
        <f>LEFT(K9,SEARCH(" ",K9,1))</f>
        <v xml:space="preserve">volt </v>
      </c>
      <c r="M9" t="str">
        <f>RIGHT(K9,LEN(K9)-SEARCH(" ",K9,1))</f>
        <v>black</v>
      </c>
      <c r="N9" t="s">
        <v>38</v>
      </c>
      <c r="O9">
        <v>10</v>
      </c>
      <c r="P9" s="4">
        <v>295</v>
      </c>
      <c r="Q9" s="21" t="str">
        <f t="shared" si="0"/>
        <v>good</v>
      </c>
      <c r="R9" s="4">
        <v>2950</v>
      </c>
      <c r="S9" t="str">
        <f>IF(Table1[[#This Row],[number]]&gt;=20,"Y","N")</f>
        <v>N</v>
      </c>
      <c r="T9" s="4">
        <f>IF(Table1[[#This Row],[number]]&gt;=20,0.95*Table1[[#This Row],[total]],Table1[[#This Row],[total]])</f>
        <v>2950</v>
      </c>
    </row>
    <row r="10" spans="1:20" x14ac:dyDescent="0.25">
      <c r="A10">
        <v>29</v>
      </c>
      <c r="B10" s="17">
        <v>43904</v>
      </c>
      <c r="C10" s="2" t="s">
        <v>39</v>
      </c>
      <c r="D10" s="5" t="s">
        <v>34</v>
      </c>
      <c r="E10" s="2" t="s">
        <v>11</v>
      </c>
      <c r="F10" s="2">
        <v>157</v>
      </c>
      <c r="G10" s="2" t="str">
        <f>VLOOKUP(Table1[[#This Row],[customer id]],'Customer Info'!$A$4:$C$12,2,FALSE)</f>
        <v>MarkPlus</v>
      </c>
      <c r="H10" s="2" t="str">
        <f>VLOOKUP(Table1[[#This Row],[customer id]],'Customer Info'!$A$4:$C$12,3,FALSE)</f>
        <v>Matt Reed</v>
      </c>
      <c r="I10" t="s">
        <v>7</v>
      </c>
      <c r="J10" t="s">
        <v>81</v>
      </c>
      <c r="K10" t="s">
        <v>115</v>
      </c>
      <c r="L10" t="str">
        <f>LEFT(K10,SEARCH(" ",K10,1))</f>
        <v xml:space="preserve">flash </v>
      </c>
      <c r="M10" t="str">
        <f>RIGHT(K10,LEN(K10)-SEARCH(" ",K10,1))</f>
        <v>Gray</v>
      </c>
      <c r="N10" t="s">
        <v>45</v>
      </c>
      <c r="O10">
        <v>14</v>
      </c>
      <c r="P10" s="4">
        <v>235</v>
      </c>
      <c r="Q10" s="21" t="str">
        <f t="shared" si="0"/>
        <v>good</v>
      </c>
      <c r="R10" s="4">
        <v>3290</v>
      </c>
      <c r="S10" t="str">
        <f>IF(Table1[[#This Row],[number]]&gt;=20,"Y","N")</f>
        <v>N</v>
      </c>
      <c r="T10" s="4">
        <f>IF(Table1[[#This Row],[number]]&gt;=20,0.95*Table1[[#This Row],[total]],Table1[[#This Row],[total]])</f>
        <v>3290</v>
      </c>
    </row>
    <row r="11" spans="1:20" x14ac:dyDescent="0.25">
      <c r="A11">
        <v>80</v>
      </c>
      <c r="B11" s="17">
        <v>44011</v>
      </c>
      <c r="C11" s="2" t="s">
        <v>54</v>
      </c>
      <c r="D11" s="5" t="s">
        <v>10</v>
      </c>
      <c r="E11" s="2" t="s">
        <v>11</v>
      </c>
      <c r="F11" s="2">
        <v>136</v>
      </c>
      <c r="G11" s="2" t="str">
        <f>VLOOKUP(Table1[[#This Row],[customer id]],'Customer Info'!$A$4:$C$12,2,FALSE)</f>
        <v>Telmark</v>
      </c>
      <c r="H11" s="2" t="str">
        <f>VLOOKUP(Table1[[#This Row],[customer id]],'Customer Info'!$A$4:$C$12,3,FALSE)</f>
        <v>Emily Flores</v>
      </c>
      <c r="I11" t="s">
        <v>7</v>
      </c>
      <c r="J11" t="s">
        <v>28</v>
      </c>
      <c r="K11" t="s">
        <v>112</v>
      </c>
      <c r="L11" t="str">
        <f>LEFT(K11,SEARCH(" ",K11,1))</f>
        <v xml:space="preserve">flash </v>
      </c>
      <c r="M11" t="str">
        <f>RIGHT(K11,LEN(K11)-SEARCH(" ",K11,1))</f>
        <v>white</v>
      </c>
      <c r="N11" t="s">
        <v>42</v>
      </c>
      <c r="O11">
        <v>14</v>
      </c>
      <c r="P11" s="4">
        <v>235</v>
      </c>
      <c r="Q11" s="21" t="str">
        <f t="shared" si="0"/>
        <v>good</v>
      </c>
      <c r="R11" s="4">
        <v>3290</v>
      </c>
      <c r="S11" t="str">
        <f>IF(Table1[[#This Row],[number]]&gt;=20,"Y","N")</f>
        <v>N</v>
      </c>
      <c r="T11" s="4">
        <f>IF(Table1[[#This Row],[number]]&gt;=20,0.95*Table1[[#This Row],[total]],Table1[[#This Row],[total]])</f>
        <v>3290</v>
      </c>
    </row>
    <row r="12" spans="1:20" x14ac:dyDescent="0.25">
      <c r="A12">
        <v>64</v>
      </c>
      <c r="B12" s="17">
        <v>43978</v>
      </c>
      <c r="C12" s="2" t="s">
        <v>49</v>
      </c>
      <c r="D12" s="5" t="s">
        <v>26</v>
      </c>
      <c r="E12" s="2" t="s">
        <v>19</v>
      </c>
      <c r="F12" s="2">
        <v>157</v>
      </c>
      <c r="G12" s="2" t="str">
        <f>VLOOKUP(Table1[[#This Row],[customer id]],'Customer Info'!$A$4:$C$12,2,FALSE)</f>
        <v>MarkPlus</v>
      </c>
      <c r="H12" s="2" t="str">
        <f>VLOOKUP(Table1[[#This Row],[customer id]],'Customer Info'!$A$4:$C$12,3,FALSE)</f>
        <v>Matt Reed</v>
      </c>
      <c r="I12" t="s">
        <v>36</v>
      </c>
      <c r="J12" t="s">
        <v>28</v>
      </c>
      <c r="K12" t="s">
        <v>114</v>
      </c>
      <c r="L12" t="str">
        <f>LEFT(K12,SEARCH(" ",K12,1))</f>
        <v xml:space="preserve">aero </v>
      </c>
      <c r="M12" t="str">
        <f>RIGHT(K12,LEN(K12)-SEARCH(" ",K12,1))</f>
        <v>white</v>
      </c>
      <c r="N12" t="s">
        <v>44</v>
      </c>
      <c r="O12">
        <v>15</v>
      </c>
      <c r="P12" s="4">
        <v>220</v>
      </c>
      <c r="Q12" s="21" t="str">
        <f t="shared" si="0"/>
        <v>good</v>
      </c>
      <c r="R12" s="4">
        <v>3300</v>
      </c>
      <c r="S12" t="str">
        <f>IF(Table1[[#This Row],[number]]&gt;=20,"Y","N")</f>
        <v>N</v>
      </c>
      <c r="T12" s="4">
        <f>IF(Table1[[#This Row],[number]]&gt;=20,0.95*Table1[[#This Row],[total]],Table1[[#This Row],[total]])</f>
        <v>3300</v>
      </c>
    </row>
    <row r="13" spans="1:20" x14ac:dyDescent="0.25">
      <c r="A13">
        <v>22</v>
      </c>
      <c r="B13" s="17">
        <v>43889</v>
      </c>
      <c r="C13" s="2" t="s">
        <v>31</v>
      </c>
      <c r="D13" s="5" t="s">
        <v>24</v>
      </c>
      <c r="E13" s="2" t="s">
        <v>6</v>
      </c>
      <c r="F13" s="2">
        <v>144</v>
      </c>
      <c r="G13" s="2" t="str">
        <f>VLOOKUP(Table1[[#This Row],[customer id]],'Customer Info'!$A$4:$C$12,2,FALSE)</f>
        <v>Affinity</v>
      </c>
      <c r="H13" s="2" t="str">
        <f>VLOOKUP(Table1[[#This Row],[customer id]],'Customer Info'!$A$4:$C$12,3,FALSE)</f>
        <v>Christina Bell</v>
      </c>
      <c r="I13" t="s">
        <v>16</v>
      </c>
      <c r="J13" t="s">
        <v>20</v>
      </c>
      <c r="K13" t="s">
        <v>101</v>
      </c>
      <c r="L13" t="str">
        <f>LEFT(K13,SEARCH(" ",K13,1))</f>
        <v xml:space="preserve">energy </v>
      </c>
      <c r="M13" t="str">
        <f>RIGHT(K13,LEN(K13)-SEARCH(" ",K13,1))</f>
        <v>brown</v>
      </c>
      <c r="N13" t="s">
        <v>25</v>
      </c>
      <c r="O13">
        <v>10</v>
      </c>
      <c r="P13" s="4">
        <v>350</v>
      </c>
      <c r="Q13" s="21" t="str">
        <f t="shared" si="0"/>
        <v>expensive</v>
      </c>
      <c r="R13" s="4">
        <v>3500</v>
      </c>
      <c r="S13" t="str">
        <f>IF(Table1[[#This Row],[number]]&gt;=20,"Y","N")</f>
        <v>N</v>
      </c>
      <c r="T13" s="4">
        <f>IF(Table1[[#This Row],[number]]&gt;=20,0.95*Table1[[#This Row],[total]],Table1[[#This Row],[total]])</f>
        <v>3500</v>
      </c>
    </row>
    <row r="14" spans="1:20" x14ac:dyDescent="0.25">
      <c r="A14">
        <v>69</v>
      </c>
      <c r="B14" s="17">
        <v>43990</v>
      </c>
      <c r="C14" s="2" t="s">
        <v>54</v>
      </c>
      <c r="D14" s="5" t="s">
        <v>5</v>
      </c>
      <c r="E14" s="2" t="s">
        <v>6</v>
      </c>
      <c r="F14" s="2">
        <v>132</v>
      </c>
      <c r="G14" s="2" t="str">
        <f>VLOOKUP(Table1[[#This Row],[customer id]],'Customer Info'!$A$4:$C$12,2,FALSE)</f>
        <v>Bankia</v>
      </c>
      <c r="H14" s="2" t="str">
        <f>VLOOKUP(Table1[[#This Row],[customer id]],'Customer Info'!$A$4:$C$12,3,FALSE)</f>
        <v>Lucas Adams</v>
      </c>
      <c r="I14" t="s">
        <v>36</v>
      </c>
      <c r="J14" t="s">
        <v>13</v>
      </c>
      <c r="K14" t="s">
        <v>108</v>
      </c>
      <c r="L14" t="str">
        <f>LEFT(K14,SEARCH(" ",K14,1))</f>
        <v xml:space="preserve">aero </v>
      </c>
      <c r="M14" t="str">
        <f>RIGHT(K14,LEN(K14)-SEARCH(" ",K14,1))</f>
        <v>red</v>
      </c>
      <c r="N14" t="s">
        <v>37</v>
      </c>
      <c r="O14">
        <v>16</v>
      </c>
      <c r="P14" s="4">
        <v>220</v>
      </c>
      <c r="Q14" s="21" t="str">
        <f t="shared" si="0"/>
        <v>good</v>
      </c>
      <c r="R14" s="4">
        <v>3520</v>
      </c>
      <c r="S14" t="str">
        <f>IF(Table1[[#This Row],[number]]&gt;=20,"Y","N")</f>
        <v>N</v>
      </c>
      <c r="T14" s="4">
        <f>IF(Table1[[#This Row],[number]]&gt;=20,0.95*Table1[[#This Row],[total]],Table1[[#This Row],[total]])</f>
        <v>3520</v>
      </c>
    </row>
    <row r="15" spans="1:20" x14ac:dyDescent="0.25">
      <c r="A15">
        <v>77</v>
      </c>
      <c r="B15" s="17">
        <v>44006</v>
      </c>
      <c r="C15" s="2" t="s">
        <v>54</v>
      </c>
      <c r="D15" s="5" t="s">
        <v>10</v>
      </c>
      <c r="E15" s="2" t="s">
        <v>11</v>
      </c>
      <c r="F15" s="2">
        <v>166</v>
      </c>
      <c r="G15" s="2" t="str">
        <f>VLOOKUP(Table1[[#This Row],[customer id]],'Customer Info'!$A$4:$C$12,2,FALSE)</f>
        <v>Port Royale</v>
      </c>
      <c r="H15" s="2" t="str">
        <f>VLOOKUP(Table1[[#This Row],[customer id]],'Customer Info'!$A$4:$C$12,3,FALSE)</f>
        <v>Dan Hill</v>
      </c>
      <c r="I15" t="s">
        <v>36</v>
      </c>
      <c r="J15" t="s">
        <v>28</v>
      </c>
      <c r="K15" t="s">
        <v>114</v>
      </c>
      <c r="L15" t="str">
        <f>LEFT(K15,SEARCH(" ",K15,1))</f>
        <v xml:space="preserve">aero </v>
      </c>
      <c r="M15" t="str">
        <f>RIGHT(K15,LEN(K15)-SEARCH(" ",K15,1))</f>
        <v>white</v>
      </c>
      <c r="N15" t="s">
        <v>44</v>
      </c>
      <c r="O15">
        <v>16</v>
      </c>
      <c r="P15" s="4">
        <v>220</v>
      </c>
      <c r="Q15" s="21" t="str">
        <f t="shared" si="0"/>
        <v>good</v>
      </c>
      <c r="R15" s="4">
        <v>3520</v>
      </c>
      <c r="S15" t="str">
        <f>IF(Table1[[#This Row],[number]]&gt;=20,"Y","N")</f>
        <v>N</v>
      </c>
      <c r="T15" s="4">
        <f>IF(Table1[[#This Row],[number]]&gt;=20,0.95*Table1[[#This Row],[total]],Table1[[#This Row],[total]])</f>
        <v>3520</v>
      </c>
    </row>
    <row r="16" spans="1:20" x14ac:dyDescent="0.25">
      <c r="A16">
        <v>1</v>
      </c>
      <c r="B16" s="17">
        <v>43832</v>
      </c>
      <c r="C16" s="2" t="s">
        <v>4</v>
      </c>
      <c r="D16" s="5" t="s">
        <v>5</v>
      </c>
      <c r="E16" s="2" t="s">
        <v>6</v>
      </c>
      <c r="F16" s="2">
        <v>132</v>
      </c>
      <c r="G16" s="2" t="str">
        <f>VLOOKUP(Table1[[#This Row],[customer id]],'Customer Info'!$A$4:$C$12,2,FALSE)</f>
        <v>Bankia</v>
      </c>
      <c r="H16" s="2" t="str">
        <f>VLOOKUP(Table1[[#This Row],[customer id]],'Customer Info'!$A$4:$C$12,3,FALSE)</f>
        <v>Lucas Adams</v>
      </c>
      <c r="I16" t="s">
        <v>7</v>
      </c>
      <c r="J16" t="s">
        <v>8</v>
      </c>
      <c r="K16" t="s">
        <v>97</v>
      </c>
      <c r="L16" t="str">
        <f>LEFT(K16,SEARCH(" ",K16,1))</f>
        <v xml:space="preserve">flash </v>
      </c>
      <c r="M16" t="str">
        <f>RIGHT(K16,LEN(K16)-SEARCH(" ",K16,1))</f>
        <v>black</v>
      </c>
      <c r="N16" t="s">
        <v>9</v>
      </c>
      <c r="O16">
        <v>15</v>
      </c>
      <c r="P16" s="3">
        <v>235</v>
      </c>
      <c r="Q16" s="21" t="str">
        <f t="shared" si="0"/>
        <v>good</v>
      </c>
      <c r="R16" s="4">
        <v>3525</v>
      </c>
      <c r="S16" t="str">
        <f>IF(Table1[[#This Row],[number]]&gt;=20,"Y","N")</f>
        <v>N</v>
      </c>
      <c r="T16" s="4">
        <f>IF(Table1[[#This Row],[number]]&gt;=20,0.95*Table1[[#This Row],[total]],Table1[[#This Row],[total]])</f>
        <v>3525</v>
      </c>
    </row>
    <row r="17" spans="1:20" x14ac:dyDescent="0.25">
      <c r="A17">
        <v>72</v>
      </c>
      <c r="B17" s="17">
        <v>43994</v>
      </c>
      <c r="C17" s="2" t="s">
        <v>54</v>
      </c>
      <c r="D17" s="5" t="s">
        <v>10</v>
      </c>
      <c r="E17" s="2" t="s">
        <v>11</v>
      </c>
      <c r="F17" s="2">
        <v>157</v>
      </c>
      <c r="G17" s="2" t="str">
        <f>VLOOKUP(Table1[[#This Row],[customer id]],'Customer Info'!$A$4:$C$12,2,FALSE)</f>
        <v>MarkPlus</v>
      </c>
      <c r="H17" s="2" t="str">
        <f>VLOOKUP(Table1[[#This Row],[customer id]],'Customer Info'!$A$4:$C$12,3,FALSE)</f>
        <v>Matt Reed</v>
      </c>
      <c r="I17" t="s">
        <v>7</v>
      </c>
      <c r="J17" t="s">
        <v>20</v>
      </c>
      <c r="K17" t="s">
        <v>99</v>
      </c>
      <c r="L17" t="str">
        <f>LEFT(K17,SEARCH(" ",K17,1))</f>
        <v xml:space="preserve">flash </v>
      </c>
      <c r="M17" t="str">
        <f>RIGHT(K17,LEN(K17)-SEARCH(" ",K17,1))</f>
        <v>brown</v>
      </c>
      <c r="N17" t="s">
        <v>21</v>
      </c>
      <c r="O17">
        <v>15</v>
      </c>
      <c r="P17" s="4">
        <v>235</v>
      </c>
      <c r="Q17" s="21" t="str">
        <f t="shared" si="0"/>
        <v>good</v>
      </c>
      <c r="R17" s="4">
        <v>3525</v>
      </c>
      <c r="S17" t="str">
        <f>IF(Table1[[#This Row],[number]]&gt;=20,"Y","N")</f>
        <v>N</v>
      </c>
      <c r="T17" s="4">
        <f>IF(Table1[[#This Row],[number]]&gt;=20,0.95*Table1[[#This Row],[total]],Table1[[#This Row],[total]])</f>
        <v>3525</v>
      </c>
    </row>
    <row r="18" spans="1:20" x14ac:dyDescent="0.25">
      <c r="A18">
        <v>20</v>
      </c>
      <c r="B18" s="17">
        <v>43882</v>
      </c>
      <c r="C18" s="2" t="s">
        <v>31</v>
      </c>
      <c r="D18" s="5" t="s">
        <v>10</v>
      </c>
      <c r="E18" s="2" t="s">
        <v>11</v>
      </c>
      <c r="F18" s="2">
        <v>132</v>
      </c>
      <c r="G18" s="2" t="str">
        <f>VLOOKUP(Table1[[#This Row],[customer id]],'Customer Info'!$A$4:$C$12,2,FALSE)</f>
        <v>Bankia</v>
      </c>
      <c r="H18" s="2" t="str">
        <f>VLOOKUP(Table1[[#This Row],[customer id]],'Customer Info'!$A$4:$C$12,3,FALSE)</f>
        <v>Lucas Adams</v>
      </c>
      <c r="I18" t="s">
        <v>22</v>
      </c>
      <c r="J18" t="s">
        <v>8</v>
      </c>
      <c r="K18" t="s">
        <v>109</v>
      </c>
      <c r="L18" t="str">
        <f>LEFT(K18,SEARCH(" ",K18,1))</f>
        <v xml:space="preserve">volt </v>
      </c>
      <c r="M18" t="str">
        <f>RIGHT(K18,LEN(K18)-SEARCH(" ",K18,1))</f>
        <v>black</v>
      </c>
      <c r="N18" t="s">
        <v>38</v>
      </c>
      <c r="O18">
        <v>12</v>
      </c>
      <c r="P18" s="4">
        <v>295</v>
      </c>
      <c r="Q18" s="21" t="str">
        <f t="shared" si="0"/>
        <v>good</v>
      </c>
      <c r="R18" s="4">
        <v>3540</v>
      </c>
      <c r="S18" t="str">
        <f>IF(Table1[[#This Row],[number]]&gt;=20,"Y","N")</f>
        <v>N</v>
      </c>
      <c r="T18" s="4">
        <f>IF(Table1[[#This Row],[number]]&gt;=20,0.95*Table1[[#This Row],[total]],Table1[[#This Row],[total]])</f>
        <v>3540</v>
      </c>
    </row>
    <row r="19" spans="1:20" x14ac:dyDescent="0.25">
      <c r="A19">
        <v>13</v>
      </c>
      <c r="B19" s="17">
        <v>43868</v>
      </c>
      <c r="C19" s="2" t="s">
        <v>31</v>
      </c>
      <c r="D19" s="5" t="s">
        <v>5</v>
      </c>
      <c r="E19" s="2" t="s">
        <v>6</v>
      </c>
      <c r="F19" s="2">
        <v>180</v>
      </c>
      <c r="G19" s="2" t="str">
        <f>VLOOKUP(Table1[[#This Row],[customer id]],'Customer Info'!$A$4:$C$12,2,FALSE)</f>
        <v>Milago</v>
      </c>
      <c r="H19" s="2" t="str">
        <f>VLOOKUP(Table1[[#This Row],[customer id]],'Customer Info'!$A$4:$C$12,3,FALSE)</f>
        <v>Sam Cooper</v>
      </c>
      <c r="I19" t="s">
        <v>27</v>
      </c>
      <c r="J19" t="s">
        <v>81</v>
      </c>
      <c r="K19" t="s">
        <v>106</v>
      </c>
      <c r="L19" t="str">
        <f>LEFT(K19,SEARCH(" ",K19,1))</f>
        <v xml:space="preserve">cosmo </v>
      </c>
      <c r="M19" t="str">
        <f>RIGHT(K19,LEN(K19)-SEARCH(" ",K19,1))</f>
        <v>Gray</v>
      </c>
      <c r="N19" t="s">
        <v>33</v>
      </c>
      <c r="O19">
        <v>10</v>
      </c>
      <c r="P19" s="4">
        <v>375</v>
      </c>
      <c r="Q19" s="21" t="str">
        <f t="shared" si="0"/>
        <v>expensive</v>
      </c>
      <c r="R19" s="4">
        <v>3750</v>
      </c>
      <c r="S19" t="str">
        <f>IF(Table1[[#This Row],[number]]&gt;=20,"Y","N")</f>
        <v>N</v>
      </c>
      <c r="T19" s="4">
        <f>IF(Table1[[#This Row],[number]]&gt;=20,0.95*Table1[[#This Row],[total]],Table1[[#This Row],[total]])</f>
        <v>3750</v>
      </c>
    </row>
    <row r="20" spans="1:20" x14ac:dyDescent="0.25">
      <c r="A20">
        <v>53</v>
      </c>
      <c r="B20" s="17">
        <v>43958</v>
      </c>
      <c r="C20" s="2" t="s">
        <v>49</v>
      </c>
      <c r="D20" s="5" t="s">
        <v>18</v>
      </c>
      <c r="E20" s="2" t="s">
        <v>19</v>
      </c>
      <c r="F20" s="2">
        <v>136</v>
      </c>
      <c r="G20" s="2" t="str">
        <f>VLOOKUP(Table1[[#This Row],[customer id]],'Customer Info'!$A$4:$C$12,2,FALSE)</f>
        <v>Telmark</v>
      </c>
      <c r="H20" s="2" t="str">
        <f>VLOOKUP(Table1[[#This Row],[customer id]],'Customer Info'!$A$4:$C$12,3,FALSE)</f>
        <v>Emily Flores</v>
      </c>
      <c r="I20" t="s">
        <v>27</v>
      </c>
      <c r="J20" t="s">
        <v>81</v>
      </c>
      <c r="K20" t="s">
        <v>106</v>
      </c>
      <c r="L20" t="str">
        <f>LEFT(K20,SEARCH(" ",K20,1))</f>
        <v xml:space="preserve">cosmo </v>
      </c>
      <c r="M20" t="str">
        <f>RIGHT(K20,LEN(K20)-SEARCH(" ",K20,1))</f>
        <v>Gray</v>
      </c>
      <c r="N20" t="s">
        <v>33</v>
      </c>
      <c r="O20">
        <v>10</v>
      </c>
      <c r="P20" s="4">
        <v>375</v>
      </c>
      <c r="Q20" s="21" t="str">
        <f t="shared" si="0"/>
        <v>expensive</v>
      </c>
      <c r="R20" s="4">
        <v>3750</v>
      </c>
      <c r="S20" t="str">
        <f>IF(Table1[[#This Row],[number]]&gt;=20,"Y","N")</f>
        <v>N</v>
      </c>
      <c r="T20" s="4">
        <f>IF(Table1[[#This Row],[number]]&gt;=20,0.95*Table1[[#This Row],[total]],Table1[[#This Row],[total]])</f>
        <v>3750</v>
      </c>
    </row>
    <row r="21" spans="1:20" x14ac:dyDescent="0.25">
      <c r="A21">
        <v>42</v>
      </c>
      <c r="B21" s="17">
        <v>43936</v>
      </c>
      <c r="C21" s="2" t="s">
        <v>47</v>
      </c>
      <c r="D21" s="5" t="s">
        <v>34</v>
      </c>
      <c r="E21" s="2" t="s">
        <v>11</v>
      </c>
      <c r="F21" s="2">
        <v>144</v>
      </c>
      <c r="G21" s="2" t="str">
        <f>VLOOKUP(Table1[[#This Row],[customer id]],'Customer Info'!$A$4:$C$12,2,FALSE)</f>
        <v>Affinity</v>
      </c>
      <c r="H21" s="2" t="str">
        <f>VLOOKUP(Table1[[#This Row],[customer id]],'Customer Info'!$A$4:$C$12,3,FALSE)</f>
        <v>Christina Bell</v>
      </c>
      <c r="I21" t="s">
        <v>12</v>
      </c>
      <c r="J21" t="s">
        <v>13</v>
      </c>
      <c r="K21" t="s">
        <v>98</v>
      </c>
      <c r="L21" t="str">
        <f>LEFT(K21,SEARCH(" ",K21,1))</f>
        <v xml:space="preserve">urban </v>
      </c>
      <c r="M21" t="str">
        <f>RIGHT(K21,LEN(K21)-SEARCH(" ",K21,1))</f>
        <v>red</v>
      </c>
      <c r="N21" t="s">
        <v>14</v>
      </c>
      <c r="O21">
        <v>15</v>
      </c>
      <c r="P21" s="4">
        <v>260</v>
      </c>
      <c r="Q21" s="21" t="str">
        <f t="shared" si="0"/>
        <v>good</v>
      </c>
      <c r="R21" s="4">
        <v>3900</v>
      </c>
      <c r="S21" t="str">
        <f>IF(Table1[[#This Row],[number]]&gt;=20,"Y","N")</f>
        <v>N</v>
      </c>
      <c r="T21" s="4">
        <f>IF(Table1[[#This Row],[number]]&gt;=20,0.95*Table1[[#This Row],[total]],Table1[[#This Row],[total]])</f>
        <v>3900</v>
      </c>
    </row>
    <row r="22" spans="1:20" x14ac:dyDescent="0.25">
      <c r="A22">
        <v>18</v>
      </c>
      <c r="B22" s="17">
        <v>43876</v>
      </c>
      <c r="C22" s="2" t="s">
        <v>31</v>
      </c>
      <c r="D22" s="5" t="s">
        <v>5</v>
      </c>
      <c r="E22" s="2" t="s">
        <v>6</v>
      </c>
      <c r="F22" s="2">
        <v>136</v>
      </c>
      <c r="G22" s="2" t="str">
        <f>VLOOKUP(Table1[[#This Row],[customer id]],'Customer Info'!$A$4:$C$12,2,FALSE)</f>
        <v>Telmark</v>
      </c>
      <c r="H22" s="2" t="str">
        <f>VLOOKUP(Table1[[#This Row],[customer id]],'Customer Info'!$A$4:$C$12,3,FALSE)</f>
        <v>Emily Flores</v>
      </c>
      <c r="I22" t="s">
        <v>12</v>
      </c>
      <c r="J22" t="s">
        <v>20</v>
      </c>
      <c r="K22" t="s">
        <v>103</v>
      </c>
      <c r="L22" t="str">
        <f>LEFT(K22,SEARCH(" ",K22,1))</f>
        <v xml:space="preserve">urban </v>
      </c>
      <c r="M22" t="str">
        <f>RIGHT(K22,LEN(K22)-SEARCH(" ",K22,1))</f>
        <v>brown</v>
      </c>
      <c r="N22" t="s">
        <v>30</v>
      </c>
      <c r="O22">
        <v>16</v>
      </c>
      <c r="P22" s="4">
        <v>260</v>
      </c>
      <c r="Q22" s="21" t="str">
        <f t="shared" si="0"/>
        <v>good</v>
      </c>
      <c r="R22" s="4">
        <v>4160</v>
      </c>
      <c r="S22" t="str">
        <f>IF(Table1[[#This Row],[number]]&gt;=20,"Y","N")</f>
        <v>N</v>
      </c>
      <c r="T22" s="4">
        <f>IF(Table1[[#This Row],[number]]&gt;=20,0.95*Table1[[#This Row],[total]],Table1[[#This Row],[total]])</f>
        <v>4160</v>
      </c>
    </row>
    <row r="23" spans="1:20" x14ac:dyDescent="0.25">
      <c r="A23">
        <v>12</v>
      </c>
      <c r="B23" s="17">
        <v>43865</v>
      </c>
      <c r="C23" s="2" t="s">
        <v>31</v>
      </c>
      <c r="D23" s="5" t="s">
        <v>18</v>
      </c>
      <c r="E23" s="2" t="s">
        <v>19</v>
      </c>
      <c r="F23" s="2">
        <v>178</v>
      </c>
      <c r="G23" s="2" t="str">
        <f>VLOOKUP(Table1[[#This Row],[customer id]],'Customer Info'!$A$4:$C$12,2,FALSE)</f>
        <v>Vento</v>
      </c>
      <c r="H23" s="2" t="str">
        <f>VLOOKUP(Table1[[#This Row],[customer id]],'Customer Info'!$A$4:$C$12,3,FALSE)</f>
        <v>Amanda Wood</v>
      </c>
      <c r="I23" t="s">
        <v>22</v>
      </c>
      <c r="J23" t="s">
        <v>28</v>
      </c>
      <c r="K23" t="s">
        <v>105</v>
      </c>
      <c r="L23" t="str">
        <f>LEFT(K23,SEARCH(" ",K23,1))</f>
        <v xml:space="preserve">volt </v>
      </c>
      <c r="M23" t="str">
        <f>RIGHT(K23,LEN(K23)-SEARCH(" ",K23,1))</f>
        <v>white</v>
      </c>
      <c r="N23" t="s">
        <v>32</v>
      </c>
      <c r="O23">
        <v>15</v>
      </c>
      <c r="P23" s="4">
        <v>295</v>
      </c>
      <c r="Q23" s="21" t="str">
        <f t="shared" si="0"/>
        <v>good</v>
      </c>
      <c r="R23" s="4">
        <v>4425</v>
      </c>
      <c r="S23" t="str">
        <f>IF(Table1[[#This Row],[number]]&gt;=20,"Y","N")</f>
        <v>N</v>
      </c>
      <c r="T23" s="4">
        <f>IF(Table1[[#This Row],[number]]&gt;=20,0.95*Table1[[#This Row],[total]],Table1[[#This Row],[total]])</f>
        <v>4425</v>
      </c>
    </row>
    <row r="24" spans="1:20" x14ac:dyDescent="0.25">
      <c r="A24">
        <v>26</v>
      </c>
      <c r="B24" s="17">
        <v>43899</v>
      </c>
      <c r="C24" s="2" t="s">
        <v>39</v>
      </c>
      <c r="D24" s="5" t="s">
        <v>5</v>
      </c>
      <c r="E24" s="2" t="s">
        <v>6</v>
      </c>
      <c r="F24" s="2">
        <v>144</v>
      </c>
      <c r="G24" s="2" t="str">
        <f>VLOOKUP(Table1[[#This Row],[customer id]],'Customer Info'!$A$4:$C$12,2,FALSE)</f>
        <v>Affinity</v>
      </c>
      <c r="H24" s="2" t="str">
        <f>VLOOKUP(Table1[[#This Row],[customer id]],'Customer Info'!$A$4:$C$12,3,FALSE)</f>
        <v>Christina Bell</v>
      </c>
      <c r="I24" t="s">
        <v>22</v>
      </c>
      <c r="J24" t="s">
        <v>20</v>
      </c>
      <c r="K24" t="s">
        <v>113</v>
      </c>
      <c r="L24" t="str">
        <f>LEFT(K24,SEARCH(" ",K24,1))</f>
        <v xml:space="preserve">volt </v>
      </c>
      <c r="M24" t="str">
        <f>RIGHT(K24,LEN(K24)-SEARCH(" ",K24,1))</f>
        <v>brown</v>
      </c>
      <c r="N24" t="s">
        <v>43</v>
      </c>
      <c r="O24">
        <v>15</v>
      </c>
      <c r="P24" s="4">
        <v>295</v>
      </c>
      <c r="Q24" s="21" t="str">
        <f t="shared" si="0"/>
        <v>good</v>
      </c>
      <c r="R24" s="4">
        <v>4425</v>
      </c>
      <c r="S24" t="str">
        <f>IF(Table1[[#This Row],[number]]&gt;=20,"Y","N")</f>
        <v>N</v>
      </c>
      <c r="T24" s="4">
        <f>IF(Table1[[#This Row],[number]]&gt;=20,0.95*Table1[[#This Row],[total]],Table1[[#This Row],[total]])</f>
        <v>4425</v>
      </c>
    </row>
    <row r="25" spans="1:20" x14ac:dyDescent="0.25">
      <c r="A25">
        <v>52</v>
      </c>
      <c r="B25" s="17">
        <v>43954</v>
      </c>
      <c r="C25" s="2" t="s">
        <v>49</v>
      </c>
      <c r="D25" s="5" t="s">
        <v>34</v>
      </c>
      <c r="E25" s="2" t="s">
        <v>11</v>
      </c>
      <c r="F25" s="2">
        <v>162</v>
      </c>
      <c r="G25" s="2" t="str">
        <f>VLOOKUP(Table1[[#This Row],[customer id]],'Customer Info'!$A$4:$C$12,2,FALSE)</f>
        <v>Cruise</v>
      </c>
      <c r="H25" s="2" t="str">
        <f>VLOOKUP(Table1[[#This Row],[customer id]],'Customer Info'!$A$4:$C$12,3,FALSE)</f>
        <v>Denise Harris</v>
      </c>
      <c r="I25" t="s">
        <v>22</v>
      </c>
      <c r="J25" t="s">
        <v>13</v>
      </c>
      <c r="K25" t="s">
        <v>119</v>
      </c>
      <c r="L25" t="str">
        <f>LEFT(K25,SEARCH(" ",K25,1))</f>
        <v xml:space="preserve">volt </v>
      </c>
      <c r="M25" t="str">
        <f>RIGHT(K25,LEN(K25)-SEARCH(" ",K25,1))</f>
        <v>red</v>
      </c>
      <c r="N25" t="s">
        <v>51</v>
      </c>
      <c r="O25">
        <v>15</v>
      </c>
      <c r="P25" s="4">
        <v>295</v>
      </c>
      <c r="Q25" s="21" t="str">
        <f t="shared" si="0"/>
        <v>good</v>
      </c>
      <c r="R25" s="4">
        <v>4425</v>
      </c>
      <c r="S25" t="str">
        <f>IF(Table1[[#This Row],[number]]&gt;=20,"Y","N")</f>
        <v>N</v>
      </c>
      <c r="T25" s="4">
        <f>IF(Table1[[#This Row],[number]]&gt;=20,0.95*Table1[[#This Row],[total]],Table1[[#This Row],[total]])</f>
        <v>4425</v>
      </c>
    </row>
    <row r="26" spans="1:20" x14ac:dyDescent="0.25">
      <c r="A26">
        <v>6</v>
      </c>
      <c r="B26" s="17">
        <v>43845</v>
      </c>
      <c r="C26" s="2" t="s">
        <v>4</v>
      </c>
      <c r="D26" s="5" t="s">
        <v>24</v>
      </c>
      <c r="E26" s="2" t="s">
        <v>6</v>
      </c>
      <c r="F26" s="2">
        <v>136</v>
      </c>
      <c r="G26" s="2" t="str">
        <f>VLOOKUP(Table1[[#This Row],[customer id]],'Customer Info'!$A$4:$C$12,2,FALSE)</f>
        <v>Telmark</v>
      </c>
      <c r="H26" s="2" t="str">
        <f>VLOOKUP(Table1[[#This Row],[customer id]],'Customer Info'!$A$4:$C$12,3,FALSE)</f>
        <v>Emily Flores</v>
      </c>
      <c r="I26" t="s">
        <v>16</v>
      </c>
      <c r="J26" t="s">
        <v>20</v>
      </c>
      <c r="K26" t="s">
        <v>101</v>
      </c>
      <c r="L26" t="str">
        <f>LEFT(K26,SEARCH(" ",K26,1))</f>
        <v xml:space="preserve">energy </v>
      </c>
      <c r="M26" t="str">
        <f>RIGHT(K26,LEN(K26)-SEARCH(" ",K26,1))</f>
        <v>brown</v>
      </c>
      <c r="N26" t="s">
        <v>25</v>
      </c>
      <c r="O26">
        <v>14</v>
      </c>
      <c r="P26" s="4">
        <v>350</v>
      </c>
      <c r="Q26" s="21" t="str">
        <f t="shared" si="0"/>
        <v>expensive</v>
      </c>
      <c r="R26" s="4">
        <v>4900</v>
      </c>
      <c r="S26" t="str">
        <f>IF(Table1[[#This Row],[number]]&gt;=20,"Y","N")</f>
        <v>N</v>
      </c>
      <c r="T26" s="4">
        <f>IF(Table1[[#This Row],[number]]&gt;=20,0.95*Table1[[#This Row],[total]],Table1[[#This Row],[total]])</f>
        <v>4900</v>
      </c>
    </row>
    <row r="27" spans="1:20" x14ac:dyDescent="0.25">
      <c r="A27">
        <v>36</v>
      </c>
      <c r="B27" s="17">
        <v>43927</v>
      </c>
      <c r="C27" s="2" t="s">
        <v>47</v>
      </c>
      <c r="D27" s="5" t="s">
        <v>34</v>
      </c>
      <c r="E27" s="2" t="s">
        <v>11</v>
      </c>
      <c r="F27" s="2">
        <v>132</v>
      </c>
      <c r="G27" s="2" t="str">
        <f>VLOOKUP(Table1[[#This Row],[customer id]],'Customer Info'!$A$4:$C$12,2,FALSE)</f>
        <v>Bankia</v>
      </c>
      <c r="H27" s="2" t="str">
        <f>VLOOKUP(Table1[[#This Row],[customer id]],'Customer Info'!$A$4:$C$12,3,FALSE)</f>
        <v>Lucas Adams</v>
      </c>
      <c r="I27" t="s">
        <v>16</v>
      </c>
      <c r="J27" t="s">
        <v>8</v>
      </c>
      <c r="K27" t="s">
        <v>104</v>
      </c>
      <c r="L27" t="str">
        <f>LEFT(K27,SEARCH(" ",K27,1))</f>
        <v xml:space="preserve">energy </v>
      </c>
      <c r="M27" t="str">
        <f>RIGHT(K27,LEN(K27)-SEARCH(" ",K27,1))</f>
        <v>black</v>
      </c>
      <c r="N27" t="s">
        <v>17</v>
      </c>
      <c r="O27">
        <v>14</v>
      </c>
      <c r="P27" s="4">
        <v>350</v>
      </c>
      <c r="Q27" s="21" t="str">
        <f t="shared" si="0"/>
        <v>expensive</v>
      </c>
      <c r="R27" s="4">
        <v>4900</v>
      </c>
      <c r="S27" t="str">
        <f>IF(Table1[[#This Row],[number]]&gt;=20,"Y","N")</f>
        <v>N</v>
      </c>
      <c r="T27" s="4">
        <f>IF(Table1[[#This Row],[number]]&gt;=20,0.95*Table1[[#This Row],[total]],Table1[[#This Row],[total]])</f>
        <v>4900</v>
      </c>
    </row>
    <row r="28" spans="1:20" x14ac:dyDescent="0.25">
      <c r="A28">
        <v>8</v>
      </c>
      <c r="B28" s="17">
        <v>43852</v>
      </c>
      <c r="C28" s="2" t="s">
        <v>4</v>
      </c>
      <c r="D28" s="5" t="s">
        <v>10</v>
      </c>
      <c r="E28" s="2" t="s">
        <v>11</v>
      </c>
      <c r="F28" s="2">
        <v>132</v>
      </c>
      <c r="G28" s="2" t="str">
        <f>VLOOKUP(Table1[[#This Row],[customer id]],'Customer Info'!$A$4:$C$12,2,FALSE)</f>
        <v>Bankia</v>
      </c>
      <c r="H28" s="2" t="str">
        <f>VLOOKUP(Table1[[#This Row],[customer id]],'Customer Info'!$A$4:$C$12,3,FALSE)</f>
        <v>Lucas Adams</v>
      </c>
      <c r="I28" t="s">
        <v>7</v>
      </c>
      <c r="J28" t="s">
        <v>20</v>
      </c>
      <c r="K28" t="s">
        <v>99</v>
      </c>
      <c r="L28" t="str">
        <f>LEFT(K28,SEARCH(" ",K28,1))</f>
        <v xml:space="preserve">flash </v>
      </c>
      <c r="M28" t="str">
        <f>RIGHT(K28,LEN(K28)-SEARCH(" ",K28,1))</f>
        <v>brown</v>
      </c>
      <c r="N28" t="s">
        <v>21</v>
      </c>
      <c r="O28">
        <v>22</v>
      </c>
      <c r="P28" s="4">
        <v>235</v>
      </c>
      <c r="Q28" s="21" t="str">
        <f t="shared" si="0"/>
        <v>good</v>
      </c>
      <c r="R28" s="4">
        <v>5170</v>
      </c>
      <c r="S28" t="str">
        <f>IF(Table1[[#This Row],[number]]&gt;=20,"Y","N")</f>
        <v>Y</v>
      </c>
      <c r="T28" s="4">
        <f>IF(Table1[[#This Row],[number]]&gt;=20,0.95*Table1[[#This Row],[total]],Table1[[#This Row],[total]])</f>
        <v>4911.5</v>
      </c>
    </row>
    <row r="29" spans="1:20" x14ac:dyDescent="0.25">
      <c r="A29">
        <v>25</v>
      </c>
      <c r="B29" s="17">
        <v>43897</v>
      </c>
      <c r="C29" s="2" t="s">
        <v>39</v>
      </c>
      <c r="D29" s="5" t="s">
        <v>10</v>
      </c>
      <c r="E29" s="2" t="s">
        <v>11</v>
      </c>
      <c r="F29" s="2">
        <v>180</v>
      </c>
      <c r="G29" s="2" t="str">
        <f>VLOOKUP(Table1[[#This Row],[customer id]],'Customer Info'!$A$4:$C$12,2,FALSE)</f>
        <v>Milago</v>
      </c>
      <c r="H29" s="2" t="str">
        <f>VLOOKUP(Table1[[#This Row],[customer id]],'Customer Info'!$A$4:$C$12,3,FALSE)</f>
        <v>Sam Cooper</v>
      </c>
      <c r="I29" t="s">
        <v>7</v>
      </c>
      <c r="J29" t="s">
        <v>28</v>
      </c>
      <c r="K29" t="s">
        <v>112</v>
      </c>
      <c r="L29" t="str">
        <f>LEFT(K29,SEARCH(" ",K29,1))</f>
        <v xml:space="preserve">flash </v>
      </c>
      <c r="M29" t="str">
        <f>RIGHT(K29,LEN(K29)-SEARCH(" ",K29,1))</f>
        <v>white</v>
      </c>
      <c r="N29" t="s">
        <v>42</v>
      </c>
      <c r="O29">
        <v>22</v>
      </c>
      <c r="P29" s="4">
        <v>235</v>
      </c>
      <c r="Q29" s="21" t="str">
        <f t="shared" si="0"/>
        <v>good</v>
      </c>
      <c r="R29" s="4">
        <v>5170</v>
      </c>
      <c r="S29" t="str">
        <f>IF(Table1[[#This Row],[number]]&gt;=20,"Y","N")</f>
        <v>Y</v>
      </c>
      <c r="T29" s="4">
        <f>IF(Table1[[#This Row],[number]]&gt;=20,0.95*Table1[[#This Row],[total]],Table1[[#This Row],[total]])</f>
        <v>4911.5</v>
      </c>
    </row>
    <row r="30" spans="1:20" x14ac:dyDescent="0.25">
      <c r="A30">
        <v>59</v>
      </c>
      <c r="B30" s="17">
        <v>43970</v>
      </c>
      <c r="C30" s="2" t="s">
        <v>49</v>
      </c>
      <c r="D30" s="5" t="s">
        <v>15</v>
      </c>
      <c r="E30" s="2" t="s">
        <v>11</v>
      </c>
      <c r="F30" s="2">
        <v>180</v>
      </c>
      <c r="G30" s="2" t="str">
        <f>VLOOKUP(Table1[[#This Row],[customer id]],'Customer Info'!$A$4:$C$12,2,FALSE)</f>
        <v>Milago</v>
      </c>
      <c r="H30" s="2" t="str">
        <f>VLOOKUP(Table1[[#This Row],[customer id]],'Customer Info'!$A$4:$C$12,3,FALSE)</f>
        <v>Sam Cooper</v>
      </c>
      <c r="I30" t="s">
        <v>7</v>
      </c>
      <c r="J30" t="s">
        <v>81</v>
      </c>
      <c r="K30" t="s">
        <v>115</v>
      </c>
      <c r="L30" t="str">
        <f>LEFT(K30,SEARCH(" ",K30,1))</f>
        <v xml:space="preserve">flash </v>
      </c>
      <c r="M30" t="str">
        <f>RIGHT(K30,LEN(K30)-SEARCH(" ",K30,1))</f>
        <v>Gray</v>
      </c>
      <c r="N30" t="s">
        <v>45</v>
      </c>
      <c r="O30">
        <v>22</v>
      </c>
      <c r="P30" s="4">
        <v>235</v>
      </c>
      <c r="Q30" s="21" t="str">
        <f t="shared" si="0"/>
        <v>good</v>
      </c>
      <c r="R30" s="4">
        <v>5170</v>
      </c>
      <c r="S30" t="str">
        <f>IF(Table1[[#This Row],[number]]&gt;=20,"Y","N")</f>
        <v>Y</v>
      </c>
      <c r="T30" s="4">
        <f>IF(Table1[[#This Row],[number]]&gt;=20,0.95*Table1[[#This Row],[total]],Table1[[#This Row],[total]])</f>
        <v>4911.5</v>
      </c>
    </row>
    <row r="31" spans="1:20" x14ac:dyDescent="0.25">
      <c r="A31">
        <v>40</v>
      </c>
      <c r="B31" s="17">
        <v>43933</v>
      </c>
      <c r="C31" s="2" t="s">
        <v>47</v>
      </c>
      <c r="D31" s="5" t="s">
        <v>10</v>
      </c>
      <c r="E31" s="2" t="s">
        <v>11</v>
      </c>
      <c r="F31" s="2">
        <v>180</v>
      </c>
      <c r="G31" s="2" t="str">
        <f>VLOOKUP(Table1[[#This Row],[customer id]],'Customer Info'!$A$4:$C$12,2,FALSE)</f>
        <v>Milago</v>
      </c>
      <c r="H31" s="2" t="str">
        <f>VLOOKUP(Table1[[#This Row],[customer id]],'Customer Info'!$A$4:$C$12,3,FALSE)</f>
        <v>Sam Cooper</v>
      </c>
      <c r="I31" t="s">
        <v>36</v>
      </c>
      <c r="J31" t="s">
        <v>28</v>
      </c>
      <c r="K31" t="s">
        <v>114</v>
      </c>
      <c r="L31" t="str">
        <f>LEFT(K31,SEARCH(" ",K31,1))</f>
        <v xml:space="preserve">aero </v>
      </c>
      <c r="M31" t="str">
        <f>RIGHT(K31,LEN(K31)-SEARCH(" ",K31,1))</f>
        <v>white</v>
      </c>
      <c r="N31" t="s">
        <v>44</v>
      </c>
      <c r="O31">
        <v>24</v>
      </c>
      <c r="P31" s="4">
        <v>220</v>
      </c>
      <c r="Q31" s="21" t="str">
        <f t="shared" si="0"/>
        <v>good</v>
      </c>
      <c r="R31" s="4">
        <v>5280</v>
      </c>
      <c r="S31" t="str">
        <f>IF(Table1[[#This Row],[number]]&gt;=20,"Y","N")</f>
        <v>Y</v>
      </c>
      <c r="T31" s="4">
        <f>IF(Table1[[#This Row],[number]]&gt;=20,0.95*Table1[[#This Row],[total]],Table1[[#This Row],[total]])</f>
        <v>5016</v>
      </c>
    </row>
    <row r="32" spans="1:20" x14ac:dyDescent="0.25">
      <c r="A32">
        <v>48</v>
      </c>
      <c r="B32" s="17">
        <v>43948</v>
      </c>
      <c r="C32" s="2" t="s">
        <v>47</v>
      </c>
      <c r="D32" s="5" t="s">
        <v>34</v>
      </c>
      <c r="E32" s="2" t="s">
        <v>11</v>
      </c>
      <c r="F32" s="2">
        <v>132</v>
      </c>
      <c r="G32" s="2" t="str">
        <f>VLOOKUP(Table1[[#This Row],[customer id]],'Customer Info'!$A$4:$C$12,2,FALSE)</f>
        <v>Bankia</v>
      </c>
      <c r="H32" s="2" t="str">
        <f>VLOOKUP(Table1[[#This Row],[customer id]],'Customer Info'!$A$4:$C$12,3,FALSE)</f>
        <v>Lucas Adams</v>
      </c>
      <c r="I32" t="s">
        <v>22</v>
      </c>
      <c r="J32" t="s">
        <v>20</v>
      </c>
      <c r="K32" t="s">
        <v>113</v>
      </c>
      <c r="L32" t="str">
        <f>LEFT(K32,SEARCH(" ",K32,1))</f>
        <v xml:space="preserve">volt </v>
      </c>
      <c r="M32" t="str">
        <f>RIGHT(K32,LEN(K32)-SEARCH(" ",K32,1))</f>
        <v>brown</v>
      </c>
      <c r="N32" t="s">
        <v>43</v>
      </c>
      <c r="O32">
        <v>18</v>
      </c>
      <c r="P32" s="4">
        <v>295</v>
      </c>
      <c r="Q32" s="21" t="str">
        <f t="shared" si="0"/>
        <v>good</v>
      </c>
      <c r="R32" s="4">
        <v>5310</v>
      </c>
      <c r="S32" t="str">
        <f>IF(Table1[[#This Row],[number]]&gt;=20,"Y","N")</f>
        <v>N</v>
      </c>
      <c r="T32" s="4">
        <f>IF(Table1[[#This Row],[number]]&gt;=20,0.95*Table1[[#This Row],[total]],Table1[[#This Row],[total]])</f>
        <v>5310</v>
      </c>
    </row>
    <row r="33" spans="1:20" x14ac:dyDescent="0.25">
      <c r="A33">
        <v>58</v>
      </c>
      <c r="B33" s="17">
        <v>43968</v>
      </c>
      <c r="C33" s="2" t="s">
        <v>49</v>
      </c>
      <c r="D33" s="5" t="s">
        <v>24</v>
      </c>
      <c r="E33" s="2" t="s">
        <v>6</v>
      </c>
      <c r="F33" s="2">
        <v>132</v>
      </c>
      <c r="G33" s="2" t="str">
        <f>VLOOKUP(Table1[[#This Row],[customer id]],'Customer Info'!$A$4:$C$12,2,FALSE)</f>
        <v>Bankia</v>
      </c>
      <c r="H33" s="2" t="str">
        <f>VLOOKUP(Table1[[#This Row],[customer id]],'Customer Info'!$A$4:$C$12,3,FALSE)</f>
        <v>Lucas Adams</v>
      </c>
      <c r="I33" t="s">
        <v>22</v>
      </c>
      <c r="J33" t="s">
        <v>8</v>
      </c>
      <c r="K33" t="s">
        <v>109</v>
      </c>
      <c r="L33" t="str">
        <f>LEFT(K33,SEARCH(" ",K33,1))</f>
        <v xml:space="preserve">volt </v>
      </c>
      <c r="M33" t="str">
        <f>RIGHT(K33,LEN(K33)-SEARCH(" ",K33,1))</f>
        <v>black</v>
      </c>
      <c r="N33" t="s">
        <v>38</v>
      </c>
      <c r="O33">
        <v>18</v>
      </c>
      <c r="P33" s="4">
        <v>295</v>
      </c>
      <c r="Q33" s="21" t="str">
        <f t="shared" si="0"/>
        <v>good</v>
      </c>
      <c r="R33" s="4">
        <v>5310</v>
      </c>
      <c r="S33" t="str">
        <f>IF(Table1[[#This Row],[number]]&gt;=20,"Y","N")</f>
        <v>N</v>
      </c>
      <c r="T33" s="4">
        <f>IF(Table1[[#This Row],[number]]&gt;=20,0.95*Table1[[#This Row],[total]],Table1[[#This Row],[total]])</f>
        <v>5310</v>
      </c>
    </row>
    <row r="34" spans="1:20" x14ac:dyDescent="0.25">
      <c r="A34">
        <v>2</v>
      </c>
      <c r="B34" s="17">
        <v>43836</v>
      </c>
      <c r="C34" s="2" t="s">
        <v>4</v>
      </c>
      <c r="D34" s="5" t="s">
        <v>10</v>
      </c>
      <c r="E34" s="2" t="s">
        <v>11</v>
      </c>
      <c r="F34" s="2">
        <v>144</v>
      </c>
      <c r="G34" s="2" t="str">
        <f>VLOOKUP(Table1[[#This Row],[customer id]],'Customer Info'!$A$4:$C$12,2,FALSE)</f>
        <v>Affinity</v>
      </c>
      <c r="H34" s="2" t="str">
        <f>VLOOKUP(Table1[[#This Row],[customer id]],'Customer Info'!$A$4:$C$12,3,FALSE)</f>
        <v>Christina Bell</v>
      </c>
      <c r="I34" t="s">
        <v>12</v>
      </c>
      <c r="J34" t="s">
        <v>13</v>
      </c>
      <c r="K34" t="s">
        <v>98</v>
      </c>
      <c r="L34" t="str">
        <f>LEFT(K34,SEARCH(" ",K34,1))</f>
        <v xml:space="preserve">urban </v>
      </c>
      <c r="M34" t="str">
        <f>RIGHT(K34,LEN(K34)-SEARCH(" ",K34,1))</f>
        <v>red</v>
      </c>
      <c r="N34" t="s">
        <v>14</v>
      </c>
      <c r="O34">
        <v>22</v>
      </c>
      <c r="P34" s="4">
        <v>260</v>
      </c>
      <c r="Q34" s="21" t="str">
        <f t="shared" si="0"/>
        <v>good</v>
      </c>
      <c r="R34" s="4">
        <v>5720</v>
      </c>
      <c r="S34" t="str">
        <f>IF(Table1[[#This Row],[number]]&gt;=20,"Y","N")</f>
        <v>Y</v>
      </c>
      <c r="T34" s="4">
        <f>IF(Table1[[#This Row],[number]]&gt;=20,0.95*Table1[[#This Row],[total]],Table1[[#This Row],[total]])</f>
        <v>5434</v>
      </c>
    </row>
    <row r="35" spans="1:20" x14ac:dyDescent="0.25">
      <c r="A35">
        <v>67</v>
      </c>
      <c r="B35" s="17">
        <v>43987</v>
      </c>
      <c r="C35" s="2" t="s">
        <v>54</v>
      </c>
      <c r="D35" s="5" t="s">
        <v>18</v>
      </c>
      <c r="E35" s="2" t="s">
        <v>19</v>
      </c>
      <c r="F35" s="2">
        <v>144</v>
      </c>
      <c r="G35" s="2" t="str">
        <f>VLOOKUP(Table1[[#This Row],[customer id]],'Customer Info'!$A$4:$C$12,2,FALSE)</f>
        <v>Affinity</v>
      </c>
      <c r="H35" s="2" t="str">
        <f>VLOOKUP(Table1[[#This Row],[customer id]],'Customer Info'!$A$4:$C$12,3,FALSE)</f>
        <v>Christina Bell</v>
      </c>
      <c r="I35" t="s">
        <v>12</v>
      </c>
      <c r="J35" t="s">
        <v>8</v>
      </c>
      <c r="K35" t="s">
        <v>111</v>
      </c>
      <c r="L35" t="str">
        <f>LEFT(K35,SEARCH(" ",K35,1))</f>
        <v xml:space="preserve">urban </v>
      </c>
      <c r="M35" t="str">
        <f>RIGHT(K35,LEN(K35)-SEARCH(" ",K35,1))</f>
        <v>black</v>
      </c>
      <c r="N35" t="s">
        <v>41</v>
      </c>
      <c r="O35">
        <v>22</v>
      </c>
      <c r="P35" s="4">
        <v>260</v>
      </c>
      <c r="Q35" s="21" t="str">
        <f t="shared" si="0"/>
        <v>good</v>
      </c>
      <c r="R35" s="4">
        <v>5720</v>
      </c>
      <c r="S35" t="str">
        <f>IF(Table1[[#This Row],[number]]&gt;=20,"Y","N")</f>
        <v>Y</v>
      </c>
      <c r="T35" s="4">
        <f>IF(Table1[[#This Row],[number]]&gt;=20,0.95*Table1[[#This Row],[total]],Table1[[#This Row],[total]])</f>
        <v>5434</v>
      </c>
    </row>
    <row r="36" spans="1:20" x14ac:dyDescent="0.25">
      <c r="A36">
        <v>3</v>
      </c>
      <c r="B36" s="17">
        <v>43839</v>
      </c>
      <c r="C36" s="2" t="s">
        <v>4</v>
      </c>
      <c r="D36" s="5" t="s">
        <v>15</v>
      </c>
      <c r="E36" s="2" t="s">
        <v>11</v>
      </c>
      <c r="F36" s="2">
        <v>136</v>
      </c>
      <c r="G36" s="2" t="str">
        <f>VLOOKUP(Table1[[#This Row],[customer id]],'Customer Info'!$A$4:$C$12,2,FALSE)</f>
        <v>Telmark</v>
      </c>
      <c r="H36" s="2" t="str">
        <f>VLOOKUP(Table1[[#This Row],[customer id]],'Customer Info'!$A$4:$C$12,3,FALSE)</f>
        <v>Emily Flores</v>
      </c>
      <c r="I36" t="s">
        <v>122</v>
      </c>
      <c r="J36" t="s">
        <v>8</v>
      </c>
      <c r="K36" t="s">
        <v>123</v>
      </c>
      <c r="L36" t="str">
        <f>LEFT(K36,SEARCH(" ",K36,1))</f>
        <v xml:space="preserve">energy </v>
      </c>
      <c r="M36" t="str">
        <f>RIGHT(K36,LEN(K36)-SEARCH(" ",K36,1))</f>
        <v>h black</v>
      </c>
      <c r="N36" t="s">
        <v>17</v>
      </c>
      <c r="O36">
        <v>16</v>
      </c>
      <c r="P36" s="4">
        <v>350</v>
      </c>
      <c r="Q36" s="21" t="str">
        <f t="shared" si="0"/>
        <v>expensive</v>
      </c>
      <c r="R36" s="4">
        <v>5600</v>
      </c>
      <c r="S36" t="str">
        <f>IF(Table1[[#This Row],[number]]&gt;=20,"Y","N")</f>
        <v>N</v>
      </c>
      <c r="T36" s="4">
        <f>IF(Table1[[#This Row],[number]]&gt;=20,0.95*Table1[[#This Row],[total]],Table1[[#This Row],[total]])</f>
        <v>5600</v>
      </c>
    </row>
    <row r="37" spans="1:20" x14ac:dyDescent="0.25">
      <c r="A37">
        <v>62</v>
      </c>
      <c r="B37" s="17">
        <v>43975</v>
      </c>
      <c r="C37" s="2" t="s">
        <v>49</v>
      </c>
      <c r="D37" s="5" t="s">
        <v>18</v>
      </c>
      <c r="E37" s="2" t="s">
        <v>19</v>
      </c>
      <c r="F37" s="2">
        <v>132</v>
      </c>
      <c r="G37" s="2" t="str">
        <f>VLOOKUP(Table1[[#This Row],[customer id]],'Customer Info'!$A$4:$C$12,2,FALSE)</f>
        <v>Bankia</v>
      </c>
      <c r="H37" s="2" t="str">
        <f>VLOOKUP(Table1[[#This Row],[customer id]],'Customer Info'!$A$4:$C$12,3,FALSE)</f>
        <v>Lucas Adams</v>
      </c>
      <c r="I37" t="s">
        <v>22</v>
      </c>
      <c r="J37" t="s">
        <v>13</v>
      </c>
      <c r="K37" t="s">
        <v>119</v>
      </c>
      <c r="L37" t="str">
        <f>LEFT(K37,SEARCH(" ",K37,1))</f>
        <v xml:space="preserve">volt </v>
      </c>
      <c r="M37" t="str">
        <f>RIGHT(K37,LEN(K37)-SEARCH(" ",K37,1))</f>
        <v>red</v>
      </c>
      <c r="N37" t="s">
        <v>51</v>
      </c>
      <c r="O37">
        <v>20</v>
      </c>
      <c r="P37" s="4">
        <v>295</v>
      </c>
      <c r="Q37" s="21" t="str">
        <f t="shared" ref="Q37:Q68" si="1">_xlfn.IFS(P37 &gt; 300, "expensive", 300&gt; P37&gt;200, "good", P37&lt;=200, "poor")</f>
        <v>good</v>
      </c>
      <c r="R37" s="4">
        <v>5900</v>
      </c>
      <c r="S37" t="str">
        <f>IF(Table1[[#This Row],[number]]&gt;=20,"Y","N")</f>
        <v>Y</v>
      </c>
      <c r="T37" s="4">
        <f>IF(Table1[[#This Row],[number]]&gt;=20,0.95*Table1[[#This Row],[total]],Table1[[#This Row],[total]])</f>
        <v>5605</v>
      </c>
    </row>
    <row r="38" spans="1:20" x14ac:dyDescent="0.25">
      <c r="A38">
        <v>74</v>
      </c>
      <c r="B38" s="17">
        <v>167</v>
      </c>
      <c r="C38" s="2" t="s">
        <v>54</v>
      </c>
      <c r="D38" s="5" t="s">
        <v>5</v>
      </c>
      <c r="E38" s="2" t="s">
        <v>6</v>
      </c>
      <c r="F38" s="2">
        <v>144</v>
      </c>
      <c r="G38" s="2" t="str">
        <f>VLOOKUP(Table1[[#This Row],[customer id]],'Customer Info'!$A$4:$C$12,2,FALSE)</f>
        <v>Affinity</v>
      </c>
      <c r="H38" s="2" t="str">
        <f>VLOOKUP(Table1[[#This Row],[customer id]],'Customer Info'!$A$4:$C$12,3,FALSE)</f>
        <v>Christina Bell</v>
      </c>
      <c r="I38" t="s">
        <v>22</v>
      </c>
      <c r="J38" t="s">
        <v>81</v>
      </c>
      <c r="K38" t="s">
        <v>100</v>
      </c>
      <c r="L38" t="str">
        <f>LEFT(K38,SEARCH(" ",K38,1))</f>
        <v xml:space="preserve">volt </v>
      </c>
      <c r="M38" t="str">
        <f>RIGHT(K38,LEN(K38)-SEARCH(" ",K38,1))</f>
        <v>Gray</v>
      </c>
      <c r="N38" t="s">
        <v>23</v>
      </c>
      <c r="O38">
        <v>20</v>
      </c>
      <c r="P38" s="4">
        <v>295</v>
      </c>
      <c r="Q38" s="21" t="str">
        <f t="shared" si="1"/>
        <v>good</v>
      </c>
      <c r="R38" s="4">
        <v>5900</v>
      </c>
      <c r="S38" t="str">
        <f>IF(Table1[[#This Row],[number]]&gt;=20,"Y","N")</f>
        <v>Y</v>
      </c>
      <c r="T38" s="4">
        <f>IF(Table1[[#This Row],[number]]&gt;=20,0.95*Table1[[#This Row],[total]],Table1[[#This Row],[total]])</f>
        <v>5605</v>
      </c>
    </row>
    <row r="39" spans="1:20" x14ac:dyDescent="0.25">
      <c r="A39">
        <v>35</v>
      </c>
      <c r="B39" s="17">
        <v>43923</v>
      </c>
      <c r="C39" s="2" t="s">
        <v>47</v>
      </c>
      <c r="D39" s="5" t="s">
        <v>10</v>
      </c>
      <c r="E39" s="2" t="s">
        <v>11</v>
      </c>
      <c r="F39" s="2">
        <v>136</v>
      </c>
      <c r="G39" s="2" t="str">
        <f>VLOOKUP(Table1[[#This Row],[customer id]],'Customer Info'!$A$4:$C$12,2,FALSE)</f>
        <v>Telmark</v>
      </c>
      <c r="H39" s="2" t="str">
        <f>VLOOKUP(Table1[[#This Row],[customer id]],'Customer Info'!$A$4:$C$12,3,FALSE)</f>
        <v>Emily Flores</v>
      </c>
      <c r="I39" t="s">
        <v>27</v>
      </c>
      <c r="J39" t="s">
        <v>8</v>
      </c>
      <c r="K39" t="s">
        <v>110</v>
      </c>
      <c r="L39" t="str">
        <f>LEFT(K39,SEARCH(" ",K39,1))</f>
        <v xml:space="preserve">cosmo </v>
      </c>
      <c r="M39" t="str">
        <f>RIGHT(K39,LEN(K39)-SEARCH(" ",K39,1))</f>
        <v>black</v>
      </c>
      <c r="N39" t="s">
        <v>40</v>
      </c>
      <c r="O39">
        <v>15</v>
      </c>
      <c r="P39" s="4">
        <v>375</v>
      </c>
      <c r="Q39" s="21" t="str">
        <f t="shared" si="1"/>
        <v>expensive</v>
      </c>
      <c r="R39" s="4">
        <v>5625</v>
      </c>
      <c r="S39" t="str">
        <f>IF(Table1[[#This Row],[number]]&gt;=20,"Y","N")</f>
        <v>N</v>
      </c>
      <c r="T39" s="4">
        <f>IF(Table1[[#This Row],[number]]&gt;=20,0.95*Table1[[#This Row],[total]],Table1[[#This Row],[total]])</f>
        <v>5625</v>
      </c>
    </row>
    <row r="40" spans="1:20" x14ac:dyDescent="0.25">
      <c r="A40">
        <v>43</v>
      </c>
      <c r="B40" s="17">
        <v>43937</v>
      </c>
      <c r="C40" s="2" t="s">
        <v>47</v>
      </c>
      <c r="D40" s="5" t="s">
        <v>24</v>
      </c>
      <c r="E40" s="2" t="s">
        <v>6</v>
      </c>
      <c r="F40" s="2">
        <v>157</v>
      </c>
      <c r="G40" s="2" t="str">
        <f>VLOOKUP(Table1[[#This Row],[customer id]],'Customer Info'!$A$4:$C$12,2,FALSE)</f>
        <v>MarkPlus</v>
      </c>
      <c r="H40" s="2" t="str">
        <f>VLOOKUP(Table1[[#This Row],[customer id]],'Customer Info'!$A$4:$C$12,3,FALSE)</f>
        <v>Matt Reed</v>
      </c>
      <c r="I40" t="s">
        <v>27</v>
      </c>
      <c r="J40" t="s">
        <v>8</v>
      </c>
      <c r="K40" t="s">
        <v>110</v>
      </c>
      <c r="L40" t="str">
        <f>LEFT(K40,SEARCH(" ",K40,1))</f>
        <v xml:space="preserve">cosmo </v>
      </c>
      <c r="M40" t="str">
        <f>RIGHT(K40,LEN(K40)-SEARCH(" ",K40,1))</f>
        <v>black</v>
      </c>
      <c r="N40" t="s">
        <v>40</v>
      </c>
      <c r="O40">
        <v>15</v>
      </c>
      <c r="P40" s="4">
        <v>375</v>
      </c>
      <c r="Q40" s="21" t="str">
        <f t="shared" si="1"/>
        <v>expensive</v>
      </c>
      <c r="R40" s="4">
        <v>5625</v>
      </c>
      <c r="S40" t="str">
        <f>IF(Table1[[#This Row],[number]]&gt;=20,"Y","N")</f>
        <v>N</v>
      </c>
      <c r="T40" s="4">
        <f>IF(Table1[[#This Row],[number]]&gt;=20,0.95*Table1[[#This Row],[total]],Table1[[#This Row],[total]])</f>
        <v>5625</v>
      </c>
    </row>
    <row r="41" spans="1:20" x14ac:dyDescent="0.25">
      <c r="A41">
        <v>54</v>
      </c>
      <c r="B41" s="17">
        <v>43959</v>
      </c>
      <c r="C41" s="2" t="s">
        <v>49</v>
      </c>
      <c r="D41" s="5" t="s">
        <v>15</v>
      </c>
      <c r="E41" s="2" t="s">
        <v>11</v>
      </c>
      <c r="F41" s="2">
        <v>136</v>
      </c>
      <c r="G41" s="2" t="str">
        <f>VLOOKUP(Table1[[#This Row],[customer id]],'Customer Info'!$A$4:$C$12,2,FALSE)</f>
        <v>Telmark</v>
      </c>
      <c r="H41" s="2" t="str">
        <f>VLOOKUP(Table1[[#This Row],[customer id]],'Customer Info'!$A$4:$C$12,3,FALSE)</f>
        <v>Emily Flores</v>
      </c>
      <c r="I41" t="s">
        <v>7</v>
      </c>
      <c r="J41" t="s">
        <v>8</v>
      </c>
      <c r="K41" t="s">
        <v>97</v>
      </c>
      <c r="L41" t="str">
        <f>LEFT(K41,SEARCH(" ",K41,1))</f>
        <v xml:space="preserve">flash </v>
      </c>
      <c r="M41" t="str">
        <f>RIGHT(K41,LEN(K41)-SEARCH(" ",K41,1))</f>
        <v>black</v>
      </c>
      <c r="N41" t="s">
        <v>9</v>
      </c>
      <c r="O41">
        <v>26</v>
      </c>
      <c r="P41" s="4">
        <v>235</v>
      </c>
      <c r="Q41" s="21" t="str">
        <f t="shared" si="1"/>
        <v>good</v>
      </c>
      <c r="R41" s="4">
        <v>6110</v>
      </c>
      <c r="S41" t="str">
        <f>IF(Table1[[#This Row],[number]]&gt;=20,"Y","N")</f>
        <v>Y</v>
      </c>
      <c r="T41" s="4">
        <f>IF(Table1[[#This Row],[number]]&gt;=20,0.95*Table1[[#This Row],[total]],Table1[[#This Row],[total]])</f>
        <v>5804.5</v>
      </c>
    </row>
    <row r="42" spans="1:20" x14ac:dyDescent="0.25">
      <c r="A42">
        <v>30</v>
      </c>
      <c r="B42" s="17">
        <v>43908</v>
      </c>
      <c r="C42" s="2" t="s">
        <v>39</v>
      </c>
      <c r="D42" s="5" t="s">
        <v>10</v>
      </c>
      <c r="E42" s="2" t="s">
        <v>11</v>
      </c>
      <c r="F42" s="2">
        <v>152</v>
      </c>
      <c r="G42" s="2" t="str">
        <f>VLOOKUP(Table1[[#This Row],[customer id]],'Customer Info'!$A$4:$C$12,2,FALSE)</f>
        <v>Secspace</v>
      </c>
      <c r="H42" s="2" t="str">
        <f>VLOOKUP(Table1[[#This Row],[customer id]],'Customer Info'!$A$4:$C$12,3,FALSE)</f>
        <v>Rob Nelson</v>
      </c>
      <c r="I42" t="s">
        <v>36</v>
      </c>
      <c r="J42" t="s">
        <v>81</v>
      </c>
      <c r="K42" t="s">
        <v>116</v>
      </c>
      <c r="L42" t="str">
        <f>LEFT(K42,SEARCH(" ",K42,1))</f>
        <v xml:space="preserve">aero </v>
      </c>
      <c r="M42" t="str">
        <f>RIGHT(K42,LEN(K42)-SEARCH(" ",K42,1))</f>
        <v>Gray</v>
      </c>
      <c r="N42" t="s">
        <v>46</v>
      </c>
      <c r="O42">
        <v>28</v>
      </c>
      <c r="P42" s="4">
        <v>220</v>
      </c>
      <c r="Q42" s="21" t="str">
        <f t="shared" si="1"/>
        <v>good</v>
      </c>
      <c r="R42" s="4">
        <v>6160</v>
      </c>
      <c r="S42" t="str">
        <f>IF(Table1[[#This Row],[number]]&gt;=20,"Y","N")</f>
        <v>Y</v>
      </c>
      <c r="T42" s="4">
        <f>IF(Table1[[#This Row],[number]]&gt;=20,0.95*Table1[[#This Row],[total]],Table1[[#This Row],[total]])</f>
        <v>5852</v>
      </c>
    </row>
    <row r="43" spans="1:20" x14ac:dyDescent="0.25">
      <c r="A43">
        <v>63</v>
      </c>
      <c r="B43" s="17">
        <v>43977</v>
      </c>
      <c r="C43" s="2" t="s">
        <v>49</v>
      </c>
      <c r="D43" s="5" t="s">
        <v>5</v>
      </c>
      <c r="E43" s="2" t="s">
        <v>6</v>
      </c>
      <c r="F43" s="2">
        <v>136</v>
      </c>
      <c r="G43" s="2" t="str">
        <f>VLOOKUP(Table1[[#This Row],[customer id]],'Customer Info'!$A$4:$C$12,2,FALSE)</f>
        <v>Telmark</v>
      </c>
      <c r="H43" s="2" t="str">
        <f>VLOOKUP(Table1[[#This Row],[customer id]],'Customer Info'!$A$4:$C$12,3,FALSE)</f>
        <v>Emily Flores</v>
      </c>
      <c r="I43" t="s">
        <v>22</v>
      </c>
      <c r="J43" t="s">
        <v>8</v>
      </c>
      <c r="K43" t="s">
        <v>109</v>
      </c>
      <c r="L43" t="str">
        <f>LEFT(K43,SEARCH(" ",K43,1))</f>
        <v xml:space="preserve">volt </v>
      </c>
      <c r="M43" t="str">
        <f>RIGHT(K43,LEN(K43)-SEARCH(" ",K43,1))</f>
        <v>black</v>
      </c>
      <c r="N43" t="s">
        <v>38</v>
      </c>
      <c r="O43">
        <v>22</v>
      </c>
      <c r="P43" s="4">
        <v>295</v>
      </c>
      <c r="Q43" s="21" t="str">
        <f t="shared" si="1"/>
        <v>good</v>
      </c>
      <c r="R43" s="4">
        <v>6490</v>
      </c>
      <c r="S43" t="str">
        <f>IF(Table1[[#This Row],[number]]&gt;=20,"Y","N")</f>
        <v>Y</v>
      </c>
      <c r="T43" s="4">
        <f>IF(Table1[[#This Row],[number]]&gt;=20,0.95*Table1[[#This Row],[total]],Table1[[#This Row],[total]])</f>
        <v>6165.5</v>
      </c>
    </row>
    <row r="44" spans="1:20" x14ac:dyDescent="0.25">
      <c r="A44">
        <v>68</v>
      </c>
      <c r="B44" s="17">
        <v>43987</v>
      </c>
      <c r="C44" s="2" t="s">
        <v>54</v>
      </c>
      <c r="D44" s="5" t="s">
        <v>26</v>
      </c>
      <c r="E44" s="2" t="s">
        <v>19</v>
      </c>
      <c r="F44" s="2">
        <v>136</v>
      </c>
      <c r="G44" s="2" t="str">
        <f>VLOOKUP(Table1[[#This Row],[customer id]],'Customer Info'!$A$4:$C$12,2,FALSE)</f>
        <v>Telmark</v>
      </c>
      <c r="H44" s="2" t="str">
        <f>VLOOKUP(Table1[[#This Row],[customer id]],'Customer Info'!$A$4:$C$12,3,FALSE)</f>
        <v>Emily Flores</v>
      </c>
      <c r="I44" t="s">
        <v>12</v>
      </c>
      <c r="J44" t="s">
        <v>81</v>
      </c>
      <c r="K44" t="s">
        <v>117</v>
      </c>
      <c r="L44" t="str">
        <f>LEFT(K44,SEARCH(" ",K44,1))</f>
        <v xml:space="preserve">urban </v>
      </c>
      <c r="M44" t="str">
        <f>RIGHT(K44,LEN(K44)-SEARCH(" ",K44,1))</f>
        <v>Gray</v>
      </c>
      <c r="N44" t="s">
        <v>48</v>
      </c>
      <c r="O44">
        <v>26</v>
      </c>
      <c r="P44" s="4">
        <v>260</v>
      </c>
      <c r="Q44" s="21" t="str">
        <f t="shared" si="1"/>
        <v>good</v>
      </c>
      <c r="R44" s="4">
        <v>6760</v>
      </c>
      <c r="S44" t="str">
        <f>IF(Table1[[#This Row],[number]]&gt;=20,"Y","N")</f>
        <v>Y</v>
      </c>
      <c r="T44" s="4">
        <f>IF(Table1[[#This Row],[number]]&gt;=20,0.95*Table1[[#This Row],[total]],Table1[[#This Row],[total]])</f>
        <v>6422</v>
      </c>
    </row>
    <row r="45" spans="1:20" x14ac:dyDescent="0.25">
      <c r="A45">
        <v>28</v>
      </c>
      <c r="B45" s="17">
        <v>43902</v>
      </c>
      <c r="C45" s="2" t="s">
        <v>39</v>
      </c>
      <c r="D45" s="5" t="s">
        <v>18</v>
      </c>
      <c r="E45" s="2" t="s">
        <v>19</v>
      </c>
      <c r="F45" s="2">
        <v>178</v>
      </c>
      <c r="G45" s="2" t="str">
        <f>VLOOKUP(Table1[[#This Row],[customer id]],'Customer Info'!$A$4:$C$12,2,FALSE)</f>
        <v>Vento</v>
      </c>
      <c r="H45" s="2" t="str">
        <f>VLOOKUP(Table1[[#This Row],[customer id]],'Customer Info'!$A$4:$C$12,3,FALSE)</f>
        <v>Amanda Wood</v>
      </c>
      <c r="I45" t="s">
        <v>16</v>
      </c>
      <c r="J45" t="s">
        <v>8</v>
      </c>
      <c r="K45" t="s">
        <v>104</v>
      </c>
      <c r="L45" t="str">
        <f>LEFT(K45,SEARCH(" ",K45,1))</f>
        <v xml:space="preserve">energy </v>
      </c>
      <c r="M45" t="str">
        <f>RIGHT(K45,LEN(K45)-SEARCH(" ",K45,1))</f>
        <v>black</v>
      </c>
      <c r="N45" t="s">
        <v>17</v>
      </c>
      <c r="O45">
        <v>20</v>
      </c>
      <c r="P45" s="4">
        <v>350</v>
      </c>
      <c r="Q45" s="21" t="str">
        <f t="shared" si="1"/>
        <v>expensive</v>
      </c>
      <c r="R45" s="4">
        <v>7000</v>
      </c>
      <c r="S45" t="str">
        <f>IF(Table1[[#This Row],[number]]&gt;=20,"Y","N")</f>
        <v>Y</v>
      </c>
      <c r="T45" s="4">
        <f>IF(Table1[[#This Row],[number]]&gt;=20,0.95*Table1[[#This Row],[total]],Table1[[#This Row],[total]])</f>
        <v>6650</v>
      </c>
    </row>
    <row r="46" spans="1:20" x14ac:dyDescent="0.25">
      <c r="A46">
        <v>47</v>
      </c>
      <c r="B46" s="17">
        <v>43944</v>
      </c>
      <c r="C46" s="2" t="s">
        <v>47</v>
      </c>
      <c r="D46" s="5" t="s">
        <v>24</v>
      </c>
      <c r="E46" s="2" t="s">
        <v>6</v>
      </c>
      <c r="F46" s="2">
        <v>144</v>
      </c>
      <c r="G46" s="2" t="str">
        <f>VLOOKUP(Table1[[#This Row],[customer id]],'Customer Info'!$A$4:$C$12,2,FALSE)</f>
        <v>Affinity</v>
      </c>
      <c r="H46" s="2" t="str">
        <f>VLOOKUP(Table1[[#This Row],[customer id]],'Customer Info'!$A$4:$C$12,3,FALSE)</f>
        <v>Christina Bell</v>
      </c>
      <c r="I46" t="s">
        <v>36</v>
      </c>
      <c r="J46" t="s">
        <v>28</v>
      </c>
      <c r="K46" t="s">
        <v>114</v>
      </c>
      <c r="L46" t="str">
        <f>LEFT(K46,SEARCH(" ",K46,1))</f>
        <v xml:space="preserve">aero </v>
      </c>
      <c r="M46" t="str">
        <f>RIGHT(K46,LEN(K46)-SEARCH(" ",K46,1))</f>
        <v>white</v>
      </c>
      <c r="N46" t="s">
        <v>44</v>
      </c>
      <c r="O46">
        <v>32</v>
      </c>
      <c r="P46" s="4">
        <v>220</v>
      </c>
      <c r="Q46" s="21" t="str">
        <f t="shared" si="1"/>
        <v>good</v>
      </c>
      <c r="R46" s="4">
        <v>7040</v>
      </c>
      <c r="S46" t="str">
        <f>IF(Table1[[#This Row],[number]]&gt;=20,"Y","N")</f>
        <v>Y</v>
      </c>
      <c r="T46" s="4">
        <f>IF(Table1[[#This Row],[number]]&gt;=20,0.95*Table1[[#This Row],[total]],Table1[[#This Row],[total]])</f>
        <v>6688</v>
      </c>
    </row>
    <row r="47" spans="1:20" x14ac:dyDescent="0.25">
      <c r="A47">
        <v>4</v>
      </c>
      <c r="B47" s="17">
        <v>43842</v>
      </c>
      <c r="C47" s="2" t="s">
        <v>4</v>
      </c>
      <c r="D47" s="5" t="s">
        <v>18</v>
      </c>
      <c r="E47" s="2" t="s">
        <v>19</v>
      </c>
      <c r="F47" s="2">
        <v>144</v>
      </c>
      <c r="G47" s="2" t="str">
        <f>VLOOKUP(Table1[[#This Row],[customer id]],'Customer Info'!$A$4:$C$12,2,FALSE)</f>
        <v>Affinity</v>
      </c>
      <c r="H47" s="2" t="str">
        <f>VLOOKUP(Table1[[#This Row],[customer id]],'Customer Info'!$A$4:$C$12,3,FALSE)</f>
        <v>Christina Bell</v>
      </c>
      <c r="I47" t="s">
        <v>7</v>
      </c>
      <c r="J47" t="s">
        <v>20</v>
      </c>
      <c r="K47" t="s">
        <v>99</v>
      </c>
      <c r="L47" t="str">
        <f>LEFT(K47,SEARCH(" ",K47,1))</f>
        <v xml:space="preserve">flash </v>
      </c>
      <c r="M47" t="str">
        <f>RIGHT(K47,LEN(K47)-SEARCH(" ",K47,1))</f>
        <v>brown</v>
      </c>
      <c r="N47" t="s">
        <v>21</v>
      </c>
      <c r="O47">
        <v>30</v>
      </c>
      <c r="P47" s="4">
        <v>235</v>
      </c>
      <c r="Q47" s="21" t="str">
        <f t="shared" si="1"/>
        <v>good</v>
      </c>
      <c r="R47" s="4">
        <v>7050</v>
      </c>
      <c r="S47" t="str">
        <f>IF(Table1[[#This Row],[number]]&gt;=20,"Y","N")</f>
        <v>Y</v>
      </c>
      <c r="T47" s="4">
        <f>IF(Table1[[#This Row],[number]]&gt;=20,0.95*Table1[[#This Row],[total]],Table1[[#This Row],[total]])</f>
        <v>6697.5</v>
      </c>
    </row>
    <row r="48" spans="1:20" x14ac:dyDescent="0.25">
      <c r="A48">
        <v>33</v>
      </c>
      <c r="B48" s="17">
        <v>43916</v>
      </c>
      <c r="C48" s="2" t="s">
        <v>39</v>
      </c>
      <c r="D48" s="5" t="s">
        <v>18</v>
      </c>
      <c r="E48" s="2" t="s">
        <v>19</v>
      </c>
      <c r="F48" s="2">
        <v>178</v>
      </c>
      <c r="G48" s="2" t="str">
        <f>VLOOKUP(Table1[[#This Row],[customer id]],'Customer Info'!$A$4:$C$12,2,FALSE)</f>
        <v>Vento</v>
      </c>
      <c r="H48" s="2" t="str">
        <f>VLOOKUP(Table1[[#This Row],[customer id]],'Customer Info'!$A$4:$C$12,3,FALSE)</f>
        <v>Amanda Wood</v>
      </c>
      <c r="I48" t="s">
        <v>27</v>
      </c>
      <c r="J48" t="s">
        <v>28</v>
      </c>
      <c r="K48" t="s">
        <v>102</v>
      </c>
      <c r="L48" t="str">
        <f>LEFT(K48,SEARCH(" ",K48,1))</f>
        <v xml:space="preserve">cosmo </v>
      </c>
      <c r="M48" t="str">
        <f>RIGHT(K48,LEN(K48)-SEARCH(" ",K48,1))</f>
        <v>white</v>
      </c>
      <c r="N48" t="s">
        <v>29</v>
      </c>
      <c r="O48">
        <v>20</v>
      </c>
      <c r="P48" s="4">
        <v>375</v>
      </c>
      <c r="Q48" s="21" t="str">
        <f t="shared" si="1"/>
        <v>expensive</v>
      </c>
      <c r="R48" s="4">
        <v>7500</v>
      </c>
      <c r="S48" t="str">
        <f>IF(Table1[[#This Row],[number]]&gt;=20,"Y","N")</f>
        <v>Y</v>
      </c>
      <c r="T48" s="4">
        <f>IF(Table1[[#This Row],[number]]&gt;=20,0.95*Table1[[#This Row],[total]],Table1[[#This Row],[total]])</f>
        <v>7125</v>
      </c>
    </row>
    <row r="49" spans="1:20" x14ac:dyDescent="0.25">
      <c r="A49">
        <v>49</v>
      </c>
      <c r="B49" s="17">
        <v>43948</v>
      </c>
      <c r="C49" s="2" t="s">
        <v>47</v>
      </c>
      <c r="D49" s="5" t="s">
        <v>18</v>
      </c>
      <c r="E49" s="2" t="s">
        <v>19</v>
      </c>
      <c r="F49" s="2">
        <v>180</v>
      </c>
      <c r="G49" s="2" t="str">
        <f>VLOOKUP(Table1[[#This Row],[customer id]],'Customer Info'!$A$4:$C$12,2,FALSE)</f>
        <v>Milago</v>
      </c>
      <c r="H49" s="2" t="str">
        <f>VLOOKUP(Table1[[#This Row],[customer id]],'Customer Info'!$A$4:$C$12,3,FALSE)</f>
        <v>Sam Cooper</v>
      </c>
      <c r="I49" t="s">
        <v>16</v>
      </c>
      <c r="J49" t="s">
        <v>8</v>
      </c>
      <c r="K49" t="s">
        <v>104</v>
      </c>
      <c r="L49" t="str">
        <f>LEFT(K49,SEARCH(" ",K49,1))</f>
        <v xml:space="preserve">energy </v>
      </c>
      <c r="M49" t="str">
        <f>RIGHT(K49,LEN(K49)-SEARCH(" ",K49,1))</f>
        <v>black</v>
      </c>
      <c r="N49" t="s">
        <v>17</v>
      </c>
      <c r="O49">
        <v>22</v>
      </c>
      <c r="P49" s="4">
        <v>350</v>
      </c>
      <c r="Q49" s="21" t="str">
        <f t="shared" si="1"/>
        <v>expensive</v>
      </c>
      <c r="R49" s="4">
        <v>7700</v>
      </c>
      <c r="S49" t="str">
        <f>IF(Table1[[#This Row],[number]]&gt;=20,"Y","N")</f>
        <v>Y</v>
      </c>
      <c r="T49" s="4">
        <f>IF(Table1[[#This Row],[number]]&gt;=20,0.95*Table1[[#This Row],[total]],Table1[[#This Row],[total]])</f>
        <v>7315</v>
      </c>
    </row>
    <row r="50" spans="1:20" x14ac:dyDescent="0.25">
      <c r="A50">
        <v>76</v>
      </c>
      <c r="B50" s="17">
        <v>44005</v>
      </c>
      <c r="C50" s="2" t="s">
        <v>54</v>
      </c>
      <c r="D50" s="5" t="s">
        <v>18</v>
      </c>
      <c r="E50" s="2" t="s">
        <v>19</v>
      </c>
      <c r="F50" s="2">
        <v>178</v>
      </c>
      <c r="G50" s="2" t="str">
        <f>VLOOKUP(Table1[[#This Row],[customer id]],'Customer Info'!$A$4:$C$12,2,FALSE)</f>
        <v>Vento</v>
      </c>
      <c r="H50" s="2" t="str">
        <f>VLOOKUP(Table1[[#This Row],[customer id]],'Customer Info'!$A$4:$C$12,3,FALSE)</f>
        <v>Amanda Wood</v>
      </c>
      <c r="I50" t="s">
        <v>16</v>
      </c>
      <c r="J50" t="s">
        <v>8</v>
      </c>
      <c r="K50" t="s">
        <v>104</v>
      </c>
      <c r="L50" t="str">
        <f>LEFT(K50,SEARCH(" ",K50,1))</f>
        <v xml:space="preserve">energy </v>
      </c>
      <c r="M50" t="str">
        <f>RIGHT(K50,LEN(K50)-SEARCH(" ",K50,1))</f>
        <v>black</v>
      </c>
      <c r="N50" t="s">
        <v>17</v>
      </c>
      <c r="O50">
        <v>22</v>
      </c>
      <c r="P50" s="4">
        <v>350</v>
      </c>
      <c r="Q50" s="21" t="str">
        <f t="shared" si="1"/>
        <v>expensive</v>
      </c>
      <c r="R50" s="4">
        <v>7700</v>
      </c>
      <c r="S50" t="str">
        <f>IF(Table1[[#This Row],[number]]&gt;=20,"Y","N")</f>
        <v>Y</v>
      </c>
      <c r="T50" s="4">
        <f>IF(Table1[[#This Row],[number]]&gt;=20,0.95*Table1[[#This Row],[total]],Table1[[#This Row],[total]])</f>
        <v>7315</v>
      </c>
    </row>
    <row r="51" spans="1:20" x14ac:dyDescent="0.25">
      <c r="A51">
        <v>56</v>
      </c>
      <c r="B51" s="17">
        <v>43964</v>
      </c>
      <c r="C51" s="2" t="s">
        <v>49</v>
      </c>
      <c r="D51" s="5" t="s">
        <v>26</v>
      </c>
      <c r="E51" s="2" t="s">
        <v>19</v>
      </c>
      <c r="F51" s="2">
        <v>180</v>
      </c>
      <c r="G51" s="2" t="str">
        <f>VLOOKUP(Table1[[#This Row],[customer id]],'Customer Info'!$A$4:$C$12,2,FALSE)</f>
        <v>Milago</v>
      </c>
      <c r="H51" s="2" t="str">
        <f>VLOOKUP(Table1[[#This Row],[customer id]],'Customer Info'!$A$4:$C$12,3,FALSE)</f>
        <v>Sam Cooper</v>
      </c>
      <c r="I51" t="s">
        <v>12</v>
      </c>
      <c r="J51" t="s">
        <v>8</v>
      </c>
      <c r="K51" t="s">
        <v>111</v>
      </c>
      <c r="L51" t="str">
        <f>LEFT(K51,SEARCH(" ",K51,1))</f>
        <v xml:space="preserve">urban </v>
      </c>
      <c r="M51" t="str">
        <f>RIGHT(K51,LEN(K51)-SEARCH(" ",K51,1))</f>
        <v>black</v>
      </c>
      <c r="N51" t="s">
        <v>41</v>
      </c>
      <c r="O51">
        <v>30</v>
      </c>
      <c r="P51" s="4">
        <v>260</v>
      </c>
      <c r="Q51" s="21" t="str">
        <f t="shared" si="1"/>
        <v>good</v>
      </c>
      <c r="R51" s="4">
        <v>7800</v>
      </c>
      <c r="S51" t="str">
        <f>IF(Table1[[#This Row],[number]]&gt;=20,"Y","N")</f>
        <v>Y</v>
      </c>
      <c r="T51" s="4">
        <f>IF(Table1[[#This Row],[number]]&gt;=20,0.95*Table1[[#This Row],[total]],Table1[[#This Row],[total]])</f>
        <v>7410</v>
      </c>
    </row>
    <row r="52" spans="1:20" x14ac:dyDescent="0.25">
      <c r="A52">
        <v>19</v>
      </c>
      <c r="B52" s="17">
        <v>43880</v>
      </c>
      <c r="C52" s="2" t="s">
        <v>31</v>
      </c>
      <c r="D52" s="5" t="s">
        <v>26</v>
      </c>
      <c r="E52" s="2" t="s">
        <v>19</v>
      </c>
      <c r="F52" s="2">
        <v>132</v>
      </c>
      <c r="G52" s="2" t="str">
        <f>VLOOKUP(Table1[[#This Row],[customer id]],'Customer Info'!$A$4:$C$12,2,FALSE)</f>
        <v>Bankia</v>
      </c>
      <c r="H52" s="2" t="str">
        <f>VLOOKUP(Table1[[#This Row],[customer id]],'Customer Info'!$A$4:$C$12,3,FALSE)</f>
        <v>Lucas Adams</v>
      </c>
      <c r="I52" t="s">
        <v>7</v>
      </c>
      <c r="J52" t="s">
        <v>20</v>
      </c>
      <c r="K52" t="s">
        <v>99</v>
      </c>
      <c r="L52" t="str">
        <f>LEFT(K52,SEARCH(" ",K52,1))</f>
        <v xml:space="preserve">flash </v>
      </c>
      <c r="M52" t="str">
        <f>RIGHT(K52,LEN(K52)-SEARCH(" ",K52,1))</f>
        <v>brown</v>
      </c>
      <c r="N52" t="s">
        <v>21</v>
      </c>
      <c r="O52">
        <v>35</v>
      </c>
      <c r="P52" s="4">
        <v>235</v>
      </c>
      <c r="Q52" s="21" t="str">
        <f t="shared" si="1"/>
        <v>good</v>
      </c>
      <c r="R52" s="4">
        <v>8225</v>
      </c>
      <c r="S52" t="str">
        <f>IF(Table1[[#This Row],[number]]&gt;=20,"Y","N")</f>
        <v>Y</v>
      </c>
      <c r="T52" s="4">
        <f>IF(Table1[[#This Row],[number]]&gt;=20,0.95*Table1[[#This Row],[total]],Table1[[#This Row],[total]])</f>
        <v>7813.75</v>
      </c>
    </row>
    <row r="53" spans="1:20" x14ac:dyDescent="0.25">
      <c r="A53">
        <v>65</v>
      </c>
      <c r="B53" s="17">
        <v>43979</v>
      </c>
      <c r="C53" s="2" t="s">
        <v>49</v>
      </c>
      <c r="D53" s="5" t="s">
        <v>24</v>
      </c>
      <c r="E53" s="2" t="s">
        <v>6</v>
      </c>
      <c r="F53" s="2">
        <v>132</v>
      </c>
      <c r="G53" s="2" t="str">
        <f>VLOOKUP(Table1[[#This Row],[customer id]],'Customer Info'!$A$4:$C$12,2,FALSE)</f>
        <v>Bankia</v>
      </c>
      <c r="H53" s="2" t="str">
        <f>VLOOKUP(Table1[[#This Row],[customer id]],'Customer Info'!$A$4:$C$12,3,FALSE)</f>
        <v>Lucas Adams</v>
      </c>
      <c r="I53" t="s">
        <v>7</v>
      </c>
      <c r="J53" t="s">
        <v>20</v>
      </c>
      <c r="K53" t="s">
        <v>99</v>
      </c>
      <c r="L53" t="str">
        <f>LEFT(K53,SEARCH(" ",K53,1))</f>
        <v xml:space="preserve">flash </v>
      </c>
      <c r="M53" t="str">
        <f>RIGHT(K53,LEN(K53)-SEARCH(" ",K53,1))</f>
        <v>brown</v>
      </c>
      <c r="N53" t="s">
        <v>21</v>
      </c>
      <c r="O53">
        <v>35</v>
      </c>
      <c r="P53" s="4">
        <v>235</v>
      </c>
      <c r="Q53" s="21" t="str">
        <f t="shared" si="1"/>
        <v>good</v>
      </c>
      <c r="R53" s="4">
        <v>8225</v>
      </c>
      <c r="S53" t="str">
        <f>IF(Table1[[#This Row],[number]]&gt;=20,"Y","N")</f>
        <v>Y</v>
      </c>
      <c r="T53" s="4">
        <f>IF(Table1[[#This Row],[number]]&gt;=20,0.95*Table1[[#This Row],[total]],Table1[[#This Row],[total]])</f>
        <v>7813.75</v>
      </c>
    </row>
    <row r="54" spans="1:20" x14ac:dyDescent="0.25">
      <c r="A54">
        <v>10</v>
      </c>
      <c r="B54" s="17">
        <v>43856</v>
      </c>
      <c r="C54" s="2" t="s">
        <v>4</v>
      </c>
      <c r="D54" s="5" t="s">
        <v>5</v>
      </c>
      <c r="E54" s="2" t="s">
        <v>6</v>
      </c>
      <c r="F54" s="2">
        <v>166</v>
      </c>
      <c r="G54" s="2" t="str">
        <f>VLOOKUP(Table1[[#This Row],[customer id]],'Customer Info'!$A$4:$C$12,2,FALSE)</f>
        <v>Port Royale</v>
      </c>
      <c r="H54" s="2" t="str">
        <f>VLOOKUP(Table1[[#This Row],[customer id]],'Customer Info'!$A$4:$C$12,3,FALSE)</f>
        <v>Dan Hill</v>
      </c>
      <c r="I54" t="s">
        <v>16</v>
      </c>
      <c r="J54" t="s">
        <v>8</v>
      </c>
      <c r="K54" t="s">
        <v>104</v>
      </c>
      <c r="L54" t="str">
        <f>LEFT(K54,SEARCH(" ",K54,1))</f>
        <v xml:space="preserve">energy </v>
      </c>
      <c r="M54" t="str">
        <f>RIGHT(K54,LEN(K54)-SEARCH(" ",K54,1))</f>
        <v>black</v>
      </c>
      <c r="N54" t="s">
        <v>17</v>
      </c>
      <c r="O54">
        <v>25</v>
      </c>
      <c r="P54" s="4">
        <v>350</v>
      </c>
      <c r="Q54" s="21" t="str">
        <f t="shared" si="1"/>
        <v>expensive</v>
      </c>
      <c r="R54" s="4">
        <v>8750</v>
      </c>
      <c r="S54" t="str">
        <f>IF(Table1[[#This Row],[number]]&gt;=20,"Y","N")</f>
        <v>Y</v>
      </c>
      <c r="T54" s="4">
        <f>IF(Table1[[#This Row],[number]]&gt;=20,0.95*Table1[[#This Row],[total]],Table1[[#This Row],[total]])</f>
        <v>8312.5</v>
      </c>
    </row>
    <row r="55" spans="1:20" x14ac:dyDescent="0.25">
      <c r="A55">
        <v>50</v>
      </c>
      <c r="B55" s="17">
        <v>43951</v>
      </c>
      <c r="C55" s="2" t="s">
        <v>47</v>
      </c>
      <c r="D55" s="5" t="s">
        <v>26</v>
      </c>
      <c r="E55" s="2" t="s">
        <v>19</v>
      </c>
      <c r="F55" s="2">
        <v>162</v>
      </c>
      <c r="G55" s="2" t="str">
        <f>VLOOKUP(Table1[[#This Row],[customer id]],'Customer Info'!$A$4:$C$12,2,FALSE)</f>
        <v>Cruise</v>
      </c>
      <c r="H55" s="2" t="str">
        <f>VLOOKUP(Table1[[#This Row],[customer id]],'Customer Info'!$A$4:$C$12,3,FALSE)</f>
        <v>Denise Harris</v>
      </c>
      <c r="I55" t="s">
        <v>7</v>
      </c>
      <c r="J55" t="s">
        <v>81</v>
      </c>
      <c r="K55" t="s">
        <v>115</v>
      </c>
      <c r="L55" t="str">
        <f>LEFT(K55,SEARCH(" ",K55,1))</f>
        <v xml:space="preserve">flash </v>
      </c>
      <c r="M55" t="str">
        <f>RIGHT(K55,LEN(K55)-SEARCH(" ",K55,1))</f>
        <v>Gray</v>
      </c>
      <c r="N55" t="s">
        <v>45</v>
      </c>
      <c r="O55">
        <v>38</v>
      </c>
      <c r="P55" s="4">
        <v>235</v>
      </c>
      <c r="Q55" s="21" t="str">
        <f t="shared" si="1"/>
        <v>good</v>
      </c>
      <c r="R55" s="4">
        <v>8930</v>
      </c>
      <c r="S55" t="str">
        <f>IF(Table1[[#This Row],[number]]&gt;=20,"Y","N")</f>
        <v>Y</v>
      </c>
      <c r="T55" s="4">
        <f>IF(Table1[[#This Row],[number]]&gt;=20,0.95*Table1[[#This Row],[total]],Table1[[#This Row],[total]])</f>
        <v>8483.5</v>
      </c>
    </row>
    <row r="56" spans="1:20" x14ac:dyDescent="0.25">
      <c r="A56">
        <v>45</v>
      </c>
      <c r="B56" s="17">
        <v>43941</v>
      </c>
      <c r="C56" s="2" t="s">
        <v>47</v>
      </c>
      <c r="D56" s="5" t="s">
        <v>5</v>
      </c>
      <c r="E56" s="2" t="s">
        <v>6</v>
      </c>
      <c r="F56" s="2">
        <v>132</v>
      </c>
      <c r="G56" s="2" t="str">
        <f>VLOOKUP(Table1[[#This Row],[customer id]],'Customer Info'!$A$4:$C$12,2,FALSE)</f>
        <v>Bankia</v>
      </c>
      <c r="H56" s="2" t="str">
        <f>VLOOKUP(Table1[[#This Row],[customer id]],'Customer Info'!$A$4:$C$12,3,FALSE)</f>
        <v>Lucas Adams</v>
      </c>
      <c r="I56" t="s">
        <v>16</v>
      </c>
      <c r="J56" t="s">
        <v>8</v>
      </c>
      <c r="K56" t="s">
        <v>104</v>
      </c>
      <c r="L56" t="str">
        <f>LEFT(K56,SEARCH(" ",K56,1))</f>
        <v xml:space="preserve">energy </v>
      </c>
      <c r="M56" t="str">
        <f>RIGHT(K56,LEN(K56)-SEARCH(" ",K56,1))</f>
        <v>black</v>
      </c>
      <c r="N56" t="s">
        <v>17</v>
      </c>
      <c r="O56">
        <v>26</v>
      </c>
      <c r="P56" s="4">
        <v>350</v>
      </c>
      <c r="Q56" s="21" t="str">
        <f t="shared" si="1"/>
        <v>expensive</v>
      </c>
      <c r="R56" s="4">
        <v>9100</v>
      </c>
      <c r="S56" t="str">
        <f>IF(Table1[[#This Row],[number]]&gt;=20,"Y","N")</f>
        <v>Y</v>
      </c>
      <c r="T56" s="4">
        <f>IF(Table1[[#This Row],[number]]&gt;=20,0.95*Table1[[#This Row],[total]],Table1[[#This Row],[total]])</f>
        <v>8645</v>
      </c>
    </row>
    <row r="57" spans="1:20" x14ac:dyDescent="0.25">
      <c r="A57">
        <v>46</v>
      </c>
      <c r="B57" s="17">
        <v>43943</v>
      </c>
      <c r="C57" s="2" t="s">
        <v>47</v>
      </c>
      <c r="D57" s="5" t="s">
        <v>18</v>
      </c>
      <c r="E57" s="2" t="s">
        <v>19</v>
      </c>
      <c r="F57" s="2">
        <v>162</v>
      </c>
      <c r="G57" s="2" t="str">
        <f>VLOOKUP(Table1[[#This Row],[customer id]],'Customer Info'!$A$4:$C$12,2,FALSE)</f>
        <v>Cruise</v>
      </c>
      <c r="H57" s="2" t="str">
        <f>VLOOKUP(Table1[[#This Row],[customer id]],'Customer Info'!$A$4:$C$12,3,FALSE)</f>
        <v>Denise Harris</v>
      </c>
      <c r="I57" t="s">
        <v>12</v>
      </c>
      <c r="J57" t="s">
        <v>81</v>
      </c>
      <c r="K57" t="s">
        <v>117</v>
      </c>
      <c r="L57" t="str">
        <f>LEFT(K57,SEARCH(" ",K57,1))</f>
        <v xml:space="preserve">urban </v>
      </c>
      <c r="M57" t="str">
        <f>RIGHT(K57,LEN(K57)-SEARCH(" ",K57,1))</f>
        <v>Gray</v>
      </c>
      <c r="N57" t="s">
        <v>48</v>
      </c>
      <c r="O57">
        <v>35</v>
      </c>
      <c r="P57" s="4">
        <v>260</v>
      </c>
      <c r="Q57" s="21" t="str">
        <f t="shared" si="1"/>
        <v>good</v>
      </c>
      <c r="R57" s="4">
        <v>9100</v>
      </c>
      <c r="S57" t="str">
        <f>IF(Table1[[#This Row],[number]]&gt;=20,"Y","N")</f>
        <v>Y</v>
      </c>
      <c r="T57" s="4">
        <f>IF(Table1[[#This Row],[number]]&gt;=20,0.95*Table1[[#This Row],[total]],Table1[[#This Row],[total]])</f>
        <v>8645</v>
      </c>
    </row>
    <row r="58" spans="1:20" x14ac:dyDescent="0.25">
      <c r="A58">
        <v>57</v>
      </c>
      <c r="B58" s="17">
        <v>43966</v>
      </c>
      <c r="C58" s="2" t="s">
        <v>49</v>
      </c>
      <c r="D58" s="5" t="s">
        <v>18</v>
      </c>
      <c r="E58" s="2" t="s">
        <v>19</v>
      </c>
      <c r="F58" s="2">
        <v>152</v>
      </c>
      <c r="G58" s="2" t="str">
        <f>VLOOKUP(Table1[[#This Row],[customer id]],'Customer Info'!$A$4:$C$12,2,FALSE)</f>
        <v>Secspace</v>
      </c>
      <c r="H58" s="2" t="str">
        <f>VLOOKUP(Table1[[#This Row],[customer id]],'Customer Info'!$A$4:$C$12,3,FALSE)</f>
        <v>Rob Nelson</v>
      </c>
      <c r="I58" t="s">
        <v>16</v>
      </c>
      <c r="J58" t="s">
        <v>81</v>
      </c>
      <c r="K58" t="s">
        <v>121</v>
      </c>
      <c r="L58" t="str">
        <f>LEFT(K58,SEARCH(" ",K58,1))</f>
        <v xml:space="preserve">energy </v>
      </c>
      <c r="M58" t="str">
        <f>RIGHT(K58,LEN(K58)-SEARCH(" ",K58,1))</f>
        <v>Gray</v>
      </c>
      <c r="N58" t="s">
        <v>53</v>
      </c>
      <c r="O58">
        <v>26</v>
      </c>
      <c r="P58" s="4">
        <v>350</v>
      </c>
      <c r="Q58" s="21" t="str">
        <f t="shared" si="1"/>
        <v>expensive</v>
      </c>
      <c r="R58" s="4">
        <v>9100</v>
      </c>
      <c r="S58" t="str">
        <f>IF(Table1[[#This Row],[number]]&gt;=20,"Y","N")</f>
        <v>Y</v>
      </c>
      <c r="T58" s="4">
        <f>IF(Table1[[#This Row],[number]]&gt;=20,0.95*Table1[[#This Row],[total]],Table1[[#This Row],[total]])</f>
        <v>8645</v>
      </c>
    </row>
    <row r="59" spans="1:20" x14ac:dyDescent="0.25">
      <c r="A59">
        <v>75</v>
      </c>
      <c r="B59" s="17">
        <v>44000</v>
      </c>
      <c r="C59" s="2" t="s">
        <v>54</v>
      </c>
      <c r="D59" s="5" t="s">
        <v>26</v>
      </c>
      <c r="E59" s="2" t="s">
        <v>19</v>
      </c>
      <c r="F59" s="2">
        <v>166</v>
      </c>
      <c r="G59" s="2" t="str">
        <f>VLOOKUP(Table1[[#This Row],[customer id]],'Customer Info'!$A$4:$C$12,2,FALSE)</f>
        <v>Port Royale</v>
      </c>
      <c r="H59" s="2" t="str">
        <f>VLOOKUP(Table1[[#This Row],[customer id]],'Customer Info'!$A$4:$C$12,3,FALSE)</f>
        <v>Dan Hill</v>
      </c>
      <c r="I59" t="s">
        <v>12</v>
      </c>
      <c r="J59" t="s">
        <v>13</v>
      </c>
      <c r="K59" t="s">
        <v>98</v>
      </c>
      <c r="L59" t="str">
        <f>LEFT(K59,SEARCH(" ",K59,1))</f>
        <v xml:space="preserve">urban </v>
      </c>
      <c r="M59" t="str">
        <f>RIGHT(K59,LEN(K59)-SEARCH(" ",K59,1))</f>
        <v>red</v>
      </c>
      <c r="N59" t="s">
        <v>14</v>
      </c>
      <c r="O59">
        <v>35</v>
      </c>
      <c r="P59" s="4">
        <v>260</v>
      </c>
      <c r="Q59" s="21" t="str">
        <f t="shared" si="1"/>
        <v>good</v>
      </c>
      <c r="R59" s="4">
        <v>9100</v>
      </c>
      <c r="S59" t="str">
        <f>IF(Table1[[#This Row],[number]]&gt;=20,"Y","N")</f>
        <v>Y</v>
      </c>
      <c r="T59" s="4">
        <f>IF(Table1[[#This Row],[number]]&gt;=20,0.95*Table1[[#This Row],[total]],Table1[[#This Row],[total]])</f>
        <v>8645</v>
      </c>
    </row>
    <row r="60" spans="1:20" x14ac:dyDescent="0.25">
      <c r="A60">
        <v>51</v>
      </c>
      <c r="B60" s="17">
        <v>43952</v>
      </c>
      <c r="C60" s="2" t="s">
        <v>49</v>
      </c>
      <c r="D60" s="5" t="s">
        <v>5</v>
      </c>
      <c r="E60" s="2" t="s">
        <v>6</v>
      </c>
      <c r="F60" s="2">
        <v>180</v>
      </c>
      <c r="G60" s="2" t="str">
        <f>VLOOKUP(Table1[[#This Row],[customer id]],'Customer Info'!$A$4:$C$12,2,FALSE)</f>
        <v>Milago</v>
      </c>
      <c r="H60" s="2" t="str">
        <f>VLOOKUP(Table1[[#This Row],[customer id]],'Customer Info'!$A$4:$C$12,3,FALSE)</f>
        <v>Sam Cooper</v>
      </c>
      <c r="I60" t="s">
        <v>36</v>
      </c>
      <c r="J60" t="s">
        <v>8</v>
      </c>
      <c r="K60" t="s">
        <v>118</v>
      </c>
      <c r="L60" t="str">
        <f>LEFT(K60,SEARCH(" ",K60,1))</f>
        <v xml:space="preserve">aero </v>
      </c>
      <c r="M60" t="str">
        <f>RIGHT(K60,LEN(K60)-SEARCH(" ",K60,1))</f>
        <v>black</v>
      </c>
      <c r="N60" t="s">
        <v>50</v>
      </c>
      <c r="O60">
        <v>42</v>
      </c>
      <c r="P60" s="4">
        <v>220</v>
      </c>
      <c r="Q60" s="21" t="str">
        <f t="shared" si="1"/>
        <v>good</v>
      </c>
      <c r="R60" s="4">
        <v>9240</v>
      </c>
      <c r="S60" t="str">
        <f>IF(Table1[[#This Row],[number]]&gt;=20,"Y","N")</f>
        <v>Y</v>
      </c>
      <c r="T60" s="4">
        <f>IF(Table1[[#This Row],[number]]&gt;=20,0.95*Table1[[#This Row],[total]],Table1[[#This Row],[total]])</f>
        <v>8778</v>
      </c>
    </row>
    <row r="61" spans="1:20" x14ac:dyDescent="0.25">
      <c r="A61">
        <v>23</v>
      </c>
      <c r="B61" s="17">
        <v>43891</v>
      </c>
      <c r="C61" s="2" t="s">
        <v>39</v>
      </c>
      <c r="D61" s="5" t="s">
        <v>15</v>
      </c>
      <c r="E61" s="2" t="s">
        <v>11</v>
      </c>
      <c r="F61" s="2">
        <v>132</v>
      </c>
      <c r="G61" s="2" t="str">
        <f>VLOOKUP(Table1[[#This Row],[customer id]],'Customer Info'!$A$4:$C$12,2,FALSE)</f>
        <v>Bankia</v>
      </c>
      <c r="H61" s="2" t="str">
        <f>VLOOKUP(Table1[[#This Row],[customer id]],'Customer Info'!$A$4:$C$12,3,FALSE)</f>
        <v>Lucas Adams</v>
      </c>
      <c r="I61" t="s">
        <v>27</v>
      </c>
      <c r="J61" t="s">
        <v>8</v>
      </c>
      <c r="K61" t="s">
        <v>110</v>
      </c>
      <c r="L61" t="str">
        <f>LEFT(K61,SEARCH(" ",K61,1))</f>
        <v xml:space="preserve">cosmo </v>
      </c>
      <c r="M61" t="str">
        <f>RIGHT(K61,LEN(K61)-SEARCH(" ",K61,1))</f>
        <v>black</v>
      </c>
      <c r="N61" t="s">
        <v>40</v>
      </c>
      <c r="O61">
        <v>25</v>
      </c>
      <c r="P61" s="4">
        <v>375</v>
      </c>
      <c r="Q61" s="21" t="str">
        <f t="shared" si="1"/>
        <v>expensive</v>
      </c>
      <c r="R61" s="4">
        <v>9375</v>
      </c>
      <c r="S61" t="str">
        <f>IF(Table1[[#This Row],[number]]&gt;=20,"Y","N")</f>
        <v>Y</v>
      </c>
      <c r="T61" s="4">
        <f>IF(Table1[[#This Row],[number]]&gt;=20,0.95*Table1[[#This Row],[total]],Table1[[#This Row],[total]])</f>
        <v>8906.25</v>
      </c>
    </row>
    <row r="62" spans="1:20" x14ac:dyDescent="0.25">
      <c r="A62">
        <v>73</v>
      </c>
      <c r="B62" s="17">
        <v>43996</v>
      </c>
      <c r="C62" s="2" t="s">
        <v>54</v>
      </c>
      <c r="D62" s="5" t="s">
        <v>24</v>
      </c>
      <c r="E62" s="2" t="s">
        <v>6</v>
      </c>
      <c r="F62" s="2">
        <v>132</v>
      </c>
      <c r="G62" s="2" t="str">
        <f>VLOOKUP(Table1[[#This Row],[customer id]],'Customer Info'!$A$4:$C$12,2,FALSE)</f>
        <v>Bankia</v>
      </c>
      <c r="H62" s="2" t="str">
        <f>VLOOKUP(Table1[[#This Row],[customer id]],'Customer Info'!$A$4:$C$12,3,FALSE)</f>
        <v>Lucas Adams</v>
      </c>
      <c r="I62" t="s">
        <v>27</v>
      </c>
      <c r="J62" t="s">
        <v>81</v>
      </c>
      <c r="K62" t="s">
        <v>106</v>
      </c>
      <c r="L62" t="str">
        <f>LEFT(K62,SEARCH(" ",K62,1))</f>
        <v xml:space="preserve">cosmo </v>
      </c>
      <c r="M62" t="str">
        <f>RIGHT(K62,LEN(K62)-SEARCH(" ",K62,1))</f>
        <v>Gray</v>
      </c>
      <c r="N62" t="s">
        <v>33</v>
      </c>
      <c r="O62">
        <v>25</v>
      </c>
      <c r="P62" s="4">
        <v>375</v>
      </c>
      <c r="Q62" s="21" t="str">
        <f t="shared" si="1"/>
        <v>expensive</v>
      </c>
      <c r="R62" s="4">
        <v>9375</v>
      </c>
      <c r="S62" t="str">
        <f>IF(Table1[[#This Row],[number]]&gt;=20,"Y","N")</f>
        <v>Y</v>
      </c>
      <c r="T62" s="4">
        <f>IF(Table1[[#This Row],[number]]&gt;=20,0.95*Table1[[#This Row],[total]],Table1[[#This Row],[total]])</f>
        <v>8906.25</v>
      </c>
    </row>
    <row r="63" spans="1:20" x14ac:dyDescent="0.25">
      <c r="A63">
        <v>55</v>
      </c>
      <c r="B63" s="17">
        <v>43963</v>
      </c>
      <c r="C63" s="2" t="s">
        <v>49</v>
      </c>
      <c r="D63" s="5" t="s">
        <v>24</v>
      </c>
      <c r="E63" s="2" t="s">
        <v>6</v>
      </c>
      <c r="F63" s="2">
        <v>152</v>
      </c>
      <c r="G63" s="2" t="str">
        <f>VLOOKUP(Table1[[#This Row],[customer id]],'Customer Info'!$A$4:$C$12,2,FALSE)</f>
        <v>Secspace</v>
      </c>
      <c r="H63" s="2" t="str">
        <f>VLOOKUP(Table1[[#This Row],[customer id]],'Customer Info'!$A$4:$C$12,3,FALSE)</f>
        <v>Rob Nelson</v>
      </c>
      <c r="I63" t="s">
        <v>7</v>
      </c>
      <c r="J63" t="s">
        <v>13</v>
      </c>
      <c r="K63" t="s">
        <v>120</v>
      </c>
      <c r="L63" t="str">
        <f>LEFT(K63,SEARCH(" ",K63,1))</f>
        <v xml:space="preserve">flash </v>
      </c>
      <c r="M63" t="str">
        <f>RIGHT(K63,LEN(K63)-SEARCH(" ",K63,1))</f>
        <v>red</v>
      </c>
      <c r="N63" t="s">
        <v>52</v>
      </c>
      <c r="O63">
        <v>40</v>
      </c>
      <c r="P63" s="4">
        <v>235</v>
      </c>
      <c r="Q63" s="21" t="str">
        <f t="shared" si="1"/>
        <v>good</v>
      </c>
      <c r="R63" s="4">
        <v>9400</v>
      </c>
      <c r="S63" t="str">
        <f>IF(Table1[[#This Row],[number]]&gt;=20,"Y","N")</f>
        <v>Y</v>
      </c>
      <c r="T63" s="4">
        <f>IF(Table1[[#This Row],[number]]&gt;=20,0.95*Table1[[#This Row],[total]],Table1[[#This Row],[total]])</f>
        <v>8930</v>
      </c>
    </row>
    <row r="64" spans="1:20" x14ac:dyDescent="0.25">
      <c r="A64">
        <v>5</v>
      </c>
      <c r="B64" s="17">
        <v>43842</v>
      </c>
      <c r="C64" s="2" t="s">
        <v>4</v>
      </c>
      <c r="D64" s="5" t="s">
        <v>5</v>
      </c>
      <c r="E64" s="2" t="s">
        <v>6</v>
      </c>
      <c r="F64" s="2">
        <v>166</v>
      </c>
      <c r="G64" s="2" t="str">
        <f>VLOOKUP(Table1[[#This Row],[customer id]],'Customer Info'!$A$4:$C$12,2,FALSE)</f>
        <v>Port Royale</v>
      </c>
      <c r="H64" s="2" t="str">
        <f>VLOOKUP(Table1[[#This Row],[customer id]],'Customer Info'!$A$4:$C$12,3,FALSE)</f>
        <v>Dan Hill</v>
      </c>
      <c r="I64" t="s">
        <v>22</v>
      </c>
      <c r="J64" t="s">
        <v>81</v>
      </c>
      <c r="K64" t="s">
        <v>100</v>
      </c>
      <c r="L64" t="str">
        <f>LEFT(K64,SEARCH(" ",K64,1))</f>
        <v xml:space="preserve">volt </v>
      </c>
      <c r="M64" t="str">
        <f>RIGHT(K64,LEN(K64)-SEARCH(" ",K64,1))</f>
        <v>Gray</v>
      </c>
      <c r="N64" t="s">
        <v>23</v>
      </c>
      <c r="O64">
        <v>32</v>
      </c>
      <c r="P64" s="4">
        <v>295</v>
      </c>
      <c r="Q64" s="21" t="str">
        <f t="shared" si="1"/>
        <v>good</v>
      </c>
      <c r="R64" s="4">
        <v>9440</v>
      </c>
      <c r="S64" t="str">
        <f>IF(Table1[[#This Row],[number]]&gt;=20,"Y","N")</f>
        <v>Y</v>
      </c>
      <c r="T64" s="4">
        <f>IF(Table1[[#This Row],[number]]&gt;=20,0.95*Table1[[#This Row],[total]],Table1[[#This Row],[total]])</f>
        <v>8968</v>
      </c>
    </row>
    <row r="65" spans="1:20" x14ac:dyDescent="0.25">
      <c r="A65">
        <v>37</v>
      </c>
      <c r="B65" s="17">
        <v>43928</v>
      </c>
      <c r="C65" s="2" t="s">
        <v>47</v>
      </c>
      <c r="D65" s="5" t="s">
        <v>18</v>
      </c>
      <c r="E65" s="2" t="s">
        <v>19</v>
      </c>
      <c r="F65" s="2">
        <v>157</v>
      </c>
      <c r="G65" s="2" t="str">
        <f>VLOOKUP(Table1[[#This Row],[customer id]],'Customer Info'!$A$4:$C$12,2,FALSE)</f>
        <v>MarkPlus</v>
      </c>
      <c r="H65" s="2" t="str">
        <f>VLOOKUP(Table1[[#This Row],[customer id]],'Customer Info'!$A$4:$C$12,3,FALSE)</f>
        <v>Matt Reed</v>
      </c>
      <c r="I65" t="s">
        <v>22</v>
      </c>
      <c r="J65" t="s">
        <v>81</v>
      </c>
      <c r="K65" t="s">
        <v>100</v>
      </c>
      <c r="L65" t="str">
        <f>LEFT(K65,SEARCH(" ",K65,1))</f>
        <v xml:space="preserve">volt </v>
      </c>
      <c r="M65" t="str">
        <f>RIGHT(K65,LEN(K65)-SEARCH(" ",K65,1))</f>
        <v>Gray</v>
      </c>
      <c r="N65" t="s">
        <v>23</v>
      </c>
      <c r="O65">
        <v>32</v>
      </c>
      <c r="P65" s="4">
        <v>295</v>
      </c>
      <c r="Q65" s="21" t="str">
        <f t="shared" si="1"/>
        <v>good</v>
      </c>
      <c r="R65" s="4">
        <v>9440</v>
      </c>
      <c r="S65" t="str">
        <f>IF(Table1[[#This Row],[number]]&gt;=20,"Y","N")</f>
        <v>Y</v>
      </c>
      <c r="T65" s="4">
        <f>IF(Table1[[#This Row],[number]]&gt;=20,0.95*Table1[[#This Row],[total]],Table1[[#This Row],[total]])</f>
        <v>8968</v>
      </c>
    </row>
    <row r="66" spans="1:20" x14ac:dyDescent="0.25">
      <c r="A66">
        <v>16</v>
      </c>
      <c r="B66" s="17">
        <v>43873</v>
      </c>
      <c r="C66" s="2" t="s">
        <v>31</v>
      </c>
      <c r="D66" s="5" t="s">
        <v>18</v>
      </c>
      <c r="E66" s="2" t="s">
        <v>19</v>
      </c>
      <c r="F66" s="2">
        <v>166</v>
      </c>
      <c r="G66" s="2" t="str">
        <f>VLOOKUP(Table1[[#This Row],[customer id]],'Customer Info'!$A$4:$C$12,2,FALSE)</f>
        <v>Port Royale</v>
      </c>
      <c r="H66" s="2" t="str">
        <f>VLOOKUP(Table1[[#This Row],[customer id]],'Customer Info'!$A$4:$C$12,3,FALSE)</f>
        <v>Dan Hill</v>
      </c>
      <c r="I66" t="s">
        <v>16</v>
      </c>
      <c r="J66" t="s">
        <v>8</v>
      </c>
      <c r="K66" t="s">
        <v>104</v>
      </c>
      <c r="L66" t="str">
        <f>LEFT(K66,SEARCH(" ",K66,1))</f>
        <v xml:space="preserve">energy </v>
      </c>
      <c r="M66" t="str">
        <f>RIGHT(K66,LEN(K66)-SEARCH(" ",K66,1))</f>
        <v>black</v>
      </c>
      <c r="N66" t="s">
        <v>17</v>
      </c>
      <c r="O66">
        <v>28</v>
      </c>
      <c r="P66" s="4">
        <v>350</v>
      </c>
      <c r="Q66" s="21" t="str">
        <f t="shared" si="1"/>
        <v>expensive</v>
      </c>
      <c r="R66" s="4">
        <v>9800</v>
      </c>
      <c r="S66" t="str">
        <f>IF(Table1[[#This Row],[number]]&gt;=20,"Y","N")</f>
        <v>Y</v>
      </c>
      <c r="T66" s="4">
        <f>IF(Table1[[#This Row],[number]]&gt;=20,0.95*Table1[[#This Row],[total]],Table1[[#This Row],[total]])</f>
        <v>9310</v>
      </c>
    </row>
    <row r="67" spans="1:20" x14ac:dyDescent="0.25">
      <c r="A67">
        <v>34</v>
      </c>
      <c r="B67" s="17">
        <v>43918</v>
      </c>
      <c r="C67" s="2" t="s">
        <v>39</v>
      </c>
      <c r="D67" s="5" t="s">
        <v>24</v>
      </c>
      <c r="E67" s="2" t="s">
        <v>6</v>
      </c>
      <c r="F67" s="2">
        <v>152</v>
      </c>
      <c r="G67" s="2" t="str">
        <f>VLOOKUP(Table1[[#This Row],[customer id]],'Customer Info'!$A$4:$C$12,2,FALSE)</f>
        <v>Secspace</v>
      </c>
      <c r="H67" s="2" t="str">
        <f>VLOOKUP(Table1[[#This Row],[customer id]],'Customer Info'!$A$4:$C$12,3,FALSE)</f>
        <v>Rob Nelson</v>
      </c>
      <c r="I67" t="s">
        <v>36</v>
      </c>
      <c r="J67" t="s">
        <v>81</v>
      </c>
      <c r="K67" t="s">
        <v>116</v>
      </c>
      <c r="L67" t="str">
        <f>LEFT(K67,SEARCH(" ",K67,1))</f>
        <v xml:space="preserve">aero </v>
      </c>
      <c r="M67" t="str">
        <f>RIGHT(K67,LEN(K67)-SEARCH(" ",K67,1))</f>
        <v>Gray</v>
      </c>
      <c r="N67" t="s">
        <v>46</v>
      </c>
      <c r="O67">
        <v>45</v>
      </c>
      <c r="P67" s="4">
        <v>220</v>
      </c>
      <c r="Q67" s="21" t="str">
        <f t="shared" si="1"/>
        <v>good</v>
      </c>
      <c r="R67" s="4">
        <v>9900</v>
      </c>
      <c r="S67" t="str">
        <f>IF(Table1[[#This Row],[number]]&gt;=20,"Y","N")</f>
        <v>Y</v>
      </c>
      <c r="T67" s="4">
        <f>IF(Table1[[#This Row],[number]]&gt;=20,0.95*Table1[[#This Row],[total]],Table1[[#This Row],[total]])</f>
        <v>9405</v>
      </c>
    </row>
    <row r="68" spans="1:20" x14ac:dyDescent="0.25">
      <c r="A68">
        <v>32</v>
      </c>
      <c r="B68" s="17">
        <v>43914</v>
      </c>
      <c r="C68" s="2" t="s">
        <v>39</v>
      </c>
      <c r="D68" s="5" t="s">
        <v>5</v>
      </c>
      <c r="E68" s="2" t="s">
        <v>6</v>
      </c>
      <c r="F68" s="2">
        <v>180</v>
      </c>
      <c r="G68" s="2" t="str">
        <f>VLOOKUP(Table1[[#This Row],[customer id]],'Customer Info'!$A$4:$C$12,2,FALSE)</f>
        <v>Milago</v>
      </c>
      <c r="H68" s="2" t="str">
        <f>VLOOKUP(Table1[[#This Row],[customer id]],'Customer Info'!$A$4:$C$12,3,FALSE)</f>
        <v>Sam Cooper</v>
      </c>
      <c r="I68" t="s">
        <v>22</v>
      </c>
      <c r="J68" t="s">
        <v>28</v>
      </c>
      <c r="K68" t="s">
        <v>105</v>
      </c>
      <c r="L68" t="str">
        <f>LEFT(K68,SEARCH(" ",K68,1))</f>
        <v xml:space="preserve">volt </v>
      </c>
      <c r="M68" t="str">
        <f>RIGHT(K68,LEN(K68)-SEARCH(" ",K68,1))</f>
        <v>white</v>
      </c>
      <c r="N68" t="s">
        <v>32</v>
      </c>
      <c r="O68">
        <v>35</v>
      </c>
      <c r="P68" s="4">
        <v>295</v>
      </c>
      <c r="Q68" s="21" t="str">
        <f t="shared" si="1"/>
        <v>good</v>
      </c>
      <c r="R68" s="4">
        <v>10325</v>
      </c>
      <c r="S68" t="str">
        <f>IF(Table1[[#This Row],[number]]&gt;=20,"Y","N")</f>
        <v>Y</v>
      </c>
      <c r="T68" s="4">
        <f>IF(Table1[[#This Row],[number]]&gt;=20,0.95*Table1[[#This Row],[total]],Table1[[#This Row],[total]])</f>
        <v>9808.75</v>
      </c>
    </row>
    <row r="69" spans="1:20" x14ac:dyDescent="0.25">
      <c r="A69">
        <v>9</v>
      </c>
      <c r="B69" s="17">
        <v>43852</v>
      </c>
      <c r="C69" s="2" t="s">
        <v>4</v>
      </c>
      <c r="D69" s="5" t="s">
        <v>15</v>
      </c>
      <c r="E69" s="2" t="s">
        <v>11</v>
      </c>
      <c r="F69" s="2">
        <v>136</v>
      </c>
      <c r="G69" s="2" t="str">
        <f>VLOOKUP(Table1[[#This Row],[customer id]],'Customer Info'!$A$4:$C$12,2,FALSE)</f>
        <v>Telmark</v>
      </c>
      <c r="H69" s="2" t="str">
        <f>VLOOKUP(Table1[[#This Row],[customer id]],'Customer Info'!$A$4:$C$12,3,FALSE)</f>
        <v>Emily Flores</v>
      </c>
      <c r="I69" t="s">
        <v>12</v>
      </c>
      <c r="J69" t="s">
        <v>20</v>
      </c>
      <c r="K69" t="s">
        <v>103</v>
      </c>
      <c r="L69" t="str">
        <f>LEFT(K69,SEARCH(" ",K69,1))</f>
        <v xml:space="preserve">urban </v>
      </c>
      <c r="M69" t="str">
        <f>RIGHT(K69,LEN(K69)-SEARCH(" ",K69,1))</f>
        <v>brown</v>
      </c>
      <c r="N69" t="s">
        <v>30</v>
      </c>
      <c r="O69">
        <v>40</v>
      </c>
      <c r="P69" s="4">
        <v>260</v>
      </c>
      <c r="Q69" s="21" t="str">
        <f t="shared" ref="Q69:Q100" si="2">_xlfn.IFS(P69 &gt; 300, "expensive", 300&gt; P69&gt;200, "good", P69&lt;=200, "poor")</f>
        <v>good</v>
      </c>
      <c r="R69" s="4">
        <v>10400</v>
      </c>
      <c r="S69" t="str">
        <f>IF(Table1[[#This Row],[number]]&gt;=20,"Y","N")</f>
        <v>Y</v>
      </c>
      <c r="T69" s="4">
        <f>IF(Table1[[#This Row],[number]]&gt;=20,0.95*Table1[[#This Row],[total]],Table1[[#This Row],[total]])</f>
        <v>9880</v>
      </c>
    </row>
    <row r="70" spans="1:20" x14ac:dyDescent="0.25">
      <c r="A70">
        <v>38</v>
      </c>
      <c r="B70" s="17">
        <v>43932</v>
      </c>
      <c r="C70" s="2" t="s">
        <v>47</v>
      </c>
      <c r="D70" s="5" t="s">
        <v>15</v>
      </c>
      <c r="E70" s="2" t="s">
        <v>11</v>
      </c>
      <c r="F70" s="2">
        <v>132</v>
      </c>
      <c r="G70" s="2" t="str">
        <f>VLOOKUP(Table1[[#This Row],[customer id]],'Customer Info'!$A$4:$C$12,2,FALSE)</f>
        <v>Bankia</v>
      </c>
      <c r="H70" s="2" t="str">
        <f>VLOOKUP(Table1[[#This Row],[customer id]],'Customer Info'!$A$4:$C$12,3,FALSE)</f>
        <v>Lucas Adams</v>
      </c>
      <c r="I70" t="s">
        <v>12</v>
      </c>
      <c r="J70" t="s">
        <v>8</v>
      </c>
      <c r="K70" t="s">
        <v>111</v>
      </c>
      <c r="L70" t="str">
        <f>LEFT(K70,SEARCH(" ",K70,1))</f>
        <v xml:space="preserve">urban </v>
      </c>
      <c r="M70" t="str">
        <f>RIGHT(K70,LEN(K70)-SEARCH(" ",K70,1))</f>
        <v>black</v>
      </c>
      <c r="N70" t="s">
        <v>41</v>
      </c>
      <c r="O70">
        <v>40</v>
      </c>
      <c r="P70" s="4">
        <v>260</v>
      </c>
      <c r="Q70" s="21" t="str">
        <f t="shared" si="2"/>
        <v>good</v>
      </c>
      <c r="R70" s="4">
        <v>10400</v>
      </c>
      <c r="S70" t="str">
        <f>IF(Table1[[#This Row],[number]]&gt;=20,"Y","N")</f>
        <v>Y</v>
      </c>
      <c r="T70" s="4">
        <f>IF(Table1[[#This Row],[number]]&gt;=20,0.95*Table1[[#This Row],[total]],Table1[[#This Row],[total]])</f>
        <v>9880</v>
      </c>
    </row>
    <row r="71" spans="1:20" x14ac:dyDescent="0.25">
      <c r="A71">
        <v>71</v>
      </c>
      <c r="B71" s="17">
        <v>43991</v>
      </c>
      <c r="C71" s="2" t="s">
        <v>54</v>
      </c>
      <c r="D71" s="5" t="s">
        <v>15</v>
      </c>
      <c r="E71" s="2" t="s">
        <v>11</v>
      </c>
      <c r="F71" s="2">
        <v>162</v>
      </c>
      <c r="G71" s="2" t="str">
        <f>VLOOKUP(Table1[[#This Row],[customer id]],'Customer Info'!$A$4:$C$12,2,FALSE)</f>
        <v>Cruise</v>
      </c>
      <c r="H71" s="2" t="str">
        <f>VLOOKUP(Table1[[#This Row],[customer id]],'Customer Info'!$A$4:$C$12,3,FALSE)</f>
        <v>Denise Harris</v>
      </c>
      <c r="I71" t="s">
        <v>12</v>
      </c>
      <c r="J71" t="s">
        <v>8</v>
      </c>
      <c r="K71" t="s">
        <v>111</v>
      </c>
      <c r="L71" t="str">
        <f>LEFT(K71,SEARCH(" ",K71,1))</f>
        <v xml:space="preserve">urban </v>
      </c>
      <c r="M71" t="str">
        <f>RIGHT(K71,LEN(K71)-SEARCH(" ",K71,1))</f>
        <v>black</v>
      </c>
      <c r="N71" t="s">
        <v>41</v>
      </c>
      <c r="O71">
        <v>40</v>
      </c>
      <c r="P71" s="4">
        <v>260</v>
      </c>
      <c r="Q71" s="21" t="str">
        <f t="shared" si="2"/>
        <v>good</v>
      </c>
      <c r="R71" s="4">
        <v>10400</v>
      </c>
      <c r="S71" t="str">
        <f>IF(Table1[[#This Row],[number]]&gt;=20,"Y","N")</f>
        <v>Y</v>
      </c>
      <c r="T71" s="4">
        <f>IF(Table1[[#This Row],[number]]&gt;=20,0.95*Table1[[#This Row],[total]],Table1[[#This Row],[total]])</f>
        <v>9880</v>
      </c>
    </row>
    <row r="72" spans="1:20" x14ac:dyDescent="0.25">
      <c r="A72">
        <v>39</v>
      </c>
      <c r="B72" s="17">
        <v>43933</v>
      </c>
      <c r="C72" s="2" t="s">
        <v>47</v>
      </c>
      <c r="D72" s="5" t="s">
        <v>24</v>
      </c>
      <c r="E72" s="2" t="s">
        <v>6</v>
      </c>
      <c r="F72" s="2">
        <v>166</v>
      </c>
      <c r="G72" s="2" t="str">
        <f>VLOOKUP(Table1[[#This Row],[customer id]],'Customer Info'!$A$4:$C$12,2,FALSE)</f>
        <v>Port Royale</v>
      </c>
      <c r="H72" s="2" t="str">
        <f>VLOOKUP(Table1[[#This Row],[customer id]],'Customer Info'!$A$4:$C$12,3,FALSE)</f>
        <v>Dan Hill</v>
      </c>
      <c r="I72" t="s">
        <v>7</v>
      </c>
      <c r="J72" t="s">
        <v>8</v>
      </c>
      <c r="K72" t="s">
        <v>97</v>
      </c>
      <c r="L72" t="str">
        <f>LEFT(K72,SEARCH(" ",K72,1))</f>
        <v xml:space="preserve">flash </v>
      </c>
      <c r="M72" t="str">
        <f>RIGHT(K72,LEN(K72)-SEARCH(" ",K72,1))</f>
        <v>black</v>
      </c>
      <c r="N72" t="s">
        <v>9</v>
      </c>
      <c r="O72">
        <v>45</v>
      </c>
      <c r="P72" s="4">
        <v>235</v>
      </c>
      <c r="Q72" s="21" t="str">
        <f t="shared" si="2"/>
        <v>good</v>
      </c>
      <c r="R72" s="4">
        <v>10575</v>
      </c>
      <c r="S72" t="str">
        <f>IF(Table1[[#This Row],[number]]&gt;=20,"Y","N")</f>
        <v>Y</v>
      </c>
      <c r="T72" s="4">
        <f>IF(Table1[[#This Row],[number]]&gt;=20,0.95*Table1[[#This Row],[total]],Table1[[#This Row],[total]])</f>
        <v>10046.25</v>
      </c>
    </row>
    <row r="73" spans="1:20" x14ac:dyDescent="0.25">
      <c r="A73">
        <v>15</v>
      </c>
      <c r="B73" s="17">
        <v>43871</v>
      </c>
      <c r="C73" s="2" t="s">
        <v>31</v>
      </c>
      <c r="D73" s="5" t="s">
        <v>10</v>
      </c>
      <c r="E73" s="2" t="s">
        <v>11</v>
      </c>
      <c r="F73" s="2">
        <v>180</v>
      </c>
      <c r="G73" s="2" t="str">
        <f>VLOOKUP(Table1[[#This Row],[customer id]],'Customer Info'!$A$4:$C$12,2,FALSE)</f>
        <v>Milago</v>
      </c>
      <c r="H73" s="2" t="str">
        <f>VLOOKUP(Table1[[#This Row],[customer id]],'Customer Info'!$A$4:$C$12,3,FALSE)</f>
        <v>Sam Cooper</v>
      </c>
      <c r="I73" t="s">
        <v>16</v>
      </c>
      <c r="J73" t="s">
        <v>28</v>
      </c>
      <c r="K73" t="s">
        <v>107</v>
      </c>
      <c r="L73" t="str">
        <f>LEFT(K73,SEARCH(" ",K73,1))</f>
        <v xml:space="preserve">energy </v>
      </c>
      <c r="M73" t="str">
        <f>RIGHT(K73,LEN(K73)-SEARCH(" ",K73,1))</f>
        <v>white</v>
      </c>
      <c r="N73" t="s">
        <v>35</v>
      </c>
      <c r="O73">
        <v>32</v>
      </c>
      <c r="P73" s="4">
        <v>350</v>
      </c>
      <c r="Q73" s="21" t="str">
        <f t="shared" si="2"/>
        <v>expensive</v>
      </c>
      <c r="R73" s="4">
        <v>11200</v>
      </c>
      <c r="S73" t="str">
        <f>IF(Table1[[#This Row],[number]]&gt;=20,"Y","N")</f>
        <v>Y</v>
      </c>
      <c r="T73" s="4">
        <f>IF(Table1[[#This Row],[number]]&gt;=20,0.95*Table1[[#This Row],[total]],Table1[[#This Row],[total]])</f>
        <v>10640</v>
      </c>
    </row>
    <row r="74" spans="1:20" x14ac:dyDescent="0.25">
      <c r="A74">
        <v>41</v>
      </c>
      <c r="B74" s="17">
        <v>43935</v>
      </c>
      <c r="C74" s="2" t="s">
        <v>47</v>
      </c>
      <c r="D74" s="5" t="s">
        <v>34</v>
      </c>
      <c r="E74" s="2" t="s">
        <v>11</v>
      </c>
      <c r="F74" s="2">
        <v>132</v>
      </c>
      <c r="G74" s="2" t="str">
        <f>VLOOKUP(Table1[[#This Row],[customer id]],'Customer Info'!$A$4:$C$12,2,FALSE)</f>
        <v>Bankia</v>
      </c>
      <c r="H74" s="2" t="str">
        <f>VLOOKUP(Table1[[#This Row],[customer id]],'Customer Info'!$A$4:$C$12,3,FALSE)</f>
        <v>Lucas Adams</v>
      </c>
      <c r="I74" t="s">
        <v>27</v>
      </c>
      <c r="J74" t="s">
        <v>8</v>
      </c>
      <c r="K74" t="s">
        <v>110</v>
      </c>
      <c r="L74" t="str">
        <f>LEFT(K74,SEARCH(" ",K74,1))</f>
        <v xml:space="preserve">cosmo </v>
      </c>
      <c r="M74" t="str">
        <f>RIGHT(K74,LEN(K74)-SEARCH(" ",K74,1))</f>
        <v>black</v>
      </c>
      <c r="N74" t="s">
        <v>40</v>
      </c>
      <c r="O74">
        <v>30</v>
      </c>
      <c r="P74" s="4">
        <v>375</v>
      </c>
      <c r="Q74" s="21" t="str">
        <f t="shared" si="2"/>
        <v>expensive</v>
      </c>
      <c r="R74" s="4">
        <v>11250</v>
      </c>
      <c r="S74" t="str">
        <f>IF(Table1[[#This Row],[number]]&gt;=20,"Y","N")</f>
        <v>Y</v>
      </c>
      <c r="T74" s="4">
        <f>IF(Table1[[#This Row],[number]]&gt;=20,0.95*Table1[[#This Row],[total]],Table1[[#This Row],[total]])</f>
        <v>10687.5</v>
      </c>
    </row>
    <row r="75" spans="1:20" x14ac:dyDescent="0.25">
      <c r="A75">
        <v>11</v>
      </c>
      <c r="B75" s="17">
        <v>43858</v>
      </c>
      <c r="C75" s="2" t="s">
        <v>4</v>
      </c>
      <c r="D75" s="5" t="s">
        <v>26</v>
      </c>
      <c r="E75" s="2" t="s">
        <v>19</v>
      </c>
      <c r="F75" s="2">
        <v>157</v>
      </c>
      <c r="G75" s="2" t="str">
        <f>VLOOKUP(Table1[[#This Row],[customer id]],'Customer Info'!$A$4:$C$12,2,FALSE)</f>
        <v>MarkPlus</v>
      </c>
      <c r="H75" s="2" t="str">
        <f>VLOOKUP(Table1[[#This Row],[customer id]],'Customer Info'!$A$4:$C$12,3,FALSE)</f>
        <v>Matt Reed</v>
      </c>
      <c r="I75" t="s">
        <v>16</v>
      </c>
      <c r="J75" t="s">
        <v>8</v>
      </c>
      <c r="K75" t="s">
        <v>104</v>
      </c>
      <c r="L75" t="str">
        <f>LEFT(K75,SEARCH(" ",K75,1))</f>
        <v xml:space="preserve">energy </v>
      </c>
      <c r="M75" t="str">
        <f>RIGHT(K75,LEN(K75)-SEARCH(" ",K75,1))</f>
        <v>black</v>
      </c>
      <c r="N75" t="s">
        <v>17</v>
      </c>
      <c r="O75">
        <v>33</v>
      </c>
      <c r="P75" s="4">
        <v>350</v>
      </c>
      <c r="Q75" s="21" t="str">
        <f t="shared" si="2"/>
        <v>expensive</v>
      </c>
      <c r="R75" s="4">
        <v>11550</v>
      </c>
      <c r="S75" t="str">
        <f>IF(Table1[[#This Row],[number]]&gt;=20,"Y","N")</f>
        <v>Y</v>
      </c>
      <c r="T75" s="4">
        <f>IF(Table1[[#This Row],[number]]&gt;=20,0.95*Table1[[#This Row],[total]],Table1[[#This Row],[total]])</f>
        <v>10972.5</v>
      </c>
    </row>
    <row r="76" spans="1:20" x14ac:dyDescent="0.25">
      <c r="A76">
        <v>14</v>
      </c>
      <c r="B76" s="17">
        <v>43869</v>
      </c>
      <c r="C76" s="2" t="s">
        <v>31</v>
      </c>
      <c r="D76" s="5" t="s">
        <v>34</v>
      </c>
      <c r="E76" s="2" t="s">
        <v>11</v>
      </c>
      <c r="F76" s="2">
        <v>132</v>
      </c>
      <c r="G76" s="2" t="str">
        <f>VLOOKUP(Table1[[#This Row],[customer id]],'Customer Info'!$A$4:$C$12,2,FALSE)</f>
        <v>Bankia</v>
      </c>
      <c r="H76" s="2" t="str">
        <f>VLOOKUP(Table1[[#This Row],[customer id]],'Customer Info'!$A$4:$C$12,3,FALSE)</f>
        <v>Lucas Adams</v>
      </c>
      <c r="I76" t="s">
        <v>12</v>
      </c>
      <c r="J76" t="s">
        <v>20</v>
      </c>
      <c r="K76" t="s">
        <v>103</v>
      </c>
      <c r="L76" t="str">
        <f>LEFT(K76,SEARCH(" ",K76,1))</f>
        <v xml:space="preserve">urban </v>
      </c>
      <c r="M76" t="str">
        <f>RIGHT(K76,LEN(K76)-SEARCH(" ",K76,1))</f>
        <v>brown</v>
      </c>
      <c r="N76" t="s">
        <v>30</v>
      </c>
      <c r="O76">
        <v>45</v>
      </c>
      <c r="P76" s="4">
        <v>260</v>
      </c>
      <c r="Q76" s="21" t="str">
        <f t="shared" si="2"/>
        <v>good</v>
      </c>
      <c r="R76" s="4">
        <v>11700</v>
      </c>
      <c r="S76" t="str">
        <f>IF(Table1[[#This Row],[number]]&gt;=20,"Y","N")</f>
        <v>Y</v>
      </c>
      <c r="T76" s="4">
        <f>IF(Table1[[#This Row],[number]]&gt;=20,0.95*Table1[[#This Row],[total]],Table1[[#This Row],[total]])</f>
        <v>11115</v>
      </c>
    </row>
    <row r="77" spans="1:20" x14ac:dyDescent="0.25">
      <c r="A77">
        <v>79</v>
      </c>
      <c r="B77" s="17">
        <v>44011</v>
      </c>
      <c r="C77" s="2" t="s">
        <v>54</v>
      </c>
      <c r="D77" s="5" t="s">
        <v>24</v>
      </c>
      <c r="E77" s="2" t="s">
        <v>6</v>
      </c>
      <c r="F77" s="2">
        <v>178</v>
      </c>
      <c r="G77" s="2" t="str">
        <f>VLOOKUP(Table1[[#This Row],[customer id]],'Customer Info'!$A$4:$C$12,2,FALSE)</f>
        <v>Vento</v>
      </c>
      <c r="H77" s="2" t="str">
        <f>VLOOKUP(Table1[[#This Row],[customer id]],'Customer Info'!$A$4:$C$12,3,FALSE)</f>
        <v>Amanda Wood</v>
      </c>
      <c r="I77" t="s">
        <v>27</v>
      </c>
      <c r="J77" t="s">
        <v>81</v>
      </c>
      <c r="K77" t="s">
        <v>106</v>
      </c>
      <c r="L77" t="str">
        <f>LEFT(K77,SEARCH(" ",K77,1))</f>
        <v xml:space="preserve">cosmo </v>
      </c>
      <c r="M77" t="str">
        <f>RIGHT(K77,LEN(K77)-SEARCH(" ",K77,1))</f>
        <v>Gray</v>
      </c>
      <c r="N77" t="s">
        <v>33</v>
      </c>
      <c r="O77">
        <v>32</v>
      </c>
      <c r="P77" s="4">
        <v>375</v>
      </c>
      <c r="Q77" s="21" t="str">
        <f t="shared" si="2"/>
        <v>expensive</v>
      </c>
      <c r="R77" s="4">
        <v>12000</v>
      </c>
      <c r="S77" t="str">
        <f>IF(Table1[[#This Row],[number]]&gt;=20,"Y","N")</f>
        <v>Y</v>
      </c>
      <c r="T77" s="4">
        <f>IF(Table1[[#This Row],[number]]&gt;=20,0.95*Table1[[#This Row],[total]],Table1[[#This Row],[total]])</f>
        <v>11400</v>
      </c>
    </row>
    <row r="78" spans="1:20" x14ac:dyDescent="0.25">
      <c r="A78">
        <v>66</v>
      </c>
      <c r="B78" s="17">
        <v>43984</v>
      </c>
      <c r="C78" s="2" t="s">
        <v>54</v>
      </c>
      <c r="D78" s="5" t="s">
        <v>26</v>
      </c>
      <c r="E78" s="2" t="s">
        <v>19</v>
      </c>
      <c r="F78" s="2">
        <v>178</v>
      </c>
      <c r="G78" s="2" t="str">
        <f>VLOOKUP(Table1[[#This Row],[customer id]],'Customer Info'!$A$4:$C$12,2,FALSE)</f>
        <v>Vento</v>
      </c>
      <c r="H78" s="2" t="str">
        <f>VLOOKUP(Table1[[#This Row],[customer id]],'Customer Info'!$A$4:$C$12,3,FALSE)</f>
        <v>Amanda Wood</v>
      </c>
      <c r="I78" t="s">
        <v>27</v>
      </c>
      <c r="J78" t="s">
        <v>81</v>
      </c>
      <c r="K78" t="s">
        <v>106</v>
      </c>
      <c r="L78" t="str">
        <f>LEFT(K78,SEARCH(" ",K78,1))</f>
        <v xml:space="preserve">cosmo </v>
      </c>
      <c r="M78" t="str">
        <f>RIGHT(K78,LEN(K78)-SEARCH(" ",K78,1))</f>
        <v>Gray</v>
      </c>
      <c r="N78" t="s">
        <v>33</v>
      </c>
      <c r="O78">
        <v>33</v>
      </c>
      <c r="P78" s="4">
        <v>375</v>
      </c>
      <c r="Q78" s="21" t="str">
        <f t="shared" si="2"/>
        <v>expensive</v>
      </c>
      <c r="R78" s="4">
        <v>12375</v>
      </c>
      <c r="S78" t="str">
        <f>IF(Table1[[#This Row],[number]]&gt;=20,"Y","N")</f>
        <v>Y</v>
      </c>
      <c r="T78" s="4">
        <f>IF(Table1[[#This Row],[number]]&gt;=20,0.95*Table1[[#This Row],[total]],Table1[[#This Row],[total]])</f>
        <v>11756.25</v>
      </c>
    </row>
    <row r="79" spans="1:20" x14ac:dyDescent="0.25">
      <c r="A79">
        <v>44</v>
      </c>
      <c r="B79" s="17">
        <v>43940</v>
      </c>
      <c r="C79" s="2" t="s">
        <v>47</v>
      </c>
      <c r="D79" s="5" t="s">
        <v>5</v>
      </c>
      <c r="E79" s="2" t="s">
        <v>6</v>
      </c>
      <c r="F79" s="2">
        <v>180</v>
      </c>
      <c r="G79" s="2" t="str">
        <f>VLOOKUP(Table1[[#This Row],[customer id]],'Customer Info'!$A$4:$C$12,2,FALSE)</f>
        <v>Milago</v>
      </c>
      <c r="H79" s="2" t="str">
        <f>VLOOKUP(Table1[[#This Row],[customer id]],'Customer Info'!$A$4:$C$12,3,FALSE)</f>
        <v>Sam Cooper</v>
      </c>
      <c r="I79" t="s">
        <v>22</v>
      </c>
      <c r="J79" t="s">
        <v>20</v>
      </c>
      <c r="K79" t="s">
        <v>113</v>
      </c>
      <c r="L79" t="str">
        <f>LEFT(K79,SEARCH(" ",K79,1))</f>
        <v xml:space="preserve">volt </v>
      </c>
      <c r="M79" t="str">
        <f>RIGHT(K79,LEN(K79)-SEARCH(" ",K79,1))</f>
        <v>brown</v>
      </c>
      <c r="N79" t="s">
        <v>43</v>
      </c>
      <c r="O79">
        <v>42</v>
      </c>
      <c r="P79" s="4">
        <v>295</v>
      </c>
      <c r="Q79" s="21" t="str">
        <f t="shared" si="2"/>
        <v>good</v>
      </c>
      <c r="R79" s="4">
        <v>12390</v>
      </c>
      <c r="S79" t="str">
        <f>IF(Table1[[#This Row],[number]]&gt;=20,"Y","N")</f>
        <v>Y</v>
      </c>
      <c r="T79" s="4">
        <f>IF(Table1[[#This Row],[number]]&gt;=20,0.95*Table1[[#This Row],[total]],Table1[[#This Row],[total]])</f>
        <v>11770.5</v>
      </c>
    </row>
    <row r="80" spans="1:20" x14ac:dyDescent="0.25">
      <c r="A80">
        <v>24</v>
      </c>
      <c r="B80" s="17">
        <v>43894</v>
      </c>
      <c r="C80" s="2" t="s">
        <v>39</v>
      </c>
      <c r="D80" s="5" t="s">
        <v>34</v>
      </c>
      <c r="E80" s="2" t="s">
        <v>11</v>
      </c>
      <c r="F80" s="2">
        <v>162</v>
      </c>
      <c r="G80" s="2" t="str">
        <f>VLOOKUP(Table1[[#This Row],[customer id]],'Customer Info'!$A$4:$C$12,2,FALSE)</f>
        <v>Cruise</v>
      </c>
      <c r="H80" s="2" t="str">
        <f>VLOOKUP(Table1[[#This Row],[customer id]],'Customer Info'!$A$4:$C$12,3,FALSE)</f>
        <v>Denise Harris</v>
      </c>
      <c r="I80" t="s">
        <v>12</v>
      </c>
      <c r="J80" t="s">
        <v>8</v>
      </c>
      <c r="K80" t="s">
        <v>111</v>
      </c>
      <c r="L80" t="str">
        <f>LEFT(K80,SEARCH(" ",K80,1))</f>
        <v xml:space="preserve">urban </v>
      </c>
      <c r="M80" t="str">
        <f>RIGHT(K80,LEN(K80)-SEARCH(" ",K80,1))</f>
        <v>black</v>
      </c>
      <c r="N80" t="s">
        <v>41</v>
      </c>
      <c r="O80">
        <v>50</v>
      </c>
      <c r="P80" s="4">
        <v>260</v>
      </c>
      <c r="Q80" s="21" t="str">
        <f t="shared" si="2"/>
        <v>good</v>
      </c>
      <c r="R80" s="4">
        <v>13000</v>
      </c>
      <c r="S80" t="str">
        <f>IF(Table1[[#This Row],[number]]&gt;=20,"Y","N")</f>
        <v>Y</v>
      </c>
      <c r="T80" s="4">
        <f>IF(Table1[[#This Row],[number]]&gt;=20,0.95*Table1[[#This Row],[total]],Table1[[#This Row],[total]])</f>
        <v>12350</v>
      </c>
    </row>
    <row r="81" spans="1:20" x14ac:dyDescent="0.25">
      <c r="A81">
        <v>60</v>
      </c>
      <c r="B81" s="17">
        <v>43972</v>
      </c>
      <c r="C81" s="2" t="s">
        <v>49</v>
      </c>
      <c r="D81" s="5" t="s">
        <v>18</v>
      </c>
      <c r="E81" s="2" t="s">
        <v>19</v>
      </c>
      <c r="F81" s="2">
        <v>144</v>
      </c>
      <c r="G81" s="2" t="str">
        <f>VLOOKUP(Table1[[#This Row],[customer id]],'Customer Info'!$A$4:$C$12,2,FALSE)</f>
        <v>Affinity</v>
      </c>
      <c r="H81" s="2" t="str">
        <f>VLOOKUP(Table1[[#This Row],[customer id]],'Customer Info'!$A$4:$C$12,3,FALSE)</f>
        <v>Christina Bell</v>
      </c>
      <c r="I81" t="s">
        <v>16</v>
      </c>
      <c r="J81" t="s">
        <v>8</v>
      </c>
      <c r="K81" t="s">
        <v>104</v>
      </c>
      <c r="L81" t="str">
        <f>LEFT(K81,SEARCH(" ",K81,1))</f>
        <v xml:space="preserve">energy </v>
      </c>
      <c r="M81" t="str">
        <f>RIGHT(K81,LEN(K81)-SEARCH(" ",K81,1))</f>
        <v>black</v>
      </c>
      <c r="N81" t="s">
        <v>17</v>
      </c>
      <c r="O81">
        <v>42</v>
      </c>
      <c r="P81" s="4">
        <v>350</v>
      </c>
      <c r="Q81" s="21" t="str">
        <f t="shared" si="2"/>
        <v>expensive</v>
      </c>
      <c r="R81" s="4">
        <v>14700</v>
      </c>
      <c r="S81" t="str">
        <f>IF(Table1[[#This Row],[number]]&gt;=20,"Y","N")</f>
        <v>Y</v>
      </c>
      <c r="T81" s="4">
        <f>IF(Table1[[#This Row],[number]]&gt;=20,0.95*Table1[[#This Row],[total]],Table1[[#This Row],[total]])</f>
        <v>13965</v>
      </c>
    </row>
    <row r="82" spans="1:20" x14ac:dyDescent="0.25">
      <c r="A82">
        <v>78</v>
      </c>
      <c r="B82" s="17">
        <v>44009</v>
      </c>
      <c r="C82" s="2" t="s">
        <v>54</v>
      </c>
      <c r="D82" s="5" t="s">
        <v>15</v>
      </c>
      <c r="E82" s="2" t="s">
        <v>11</v>
      </c>
      <c r="F82" s="2">
        <v>162</v>
      </c>
      <c r="G82" s="2" t="str">
        <f>VLOOKUP(Table1[[#This Row],[customer id]],'Customer Info'!$A$4:$C$12,2,FALSE)</f>
        <v>Cruise</v>
      </c>
      <c r="H82" s="2" t="str">
        <f>VLOOKUP(Table1[[#This Row],[customer id]],'Customer Info'!$A$4:$C$12,3,FALSE)</f>
        <v>Denise Harris</v>
      </c>
      <c r="I82" t="s">
        <v>22</v>
      </c>
      <c r="J82" t="s">
        <v>8</v>
      </c>
      <c r="K82" t="s">
        <v>109</v>
      </c>
      <c r="L82" t="str">
        <f>LEFT(K82,SEARCH(" ",K82,1))</f>
        <v xml:space="preserve">volt </v>
      </c>
      <c r="M82" t="str">
        <f>RIGHT(K82,LEN(K82)-SEARCH(" ",K82,1))</f>
        <v>black</v>
      </c>
      <c r="N82" t="s">
        <v>38</v>
      </c>
      <c r="O82">
        <v>50</v>
      </c>
      <c r="P82" s="4">
        <v>295</v>
      </c>
      <c r="Q82" s="21" t="str">
        <f t="shared" si="2"/>
        <v>good</v>
      </c>
      <c r="R82" s="4">
        <v>14750</v>
      </c>
      <c r="S82" t="str">
        <f>IF(Table1[[#This Row],[number]]&gt;=20,"Y","N")</f>
        <v>Y</v>
      </c>
      <c r="T82" s="4">
        <f>IF(Table1[[#This Row],[number]]&gt;=20,0.95*Table1[[#This Row],[total]],Table1[[#This Row],[total]])</f>
        <v>14012.5</v>
      </c>
    </row>
    <row r="83" spans="1:20" x14ac:dyDescent="0.25">
      <c r="A83">
        <v>21</v>
      </c>
      <c r="B83" s="17">
        <v>43887</v>
      </c>
      <c r="C83" s="2" t="s">
        <v>31</v>
      </c>
      <c r="D83" s="5" t="s">
        <v>18</v>
      </c>
      <c r="E83" s="2" t="s">
        <v>19</v>
      </c>
      <c r="F83" s="2">
        <v>136</v>
      </c>
      <c r="G83" s="2" t="str">
        <f>VLOOKUP(Table1[[#This Row],[customer id]],'Customer Info'!$A$4:$C$12,2,FALSE)</f>
        <v>Telmark</v>
      </c>
      <c r="H83" s="2" t="str">
        <f>VLOOKUP(Table1[[#This Row],[customer id]],'Customer Info'!$A$4:$C$12,3,FALSE)</f>
        <v>Emily Flores</v>
      </c>
      <c r="I83" t="s">
        <v>27</v>
      </c>
      <c r="J83" t="s">
        <v>81</v>
      </c>
      <c r="K83" t="s">
        <v>106</v>
      </c>
      <c r="L83" t="str">
        <f>LEFT(K83,SEARCH(" ",K83,1))</f>
        <v xml:space="preserve">cosmo </v>
      </c>
      <c r="M83" t="str">
        <f>RIGHT(K83,LEN(K83)-SEARCH(" ",K83,1))</f>
        <v>Gray</v>
      </c>
      <c r="N83" t="s">
        <v>33</v>
      </c>
      <c r="O83">
        <v>40</v>
      </c>
      <c r="P83" s="4">
        <v>375</v>
      </c>
      <c r="Q83" s="21" t="str">
        <f t="shared" si="2"/>
        <v>expensive</v>
      </c>
      <c r="R83" s="4">
        <v>15000</v>
      </c>
      <c r="S83" t="str">
        <f>IF(Table1[[#This Row],[number]]&gt;=20,"Y","N")</f>
        <v>Y</v>
      </c>
      <c r="T83" s="4">
        <f>IF(Table1[[#This Row],[number]]&gt;=20,0.95*Table1[[#This Row],[total]],Table1[[#This Row],[total]])</f>
        <v>14250</v>
      </c>
    </row>
    <row r="84" spans="1:20" x14ac:dyDescent="0.25">
      <c r="A84">
        <v>61</v>
      </c>
      <c r="B84" s="17">
        <v>43972</v>
      </c>
      <c r="C84" s="2" t="s">
        <v>49</v>
      </c>
      <c r="D84" s="5" t="s">
        <v>34</v>
      </c>
      <c r="E84" s="2" t="s">
        <v>11</v>
      </c>
      <c r="F84" s="2">
        <v>162</v>
      </c>
      <c r="G84" s="2" t="str">
        <f>VLOOKUP(Table1[[#This Row],[customer id]],'Customer Info'!$A$4:$C$12,2,FALSE)</f>
        <v>Cruise</v>
      </c>
      <c r="H84" s="2" t="str">
        <f>VLOOKUP(Table1[[#This Row],[customer id]],'Customer Info'!$A$4:$C$12,3,FALSE)</f>
        <v>Denise Harris</v>
      </c>
      <c r="I84" t="s">
        <v>16</v>
      </c>
      <c r="J84" t="s">
        <v>28</v>
      </c>
      <c r="K84" t="s">
        <v>107</v>
      </c>
      <c r="L84" t="str">
        <f>LEFT(K84,SEARCH(" ",K84,1))</f>
        <v xml:space="preserve">energy </v>
      </c>
      <c r="M84" t="str">
        <f>RIGHT(K84,LEN(K84)-SEARCH(" ",K84,1))</f>
        <v>white</v>
      </c>
      <c r="N84" t="s">
        <v>35</v>
      </c>
      <c r="O84">
        <v>45</v>
      </c>
      <c r="P84" s="4">
        <v>350</v>
      </c>
      <c r="Q84" s="21" t="str">
        <f t="shared" si="2"/>
        <v>expensive</v>
      </c>
      <c r="R84" s="4">
        <v>15750</v>
      </c>
      <c r="S84" t="str">
        <f>IF(Table1[[#This Row],[number]]&gt;=20,"Y","N")</f>
        <v>Y</v>
      </c>
      <c r="T84" s="4">
        <f>IF(Table1[[#This Row],[number]]&gt;=20,0.95*Table1[[#This Row],[total]],Table1[[#This Row],[total]])</f>
        <v>14962.5</v>
      </c>
    </row>
    <row r="85" spans="1:20" x14ac:dyDescent="0.25">
      <c r="B85" s="17"/>
      <c r="C85" s="2"/>
      <c r="D85" s="5"/>
      <c r="E85" s="2">
        <f>COUNTIF(Table1[region], "north")</f>
        <v>25</v>
      </c>
      <c r="F85" s="2">
        <f>COUNTIFS(Table1[customer id], "&gt;150",Table1[region],"north")</f>
        <v>12</v>
      </c>
      <c r="G85" s="18"/>
      <c r="H85" s="18"/>
      <c r="L85" s="19"/>
      <c r="M85" s="19"/>
      <c r="O85">
        <f>SUBTOTAL(109,Table1[number])</f>
        <v>2033</v>
      </c>
      <c r="P85" s="4">
        <f>SUMIF(Table1[price / unit],"&gt;300")</f>
        <v>9750</v>
      </c>
      <c r="Q85" s="21"/>
      <c r="R85" s="4"/>
      <c r="S85" s="19"/>
    </row>
    <row r="87" spans="1:20" x14ac:dyDescent="0.25">
      <c r="Q87">
        <f>VLOOKUP($G$84,$G$6:$R$84,10,FALSE)</f>
        <v>220</v>
      </c>
    </row>
    <row r="88" spans="1:20" x14ac:dyDescent="0.25">
      <c r="M88" s="22" t="s">
        <v>127</v>
      </c>
    </row>
  </sheetData>
  <phoneticPr fontId="5" type="noConversion"/>
  <conditionalFormatting sqref="M1:M1048576">
    <cfRule type="containsText" dxfId="18" priority="1" operator="containsText" text="gray">
      <formula>NOT(ISERROR(SEARCH("gray",M1)))</formula>
    </cfRule>
    <cfRule type="containsText" dxfId="17" priority="2" operator="containsText" text="brown">
      <formula>NOT(ISERROR(SEARCH("brown",M1)))</formula>
    </cfRule>
    <cfRule type="containsText" dxfId="16" priority="3" operator="containsText" text="white">
      <formula>NOT(ISERROR(SEARCH("white",M1)))</formula>
    </cfRule>
    <cfRule type="containsText" dxfId="15" priority="4" operator="containsText" text="black">
      <formula>NOT(ISERROR(SEARCH("black",M1)))</formula>
    </cfRule>
    <cfRule type="containsText" dxfId="14" priority="5" operator="containsText" text="red">
      <formula>NOT(ISERROR(SEARCH("red",M1)))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1.42578125" defaultRowHeight="15" x14ac:dyDescent="0.25"/>
  <cols>
    <col min="1" max="1" width="18.85546875" customWidth="1"/>
    <col min="2" max="2" width="13.140625" bestFit="1" customWidth="1"/>
    <col min="3" max="3" width="13" bestFit="1" customWidth="1"/>
  </cols>
  <sheetData>
    <row r="1" spans="1:3" ht="21" x14ac:dyDescent="0.35">
      <c r="A1" s="6" t="s">
        <v>55</v>
      </c>
      <c r="B1" s="7"/>
      <c r="C1" s="7"/>
    </row>
    <row r="2" spans="1:3" x14ac:dyDescent="0.25">
      <c r="A2" s="7"/>
      <c r="B2" s="7"/>
      <c r="C2" s="7"/>
    </row>
    <row r="3" spans="1:3" x14ac:dyDescent="0.25">
      <c r="A3" s="8" t="s">
        <v>3</v>
      </c>
      <c r="B3" s="8" t="s">
        <v>56</v>
      </c>
      <c r="C3" s="8" t="s">
        <v>57</v>
      </c>
    </row>
    <row r="4" spans="1:3" x14ac:dyDescent="0.25">
      <c r="A4" s="9">
        <v>132</v>
      </c>
      <c r="B4" s="9" t="s">
        <v>58</v>
      </c>
      <c r="C4" s="10" t="s">
        <v>59</v>
      </c>
    </row>
    <row r="5" spans="1:3" x14ac:dyDescent="0.25">
      <c r="A5" s="11">
        <v>136</v>
      </c>
      <c r="B5" s="11" t="s">
        <v>60</v>
      </c>
      <c r="C5" s="12" t="s">
        <v>61</v>
      </c>
    </row>
    <row r="6" spans="1:3" x14ac:dyDescent="0.25">
      <c r="A6" s="11">
        <v>144</v>
      </c>
      <c r="B6" s="11" t="s">
        <v>62</v>
      </c>
      <c r="C6" s="12" t="s">
        <v>63</v>
      </c>
    </row>
    <row r="7" spans="1:3" x14ac:dyDescent="0.25">
      <c r="A7" s="11">
        <v>152</v>
      </c>
      <c r="B7" s="11" t="s">
        <v>64</v>
      </c>
      <c r="C7" s="12" t="s">
        <v>65</v>
      </c>
    </row>
    <row r="8" spans="1:3" x14ac:dyDescent="0.25">
      <c r="A8" s="11">
        <v>157</v>
      </c>
      <c r="B8" s="11" t="s">
        <v>66</v>
      </c>
      <c r="C8" s="12" t="s">
        <v>67</v>
      </c>
    </row>
    <row r="9" spans="1:3" x14ac:dyDescent="0.25">
      <c r="A9" s="11">
        <v>162</v>
      </c>
      <c r="B9" s="11" t="s">
        <v>68</v>
      </c>
      <c r="C9" s="12" t="s">
        <v>69</v>
      </c>
    </row>
    <row r="10" spans="1:3" x14ac:dyDescent="0.25">
      <c r="A10" s="11">
        <v>166</v>
      </c>
      <c r="B10" s="11" t="s">
        <v>70</v>
      </c>
      <c r="C10" s="12" t="s">
        <v>71</v>
      </c>
    </row>
    <row r="11" spans="1:3" x14ac:dyDescent="0.25">
      <c r="A11" s="11">
        <v>178</v>
      </c>
      <c r="B11" s="11" t="s">
        <v>72</v>
      </c>
      <c r="C11" s="12" t="s">
        <v>73</v>
      </c>
    </row>
    <row r="12" spans="1:3" x14ac:dyDescent="0.25">
      <c r="A12" s="13">
        <v>180</v>
      </c>
      <c r="B12" s="13" t="s">
        <v>74</v>
      </c>
      <c r="C12" s="14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96A5E-A080-4640-905E-A072C3C35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 WIN10</cp:lastModifiedBy>
  <cp:revision/>
  <dcterms:created xsi:type="dcterms:W3CDTF">2021-09-09T16:24:17Z</dcterms:created>
  <dcterms:modified xsi:type="dcterms:W3CDTF">2023-04-10T19:22:30Z</dcterms:modified>
  <cp:category/>
  <cp:contentStatus/>
</cp:coreProperties>
</file>