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534EE08B-900E-444B-B405-7FD8C339F594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gravity" sheetId="2" r:id="rId1"/>
    <sheet name="calibration of gravity" sheetId="7" r:id="rId2"/>
    <sheet name="elementary destinations" sheetId="3" r:id="rId3"/>
  </sheets>
  <definedNames>
    <definedName name="solver_adj" localSheetId="1" hidden="1">'calibration of gravity'!$A$11:$B$11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'calibration of gravity'!$M$12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P4" i="2"/>
  <c r="N9" i="3"/>
  <c r="M9" i="3"/>
  <c r="L9" i="3"/>
  <c r="K9" i="3"/>
  <c r="K5" i="3"/>
  <c r="J14" i="3"/>
  <c r="J9" i="3"/>
  <c r="G14" i="3"/>
  <c r="G9" i="3"/>
  <c r="F5" i="3"/>
  <c r="E1" i="3"/>
  <c r="E5" i="3"/>
  <c r="K1" i="7" l="1"/>
  <c r="L1" i="7"/>
  <c r="M1" i="7"/>
  <c r="N1" i="7"/>
  <c r="J1" i="7"/>
  <c r="F18" i="7"/>
  <c r="E18" i="7"/>
  <c r="D18" i="7"/>
  <c r="C18" i="7"/>
  <c r="B18" i="7"/>
  <c r="F17" i="7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H9" i="7"/>
  <c r="O2" i="7"/>
  <c r="K12" i="3"/>
  <c r="E13" i="3"/>
  <c r="E12" i="3"/>
  <c r="E11" i="3"/>
  <c r="E8" i="3"/>
  <c r="K7" i="3"/>
  <c r="E7" i="3"/>
  <c r="K6" i="3"/>
  <c r="E6" i="3"/>
  <c r="K11" i="3" l="1"/>
  <c r="P6" i="7"/>
  <c r="J6" i="7" s="1"/>
  <c r="P5" i="7"/>
  <c r="L5" i="7" s="1"/>
  <c r="P8" i="7"/>
  <c r="L8" i="7" s="1"/>
  <c r="P7" i="7"/>
  <c r="K7" i="7" s="1"/>
  <c r="P4" i="7"/>
  <c r="K4" i="7" s="1"/>
  <c r="K13" i="3"/>
  <c r="K14" i="3" s="1"/>
  <c r="L14" i="3" s="1"/>
  <c r="M14" i="3" s="1"/>
  <c r="K8" i="3"/>
  <c r="M6" i="7" l="1"/>
  <c r="K6" i="7"/>
  <c r="N6" i="7"/>
  <c r="L6" i="7"/>
  <c r="M5" i="7"/>
  <c r="J5" i="7"/>
  <c r="N5" i="7"/>
  <c r="K5" i="7"/>
  <c r="M7" i="7"/>
  <c r="M8" i="7"/>
  <c r="N8" i="7"/>
  <c r="L7" i="7"/>
  <c r="K8" i="7"/>
  <c r="J4" i="7"/>
  <c r="L4" i="7"/>
  <c r="J7" i="7"/>
  <c r="J8" i="7"/>
  <c r="M4" i="7"/>
  <c r="N7" i="7"/>
  <c r="N4" i="7"/>
  <c r="M1" i="3"/>
  <c r="N14" i="3" s="1"/>
  <c r="F6" i="3"/>
  <c r="F8" i="3"/>
  <c r="F13" i="3"/>
  <c r="F12" i="3"/>
  <c r="F11" i="3"/>
  <c r="F7" i="3"/>
  <c r="O6" i="7" l="1"/>
  <c r="T6" i="7" s="1"/>
  <c r="N9" i="7"/>
  <c r="K9" i="7"/>
  <c r="L9" i="7"/>
  <c r="M9" i="7"/>
  <c r="J9" i="7"/>
  <c r="O5" i="7"/>
  <c r="T5" i="7" s="1"/>
  <c r="O8" i="7"/>
  <c r="V8" i="7" s="1"/>
  <c r="O9" i="7"/>
  <c r="O4" i="7"/>
  <c r="S4" i="7" s="1"/>
  <c r="O7" i="7"/>
  <c r="T7" i="7" s="1"/>
  <c r="F1" i="3"/>
  <c r="U8" i="7" l="1"/>
  <c r="U4" i="7"/>
  <c r="V4" i="7"/>
  <c r="S6" i="7"/>
  <c r="W8" i="7"/>
  <c r="W6" i="7"/>
  <c r="L21" i="7" s="1"/>
  <c r="M21" i="7" s="1"/>
  <c r="U6" i="7"/>
  <c r="W5" i="7"/>
  <c r="L20" i="7" s="1"/>
  <c r="N20" i="7" s="1"/>
  <c r="V6" i="7"/>
  <c r="V5" i="7"/>
  <c r="L15" i="7" s="1"/>
  <c r="M15" i="7" s="1"/>
  <c r="S5" i="7"/>
  <c r="U5" i="7"/>
  <c r="T8" i="7"/>
  <c r="L16" i="7" s="1"/>
  <c r="N16" i="7" s="1"/>
  <c r="W4" i="7"/>
  <c r="L18" i="7" s="1"/>
  <c r="N18" i="7" s="1"/>
  <c r="S8" i="7"/>
  <c r="W7" i="7"/>
  <c r="U7" i="7"/>
  <c r="L17" i="7" s="1"/>
  <c r="M17" i="7" s="1"/>
  <c r="V7" i="7"/>
  <c r="T4" i="7"/>
  <c r="L14" i="7" s="1"/>
  <c r="N14" i="7" s="1"/>
  <c r="S7" i="7"/>
  <c r="M16" i="7" l="1"/>
  <c r="M20" i="7"/>
  <c r="M18" i="7"/>
  <c r="N15" i="7"/>
  <c r="L19" i="7"/>
  <c r="M19" i="7" s="1"/>
  <c r="N21" i="7"/>
  <c r="M14" i="7"/>
  <c r="N17" i="7"/>
  <c r="M12" i="7" l="1"/>
  <c r="N19" i="7"/>
  <c r="N12" i="7" s="1"/>
  <c r="H9" i="2" l="1"/>
  <c r="O2" i="2"/>
  <c r="J13" i="2" l="1"/>
  <c r="N13" i="2"/>
  <c r="K13" i="2"/>
  <c r="M13" i="2"/>
  <c r="L13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B16" i="2"/>
  <c r="B17" i="2"/>
  <c r="B18" i="2"/>
  <c r="B19" i="2"/>
  <c r="B15" i="2"/>
  <c r="P7" i="2" l="1"/>
  <c r="J7" i="2" s="1"/>
  <c r="P6" i="2"/>
  <c r="M6" i="2" s="1"/>
  <c r="P5" i="2"/>
  <c r="N5" i="2" s="1"/>
  <c r="P8" i="2"/>
  <c r="M8" i="2" s="1"/>
  <c r="O13" i="2"/>
  <c r="N4" i="2" l="1"/>
  <c r="J4" i="2"/>
  <c r="L5" i="2"/>
  <c r="K6" i="2"/>
  <c r="K4" i="2"/>
  <c r="M4" i="2"/>
  <c r="J5" i="2"/>
  <c r="K5" i="2"/>
  <c r="N8" i="2"/>
  <c r="J8" i="2"/>
  <c r="M5" i="2"/>
  <c r="K8" i="2"/>
  <c r="L4" i="2"/>
  <c r="L7" i="2"/>
  <c r="M7" i="2"/>
  <c r="M9" i="2" s="1"/>
  <c r="N6" i="2"/>
  <c r="L8" i="2"/>
  <c r="N7" i="2"/>
  <c r="K7" i="2"/>
  <c r="L6" i="2"/>
  <c r="J6" i="2"/>
  <c r="N9" i="2" l="1"/>
  <c r="O5" i="2"/>
  <c r="O9" i="2"/>
  <c r="J9" i="2"/>
  <c r="K9" i="2"/>
  <c r="O6" i="2"/>
  <c r="L9" i="2"/>
  <c r="O8" i="2"/>
  <c r="O7" i="2"/>
  <c r="P15" i="2" l="1"/>
  <c r="P18" i="2"/>
  <c r="P19" i="2"/>
  <c r="P17" i="2"/>
  <c r="P16" i="2"/>
  <c r="M21" i="2" l="1"/>
  <c r="M17" i="2" s="1"/>
  <c r="K21" i="2"/>
  <c r="K17" i="2" s="1"/>
  <c r="L21" i="2"/>
  <c r="L17" i="2" s="1"/>
  <c r="J21" i="2"/>
  <c r="J17" i="2" s="1"/>
  <c r="N21" i="2"/>
  <c r="N17" i="2" s="1"/>
  <c r="K15" i="2" l="1"/>
  <c r="M15" i="2"/>
  <c r="J16" i="2"/>
  <c r="K16" i="2"/>
  <c r="L19" i="2"/>
  <c r="J15" i="2"/>
  <c r="N15" i="2"/>
  <c r="L15" i="2"/>
  <c r="N16" i="2"/>
  <c r="L16" i="2"/>
  <c r="M16" i="2"/>
  <c r="N19" i="2"/>
  <c r="K19" i="2"/>
  <c r="M19" i="2"/>
  <c r="J19" i="2"/>
  <c r="L18" i="2"/>
  <c r="J18" i="2"/>
  <c r="N18" i="2"/>
  <c r="K18" i="2"/>
  <c r="K20" i="2" s="1"/>
  <c r="M18" i="2"/>
  <c r="M20" i="2" l="1"/>
  <c r="J20" i="2"/>
  <c r="O20" i="2"/>
  <c r="O15" i="2"/>
  <c r="N20" i="2"/>
  <c r="O19" i="2"/>
  <c r="O18" i="2"/>
  <c r="O16" i="2"/>
  <c r="L20" i="2"/>
  <c r="O17" i="2"/>
</calcChain>
</file>

<file path=xl/sharedStrings.xml><?xml version="1.0" encoding="utf-8"?>
<sst xmlns="http://schemas.openxmlformats.org/spreadsheetml/2006/main" count="63" uniqueCount="43">
  <si>
    <t>A</t>
  </si>
  <si>
    <t>o</t>
  </si>
  <si>
    <t>d</t>
  </si>
  <si>
    <t>bLoS</t>
  </si>
  <si>
    <t>c_od</t>
  </si>
  <si>
    <t>f(c_od)</t>
  </si>
  <si>
    <t>d_o gen</t>
  </si>
  <si>
    <t>d_od</t>
  </si>
  <si>
    <t>d_d att</t>
  </si>
  <si>
    <t>d_d att proxy</t>
  </si>
  <si>
    <t>a_d att</t>
  </si>
  <si>
    <t>a_o gen</t>
  </si>
  <si>
    <t>teta</t>
  </si>
  <si>
    <t>y</t>
  </si>
  <si>
    <t>e</t>
  </si>
  <si>
    <t>v_de</t>
  </si>
  <si>
    <t>x_de</t>
  </si>
  <si>
    <t>p_de</t>
  </si>
  <si>
    <t>p_d</t>
  </si>
  <si>
    <t>n_d</t>
  </si>
  <si>
    <t>v_d</t>
  </si>
  <si>
    <t>dv_de</t>
  </si>
  <si>
    <t>w_d</t>
  </si>
  <si>
    <t>x_d</t>
  </si>
  <si>
    <t>B</t>
  </si>
  <si>
    <t>doubly contrained model</t>
  </si>
  <si>
    <t>a_d att old</t>
  </si>
  <si>
    <t>solution obtained starting from a_d att old = 1</t>
  </si>
  <si>
    <t>bSE</t>
  </si>
  <si>
    <t>d_d att proxy ^ bSE</t>
  </si>
  <si>
    <t>origin constrained like logit</t>
  </si>
  <si>
    <t>p_od</t>
  </si>
  <si>
    <t>d = j*</t>
  </si>
  <si>
    <t>u</t>
  </si>
  <si>
    <t>min quad</t>
  </si>
  <si>
    <t>log like</t>
  </si>
  <si>
    <t>null</t>
  </si>
  <si>
    <t>max log like</t>
  </si>
  <si>
    <t>sum quad</t>
  </si>
  <si>
    <t>p*</t>
  </si>
  <si>
    <t>RMSE</t>
  </si>
  <si>
    <t>loglike</t>
  </si>
  <si>
    <t>origin contrained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</si>
</sst>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zoomScale="145" zoomScaleNormal="145" workbookViewId="0">
      <selection activeCell="Q11" sqref="Q11"/>
    </sheetView>
  </sheetViews>
  <sheetFormatPr defaultRowHeight="14.25" x14ac:dyDescent="0.45"/>
  <cols>
    <col min="16" max="16" width="9.06640625" customWidth="1"/>
  </cols>
  <sheetData>
    <row r="1" spans="1:17" x14ac:dyDescent="0.45">
      <c r="I1" t="s">
        <v>42</v>
      </c>
    </row>
    <row r="2" spans="1:17" x14ac:dyDescent="0.45">
      <c r="I2" s="5" t="s">
        <v>9</v>
      </c>
      <c r="J2" s="2">
        <v>400</v>
      </c>
      <c r="K2" s="2">
        <v>100</v>
      </c>
      <c r="L2" s="2">
        <v>500</v>
      </c>
      <c r="M2" s="2">
        <v>200</v>
      </c>
      <c r="N2" s="2">
        <v>5000</v>
      </c>
      <c r="O2" s="3">
        <f>SUM(J2:N2)</f>
        <v>6200</v>
      </c>
    </row>
    <row r="3" spans="1:17" x14ac:dyDescent="0.45">
      <c r="A3" s="5" t="s">
        <v>4</v>
      </c>
      <c r="B3">
        <v>1</v>
      </c>
      <c r="C3">
        <v>2</v>
      </c>
      <c r="D3">
        <v>3</v>
      </c>
      <c r="E3">
        <v>4</v>
      </c>
      <c r="F3">
        <v>5</v>
      </c>
      <c r="H3" s="6" t="s">
        <v>6</v>
      </c>
      <c r="I3" s="5" t="s">
        <v>7</v>
      </c>
      <c r="J3">
        <v>1</v>
      </c>
      <c r="K3">
        <v>2</v>
      </c>
      <c r="L3">
        <v>3</v>
      </c>
      <c r="M3">
        <v>4</v>
      </c>
      <c r="N3">
        <v>5</v>
      </c>
      <c r="P3" s="6" t="s">
        <v>11</v>
      </c>
    </row>
    <row r="4" spans="1:17" x14ac:dyDescent="0.45">
      <c r="A4">
        <v>1</v>
      </c>
      <c r="B4" s="2">
        <v>1000</v>
      </c>
      <c r="C4" s="2">
        <v>20</v>
      </c>
      <c r="D4" s="2">
        <v>45</v>
      </c>
      <c r="E4" s="2">
        <v>30</v>
      </c>
      <c r="F4" s="2">
        <v>25</v>
      </c>
      <c r="H4" s="2">
        <v>2000</v>
      </c>
      <c r="I4">
        <v>1</v>
      </c>
      <c r="J4" s="7">
        <f>$H4*J$2*B15*$P4</f>
        <v>8.1748780277870296E-3</v>
      </c>
      <c r="K4" s="7">
        <f>$H4*K$2*C15*$P4</f>
        <v>36.855916292305267</v>
      </c>
      <c r="L4" s="7">
        <f>$H4*L$2*D15*$P4</f>
        <v>143.51708234630749</v>
      </c>
      <c r="M4" s="7">
        <f>$H4*M$2*E15*$P4</f>
        <v>66.697224274557925</v>
      </c>
      <c r="N4" s="7">
        <f>$H4*N$2*F15*$P4</f>
        <v>1752.9216022088017</v>
      </c>
      <c r="O4" s="4">
        <f>SUM(J4:N4)</f>
        <v>2000.0000000000002</v>
      </c>
      <c r="P4" s="3">
        <f>1/SUMPRODUCT(J$2:N$2,B15:F15)</f>
        <v>2.2507958906970999E-4</v>
      </c>
    </row>
    <row r="5" spans="1:17" x14ac:dyDescent="0.45">
      <c r="A5">
        <v>2</v>
      </c>
      <c r="B5" s="2">
        <v>20</v>
      </c>
      <c r="C5" s="2">
        <v>1000</v>
      </c>
      <c r="D5" s="2">
        <v>20</v>
      </c>
      <c r="E5" s="2">
        <v>40</v>
      </c>
      <c r="F5" s="2">
        <v>20</v>
      </c>
      <c r="H5" s="2">
        <v>1000</v>
      </c>
      <c r="I5">
        <v>2</v>
      </c>
      <c r="J5" s="7">
        <f>$H5*J$2*B16*$P5</f>
        <v>65.965761803648675</v>
      </c>
      <c r="K5" s="7">
        <f>$H5*K$2*C16*$P5</f>
        <v>9.1447674994358185E-4</v>
      </c>
      <c r="L5" s="7">
        <f>$H5*L$2*D16*$P5</f>
        <v>82.457202254560855</v>
      </c>
      <c r="M5" s="7">
        <f>$H5*M$2*E16*$P5</f>
        <v>27.004098919432032</v>
      </c>
      <c r="N5" s="7">
        <f>$H5*N$2*F16*$P5</f>
        <v>824.57202254560843</v>
      </c>
      <c r="O5" s="4">
        <f t="shared" ref="O5:O8" si="0">SUM(J5:N5)</f>
        <v>1000</v>
      </c>
      <c r="P5" s="3">
        <f>1/SUMPRODUCT(J$2:N$2,B16:F16)</f>
        <v>2.0142690852778319E-4</v>
      </c>
    </row>
    <row r="6" spans="1:17" x14ac:dyDescent="0.45">
      <c r="A6">
        <v>3</v>
      </c>
      <c r="B6" s="2">
        <v>45</v>
      </c>
      <c r="C6" s="2">
        <v>20</v>
      </c>
      <c r="D6" s="2">
        <v>1000</v>
      </c>
      <c r="E6" s="2">
        <v>15</v>
      </c>
      <c r="F6" s="2">
        <v>30</v>
      </c>
      <c r="H6" s="2">
        <v>1000</v>
      </c>
      <c r="I6">
        <v>3</v>
      </c>
      <c r="J6" s="7">
        <f>$H6*J$2*B17*$P6</f>
        <v>60.536525074693145</v>
      </c>
      <c r="K6" s="7">
        <f>$H6*K$2*C17*$P6</f>
        <v>19.432609208465191</v>
      </c>
      <c r="L6" s="7">
        <f>$H6*L$2*D17*$P6</f>
        <v>5.3878463087492284E-3</v>
      </c>
      <c r="M6" s="7">
        <f>$H6*M$2*E17*$P6</f>
        <v>40.85788077606005</v>
      </c>
      <c r="N6" s="7">
        <f>$H6*N$2*F17*$P6</f>
        <v>879.16759709447285</v>
      </c>
      <c r="O6" s="4">
        <f t="shared" si="0"/>
        <v>1000</v>
      </c>
      <c r="P6" s="3">
        <f>1/SUMPRODUCT(J$2:N$2,B17:F17)</f>
        <v>2.37350424854681E-4</v>
      </c>
    </row>
    <row r="7" spans="1:17" x14ac:dyDescent="0.45">
      <c r="A7">
        <v>4</v>
      </c>
      <c r="B7" s="2">
        <v>30</v>
      </c>
      <c r="C7" s="2">
        <v>40</v>
      </c>
      <c r="D7" s="2">
        <v>15</v>
      </c>
      <c r="E7" s="2">
        <v>1000</v>
      </c>
      <c r="F7" s="2">
        <v>15</v>
      </c>
      <c r="H7" s="2">
        <v>500</v>
      </c>
      <c r="I7">
        <v>4</v>
      </c>
      <c r="J7" s="7">
        <f>$H7*J$2*B18*$P7</f>
        <v>29.067298692352075</v>
      </c>
      <c r="K7" s="7">
        <f>$H7*K$2*C18*$P7</f>
        <v>6.5752948745169695</v>
      </c>
      <c r="L7" s="7">
        <f>$H7*L$2*D18*$P7</f>
        <v>42.214228705482107</v>
      </c>
      <c r="M7" s="7">
        <f>$H7*M$2*E18*$P7</f>
        <v>8.9067282781164368E-4</v>
      </c>
      <c r="N7" s="7">
        <f>$H7*N$2*F18*$P7</f>
        <v>422.14228705482105</v>
      </c>
      <c r="O7" s="4">
        <f t="shared" si="0"/>
        <v>500</v>
      </c>
      <c r="P7" s="3">
        <f>1/SUMPRODUCT(J$2:N$2,B18:F18)</f>
        <v>1.9618374576156942E-4</v>
      </c>
    </row>
    <row r="8" spans="1:17" x14ac:dyDescent="0.45">
      <c r="A8">
        <v>5</v>
      </c>
      <c r="B8" s="2">
        <v>20</v>
      </c>
      <c r="C8" s="2">
        <v>15</v>
      </c>
      <c r="D8" s="2">
        <v>25</v>
      </c>
      <c r="E8" s="2">
        <v>10</v>
      </c>
      <c r="F8" s="2">
        <v>1000</v>
      </c>
      <c r="H8" s="2">
        <v>200</v>
      </c>
      <c r="I8">
        <v>5</v>
      </c>
      <c r="J8" s="7">
        <f>$H8*J$2*B19*$P8</f>
        <v>66.552791318954206</v>
      </c>
      <c r="K8" s="7">
        <f>$H8*K$2*C19*$P8</f>
        <v>17.491256474190433</v>
      </c>
      <c r="L8" s="7">
        <f>$H8*L$2*D19*$P8</f>
        <v>79.133716731556163</v>
      </c>
      <c r="M8" s="7">
        <f>$H8*M$2*E19*$P8</f>
        <v>36.7761047412328</v>
      </c>
      <c r="N8" s="7">
        <f>$H8*N$2*F19*$P8</f>
        <v>4.6130734066398928E-2</v>
      </c>
      <c r="O8" s="4">
        <f t="shared" si="0"/>
        <v>200.00000000000003</v>
      </c>
      <c r="P8" s="3">
        <f>1/SUMPRODUCT(J$2:N$2,B19:F19)</f>
        <v>1.0160970360028609E-3</v>
      </c>
    </row>
    <row r="9" spans="1:17" x14ac:dyDescent="0.45">
      <c r="H9" s="3">
        <f>SUM(H4:H8)</f>
        <v>4700</v>
      </c>
      <c r="J9" s="4">
        <f>SUM(J4:J8)</f>
        <v>222.13055176767588</v>
      </c>
      <c r="K9" s="4">
        <f t="shared" ref="K9:N9" si="1">SUM(K4:K8)</f>
        <v>80.355991326227809</v>
      </c>
      <c r="L9" s="4">
        <f t="shared" si="1"/>
        <v>347.32761788421533</v>
      </c>
      <c r="M9" s="4">
        <f t="shared" si="1"/>
        <v>171.33619938411061</v>
      </c>
      <c r="N9" s="4">
        <f t="shared" si="1"/>
        <v>3878.8496396377705</v>
      </c>
      <c r="O9" s="4">
        <f>SUM(J4:N8)</f>
        <v>4700.0000000000009</v>
      </c>
    </row>
    <row r="10" spans="1:17" x14ac:dyDescent="0.45">
      <c r="I10" s="5"/>
      <c r="J10" s="4"/>
      <c r="K10" s="4"/>
      <c r="L10" s="4"/>
      <c r="M10" s="4"/>
      <c r="N10" s="4"/>
    </row>
    <row r="11" spans="1:17" x14ac:dyDescent="0.45">
      <c r="I11" s="5"/>
      <c r="J11" s="4"/>
      <c r="K11" s="4"/>
      <c r="L11" s="4"/>
      <c r="M11" s="4"/>
      <c r="N11" s="4"/>
    </row>
    <row r="12" spans="1:17" x14ac:dyDescent="0.45">
      <c r="A12" t="s">
        <v>3</v>
      </c>
      <c r="B12" s="1">
        <v>0.01</v>
      </c>
      <c r="I12" t="s">
        <v>25</v>
      </c>
    </row>
    <row r="13" spans="1:17" x14ac:dyDescent="0.45">
      <c r="I13" s="5" t="s">
        <v>8</v>
      </c>
      <c r="J13" s="3">
        <f>J2*$H$9/$O$2</f>
        <v>303.22580645161293</v>
      </c>
      <c r="K13" s="3">
        <f t="shared" ref="K13:N13" si="2">K2*$H$9/$O$2</f>
        <v>75.806451612903231</v>
      </c>
      <c r="L13" s="3">
        <f t="shared" si="2"/>
        <v>379.03225806451616</v>
      </c>
      <c r="M13" s="3">
        <f t="shared" si="2"/>
        <v>151.61290322580646</v>
      </c>
      <c r="N13" s="3">
        <f t="shared" si="2"/>
        <v>3790.3225806451615</v>
      </c>
      <c r="O13" s="4">
        <f>SUM(J13:N13)</f>
        <v>4700</v>
      </c>
    </row>
    <row r="14" spans="1:17" x14ac:dyDescent="0.45">
      <c r="A14" s="5" t="s">
        <v>5</v>
      </c>
      <c r="B14">
        <v>1</v>
      </c>
      <c r="C14">
        <v>2</v>
      </c>
      <c r="D14">
        <v>3</v>
      </c>
      <c r="E14">
        <v>4</v>
      </c>
      <c r="F14">
        <v>5</v>
      </c>
      <c r="I14" s="5" t="s">
        <v>7</v>
      </c>
      <c r="J14">
        <v>1</v>
      </c>
      <c r="K14">
        <v>2</v>
      </c>
      <c r="L14">
        <v>3</v>
      </c>
      <c r="M14">
        <v>4</v>
      </c>
      <c r="N14">
        <v>5</v>
      </c>
      <c r="P14" s="6" t="s">
        <v>11</v>
      </c>
      <c r="Q14" s="6"/>
    </row>
    <row r="15" spans="1:17" x14ac:dyDescent="0.45">
      <c r="A15">
        <v>1</v>
      </c>
      <c r="B15" s="3">
        <f>EXP(-B4*$B$12)</f>
        <v>4.5399929762484854E-5</v>
      </c>
      <c r="C15" s="3">
        <f>EXP(-C4*$B$12)</f>
        <v>0.81873075307798182</v>
      </c>
      <c r="D15" s="3">
        <f>EXP(-D4*$B$12)</f>
        <v>0.63762815162177333</v>
      </c>
      <c r="E15" s="3">
        <f>EXP(-E4*$B$12)</f>
        <v>0.74081822068171788</v>
      </c>
      <c r="F15" s="3">
        <f>EXP(-F4*$B$12)</f>
        <v>0.77880078307140488</v>
      </c>
      <c r="H15" s="2">
        <v>2000</v>
      </c>
      <c r="I15">
        <v>1</v>
      </c>
      <c r="J15" s="7">
        <f>$H15*J$13*B15*$P15*J$21</f>
        <v>1.1968938237165629E-2</v>
      </c>
      <c r="K15" s="7">
        <f t="shared" ref="K15:N19" si="3">$H15*K$13*C15*$P15*K$21</f>
        <v>36.31224401745024</v>
      </c>
      <c r="L15" s="7">
        <f t="shared" si="3"/>
        <v>164.69433371940301</v>
      </c>
      <c r="M15" s="7">
        <f t="shared" si="3"/>
        <v>61.769169417966815</v>
      </c>
      <c r="N15" s="7">
        <f t="shared" si="3"/>
        <v>1737.2029878876394</v>
      </c>
      <c r="O15" s="4">
        <f>SUM(J15:N15)</f>
        <v>1999.9907039806967</v>
      </c>
      <c r="P15" s="3">
        <f>1/SUMPRODUCT(J$13:N$13,B15:F15,J$22:N$22)</f>
        <v>3.0351887214516611E-4</v>
      </c>
    </row>
    <row r="16" spans="1:17" x14ac:dyDescent="0.45">
      <c r="A16">
        <v>2</v>
      </c>
      <c r="B16" s="3">
        <f>EXP(-B5*$B$12)</f>
        <v>0.81873075307798182</v>
      </c>
      <c r="C16" s="3">
        <f>EXP(-C5*$B$12)</f>
        <v>4.5399929762484854E-5</v>
      </c>
      <c r="D16" s="3">
        <f>EXP(-D5*$B$12)</f>
        <v>0.81873075307798182</v>
      </c>
      <c r="E16" s="3">
        <f>EXP(-E5*$B$12)</f>
        <v>0.67032004603563933</v>
      </c>
      <c r="F16" s="3">
        <f>EXP(-F5*$B$12)</f>
        <v>0.81873075307798182</v>
      </c>
      <c r="H16" s="2">
        <v>1000</v>
      </c>
      <c r="I16">
        <v>2</v>
      </c>
      <c r="J16" s="7">
        <f t="shared" ref="J16:J19" si="4">$H16*J$13*B16*$P16*J$21</f>
        <v>93.460456457741941</v>
      </c>
      <c r="K16" s="7">
        <f t="shared" si="3"/>
        <v>8.7187357422125085E-4</v>
      </c>
      <c r="L16" s="7">
        <f t="shared" si="3"/>
        <v>91.566924436396292</v>
      </c>
      <c r="M16" s="7">
        <f t="shared" si="3"/>
        <v>24.200740934928401</v>
      </c>
      <c r="N16" s="7">
        <f t="shared" si="3"/>
        <v>790.77265136322569</v>
      </c>
      <c r="O16" s="4">
        <f t="shared" ref="O16:O19" si="5">SUM(J16:N16)</f>
        <v>1000.0016450658666</v>
      </c>
      <c r="P16" s="3">
        <f>1/SUMPRODUCT(J$13:N$13,B16:F16,J$22:N$22)</f>
        <v>2.6284640690361509E-4</v>
      </c>
    </row>
    <row r="17" spans="1:16" x14ac:dyDescent="0.45">
      <c r="A17">
        <v>3</v>
      </c>
      <c r="B17" s="3">
        <f>EXP(-B6*$B$12)</f>
        <v>0.63762815162177333</v>
      </c>
      <c r="C17" s="3">
        <f>EXP(-C6*$B$12)</f>
        <v>0.81873075307798182</v>
      </c>
      <c r="D17" s="3">
        <f>EXP(-D6*$B$12)</f>
        <v>4.5399929762484854E-5</v>
      </c>
      <c r="E17" s="3">
        <f>EXP(-E6*$B$12)</f>
        <v>0.86070797642505781</v>
      </c>
      <c r="F17" s="3">
        <f>EXP(-F6*$B$12)</f>
        <v>0.74081822068171788</v>
      </c>
      <c r="H17" s="2">
        <v>1000</v>
      </c>
      <c r="I17">
        <v>3</v>
      </c>
      <c r="J17" s="7">
        <f t="shared" si="4"/>
        <v>87.158455855846654</v>
      </c>
      <c r="K17" s="7">
        <f t="shared" si="3"/>
        <v>18.827588060487319</v>
      </c>
      <c r="L17" s="7">
        <f t="shared" si="3"/>
        <v>6.0800612563362078E-3</v>
      </c>
      <c r="M17" s="7">
        <f t="shared" si="3"/>
        <v>37.20981692531938</v>
      </c>
      <c r="N17" s="7">
        <f t="shared" si="3"/>
        <v>856.7960249074689</v>
      </c>
      <c r="O17" s="4">
        <f t="shared" si="5"/>
        <v>999.99796581037856</v>
      </c>
      <c r="P17" s="3">
        <f>1/SUMPRODUCT(J$13:N$13,B17:F17,J$22:N$22)</f>
        <v>3.1474388036094536E-4</v>
      </c>
    </row>
    <row r="18" spans="1:16" x14ac:dyDescent="0.45">
      <c r="A18">
        <v>4</v>
      </c>
      <c r="B18" s="3">
        <f>EXP(-B7*$B$12)</f>
        <v>0.74081822068171788</v>
      </c>
      <c r="C18" s="3">
        <f>EXP(-C7*$B$12)</f>
        <v>0.67032004603563933</v>
      </c>
      <c r="D18" s="3">
        <f>EXP(-D7*$B$12)</f>
        <v>0.86070797642505781</v>
      </c>
      <c r="E18" s="3">
        <f>EXP(-E7*$B$12)</f>
        <v>4.5399929762484854E-5</v>
      </c>
      <c r="F18" s="3">
        <f>EXP(-F7*$B$12)</f>
        <v>0.86070797642505781</v>
      </c>
      <c r="H18" s="2">
        <v>500</v>
      </c>
      <c r="I18">
        <v>4</v>
      </c>
      <c r="J18" s="7">
        <f t="shared" si="4"/>
        <v>41.251201275440813</v>
      </c>
      <c r="K18" s="7">
        <f t="shared" si="3"/>
        <v>6.2794078502762307</v>
      </c>
      <c r="L18" s="7">
        <f t="shared" si="3"/>
        <v>46.956044112933476</v>
      </c>
      <c r="M18" s="7">
        <f t="shared" si="3"/>
        <v>7.9953924719088694E-4</v>
      </c>
      <c r="N18" s="7">
        <f t="shared" si="3"/>
        <v>405.51275178522695</v>
      </c>
      <c r="O18" s="4">
        <f t="shared" si="5"/>
        <v>500.00020456312467</v>
      </c>
      <c r="P18" s="3">
        <f>1/SUMPRODUCT(J$13:N$13,B18:F18,J$22:N$22)</f>
        <v>2.5643080212062365E-4</v>
      </c>
    </row>
    <row r="19" spans="1:16" x14ac:dyDescent="0.45">
      <c r="A19">
        <v>5</v>
      </c>
      <c r="B19" s="3">
        <f>EXP(-B8*$B$12)</f>
        <v>0.81873075307798182</v>
      </c>
      <c r="C19" s="3">
        <f>EXP(-C8*$B$12)</f>
        <v>0.86070797642505781</v>
      </c>
      <c r="D19" s="3">
        <f>EXP(-D8*$B$12)</f>
        <v>0.77880078307140488</v>
      </c>
      <c r="E19" s="3">
        <f>EXP(-E8*$B$12)</f>
        <v>0.90483741803595952</v>
      </c>
      <c r="F19" s="3">
        <f>EXP(-F8*$B$12)</f>
        <v>4.5399929762484854E-5</v>
      </c>
      <c r="H19" s="2">
        <v>200</v>
      </c>
      <c r="I19">
        <v>5</v>
      </c>
      <c r="J19" s="7">
        <f t="shared" si="4"/>
        <v>81.343723924346335</v>
      </c>
      <c r="K19" s="7">
        <f t="shared" si="3"/>
        <v>14.386339811115219</v>
      </c>
      <c r="L19" s="7">
        <f t="shared" si="3"/>
        <v>75.808875734527049</v>
      </c>
      <c r="M19" s="7">
        <f t="shared" si="3"/>
        <v>28.432376408344648</v>
      </c>
      <c r="N19" s="7">
        <f t="shared" si="3"/>
        <v>3.8164701600734888E-2</v>
      </c>
      <c r="O19" s="4">
        <f t="shared" si="5"/>
        <v>200.00948057993398</v>
      </c>
      <c r="P19" s="3">
        <f>1/SUMPRODUCT(J$13:N$13,B19:F19,J$22:N$22)</f>
        <v>1.1438476960221901E-3</v>
      </c>
    </row>
    <row r="20" spans="1:16" x14ac:dyDescent="0.45">
      <c r="J20" s="4">
        <f>SUM(J15:J19)</f>
        <v>303.22580645161293</v>
      </c>
      <c r="K20" s="4">
        <f t="shared" ref="K20:N20" si="6">SUM(K15:K19)</f>
        <v>75.806451612903231</v>
      </c>
      <c r="L20" s="4">
        <f t="shared" si="6"/>
        <v>379.0322580645161</v>
      </c>
      <c r="M20" s="4">
        <f t="shared" si="6"/>
        <v>151.61290322580643</v>
      </c>
      <c r="N20" s="4">
        <f t="shared" si="6"/>
        <v>3790.3225806451619</v>
      </c>
      <c r="O20" s="4">
        <f>SUM(J15:N19)</f>
        <v>4700.0000000000009</v>
      </c>
    </row>
    <row r="21" spans="1:16" x14ac:dyDescent="0.45">
      <c r="I21" s="5" t="s">
        <v>10</v>
      </c>
      <c r="J21" s="3">
        <f>1/SUMPRODUCT($H15:$H19,B15:B19,$P15:$P19)</f>
        <v>1.4322492047308604</v>
      </c>
      <c r="K21" s="3">
        <f t="shared" ref="K21:N21" si="7">1/SUMPRODUCT($H15:$H19,C15:C19,$P15:$P19)</f>
        <v>0.963807098832558</v>
      </c>
      <c r="L21" s="3">
        <f t="shared" si="7"/>
        <v>1.1225851845735608</v>
      </c>
      <c r="M21" s="3">
        <f t="shared" si="7"/>
        <v>0.90595838034510789</v>
      </c>
      <c r="N21" s="3">
        <f t="shared" si="7"/>
        <v>0.96946541368540429</v>
      </c>
    </row>
    <row r="22" spans="1:16" x14ac:dyDescent="0.45">
      <c r="I22" s="5" t="s">
        <v>26</v>
      </c>
      <c r="J22">
        <v>1.4321591959373754</v>
      </c>
      <c r="K22">
        <v>0.96377704145332821</v>
      </c>
      <c r="L22">
        <v>1.1225412224223554</v>
      </c>
      <c r="M22">
        <v>0.90592806032111661</v>
      </c>
      <c r="N22">
        <v>0.96947598678949842</v>
      </c>
    </row>
    <row r="24" spans="1:16" x14ac:dyDescent="0.45">
      <c r="I2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"/>
  <sheetViews>
    <sheetView workbookViewId="0">
      <selection activeCell="N15" sqref="N15"/>
    </sheetView>
  </sheetViews>
  <sheetFormatPr defaultRowHeight="14.25" x14ac:dyDescent="0.45"/>
  <cols>
    <col min="11" max="11" width="10.53125" customWidth="1"/>
    <col min="16" max="16" width="9.06640625" customWidth="1"/>
    <col min="19" max="19" width="9.73046875" customWidth="1"/>
  </cols>
  <sheetData>
    <row r="1" spans="1:23" x14ac:dyDescent="0.45">
      <c r="A1" t="s">
        <v>30</v>
      </c>
      <c r="I1" s="5" t="s">
        <v>29</v>
      </c>
      <c r="J1">
        <f>J2^$B$11</f>
        <v>6.2088350147932561</v>
      </c>
      <c r="K1">
        <f t="shared" ref="K1:N1" si="0">K2^$B$11</f>
        <v>4.0693482246270083</v>
      </c>
      <c r="L1">
        <f t="shared" si="0"/>
        <v>6.6457599544551886</v>
      </c>
      <c r="M1">
        <f t="shared" si="0"/>
        <v>5.0265208389552045</v>
      </c>
      <c r="N1">
        <f t="shared" si="0"/>
        <v>13.406242720172559</v>
      </c>
    </row>
    <row r="2" spans="1:23" x14ac:dyDescent="0.45">
      <c r="I2" s="5" t="s">
        <v>9</v>
      </c>
      <c r="J2" s="2">
        <v>400</v>
      </c>
      <c r="K2" s="2">
        <v>100</v>
      </c>
      <c r="L2" s="2">
        <v>500</v>
      </c>
      <c r="M2" s="2">
        <v>200</v>
      </c>
      <c r="N2" s="2">
        <v>5000</v>
      </c>
      <c r="O2" s="3">
        <f>SUM(J2:N2)</f>
        <v>6200</v>
      </c>
    </row>
    <row r="3" spans="1:23" x14ac:dyDescent="0.45">
      <c r="A3" s="5" t="s">
        <v>4</v>
      </c>
      <c r="B3">
        <v>1</v>
      </c>
      <c r="C3">
        <v>2</v>
      </c>
      <c r="D3">
        <v>3</v>
      </c>
      <c r="E3">
        <v>4</v>
      </c>
      <c r="F3">
        <v>5</v>
      </c>
      <c r="H3" s="6" t="s">
        <v>6</v>
      </c>
      <c r="I3" s="5" t="s">
        <v>7</v>
      </c>
      <c r="J3">
        <v>1</v>
      </c>
      <c r="K3">
        <v>2</v>
      </c>
      <c r="L3">
        <v>3</v>
      </c>
      <c r="M3">
        <v>4</v>
      </c>
      <c r="N3">
        <v>5</v>
      </c>
      <c r="P3" s="6" t="s">
        <v>11</v>
      </c>
      <c r="R3" s="5" t="s">
        <v>31</v>
      </c>
      <c r="S3">
        <v>1</v>
      </c>
      <c r="T3">
        <v>2</v>
      </c>
      <c r="U3">
        <v>3</v>
      </c>
      <c r="V3">
        <v>4</v>
      </c>
      <c r="W3">
        <v>5</v>
      </c>
    </row>
    <row r="4" spans="1:23" x14ac:dyDescent="0.45">
      <c r="A4">
        <v>1</v>
      </c>
      <c r="B4" s="2">
        <v>1000</v>
      </c>
      <c r="C4" s="2">
        <v>20</v>
      </c>
      <c r="D4" s="2">
        <v>45</v>
      </c>
      <c r="E4" s="2">
        <v>30</v>
      </c>
      <c r="F4" s="2">
        <v>25</v>
      </c>
      <c r="H4" s="2">
        <v>2000</v>
      </c>
      <c r="I4">
        <v>1</v>
      </c>
      <c r="J4" s="7">
        <f>$H4*J$1*B14*$P4</f>
        <v>1.2864925546134966E-9</v>
      </c>
      <c r="K4" s="7">
        <f t="shared" ref="K4:N4" si="1">$H4*K$1*C14*$P4</f>
        <v>354.67207430201307</v>
      </c>
      <c r="L4" s="7">
        <f t="shared" si="1"/>
        <v>292.62983465296867</v>
      </c>
      <c r="M4" s="7">
        <f t="shared" si="1"/>
        <v>333.39443922442393</v>
      </c>
      <c r="N4" s="7">
        <f t="shared" si="1"/>
        <v>1019.3036518193076</v>
      </c>
      <c r="O4" s="4">
        <f>SUM(J4:N4)</f>
        <v>1999.9999999999998</v>
      </c>
      <c r="P4" s="3">
        <f>1/SUMPRODUCT(J$1:N$1,B14:F14)</f>
        <v>7.5247953801837422E-2</v>
      </c>
      <c r="R4">
        <v>1</v>
      </c>
      <c r="S4" s="3">
        <f>J4/$O4</f>
        <v>6.4324627730674842E-13</v>
      </c>
      <c r="T4" s="3">
        <f t="shared" ref="T4:W8" si="2">K4/$O4</f>
        <v>0.17733603715100657</v>
      </c>
      <c r="U4" s="3">
        <f t="shared" si="2"/>
        <v>0.14631491732648436</v>
      </c>
      <c r="V4" s="3">
        <f t="shared" si="2"/>
        <v>0.16669721961221198</v>
      </c>
      <c r="W4" s="3">
        <f t="shared" si="2"/>
        <v>0.50965182590965386</v>
      </c>
    </row>
    <row r="5" spans="1:23" x14ac:dyDescent="0.45">
      <c r="A5">
        <v>2</v>
      </c>
      <c r="B5" s="2">
        <v>20</v>
      </c>
      <c r="C5" s="2">
        <v>1000</v>
      </c>
      <c r="D5" s="2">
        <v>20</v>
      </c>
      <c r="E5" s="2">
        <v>40</v>
      </c>
      <c r="F5" s="2">
        <v>20</v>
      </c>
      <c r="H5" s="2">
        <v>1000</v>
      </c>
      <c r="I5">
        <v>2</v>
      </c>
      <c r="J5" s="7">
        <f t="shared" ref="J5:J8" si="3">$H5*J$1*B15*$P5</f>
        <v>1.0320834799960055</v>
      </c>
      <c r="K5" s="7">
        <f t="shared" ref="K5:K8" si="4">$H5*K$1*C15*$P5</f>
        <v>1.6081426858254043E-12</v>
      </c>
      <c r="L5" s="7">
        <f t="shared" ref="L5:L8" si="5">$H5*L$1*D15*$P5</f>
        <v>1.1047127270526447</v>
      </c>
      <c r="M5" s="7">
        <f t="shared" ref="M5:M8" si="6">$H5*M$1*E15*$P5</f>
        <v>0.48389333875542362</v>
      </c>
      <c r="N5" s="7">
        <f t="shared" ref="N5:N8" si="7">$H5*N$1*F15*$P5</f>
        <v>2.2284956207307975</v>
      </c>
      <c r="O5" s="4">
        <f t="shared" ref="O5:O8" si="8">SUM(J5:N5)</f>
        <v>4.8491851665364791</v>
      </c>
      <c r="P5" s="3">
        <f t="shared" ref="P5:P8" si="9">1/SUMPRODUCT(J$2:N$2,B15:F15)</f>
        <v>2.870299779301718E-4</v>
      </c>
      <c r="R5">
        <v>2</v>
      </c>
      <c r="S5" s="3">
        <f t="shared" ref="S5:S8" si="10">J5/$O5</f>
        <v>0.21283647552134394</v>
      </c>
      <c r="T5" s="3">
        <f t="shared" si="2"/>
        <v>3.3163152789523543E-13</v>
      </c>
      <c r="U5" s="3">
        <f t="shared" si="2"/>
        <v>0.22781409435055325</v>
      </c>
      <c r="V5" s="3">
        <f t="shared" si="2"/>
        <v>9.9788587595025471E-2</v>
      </c>
      <c r="W5" s="3">
        <f t="shared" si="2"/>
        <v>0.45956084253274576</v>
      </c>
    </row>
    <row r="6" spans="1:23" x14ac:dyDescent="0.45">
      <c r="A6">
        <v>3</v>
      </c>
      <c r="B6" s="2">
        <v>45</v>
      </c>
      <c r="C6" s="2">
        <v>20</v>
      </c>
      <c r="D6" s="2">
        <v>1000</v>
      </c>
      <c r="E6" s="2">
        <v>15</v>
      </c>
      <c r="F6" s="2">
        <v>30</v>
      </c>
      <c r="H6" s="2">
        <v>1000</v>
      </c>
      <c r="I6">
        <v>3</v>
      </c>
      <c r="J6" s="7">
        <f t="shared" si="3"/>
        <v>0.72335960438457381</v>
      </c>
      <c r="K6" s="7">
        <f t="shared" si="4"/>
        <v>0.93841982912318833</v>
      </c>
      <c r="L6" s="7">
        <f t="shared" si="5"/>
        <v>3.6434430793429594E-12</v>
      </c>
      <c r="M6" s="7">
        <f t="shared" si="6"/>
        <v>1.3287566342899095</v>
      </c>
      <c r="N6" s="7">
        <f t="shared" si="7"/>
        <v>2.3527085109638062</v>
      </c>
      <c r="O6" s="4">
        <f t="shared" si="8"/>
        <v>5.3432445787651215</v>
      </c>
      <c r="P6" s="3">
        <f t="shared" si="9"/>
        <v>3.9819414645236444E-4</v>
      </c>
      <c r="R6">
        <v>3</v>
      </c>
      <c r="S6" s="3">
        <f t="shared" si="10"/>
        <v>0.13537834432272042</v>
      </c>
      <c r="T6" s="3">
        <f t="shared" si="2"/>
        <v>0.17562733939835237</v>
      </c>
      <c r="U6" s="3">
        <f t="shared" si="2"/>
        <v>6.8187840283833618E-13</v>
      </c>
      <c r="V6" s="3">
        <f t="shared" si="2"/>
        <v>0.24867973282948594</v>
      </c>
      <c r="W6" s="3">
        <f t="shared" si="2"/>
        <v>0.44031458344875934</v>
      </c>
    </row>
    <row r="7" spans="1:23" x14ac:dyDescent="0.45">
      <c r="A7">
        <v>4</v>
      </c>
      <c r="B7" s="2">
        <v>30</v>
      </c>
      <c r="C7" s="2">
        <v>40</v>
      </c>
      <c r="D7" s="2">
        <v>15</v>
      </c>
      <c r="E7" s="2">
        <v>1000</v>
      </c>
      <c r="F7" s="2">
        <v>15</v>
      </c>
      <c r="H7" s="2">
        <v>500</v>
      </c>
      <c r="I7">
        <v>4</v>
      </c>
      <c r="J7" s="7">
        <f t="shared" si="3"/>
        <v>0.35435099769990336</v>
      </c>
      <c r="K7" s="7">
        <f t="shared" si="4"/>
        <v>0.17674092355411666</v>
      </c>
      <c r="L7" s="7">
        <f t="shared" si="5"/>
        <v>0.57132746713407534</v>
      </c>
      <c r="M7" s="7">
        <f t="shared" si="6"/>
        <v>8.9618427796979688E-13</v>
      </c>
      <c r="N7" s="7">
        <f t="shared" si="7"/>
        <v>1.1525175073418266</v>
      </c>
      <c r="O7" s="4">
        <f t="shared" si="8"/>
        <v>2.2549368957308182</v>
      </c>
      <c r="P7" s="3">
        <f t="shared" si="9"/>
        <v>2.5899260381901724E-4</v>
      </c>
      <c r="R7">
        <v>4</v>
      </c>
      <c r="S7" s="3">
        <f t="shared" si="10"/>
        <v>0.15714452957454461</v>
      </c>
      <c r="T7" s="3">
        <f t="shared" si="2"/>
        <v>7.8379543076674649E-2</v>
      </c>
      <c r="U7" s="3">
        <f t="shared" si="2"/>
        <v>0.25336738611876314</v>
      </c>
      <c r="V7" s="3">
        <f t="shared" si="2"/>
        <v>3.9743208764134671E-13</v>
      </c>
      <c r="W7" s="3">
        <f t="shared" si="2"/>
        <v>0.51110854122962013</v>
      </c>
    </row>
    <row r="8" spans="1:23" x14ac:dyDescent="0.45">
      <c r="A8">
        <v>5</v>
      </c>
      <c r="B8" s="2">
        <v>20</v>
      </c>
      <c r="C8" s="2">
        <v>15</v>
      </c>
      <c r="D8" s="2">
        <v>25</v>
      </c>
      <c r="E8" s="2">
        <v>10</v>
      </c>
      <c r="F8" s="2">
        <v>1000</v>
      </c>
      <c r="H8" s="2">
        <v>200</v>
      </c>
      <c r="I8">
        <v>5</v>
      </c>
      <c r="J8" s="7">
        <f t="shared" si="3"/>
        <v>1.0231924488911113</v>
      </c>
      <c r="K8" s="7">
        <f t="shared" si="4"/>
        <v>0.76873684957910438</v>
      </c>
      <c r="L8" s="7">
        <f t="shared" si="5"/>
        <v>0.95540216165649572</v>
      </c>
      <c r="M8" s="7">
        <f t="shared" si="6"/>
        <v>1.0884938246198008</v>
      </c>
      <c r="N8" s="7">
        <f t="shared" si="7"/>
        <v>5.252297320449443E-12</v>
      </c>
      <c r="O8" s="4">
        <f t="shared" si="8"/>
        <v>3.8358252847517647</v>
      </c>
      <c r="P8" s="3">
        <f t="shared" si="9"/>
        <v>1.4227865851736666E-3</v>
      </c>
      <c r="R8">
        <v>5</v>
      </c>
      <c r="S8" s="3">
        <f t="shared" si="10"/>
        <v>0.26674636432439264</v>
      </c>
      <c r="T8" s="3">
        <f t="shared" si="2"/>
        <v>0.20040976648102291</v>
      </c>
      <c r="U8" s="3">
        <f t="shared" si="2"/>
        <v>0.24907343028746018</v>
      </c>
      <c r="V8" s="3">
        <f t="shared" si="2"/>
        <v>0.28377043890575498</v>
      </c>
      <c r="W8" s="3">
        <f t="shared" si="2"/>
        <v>1.3692743883118089E-12</v>
      </c>
    </row>
    <row r="9" spans="1:23" x14ac:dyDescent="0.45">
      <c r="H9" s="3">
        <f>SUM(H4:H8)</f>
        <v>4700</v>
      </c>
      <c r="J9" s="4">
        <f>SUM(J4:J8)</f>
        <v>3.1329865322580863</v>
      </c>
      <c r="K9" s="4">
        <f t="shared" ref="K9:N9" si="11">SUM(K4:K8)</f>
        <v>356.55597190427108</v>
      </c>
      <c r="L9" s="4">
        <f t="shared" si="11"/>
        <v>295.26127700881551</v>
      </c>
      <c r="M9" s="4">
        <f t="shared" si="11"/>
        <v>336.29558302208994</v>
      </c>
      <c r="N9" s="4">
        <f t="shared" si="11"/>
        <v>1025.0373734583491</v>
      </c>
      <c r="O9" s="4">
        <f>SUM(J4:N8)</f>
        <v>2016.283191925784</v>
      </c>
    </row>
    <row r="10" spans="1:23" x14ac:dyDescent="0.45">
      <c r="A10" t="s">
        <v>3</v>
      </c>
      <c r="B10" t="s">
        <v>28</v>
      </c>
      <c r="I10" s="5"/>
      <c r="J10" s="4"/>
      <c r="K10" s="4"/>
      <c r="L10" s="4"/>
      <c r="M10" s="4"/>
      <c r="N10" s="4"/>
    </row>
    <row r="11" spans="1:23" x14ac:dyDescent="0.45">
      <c r="A11" s="1">
        <v>2.7311255443444708E-2</v>
      </c>
      <c r="B11" s="1">
        <v>0.30476242757141164</v>
      </c>
    </row>
    <row r="12" spans="1:23" x14ac:dyDescent="0.45">
      <c r="M12" s="1">
        <f>SUM(M14:M21)</f>
        <v>-10.063977383983309</v>
      </c>
      <c r="N12" s="1">
        <f>AVERAGE(N14:N21)^0.5</f>
        <v>0.69117648321777536</v>
      </c>
    </row>
    <row r="13" spans="1:23" x14ac:dyDescent="0.45">
      <c r="A13" s="5" t="s">
        <v>5</v>
      </c>
      <c r="B13">
        <v>1</v>
      </c>
      <c r="C13">
        <v>2</v>
      </c>
      <c r="D13">
        <v>3</v>
      </c>
      <c r="E13">
        <v>4</v>
      </c>
      <c r="F13">
        <v>5</v>
      </c>
      <c r="I13" s="6" t="s">
        <v>33</v>
      </c>
      <c r="J13" s="6" t="s">
        <v>1</v>
      </c>
      <c r="K13" s="6" t="s">
        <v>32</v>
      </c>
      <c r="L13" s="6" t="s">
        <v>39</v>
      </c>
      <c r="M13" s="6" t="s">
        <v>41</v>
      </c>
      <c r="N13" s="6" t="s">
        <v>40</v>
      </c>
    </row>
    <row r="14" spans="1:23" x14ac:dyDescent="0.45">
      <c r="A14">
        <v>1</v>
      </c>
      <c r="B14" s="3">
        <f t="shared" ref="B14:F18" si="12">EXP(-B4*$A$11)</f>
        <v>1.3768051032131723E-12</v>
      </c>
      <c r="C14" s="3">
        <f t="shared" si="12"/>
        <v>0.57913184899074954</v>
      </c>
      <c r="D14" s="3">
        <f t="shared" si="12"/>
        <v>0.29258311613320892</v>
      </c>
      <c r="E14" s="3">
        <f t="shared" si="12"/>
        <v>0.44072346518094008</v>
      </c>
      <c r="F14" s="3">
        <f t="shared" si="12"/>
        <v>0.50520985271849961</v>
      </c>
      <c r="I14">
        <v>1</v>
      </c>
      <c r="J14" s="2">
        <v>1</v>
      </c>
      <c r="K14" s="8">
        <v>2</v>
      </c>
      <c r="L14" s="3">
        <f>VLOOKUP(J14,$R$4:$W$8,K14+1)</f>
        <v>0.17733603715100657</v>
      </c>
      <c r="M14" s="3">
        <f t="shared" ref="M14:M21" si="13">LN(L14)</f>
        <v>-1.7297088313326958</v>
      </c>
      <c r="N14" s="3">
        <f>(L14-1)^2</f>
        <v>0.67677599577041003</v>
      </c>
    </row>
    <row r="15" spans="1:23" x14ac:dyDescent="0.45">
      <c r="A15">
        <v>2</v>
      </c>
      <c r="B15" s="3">
        <f t="shared" si="12"/>
        <v>0.57913184899074954</v>
      </c>
      <c r="C15" s="3">
        <f t="shared" si="12"/>
        <v>1.3768051032131723E-12</v>
      </c>
      <c r="D15" s="3">
        <f t="shared" si="12"/>
        <v>0.57913184899074954</v>
      </c>
      <c r="E15" s="3">
        <f t="shared" si="12"/>
        <v>0.33539369851544437</v>
      </c>
      <c r="F15" s="3">
        <f t="shared" si="12"/>
        <v>0.57913184899074954</v>
      </c>
      <c r="I15">
        <v>2</v>
      </c>
      <c r="J15" s="2">
        <v>2</v>
      </c>
      <c r="K15" s="8">
        <v>4</v>
      </c>
      <c r="L15" s="3">
        <f t="shared" ref="L15:L21" si="14">VLOOKUP(J15,$R$4:$W$8,K15+1)</f>
        <v>9.9788587595025471E-2</v>
      </c>
      <c r="M15" s="3">
        <f t="shared" si="13"/>
        <v>-2.3047014549587495</v>
      </c>
      <c r="N15" s="3">
        <f t="shared" ref="N15:N21" si="15">(L15-1)^2</f>
        <v>0.81038058702415905</v>
      </c>
    </row>
    <row r="16" spans="1:23" x14ac:dyDescent="0.45">
      <c r="A16">
        <v>3</v>
      </c>
      <c r="B16" s="3">
        <f t="shared" si="12"/>
        <v>0.29258311613320892</v>
      </c>
      <c r="C16" s="3">
        <f t="shared" si="12"/>
        <v>0.57913184899074954</v>
      </c>
      <c r="D16" s="3">
        <f t="shared" si="12"/>
        <v>1.3768051032131723E-12</v>
      </c>
      <c r="E16" s="3">
        <f t="shared" si="12"/>
        <v>0.66387006648962577</v>
      </c>
      <c r="F16" s="3">
        <f t="shared" si="12"/>
        <v>0.44072346518094008</v>
      </c>
      <c r="I16">
        <v>3</v>
      </c>
      <c r="J16" s="2">
        <v>5</v>
      </c>
      <c r="K16" s="8">
        <v>2</v>
      </c>
      <c r="L16" s="3">
        <f t="shared" si="14"/>
        <v>0.20040976648102291</v>
      </c>
      <c r="M16" s="3">
        <f t="shared" si="13"/>
        <v>-1.6073911760236916</v>
      </c>
      <c r="N16" s="3">
        <f t="shared" si="15"/>
        <v>0.63934454153893228</v>
      </c>
    </row>
    <row r="17" spans="1:16" x14ac:dyDescent="0.45">
      <c r="A17">
        <v>4</v>
      </c>
      <c r="B17" s="3">
        <f t="shared" si="12"/>
        <v>0.44072346518094008</v>
      </c>
      <c r="C17" s="3">
        <f t="shared" si="12"/>
        <v>0.33539369851544437</v>
      </c>
      <c r="D17" s="3">
        <f t="shared" si="12"/>
        <v>0.66387006648962577</v>
      </c>
      <c r="E17" s="3">
        <f t="shared" si="12"/>
        <v>1.3768051032131723E-12</v>
      </c>
      <c r="F17" s="3">
        <f t="shared" si="12"/>
        <v>0.66387006648962577</v>
      </c>
      <c r="I17">
        <v>4</v>
      </c>
      <c r="J17" s="2">
        <v>4</v>
      </c>
      <c r="K17" s="8">
        <v>3</v>
      </c>
      <c r="L17" s="3">
        <f t="shared" si="14"/>
        <v>0.25336738611876314</v>
      </c>
      <c r="M17" s="3">
        <f t="shared" si="13"/>
        <v>-1.372914724513425</v>
      </c>
      <c r="N17" s="3">
        <f t="shared" si="15"/>
        <v>0.55746026011112826</v>
      </c>
    </row>
    <row r="18" spans="1:16" x14ac:dyDescent="0.45">
      <c r="A18">
        <v>5</v>
      </c>
      <c r="B18" s="3">
        <f t="shared" si="12"/>
        <v>0.57913184899074954</v>
      </c>
      <c r="C18" s="3">
        <f t="shared" si="12"/>
        <v>0.66387006648962577</v>
      </c>
      <c r="D18" s="3">
        <f t="shared" si="12"/>
        <v>0.50520985271849961</v>
      </c>
      <c r="E18" s="3">
        <f t="shared" si="12"/>
        <v>0.76100712808143234</v>
      </c>
      <c r="F18" s="3">
        <f t="shared" si="12"/>
        <v>1.3768051032131723E-12</v>
      </c>
      <c r="I18">
        <v>5</v>
      </c>
      <c r="J18" s="2">
        <v>1</v>
      </c>
      <c r="K18" s="8">
        <v>5</v>
      </c>
      <c r="L18" s="3">
        <f t="shared" si="14"/>
        <v>0.50965182590965386</v>
      </c>
      <c r="M18" s="3">
        <f t="shared" si="13"/>
        <v>-0.67402748070042784</v>
      </c>
      <c r="N18" s="3">
        <f t="shared" si="15"/>
        <v>0.24044133183373642</v>
      </c>
    </row>
    <row r="19" spans="1:16" x14ac:dyDescent="0.45">
      <c r="I19">
        <v>6</v>
      </c>
      <c r="J19" s="2">
        <v>2</v>
      </c>
      <c r="K19" s="8">
        <v>5</v>
      </c>
      <c r="L19" s="3">
        <f t="shared" si="14"/>
        <v>0.45956084253274576</v>
      </c>
      <c r="M19" s="3">
        <f t="shared" si="13"/>
        <v>-0.77748393565209217</v>
      </c>
      <c r="N19" s="3">
        <f t="shared" si="15"/>
        <v>0.29207448292391563</v>
      </c>
    </row>
    <row r="20" spans="1:16" x14ac:dyDescent="0.45">
      <c r="I20">
        <v>7</v>
      </c>
      <c r="J20" s="2">
        <v>2</v>
      </c>
      <c r="K20" s="8">
        <v>5</v>
      </c>
      <c r="L20" s="3">
        <f t="shared" si="14"/>
        <v>0.45956084253274576</v>
      </c>
      <c r="M20" s="3">
        <f t="shared" si="13"/>
        <v>-0.77748393565209217</v>
      </c>
      <c r="N20" s="3">
        <f t="shared" si="15"/>
        <v>0.29207448292391563</v>
      </c>
    </row>
    <row r="21" spans="1:16" x14ac:dyDescent="0.45">
      <c r="I21">
        <v>8</v>
      </c>
      <c r="J21" s="2">
        <v>3</v>
      </c>
      <c r="K21" s="8">
        <v>5</v>
      </c>
      <c r="L21" s="3">
        <f t="shared" si="14"/>
        <v>0.44031458344875934</v>
      </c>
      <c r="M21" s="3">
        <f t="shared" si="13"/>
        <v>-0.82026584515013379</v>
      </c>
      <c r="N21" s="3">
        <f t="shared" si="15"/>
        <v>0.31324776550013572</v>
      </c>
    </row>
    <row r="25" spans="1:16" x14ac:dyDescent="0.45">
      <c r="M25" s="6" t="s">
        <v>38</v>
      </c>
      <c r="N25" s="6" t="s">
        <v>35</v>
      </c>
      <c r="O25" s="6" t="s">
        <v>3</v>
      </c>
      <c r="P25" s="6" t="s">
        <v>28</v>
      </c>
    </row>
    <row r="26" spans="1:16" x14ac:dyDescent="0.45">
      <c r="L26" s="5" t="s">
        <v>36</v>
      </c>
      <c r="M26">
        <v>5.120000000000001</v>
      </c>
      <c r="N26">
        <v>-12.8755032994728</v>
      </c>
      <c r="O26">
        <v>0</v>
      </c>
      <c r="P26">
        <v>0</v>
      </c>
    </row>
    <row r="27" spans="1:16" x14ac:dyDescent="0.45">
      <c r="L27" s="5" t="s">
        <v>34</v>
      </c>
      <c r="M27">
        <v>3.5514176866451246</v>
      </c>
      <c r="N27">
        <v>-11.370690794103322</v>
      </c>
      <c r="O27" s="4">
        <v>6.5864301426102695E-2</v>
      </c>
      <c r="P27" s="4">
        <v>0.67009224519160704</v>
      </c>
    </row>
    <row r="28" spans="1:16" x14ac:dyDescent="0.45">
      <c r="L28" s="5" t="s">
        <v>37</v>
      </c>
      <c r="M28">
        <v>3.8217994476263333</v>
      </c>
      <c r="N28">
        <v>-10.063977383983309</v>
      </c>
      <c r="O28">
        <v>2.7311255443444708E-2</v>
      </c>
      <c r="P28">
        <v>0.30476242757141164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zoomScale="190" zoomScaleNormal="190" workbookViewId="0">
      <selection activeCell="L9" sqref="L9"/>
    </sheetView>
  </sheetViews>
  <sheetFormatPr defaultRowHeight="14.25" x14ac:dyDescent="0.45"/>
  <sheetData>
    <row r="1" spans="1:14" x14ac:dyDescent="0.45">
      <c r="A1" t="s">
        <v>12</v>
      </c>
      <c r="B1" s="2">
        <v>10</v>
      </c>
      <c r="D1" s="5" t="s">
        <v>13</v>
      </c>
      <c r="E1" s="3">
        <f>SUM(E5:E13)</f>
        <v>528.3788233039395</v>
      </c>
      <c r="F1">
        <f>SUM(F5:F13)</f>
        <v>1</v>
      </c>
      <c r="L1" s="5" t="s">
        <v>13</v>
      </c>
      <c r="M1" s="3">
        <f>M9+M14</f>
        <v>528.37882330393938</v>
      </c>
    </row>
    <row r="3" spans="1:14" x14ac:dyDescent="0.45">
      <c r="A3" s="6" t="s">
        <v>2</v>
      </c>
      <c r="B3" s="6" t="s">
        <v>14</v>
      </c>
      <c r="C3" s="6" t="s">
        <v>15</v>
      </c>
      <c r="D3" s="6"/>
      <c r="E3" s="6" t="s">
        <v>16</v>
      </c>
      <c r="F3" s="6" t="s">
        <v>17</v>
      </c>
      <c r="G3" s="6" t="s">
        <v>18</v>
      </c>
      <c r="H3" s="6"/>
      <c r="I3" s="6" t="s">
        <v>19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18</v>
      </c>
    </row>
    <row r="5" spans="1:14" x14ac:dyDescent="0.45">
      <c r="A5" s="5" t="s">
        <v>0</v>
      </c>
      <c r="B5">
        <v>1</v>
      </c>
      <c r="C5" s="2">
        <v>30</v>
      </c>
      <c r="E5" s="3">
        <f>EXP(C5/$B$1)</f>
        <v>20.085536923187668</v>
      </c>
      <c r="F5" s="3">
        <f>E5/$E$1</f>
        <v>3.8013516131462859E-2</v>
      </c>
      <c r="K5" s="3">
        <f>EXP((C5-$J$9)/$B$1)</f>
        <v>1.1331484530668263</v>
      </c>
    </row>
    <row r="6" spans="1:14" x14ac:dyDescent="0.45">
      <c r="A6" s="5" t="s">
        <v>0</v>
      </c>
      <c r="B6">
        <v>2</v>
      </c>
      <c r="C6" s="2">
        <v>20</v>
      </c>
      <c r="E6" s="3">
        <f t="shared" ref="E6:E8" si="0">EXP(C6/$B$1)</f>
        <v>7.3890560989306504</v>
      </c>
      <c r="F6" s="3">
        <f>E6/$E$1</f>
        <v>1.3984391071404164E-2</v>
      </c>
      <c r="K6" s="3">
        <f>EXP((C6-$J$9)/$B$1)</f>
        <v>0.41686201967850839</v>
      </c>
    </row>
    <row r="7" spans="1:14" x14ac:dyDescent="0.45">
      <c r="A7" s="5" t="s">
        <v>0</v>
      </c>
      <c r="B7">
        <v>3</v>
      </c>
      <c r="C7" s="2">
        <v>35</v>
      </c>
      <c r="E7" s="3">
        <f t="shared" si="0"/>
        <v>33.115451958692312</v>
      </c>
      <c r="F7" s="3">
        <f>E7/$E$1</f>
        <v>6.2673692620045254E-2</v>
      </c>
      <c r="K7" s="3">
        <f>EXP((C7-$J$9)/$B$1)</f>
        <v>1.8682459574322223</v>
      </c>
    </row>
    <row r="8" spans="1:14" x14ac:dyDescent="0.45">
      <c r="A8" s="5" t="s">
        <v>0</v>
      </c>
      <c r="B8">
        <v>4</v>
      </c>
      <c r="C8" s="2">
        <v>30</v>
      </c>
      <c r="E8" s="3">
        <f t="shared" si="0"/>
        <v>20.085536923187668</v>
      </c>
      <c r="F8" s="3">
        <f>E8/$E$1</f>
        <v>3.8013516131462859E-2</v>
      </c>
      <c r="K8" s="3">
        <f>EXP((C8-$J$9)/$B$1)</f>
        <v>1.1331484530668263</v>
      </c>
    </row>
    <row r="9" spans="1:14" x14ac:dyDescent="0.45">
      <c r="A9" t="s">
        <v>0</v>
      </c>
      <c r="G9" s="7">
        <f>SUM(F5:F8)</f>
        <v>0.15268511595437514</v>
      </c>
      <c r="I9" s="2">
        <v>4</v>
      </c>
      <c r="J9" s="3">
        <f>SUM(C5:C8)/I9</f>
        <v>28.75</v>
      </c>
      <c r="K9" s="3">
        <f>SUM(K5:K8)</f>
        <v>4.5514048832443832</v>
      </c>
      <c r="L9" s="3">
        <f>J9+B1*LN(I9)+B1*LN(K9/I9)</f>
        <v>43.904359508528032</v>
      </c>
      <c r="M9" s="3">
        <f>EXP(L9/B1)</f>
        <v>80.675581903998264</v>
      </c>
      <c r="N9" s="7">
        <f>M9/M1</f>
        <v>0.15268511595437512</v>
      </c>
    </row>
    <row r="11" spans="1:14" x14ac:dyDescent="0.45">
      <c r="A11" s="5" t="s">
        <v>24</v>
      </c>
      <c r="B11">
        <v>1</v>
      </c>
      <c r="C11" s="2">
        <v>50</v>
      </c>
      <c r="E11" s="3">
        <f>EXP(C11/$B$1)</f>
        <v>148.4131591025766</v>
      </c>
      <c r="F11" s="3">
        <f>E11/$E$1</f>
        <v>0.28088400321298429</v>
      </c>
      <c r="K11" s="3">
        <f>EXP((C11-$J$14)/$B$1)</f>
        <v>1.1813604128656456</v>
      </c>
    </row>
    <row r="12" spans="1:14" x14ac:dyDescent="0.45">
      <c r="A12" s="5" t="s">
        <v>24</v>
      </c>
      <c r="B12">
        <v>2</v>
      </c>
      <c r="C12" s="2">
        <v>55</v>
      </c>
      <c r="E12" s="3">
        <f>EXP(C12/$B$1)</f>
        <v>244.69193226422038</v>
      </c>
      <c r="F12" s="3">
        <f>E12/$E$1</f>
        <v>0.46309943069665033</v>
      </c>
      <c r="K12" s="3">
        <f>EXP((C12-$J$14)/$B$1)</f>
        <v>1.9477340410546753</v>
      </c>
    </row>
    <row r="13" spans="1:14" x14ac:dyDescent="0.45">
      <c r="A13" s="5" t="s">
        <v>24</v>
      </c>
      <c r="B13">
        <v>3</v>
      </c>
      <c r="C13" s="2">
        <v>40</v>
      </c>
      <c r="E13" s="3">
        <f>EXP(C13/$B$1)</f>
        <v>54.598150033144236</v>
      </c>
      <c r="F13" s="3">
        <f>E13/$E$1</f>
        <v>0.10333145013599027</v>
      </c>
      <c r="K13" s="3">
        <f>EXP((C13-$J$14)/$B$1)</f>
        <v>0.43459820850707809</v>
      </c>
    </row>
    <row r="14" spans="1:14" x14ac:dyDescent="0.45">
      <c r="A14" t="s">
        <v>24</v>
      </c>
      <c r="G14" s="7">
        <f>SUM(F11:F13)</f>
        <v>0.84731488404562483</v>
      </c>
      <c r="I14" s="2">
        <v>3</v>
      </c>
      <c r="J14" s="3">
        <f>SUM(C11:C13)/I14</f>
        <v>48.333333333333336</v>
      </c>
      <c r="K14" s="3">
        <f>SUM(K11:K13)</f>
        <v>3.5636926624273992</v>
      </c>
      <c r="L14" s="3">
        <f>J14+B1*LN(I14)+B1*LN(K14/I14)</f>
        <v>61.041306053367279</v>
      </c>
      <c r="M14" s="3">
        <f>EXP(L14/B1)</f>
        <v>447.70324139994108</v>
      </c>
      <c r="N14" s="7">
        <f>M14/M1</f>
        <v>0.84731488404562483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gravity</vt:lpstr>
      <vt:lpstr>calibration of gravity</vt:lpstr>
      <vt:lpstr>elementary destinations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2021-03-22T15:23:29Z</dcterms:modified>
</cp:coreProperties>
</file>