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20115" windowHeight="7740"/>
  </bookViews>
  <sheets>
    <sheet name="Ischemia_25percent_output_edgel" sheetId="1" r:id="rId1"/>
    <sheet name="DV-IDENTITY-0" sheetId="2" state="veryHidden" r:id="rId2"/>
  </sheets>
  <calcPr calcId="0"/>
</workbook>
</file>

<file path=xl/calcChain.xml><?xml version="1.0" encoding="utf-8"?>
<calcChain xmlns="http://schemas.openxmlformats.org/spreadsheetml/2006/main">
  <c r="A27" i="2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</calcChain>
</file>

<file path=xl/sharedStrings.xml><?xml version="1.0" encoding="utf-8"?>
<sst xmlns="http://schemas.openxmlformats.org/spreadsheetml/2006/main" count="4536" uniqueCount="2272">
  <si>
    <t>LUC7L2</t>
  </si>
  <si>
    <t>SSPN</t>
  </si>
  <si>
    <t>LSM2</t>
  </si>
  <si>
    <t>RNF17</t>
  </si>
  <si>
    <t>CYTH2</t>
  </si>
  <si>
    <t>RNF10</t>
  </si>
  <si>
    <t>HIVEP2</t>
  </si>
  <si>
    <t>NCBP2</t>
  </si>
  <si>
    <t>SLC2A1</t>
  </si>
  <si>
    <t>ZFP322A</t>
  </si>
  <si>
    <t>REM1</t>
  </si>
  <si>
    <t>ARFRP1</t>
  </si>
  <si>
    <t>IKZF5</t>
  </si>
  <si>
    <t>LIFR</t>
  </si>
  <si>
    <t>DGKA</t>
  </si>
  <si>
    <t>PDCD10</t>
  </si>
  <si>
    <t>ASS1</t>
  </si>
  <si>
    <t>CRKL</t>
  </si>
  <si>
    <t>TGFB1I1</t>
  </si>
  <si>
    <t>GPR180</t>
  </si>
  <si>
    <t>TRIM35</t>
  </si>
  <si>
    <t>PTPLA</t>
  </si>
  <si>
    <t>FLAD1</t>
  </si>
  <si>
    <t>ZC3H13</t>
  </si>
  <si>
    <t>3110057O12RIK</t>
  </si>
  <si>
    <t>SPTLC2</t>
  </si>
  <si>
    <t>ZSWIM1</t>
  </si>
  <si>
    <t>SRR</t>
  </si>
  <si>
    <t>ABCD1</t>
  </si>
  <si>
    <t>DHX30</t>
  </si>
  <si>
    <t>IRX4</t>
  </si>
  <si>
    <t>SCLY</t>
  </si>
  <si>
    <t>KCNJ3</t>
  </si>
  <si>
    <t>MARK2</t>
  </si>
  <si>
    <t>TCOF1</t>
  </si>
  <si>
    <t>NRAP</t>
  </si>
  <si>
    <t>SIRPA</t>
  </si>
  <si>
    <t>RAD17</t>
  </si>
  <si>
    <t>XPC</t>
  </si>
  <si>
    <t>CDIPT</t>
  </si>
  <si>
    <t>PPP2R2D</t>
  </si>
  <si>
    <t>SPPL3</t>
  </si>
  <si>
    <t>NSG2</t>
  </si>
  <si>
    <t>SFRP1</t>
  </si>
  <si>
    <t>RAB40C</t>
  </si>
  <si>
    <t>HIPK3</t>
  </si>
  <si>
    <t>NME6</t>
  </si>
  <si>
    <t>4933411K20RIK</t>
  </si>
  <si>
    <t>EDNRA</t>
  </si>
  <si>
    <t>TRAPPC3</t>
  </si>
  <si>
    <t>SUMF1</t>
  </si>
  <si>
    <t>MAZ</t>
  </si>
  <si>
    <t>METAP2</t>
  </si>
  <si>
    <t>TRAPPC5</t>
  </si>
  <si>
    <t>TRAPPC4</t>
  </si>
  <si>
    <t>PHKG2</t>
  </si>
  <si>
    <t>MPHOSPH10</t>
  </si>
  <si>
    <t>ANP32E</t>
  </si>
  <si>
    <t>CTBP2</t>
  </si>
  <si>
    <t>MAL</t>
  </si>
  <si>
    <t>ITGA9</t>
  </si>
  <si>
    <t>UGCG</t>
  </si>
  <si>
    <t>FXYD5</t>
  </si>
  <si>
    <t>CKMT1</t>
  </si>
  <si>
    <t>ATP2A3</t>
  </si>
  <si>
    <t>3110009E18RIK</t>
  </si>
  <si>
    <t>UBAC1</t>
  </si>
  <si>
    <t>ITGA5</t>
  </si>
  <si>
    <t>BTG2</t>
  </si>
  <si>
    <t>RIT1</t>
  </si>
  <si>
    <t>ATL2</t>
  </si>
  <si>
    <t>POLE3</t>
  </si>
  <si>
    <t>MGST3</t>
  </si>
  <si>
    <t>MGST1</t>
  </si>
  <si>
    <t>PHLDA1</t>
  </si>
  <si>
    <t>MITF</t>
  </si>
  <si>
    <t>PHLDA3</t>
  </si>
  <si>
    <t>CALCRL</t>
  </si>
  <si>
    <t>XPO1</t>
  </si>
  <si>
    <t>4930471M23RIK</t>
  </si>
  <si>
    <t>XPO5</t>
  </si>
  <si>
    <t>TTR</t>
  </si>
  <si>
    <t>1200009I06RIK</t>
  </si>
  <si>
    <t>TROVE2</t>
  </si>
  <si>
    <t>FBXL12</t>
  </si>
  <si>
    <t>ZFP36L1</t>
  </si>
  <si>
    <t>TTN</t>
  </si>
  <si>
    <t>WSB2</t>
  </si>
  <si>
    <t>PSMG3</t>
  </si>
  <si>
    <t>FBXL19</t>
  </si>
  <si>
    <t>2810026P18RIK</t>
  </si>
  <si>
    <t>LCN2</t>
  </si>
  <si>
    <t>H13</t>
  </si>
  <si>
    <t>ABHD14A</t>
  </si>
  <si>
    <t>GCAP14</t>
  </si>
  <si>
    <t>COL4A2</t>
  </si>
  <si>
    <t>COL4A1</t>
  </si>
  <si>
    <t>DNTTIP2</t>
  </si>
  <si>
    <t>ANAPC1</t>
  </si>
  <si>
    <t>A930001N09RIK</t>
  </si>
  <si>
    <t>ATAD1</t>
  </si>
  <si>
    <t>TOP1</t>
  </si>
  <si>
    <t>PPTC7</t>
  </si>
  <si>
    <t>ZFP646</t>
  </si>
  <si>
    <t>TCIRG1</t>
  </si>
  <si>
    <t>HDGFL1</t>
  </si>
  <si>
    <t>SIGIRR</t>
  </si>
  <si>
    <t>MAN1A2</t>
  </si>
  <si>
    <t>SERBP1</t>
  </si>
  <si>
    <t>FAM134B</t>
  </si>
  <si>
    <t>NUP133</t>
  </si>
  <si>
    <t>PRNP</t>
  </si>
  <si>
    <t>LTBP1</t>
  </si>
  <si>
    <t>SMAD6</t>
  </si>
  <si>
    <t>HDAC5</t>
  </si>
  <si>
    <t>VAPB</t>
  </si>
  <si>
    <t>AFTPH</t>
  </si>
  <si>
    <t>ERLEC1</t>
  </si>
  <si>
    <t>NDUFAF4</t>
  </si>
  <si>
    <t>AMMECR1L</t>
  </si>
  <si>
    <t>MTIF2</t>
  </si>
  <si>
    <t>FKTN</t>
  </si>
  <si>
    <t>SYPL</t>
  </si>
  <si>
    <t>MCM3AP</t>
  </si>
  <si>
    <t>PELI1</t>
  </si>
  <si>
    <t>ARF3</t>
  </si>
  <si>
    <t>SLC36A1</t>
  </si>
  <si>
    <t>PLSCR3</t>
  </si>
  <si>
    <t>FAHD1</t>
  </si>
  <si>
    <t>KIF1B</t>
  </si>
  <si>
    <t>ATE1</t>
  </si>
  <si>
    <t>PRDX6</t>
  </si>
  <si>
    <t>ZC3H15</t>
  </si>
  <si>
    <t>D930014E17RIK</t>
  </si>
  <si>
    <t>NAPB</t>
  </si>
  <si>
    <t>MRPL52</t>
  </si>
  <si>
    <t>GLTP</t>
  </si>
  <si>
    <t>ZFP39</t>
  </si>
  <si>
    <t>ENOPH1</t>
  </si>
  <si>
    <t>CABYR</t>
  </si>
  <si>
    <t>SH2B1</t>
  </si>
  <si>
    <t>MTDH</t>
  </si>
  <si>
    <t>FDX1</t>
  </si>
  <si>
    <t>PQLC3</t>
  </si>
  <si>
    <t>PQLC2</t>
  </si>
  <si>
    <t>PQLC1</t>
  </si>
  <si>
    <t>2510039O18RIK</t>
  </si>
  <si>
    <t>FAM20B</t>
  </si>
  <si>
    <t>CCDC115</t>
  </si>
  <si>
    <t>DCAKD</t>
  </si>
  <si>
    <t>ABCA8A</t>
  </si>
  <si>
    <t>FAM176B</t>
  </si>
  <si>
    <t>KDM5A</t>
  </si>
  <si>
    <t>CDC40</t>
  </si>
  <si>
    <t>MET</t>
  </si>
  <si>
    <t>CUEDC2</t>
  </si>
  <si>
    <t>PEX11C</t>
  </si>
  <si>
    <t>RBBP5</t>
  </si>
  <si>
    <t>ZFP830</t>
  </si>
  <si>
    <t>PEX11A</t>
  </si>
  <si>
    <t>ACRV1</t>
  </si>
  <si>
    <t>0610007P14RIK</t>
  </si>
  <si>
    <t>BIN1</t>
  </si>
  <si>
    <t>VIPAR</t>
  </si>
  <si>
    <t>IFT80</t>
  </si>
  <si>
    <t>WDR45L</t>
  </si>
  <si>
    <t>CLIP1</t>
  </si>
  <si>
    <t>ICK</t>
  </si>
  <si>
    <t>SLIT1</t>
  </si>
  <si>
    <t>SP1</t>
  </si>
  <si>
    <t>HOMER1</t>
  </si>
  <si>
    <t>FIP1L1</t>
  </si>
  <si>
    <t>HOMER3</t>
  </si>
  <si>
    <t>CD48</t>
  </si>
  <si>
    <t>CD44</t>
  </si>
  <si>
    <t>CD47</t>
  </si>
  <si>
    <t>LMAN1</t>
  </si>
  <si>
    <t>ATG4B</t>
  </si>
  <si>
    <t>ATG4D</t>
  </si>
  <si>
    <t>RAB20</t>
  </si>
  <si>
    <t>EIF4E2</t>
  </si>
  <si>
    <t>THAP7</t>
  </si>
  <si>
    <t>DZIP1L</t>
  </si>
  <si>
    <t>RALB</t>
  </si>
  <si>
    <t>FAR1</t>
  </si>
  <si>
    <t>OBP1A</t>
  </si>
  <si>
    <t>PNN</t>
  </si>
  <si>
    <t>CHID1</t>
  </si>
  <si>
    <t>TRIM11</t>
  </si>
  <si>
    <t>RPN1</t>
  </si>
  <si>
    <t>AHCTF1</t>
  </si>
  <si>
    <t>TSPAN8</t>
  </si>
  <si>
    <t>NQO2</t>
  </si>
  <si>
    <t>SPRED1</t>
  </si>
  <si>
    <t>CCRL2</t>
  </si>
  <si>
    <t>CHI3L3</t>
  </si>
  <si>
    <t>RCBTB2</t>
  </si>
  <si>
    <t>CHI3L1</t>
  </si>
  <si>
    <t>ASB2</t>
  </si>
  <si>
    <t>ASB1</t>
  </si>
  <si>
    <t>TMEM126B</t>
  </si>
  <si>
    <t>SIX5</t>
  </si>
  <si>
    <t>SIX6</t>
  </si>
  <si>
    <t>VOPP1</t>
  </si>
  <si>
    <t>PLEKHH3</t>
  </si>
  <si>
    <t>ATP5SL</t>
  </si>
  <si>
    <t>ZFP68</t>
  </si>
  <si>
    <t>ZFP62</t>
  </si>
  <si>
    <t>MRPL34</t>
  </si>
  <si>
    <t>DPY30</t>
  </si>
  <si>
    <t>RGS3</t>
  </si>
  <si>
    <t>CYP4B1</t>
  </si>
  <si>
    <t>ARAP3</t>
  </si>
  <si>
    <t>ZFP87</t>
  </si>
  <si>
    <t>DYRK1A</t>
  </si>
  <si>
    <t>TBL3</t>
  </si>
  <si>
    <t>ARRDC2</t>
  </si>
  <si>
    <t>EYA4</t>
  </si>
  <si>
    <t>MTX1</t>
  </si>
  <si>
    <t>DBI</t>
  </si>
  <si>
    <t>RFX5</t>
  </si>
  <si>
    <t>RABGAP1L</t>
  </si>
  <si>
    <t>ELK3</t>
  </si>
  <si>
    <t>FAM48A</t>
  </si>
  <si>
    <t>KTELC1</t>
  </si>
  <si>
    <t>STXBP5</t>
  </si>
  <si>
    <t>TMEM179B</t>
  </si>
  <si>
    <t>WHSC2</t>
  </si>
  <si>
    <t>TMEM43</t>
  </si>
  <si>
    <t>TMEM42</t>
  </si>
  <si>
    <t>NUP88</t>
  </si>
  <si>
    <t>HIF1A</t>
  </si>
  <si>
    <t>FOXP1</t>
  </si>
  <si>
    <t>ADNP</t>
  </si>
  <si>
    <t>FOXP4</t>
  </si>
  <si>
    <t>COPS3</t>
  </si>
  <si>
    <t>GGCT</t>
  </si>
  <si>
    <t>YTHDF3</t>
  </si>
  <si>
    <t>MED1</t>
  </si>
  <si>
    <t>MED7</t>
  </si>
  <si>
    <t>MED8</t>
  </si>
  <si>
    <t>ZFP346</t>
  </si>
  <si>
    <t>MED9</t>
  </si>
  <si>
    <t>PIGF</t>
  </si>
  <si>
    <t>SUB1</t>
  </si>
  <si>
    <t>TREX1</t>
  </si>
  <si>
    <t>H2-Q10</t>
  </si>
  <si>
    <t>ITIH4</t>
  </si>
  <si>
    <t>CBX1</t>
  </si>
  <si>
    <t>ANGPTL3</t>
  </si>
  <si>
    <t>TNS1</t>
  </si>
  <si>
    <t>NPAS1</t>
  </si>
  <si>
    <t>FAM135A</t>
  </si>
  <si>
    <t>IGF1</t>
  </si>
  <si>
    <t>DPYSL3</t>
  </si>
  <si>
    <t>FKBP10</t>
  </si>
  <si>
    <t>TCF3</t>
  </si>
  <si>
    <t>ARID2</t>
  </si>
  <si>
    <t>ANKRD23</t>
  </si>
  <si>
    <t>NUDT4</t>
  </si>
  <si>
    <t>NUDT5</t>
  </si>
  <si>
    <t>NUDT6</t>
  </si>
  <si>
    <t>NUDT7</t>
  </si>
  <si>
    <t>IGFBP3</t>
  </si>
  <si>
    <t>IGFBP6</t>
  </si>
  <si>
    <t>IGFBP7</t>
  </si>
  <si>
    <t>IGFBP4</t>
  </si>
  <si>
    <t>IGFBP5</t>
  </si>
  <si>
    <t>CKLF</t>
  </si>
  <si>
    <t>D17WSU104E</t>
  </si>
  <si>
    <t>ABTB1</t>
  </si>
  <si>
    <t>CYP27A1</t>
  </si>
  <si>
    <t>TRIM8</t>
  </si>
  <si>
    <t>PFN2</t>
  </si>
  <si>
    <t>CREM</t>
  </si>
  <si>
    <t>GAS1</t>
  </si>
  <si>
    <t>TMEM219</t>
  </si>
  <si>
    <t>TRIM2</t>
  </si>
  <si>
    <t>FBXL20</t>
  </si>
  <si>
    <t>COX15</t>
  </si>
  <si>
    <t>PDGFRB</t>
  </si>
  <si>
    <t>TMC6</t>
  </si>
  <si>
    <t>APIP</t>
  </si>
  <si>
    <t>AMPD3</t>
  </si>
  <si>
    <t>AA960436</t>
  </si>
  <si>
    <t>TXNIP</t>
  </si>
  <si>
    <t>LRRC3B</t>
  </si>
  <si>
    <t>IFT140</t>
  </si>
  <si>
    <t>DICER1</t>
  </si>
  <si>
    <t>ECD</t>
  </si>
  <si>
    <t>TMEM14C</t>
  </si>
  <si>
    <t>SLC22A13</t>
  </si>
  <si>
    <t>TPM3</t>
  </si>
  <si>
    <t>TPM1</t>
  </si>
  <si>
    <t>FBXW8</t>
  </si>
  <si>
    <t>DSTYK</t>
  </si>
  <si>
    <t>THYN1</t>
  </si>
  <si>
    <t>FBXW7</t>
  </si>
  <si>
    <t>TGFBR3</t>
  </si>
  <si>
    <t>CASP6</t>
  </si>
  <si>
    <t>CLIC4</t>
  </si>
  <si>
    <t>CLIC5</t>
  </si>
  <si>
    <t>CLIC1</t>
  </si>
  <si>
    <t>SAMD10</t>
  </si>
  <si>
    <t>YKT6</t>
  </si>
  <si>
    <t>TMEM144</t>
  </si>
  <si>
    <t>DDX19B</t>
  </si>
  <si>
    <t>2310003C23RIK</t>
  </si>
  <si>
    <t>PPAT</t>
  </si>
  <si>
    <t>ISY1</t>
  </si>
  <si>
    <t>ZFP629</t>
  </si>
  <si>
    <t>KTN1</t>
  </si>
  <si>
    <t>TCEB3</t>
  </si>
  <si>
    <t>PRDX2</t>
  </si>
  <si>
    <t>NFIA</t>
  </si>
  <si>
    <t>AGRN</t>
  </si>
  <si>
    <t>ZMAT3</t>
  </si>
  <si>
    <t>NR1D1</t>
  </si>
  <si>
    <t>SMARCA4</t>
  </si>
  <si>
    <t>OTUB2</t>
  </si>
  <si>
    <t>AXIN2</t>
  </si>
  <si>
    <t>1110004E09RIK</t>
  </si>
  <si>
    <t>FYN</t>
  </si>
  <si>
    <t>GPR172B</t>
  </si>
  <si>
    <t>5430407P10RIK</t>
  </si>
  <si>
    <t>TOR1A</t>
  </si>
  <si>
    <t>1810035L17RIK</t>
  </si>
  <si>
    <t>NAGLU</t>
  </si>
  <si>
    <t>PDK4</t>
  </si>
  <si>
    <t>ST3GAL2</t>
  </si>
  <si>
    <t>RAC2</t>
  </si>
  <si>
    <t>ST3GAL6</t>
  </si>
  <si>
    <t>RUFY1</t>
  </si>
  <si>
    <t>NINJ1</t>
  </si>
  <si>
    <t>FCGR2B</t>
  </si>
  <si>
    <t>ROD1</t>
  </si>
  <si>
    <t>LILRB4</t>
  </si>
  <si>
    <t>CYTH3</t>
  </si>
  <si>
    <t>PBX2</t>
  </si>
  <si>
    <t>DPH5</t>
  </si>
  <si>
    <t>DCAF6</t>
  </si>
  <si>
    <t>CANT1</t>
  </si>
  <si>
    <t>BCKDHA</t>
  </si>
  <si>
    <t>QK</t>
  </si>
  <si>
    <t>AZIN1</t>
  </si>
  <si>
    <t>TIMM44</t>
  </si>
  <si>
    <t>TUFM</t>
  </si>
  <si>
    <t>JMJD6</t>
  </si>
  <si>
    <t>ZFR</t>
  </si>
  <si>
    <t>ZFP759</t>
  </si>
  <si>
    <t>POLR3K</t>
  </si>
  <si>
    <t>WDR20A</t>
  </si>
  <si>
    <t>TTC30B</t>
  </si>
  <si>
    <t>DNMT1</t>
  </si>
  <si>
    <t>PSD3</t>
  </si>
  <si>
    <t>SRPX2</t>
  </si>
  <si>
    <t>2310061C15RIK</t>
  </si>
  <si>
    <t>EIF4ENIF1</t>
  </si>
  <si>
    <t>CUL5</t>
  </si>
  <si>
    <t>WDR61</t>
  </si>
  <si>
    <t>WSB1</t>
  </si>
  <si>
    <t>FLCN</t>
  </si>
  <si>
    <t>5730494N06RIK</t>
  </si>
  <si>
    <t>TRIM28</t>
  </si>
  <si>
    <t>TRIM24</t>
  </si>
  <si>
    <t>SLC25A1</t>
  </si>
  <si>
    <t>TRIM27</t>
  </si>
  <si>
    <t>PRMT7</t>
  </si>
  <si>
    <t>SLC25A5</t>
  </si>
  <si>
    <t>ATP1A1</t>
  </si>
  <si>
    <t>PRMT5</t>
  </si>
  <si>
    <t>PNKD</t>
  </si>
  <si>
    <t>BRD8</t>
  </si>
  <si>
    <t>SFRS12IP1</t>
  </si>
  <si>
    <t>MTPAP</t>
  </si>
  <si>
    <t>2310079N02RIK</t>
  </si>
  <si>
    <t>SLC15A4</t>
  </si>
  <si>
    <t>RBM43</t>
  </si>
  <si>
    <t>ORMDL1</t>
  </si>
  <si>
    <t>SC5D</t>
  </si>
  <si>
    <t>PTPN12</t>
  </si>
  <si>
    <t>KIF5B</t>
  </si>
  <si>
    <t>PUF60</t>
  </si>
  <si>
    <t>F2R</t>
  </si>
  <si>
    <t>PIH1D1</t>
  </si>
  <si>
    <t>PPDPF</t>
  </si>
  <si>
    <t>STX5A</t>
  </si>
  <si>
    <t>CD3E</t>
  </si>
  <si>
    <t>RASSF8</t>
  </si>
  <si>
    <t>1700034H14RIK</t>
  </si>
  <si>
    <t>CSF2RA</t>
  </si>
  <si>
    <t>MRPL21</t>
  </si>
  <si>
    <t>MRPL20</t>
  </si>
  <si>
    <t>SEH1L</t>
  </si>
  <si>
    <t>DNAJC24</t>
  </si>
  <si>
    <t>MRPL28</t>
  </si>
  <si>
    <t>KAT2A</t>
  </si>
  <si>
    <t>GAB1</t>
  </si>
  <si>
    <t>SLC31A1</t>
  </si>
  <si>
    <t>STOML1</t>
  </si>
  <si>
    <t>IFNGR1</t>
  </si>
  <si>
    <t>ZFP628</t>
  </si>
  <si>
    <t>CD200</t>
  </si>
  <si>
    <t>NDRG1</t>
  </si>
  <si>
    <t>NDRG3</t>
  </si>
  <si>
    <t>ZFP622</t>
  </si>
  <si>
    <t>SRSF5</t>
  </si>
  <si>
    <t>SRSF7</t>
  </si>
  <si>
    <t>SRSF6</t>
  </si>
  <si>
    <t>SRSF1</t>
  </si>
  <si>
    <t>PPM1B</t>
  </si>
  <si>
    <t>PPM1A</t>
  </si>
  <si>
    <t>SRSF2</t>
  </si>
  <si>
    <t>PPM1M</t>
  </si>
  <si>
    <t>ZFP36</t>
  </si>
  <si>
    <t>PPARGC1B</t>
  </si>
  <si>
    <t>ZYX</t>
  </si>
  <si>
    <t>CX3CL1</t>
  </si>
  <si>
    <t>NSMCE1</t>
  </si>
  <si>
    <t>UPF3B</t>
  </si>
  <si>
    <t>PRKAB1</t>
  </si>
  <si>
    <t>TSHZ1</t>
  </si>
  <si>
    <t>CDK11B</t>
  </si>
  <si>
    <t>RPUSD4</t>
  </si>
  <si>
    <t>MRPL2</t>
  </si>
  <si>
    <t>MRPL1</t>
  </si>
  <si>
    <t>PTPN3</t>
  </si>
  <si>
    <t>GCFC1</t>
  </si>
  <si>
    <t>QDPR</t>
  </si>
  <si>
    <t>PTPN1</t>
  </si>
  <si>
    <t>RG9MTD1</t>
  </si>
  <si>
    <t>BTF3</t>
  </si>
  <si>
    <t>ACAD8</t>
  </si>
  <si>
    <t>CAMKK1</t>
  </si>
  <si>
    <t>ASPRV1</t>
  </si>
  <si>
    <t>BAG2</t>
  </si>
  <si>
    <t>PTDSS2</t>
  </si>
  <si>
    <t>MYO1B</t>
  </si>
  <si>
    <t>MSRB2</t>
  </si>
  <si>
    <t>WIPI1</t>
  </si>
  <si>
    <t>ADAMTS10</t>
  </si>
  <si>
    <t>DHDH</t>
  </si>
  <si>
    <t>LY6G6C</t>
  </si>
  <si>
    <t>UTP11L</t>
  </si>
  <si>
    <t>C9</t>
  </si>
  <si>
    <t>DSG2</t>
  </si>
  <si>
    <t>CPSF3L</t>
  </si>
  <si>
    <t>COL4A3BP</t>
  </si>
  <si>
    <t>TSSK3</t>
  </si>
  <si>
    <t>GALNTL2</t>
  </si>
  <si>
    <t>ZFP148</t>
  </si>
  <si>
    <t>LGALS3</t>
  </si>
  <si>
    <t>LGALS2</t>
  </si>
  <si>
    <t>PDPK1</t>
  </si>
  <si>
    <t>CP</t>
  </si>
  <si>
    <t>SLPI</t>
  </si>
  <si>
    <t>RNF19B</t>
  </si>
  <si>
    <t>MRPS17</t>
  </si>
  <si>
    <t>NUP50</t>
  </si>
  <si>
    <t>MYL12B</t>
  </si>
  <si>
    <t>KCNJ8</t>
  </si>
  <si>
    <t>EIF2AK4</t>
  </si>
  <si>
    <t>1600012H06RIK</t>
  </si>
  <si>
    <t>TAPBP</t>
  </si>
  <si>
    <t>AGPAT5</t>
  </si>
  <si>
    <t>RPRD1B</t>
  </si>
  <si>
    <t>AGPAT3</t>
  </si>
  <si>
    <t>AGPAT1</t>
  </si>
  <si>
    <t>COL1A1</t>
  </si>
  <si>
    <t>UBFD1</t>
  </si>
  <si>
    <t>FAM136A</t>
  </si>
  <si>
    <t>NMI</t>
  </si>
  <si>
    <t>CAMK1D</t>
  </si>
  <si>
    <t>PLAUR</t>
  </si>
  <si>
    <t>SLCO1B2</t>
  </si>
  <si>
    <t>MPDU1</t>
  </si>
  <si>
    <t>LRRC20</t>
  </si>
  <si>
    <t>NIP7</t>
  </si>
  <si>
    <t>C1QTNF1</t>
  </si>
  <si>
    <t>LPGAT1</t>
  </si>
  <si>
    <t>ANGEL2</t>
  </si>
  <si>
    <t>ANGEL1</t>
  </si>
  <si>
    <t>ALDH1A3</t>
  </si>
  <si>
    <t>CDC37L1</t>
  </si>
  <si>
    <t>RAB3IL1</t>
  </si>
  <si>
    <t>GTF2F1</t>
  </si>
  <si>
    <t>SORBS2</t>
  </si>
  <si>
    <t>GCNT3</t>
  </si>
  <si>
    <t>NAP1L1</t>
  </si>
  <si>
    <t>SPAG9</t>
  </si>
  <si>
    <t>CATSPER2</t>
  </si>
  <si>
    <t>PLEKHA2</t>
  </si>
  <si>
    <t>MAPKAP1</t>
  </si>
  <si>
    <t>FAM192A</t>
  </si>
  <si>
    <t>RGS2</t>
  </si>
  <si>
    <t>MED25</t>
  </si>
  <si>
    <t>ATG5</t>
  </si>
  <si>
    <t>MTAP4</t>
  </si>
  <si>
    <t>EYA3</t>
  </si>
  <si>
    <t>SMARCB1</t>
  </si>
  <si>
    <t>GIT2</t>
  </si>
  <si>
    <t>2810416G20RIK</t>
  </si>
  <si>
    <t>PIGK</t>
  </si>
  <si>
    <t>SERTAD2</t>
  </si>
  <si>
    <t>PIGO</t>
  </si>
  <si>
    <t>PIGQ</t>
  </si>
  <si>
    <t>TPCN1</t>
  </si>
  <si>
    <t>PIGY</t>
  </si>
  <si>
    <t>SNAPC3</t>
  </si>
  <si>
    <t>ANKLE2</t>
  </si>
  <si>
    <t>FBXO38</t>
  </si>
  <si>
    <t>RGL1</t>
  </si>
  <si>
    <t>D14ABB1E</t>
  </si>
  <si>
    <t>KANK2</t>
  </si>
  <si>
    <t>KANK3</t>
  </si>
  <si>
    <t>LNPEP</t>
  </si>
  <si>
    <t>COL6A2</t>
  </si>
  <si>
    <t>ALPL</t>
  </si>
  <si>
    <t>RAB6</t>
  </si>
  <si>
    <t>ZFAND5</t>
  </si>
  <si>
    <t>MAFK</t>
  </si>
  <si>
    <t>FBP1</t>
  </si>
  <si>
    <t>PLIN4</t>
  </si>
  <si>
    <t>FAM107B</t>
  </si>
  <si>
    <t>MAFF</t>
  </si>
  <si>
    <t>ARHGEF10</t>
  </si>
  <si>
    <t>ALLC</t>
  </si>
  <si>
    <t>TEX264</t>
  </si>
  <si>
    <t>SLC39A14</t>
  </si>
  <si>
    <t>PPPDE1</t>
  </si>
  <si>
    <t>RBPJ</t>
  </si>
  <si>
    <t>ZFP13</t>
  </si>
  <si>
    <t>HSP90AB1</t>
  </si>
  <si>
    <t>PTP4A1</t>
  </si>
  <si>
    <t>PPP1R16B</t>
  </si>
  <si>
    <t>ZSCAN21</t>
  </si>
  <si>
    <t>MRPS5</t>
  </si>
  <si>
    <t>DNAJC11</t>
  </si>
  <si>
    <t>IFI30</t>
  </si>
  <si>
    <t>MRPS24</t>
  </si>
  <si>
    <t>2610024G14RIK</t>
  </si>
  <si>
    <t>BMP4</t>
  </si>
  <si>
    <t>MYLIP</t>
  </si>
  <si>
    <t>1110005A03RIK</t>
  </si>
  <si>
    <t>UBR2</t>
  </si>
  <si>
    <t>ABHD6</t>
  </si>
  <si>
    <t>ABHD4</t>
  </si>
  <si>
    <t>ABHD5</t>
  </si>
  <si>
    <t>TWF1</t>
  </si>
  <si>
    <t>NKIRAS2</t>
  </si>
  <si>
    <t>NKIRAS1</t>
  </si>
  <si>
    <t>TWF2</t>
  </si>
  <si>
    <t>ACYP1</t>
  </si>
  <si>
    <t>SOCS3</t>
  </si>
  <si>
    <t>EIF4G3</t>
  </si>
  <si>
    <t>EIF4G1</t>
  </si>
  <si>
    <t>SOCS2</t>
  </si>
  <si>
    <t>ACSL5</t>
  </si>
  <si>
    <t>GRB2</t>
  </si>
  <si>
    <t>CHTF8</t>
  </si>
  <si>
    <t>CCNJ</t>
  </si>
  <si>
    <t>VPS72</t>
  </si>
  <si>
    <t>TRIM39</t>
  </si>
  <si>
    <t>RASSF1</t>
  </si>
  <si>
    <t>TRIM32</t>
  </si>
  <si>
    <t>RASSF3</t>
  </si>
  <si>
    <t>TRIM30</t>
  </si>
  <si>
    <t>SORD</t>
  </si>
  <si>
    <t>FEN1</t>
  </si>
  <si>
    <t>TCL1B3</t>
  </si>
  <si>
    <t>ADAM9</t>
  </si>
  <si>
    <t>LUC7L</t>
  </si>
  <si>
    <t>NCKAP1</t>
  </si>
  <si>
    <t>LRRK1</t>
  </si>
  <si>
    <t>D4WSU53E</t>
  </si>
  <si>
    <t>ABHD12</t>
  </si>
  <si>
    <t>NPC2</t>
  </si>
  <si>
    <t>NGRN</t>
  </si>
  <si>
    <t>PSME4</t>
  </si>
  <si>
    <t>IL4RA</t>
  </si>
  <si>
    <t>MRPL18</t>
  </si>
  <si>
    <t>MRPL19</t>
  </si>
  <si>
    <t>UBC</t>
  </si>
  <si>
    <t>BSDC1</t>
  </si>
  <si>
    <t>ZBTB43</t>
  </si>
  <si>
    <t>RHOU</t>
  </si>
  <si>
    <t>ANKRD26</t>
  </si>
  <si>
    <t>ANKRD24</t>
  </si>
  <si>
    <t>TECRL</t>
  </si>
  <si>
    <t>ACO1</t>
  </si>
  <si>
    <t>RHOB</t>
  </si>
  <si>
    <t>ETHE1</t>
  </si>
  <si>
    <t>INHA</t>
  </si>
  <si>
    <t>MPG</t>
  </si>
  <si>
    <t>ABCG2</t>
  </si>
  <si>
    <t>PLSCR2</t>
  </si>
  <si>
    <t>ORC4L</t>
  </si>
  <si>
    <t>LRIG1</t>
  </si>
  <si>
    <t>PLSCR1</t>
  </si>
  <si>
    <t>2610036D13RIK</t>
  </si>
  <si>
    <t>SNCB</t>
  </si>
  <si>
    <t>POLRMT</t>
  </si>
  <si>
    <t>RNF125</t>
  </si>
  <si>
    <t>RNF121</t>
  </si>
  <si>
    <t>IQCF4</t>
  </si>
  <si>
    <t>IQCF3</t>
  </si>
  <si>
    <t>FAM120B</t>
  </si>
  <si>
    <t>BC031353</t>
  </si>
  <si>
    <t>RCOR3</t>
  </si>
  <si>
    <t>NCOR2</t>
  </si>
  <si>
    <t>QRSL1</t>
  </si>
  <si>
    <t>FCER1G</t>
  </si>
  <si>
    <t>TEK</t>
  </si>
  <si>
    <t>CD320</t>
  </si>
  <si>
    <t>FZD4</t>
  </si>
  <si>
    <t>OVGP1</t>
  </si>
  <si>
    <t>FZD6</t>
  </si>
  <si>
    <t>ZFP521</t>
  </si>
  <si>
    <t>ZFP523</t>
  </si>
  <si>
    <t>BRD2</t>
  </si>
  <si>
    <t>ZFP524</t>
  </si>
  <si>
    <t>PLEC</t>
  </si>
  <si>
    <t>TRIM33</t>
  </si>
  <si>
    <t>SALL3</t>
  </si>
  <si>
    <t>NBN</t>
  </si>
  <si>
    <t>GPN1</t>
  </si>
  <si>
    <t>1700021F05RIK</t>
  </si>
  <si>
    <t>HP</t>
  </si>
  <si>
    <t>POLD1</t>
  </si>
  <si>
    <t>APAF1</t>
  </si>
  <si>
    <t>RAP2A</t>
  </si>
  <si>
    <t>GGA3</t>
  </si>
  <si>
    <t>PLCD3</t>
  </si>
  <si>
    <t>PLCD1</t>
  </si>
  <si>
    <t>PHLPP1</t>
  </si>
  <si>
    <t>ADK</t>
  </si>
  <si>
    <t>HIST1H1C</t>
  </si>
  <si>
    <t>ADH1</t>
  </si>
  <si>
    <t>ANKZF1</t>
  </si>
  <si>
    <t>SOS2</t>
  </si>
  <si>
    <t>EMILIN1</t>
  </si>
  <si>
    <t>TACC2</t>
  </si>
  <si>
    <t>JDP2</t>
  </si>
  <si>
    <t>PGM2</t>
  </si>
  <si>
    <t>CMTM2A</t>
  </si>
  <si>
    <t>CTGF</t>
  </si>
  <si>
    <t>PRM1</t>
  </si>
  <si>
    <t>PSMB9</t>
  </si>
  <si>
    <t>PRKACB</t>
  </si>
  <si>
    <t>AKR1C20</t>
  </si>
  <si>
    <t>FAM115A</t>
  </si>
  <si>
    <t>CAB39</t>
  </si>
  <si>
    <t>BC005537</t>
  </si>
  <si>
    <t>NOTCH3</t>
  </si>
  <si>
    <t>P2RX5</t>
  </si>
  <si>
    <t>4732418C07RIK</t>
  </si>
  <si>
    <t>BCL2L12</t>
  </si>
  <si>
    <t>PRPF19</t>
  </si>
  <si>
    <t>ITPA</t>
  </si>
  <si>
    <t>IL1R1</t>
  </si>
  <si>
    <t>ACOT10</t>
  </si>
  <si>
    <t>SSR4</t>
  </si>
  <si>
    <t>SIN3B</t>
  </si>
  <si>
    <t>FAM179A</t>
  </si>
  <si>
    <t>SIN3A</t>
  </si>
  <si>
    <t>TRAF3</t>
  </si>
  <si>
    <t>TRAF7</t>
  </si>
  <si>
    <t>GTF2H2</t>
  </si>
  <si>
    <t>ESD</t>
  </si>
  <si>
    <t>LRRC57</t>
  </si>
  <si>
    <t>TMEM168</t>
  </si>
  <si>
    <t>LRRC58</t>
  </si>
  <si>
    <t>LRRC59</t>
  </si>
  <si>
    <t>COX7A2L</t>
  </si>
  <si>
    <t>DIS3</t>
  </si>
  <si>
    <t>NICN1</t>
  </si>
  <si>
    <t>2210018M11RIK</t>
  </si>
  <si>
    <t>TAB2</t>
  </si>
  <si>
    <t>PMVK</t>
  </si>
  <si>
    <t>1110057K04RIK</t>
  </si>
  <si>
    <t>LMNA</t>
  </si>
  <si>
    <t>KLHDC8A</t>
  </si>
  <si>
    <t>GNA11</t>
  </si>
  <si>
    <t>ATF5</t>
  </si>
  <si>
    <t>ATF4</t>
  </si>
  <si>
    <t>GMPPA</t>
  </si>
  <si>
    <t>SLC4A1AP</t>
  </si>
  <si>
    <t>PPCS</t>
  </si>
  <si>
    <t>TAP1</t>
  </si>
  <si>
    <t>SMARCC1</t>
  </si>
  <si>
    <t>PPAP2B</t>
  </si>
  <si>
    <t>PPAP2A</t>
  </si>
  <si>
    <t>ZCCHC14</t>
  </si>
  <si>
    <t>TMCO3</t>
  </si>
  <si>
    <t>IL6ST</t>
  </si>
  <si>
    <t>SFRS13A</t>
  </si>
  <si>
    <t>MOCS2</t>
  </si>
  <si>
    <t>MOCS1</t>
  </si>
  <si>
    <t>SBF2</t>
  </si>
  <si>
    <t>DBN1</t>
  </si>
  <si>
    <t>SPNB2</t>
  </si>
  <si>
    <t>COMMD9</t>
  </si>
  <si>
    <t>PPP2R4</t>
  </si>
  <si>
    <t>ZFP191</t>
  </si>
  <si>
    <t>SRPK2</t>
  </si>
  <si>
    <t>1600012F09RIK</t>
  </si>
  <si>
    <t>ZMYM3</t>
  </si>
  <si>
    <t>IGF1R</t>
  </si>
  <si>
    <t>CAMK2D</t>
  </si>
  <si>
    <t>CAMK2A</t>
  </si>
  <si>
    <t>SLC45A3</t>
  </si>
  <si>
    <t>STK4</t>
  </si>
  <si>
    <t>IFRD1</t>
  </si>
  <si>
    <t>OSBPL3</t>
  </si>
  <si>
    <t>CXCL12</t>
  </si>
  <si>
    <t>AKAP1</t>
  </si>
  <si>
    <t>UCKL1</t>
  </si>
  <si>
    <t>AKAP8</t>
  </si>
  <si>
    <t>AKAP9</t>
  </si>
  <si>
    <t>SNRNP27</t>
  </si>
  <si>
    <t>ARHGAP12</t>
  </si>
  <si>
    <t>NFU1</t>
  </si>
  <si>
    <t>RAPGEF3</t>
  </si>
  <si>
    <t>POLR1C</t>
  </si>
  <si>
    <t>9130401M01RIK</t>
  </si>
  <si>
    <t>1810074P20RIK</t>
  </si>
  <si>
    <t>COL3A1</t>
  </si>
  <si>
    <t>CHKA</t>
  </si>
  <si>
    <t>STEAP4</t>
  </si>
  <si>
    <t>WDR45</t>
  </si>
  <si>
    <t>CCND2</t>
  </si>
  <si>
    <t>AHSA1</t>
  </si>
  <si>
    <t>JAK2</t>
  </si>
  <si>
    <t>ZFP869</t>
  </si>
  <si>
    <t>NR1H2</t>
  </si>
  <si>
    <t>NR1H3</t>
  </si>
  <si>
    <t>1300014I06RIK</t>
  </si>
  <si>
    <t>HOXB8</t>
  </si>
  <si>
    <t>CXXC5</t>
  </si>
  <si>
    <t>DST</t>
  </si>
  <si>
    <t>UCK2</t>
  </si>
  <si>
    <t>CUX1</t>
  </si>
  <si>
    <t>RNF41</t>
  </si>
  <si>
    <t>PPARA</t>
  </si>
  <si>
    <t>BRF2</t>
  </si>
  <si>
    <t>ING1</t>
  </si>
  <si>
    <t>GSTO2</t>
  </si>
  <si>
    <t>RHOJ</t>
  </si>
  <si>
    <t>DNAJC4</t>
  </si>
  <si>
    <t>DNAJC1</t>
  </si>
  <si>
    <t>KPTN</t>
  </si>
  <si>
    <t>GOSR1</t>
  </si>
  <si>
    <t>ACP6</t>
  </si>
  <si>
    <t>0610009B22RIK</t>
  </si>
  <si>
    <t>ACP1</t>
  </si>
  <si>
    <t>RALBP1</t>
  </si>
  <si>
    <t>1600014C10RIK</t>
  </si>
  <si>
    <t>MAP3K7</t>
  </si>
  <si>
    <t>FOXJ2</t>
  </si>
  <si>
    <t>MKRN1</t>
  </si>
  <si>
    <t>RORA</t>
  </si>
  <si>
    <t>ANKRD32</t>
  </si>
  <si>
    <t>RBM3</t>
  </si>
  <si>
    <t>NT5C3L</t>
  </si>
  <si>
    <t>NCOA1</t>
  </si>
  <si>
    <t>NCOA6</t>
  </si>
  <si>
    <t>TMEM18</t>
  </si>
  <si>
    <t>CISH</t>
  </si>
  <si>
    <t>1110067D22RIK</t>
  </si>
  <si>
    <t>PRDM16</t>
  </si>
  <si>
    <t>CLCN5</t>
  </si>
  <si>
    <t>FXC1</t>
  </si>
  <si>
    <t>ST7L</t>
  </si>
  <si>
    <t>FYCO1</t>
  </si>
  <si>
    <t>GLYAT</t>
  </si>
  <si>
    <t>CAPZA2</t>
  </si>
  <si>
    <t>IL2RG</t>
  </si>
  <si>
    <t>AK3</t>
  </si>
  <si>
    <t>PRRC1</t>
  </si>
  <si>
    <t>LMO2</t>
  </si>
  <si>
    <t>TLK2</t>
  </si>
  <si>
    <t>GEMIN4</t>
  </si>
  <si>
    <t>PBRM1</t>
  </si>
  <si>
    <t>CDK5RAP2</t>
  </si>
  <si>
    <t>SARS</t>
  </si>
  <si>
    <t>CTTN</t>
  </si>
  <si>
    <t>WDR82</t>
  </si>
  <si>
    <t>ZWINT</t>
  </si>
  <si>
    <t>WDR83</t>
  </si>
  <si>
    <t>WRNIP1</t>
  </si>
  <si>
    <t>TPP2</t>
  </si>
  <si>
    <t>ERG</t>
  </si>
  <si>
    <t>CBLL1</t>
  </si>
  <si>
    <t>EPS8</t>
  </si>
  <si>
    <t>AFAP1</t>
  </si>
  <si>
    <t>LARS2</t>
  </si>
  <si>
    <t>ERAL1</t>
  </si>
  <si>
    <t>EIF2S2</t>
  </si>
  <si>
    <t>DDX17</t>
  </si>
  <si>
    <t>LPIN2</t>
  </si>
  <si>
    <t>SLC37A4</t>
  </si>
  <si>
    <t>TOB2</t>
  </si>
  <si>
    <t>GJB1</t>
  </si>
  <si>
    <t>SULF2</t>
  </si>
  <si>
    <t>KLF7</t>
  </si>
  <si>
    <t>KLF6</t>
  </si>
  <si>
    <t>KLF4</t>
  </si>
  <si>
    <t>KLF2</t>
  </si>
  <si>
    <t>EXTL1</t>
  </si>
  <si>
    <t>N4BP1</t>
  </si>
  <si>
    <t>CTSB</t>
  </si>
  <si>
    <t>HEATR6</t>
  </si>
  <si>
    <t>HEATR3</t>
  </si>
  <si>
    <t>AIFM2</t>
  </si>
  <si>
    <t>FCGR3</t>
  </si>
  <si>
    <t>FCER2A</t>
  </si>
  <si>
    <t>LACTB2</t>
  </si>
  <si>
    <t>FAM108A</t>
  </si>
  <si>
    <t>BTRC</t>
  </si>
  <si>
    <t>NUP35</t>
  </si>
  <si>
    <t>NUP37</t>
  </si>
  <si>
    <t>RND1</t>
  </si>
  <si>
    <t>4930503B20RIK</t>
  </si>
  <si>
    <t>FRYL</t>
  </si>
  <si>
    <t>RPL12</t>
  </si>
  <si>
    <t>2810055F11RIK</t>
  </si>
  <si>
    <t>SFTPC</t>
  </si>
  <si>
    <t>LRRC42</t>
  </si>
  <si>
    <t>2410075B13RIK</t>
  </si>
  <si>
    <t>UBXN11</t>
  </si>
  <si>
    <t>GNL2</t>
  </si>
  <si>
    <t>TMEM100</t>
  </si>
  <si>
    <t>2310003L22RIK</t>
  </si>
  <si>
    <t>AW209491</t>
  </si>
  <si>
    <t>FNDC5</t>
  </si>
  <si>
    <t>DHRS1</t>
  </si>
  <si>
    <t>4833420G17RIK</t>
  </si>
  <si>
    <t>TEX22</t>
  </si>
  <si>
    <t>PWWP2A</t>
  </si>
  <si>
    <t>MKKS</t>
  </si>
  <si>
    <t>DYRK1B</t>
  </si>
  <si>
    <t>CCNL1</t>
  </si>
  <si>
    <t>CDKN2C</t>
  </si>
  <si>
    <t>STAMBP</t>
  </si>
  <si>
    <t>DAAM1</t>
  </si>
  <si>
    <t>SMARCAL1</t>
  </si>
  <si>
    <t>IMPA2</t>
  </si>
  <si>
    <t>BAZ1B</t>
  </si>
  <si>
    <t>EDEM3</t>
  </si>
  <si>
    <t>PEA15A</t>
  </si>
  <si>
    <t>PTTG1IP</t>
  </si>
  <si>
    <t>MTCH2</t>
  </si>
  <si>
    <t>PTGES2</t>
  </si>
  <si>
    <t>SLC2A3</t>
  </si>
  <si>
    <t>0610010K14RIK</t>
  </si>
  <si>
    <t>UBTD1</t>
  </si>
  <si>
    <t>TIAL1</t>
  </si>
  <si>
    <t>MESDC2</t>
  </si>
  <si>
    <t>OLFR156</t>
  </si>
  <si>
    <t>BC018507</t>
  </si>
  <si>
    <t>1700010B08RIK</t>
  </si>
  <si>
    <t>CCL9</t>
  </si>
  <si>
    <t>NCSTN</t>
  </si>
  <si>
    <t>LRG1</t>
  </si>
  <si>
    <t>SCHIP1</t>
  </si>
  <si>
    <t>BCKDK</t>
  </si>
  <si>
    <t>EXOSC1</t>
  </si>
  <si>
    <t>GFER</t>
  </si>
  <si>
    <t>CYB561</t>
  </si>
  <si>
    <t>HPGD</t>
  </si>
  <si>
    <t>CEACAM1</t>
  </si>
  <si>
    <t>RRBP1</t>
  </si>
  <si>
    <t>ENG</t>
  </si>
  <si>
    <t>GTF2IRD1</t>
  </si>
  <si>
    <t>CPLX1</t>
  </si>
  <si>
    <t>RALY</t>
  </si>
  <si>
    <t>RAB7L1</t>
  </si>
  <si>
    <t>SNAP47</t>
  </si>
  <si>
    <t>ATP6V0A2</t>
  </si>
  <si>
    <t>GPR97</t>
  </si>
  <si>
    <t>ALKBH7</t>
  </si>
  <si>
    <t>TOR2A</t>
  </si>
  <si>
    <t>RALA</t>
  </si>
  <si>
    <t>4930432K09RIK</t>
  </si>
  <si>
    <t>TNIP2</t>
  </si>
  <si>
    <t>SCYL3</t>
  </si>
  <si>
    <t>TTBK2</t>
  </si>
  <si>
    <t>SMPD1</t>
  </si>
  <si>
    <t>FLT1</t>
  </si>
  <si>
    <t>HEMK1</t>
  </si>
  <si>
    <t>DNAJB9</t>
  </si>
  <si>
    <t>PVR</t>
  </si>
  <si>
    <t>S1PR1</t>
  </si>
  <si>
    <t>NOC2L</t>
  </si>
  <si>
    <t>VKORC1</t>
  </si>
  <si>
    <t>DNAJB6</t>
  </si>
  <si>
    <t>CAR4</t>
  </si>
  <si>
    <t>HSPA12A</t>
  </si>
  <si>
    <t>TTC28</t>
  </si>
  <si>
    <t>HNRNPAB</t>
  </si>
  <si>
    <t>H1F0</t>
  </si>
  <si>
    <t>FRK</t>
  </si>
  <si>
    <t>HNRNPA3</t>
  </si>
  <si>
    <t>NFKB1</t>
  </si>
  <si>
    <t>FRY</t>
  </si>
  <si>
    <t>TAOK1</t>
  </si>
  <si>
    <t>CNOT6L</t>
  </si>
  <si>
    <t>SKIV2L2</t>
  </si>
  <si>
    <t>TFIP11</t>
  </si>
  <si>
    <t>XIRP1</t>
  </si>
  <si>
    <t>SERPINA1A</t>
  </si>
  <si>
    <t>CDK5</t>
  </si>
  <si>
    <t>CDK7</t>
  </si>
  <si>
    <t>CDK8</t>
  </si>
  <si>
    <t>LPAR1</t>
  </si>
  <si>
    <t>RNF145</t>
  </si>
  <si>
    <t>RNF146</t>
  </si>
  <si>
    <t>AMOTL1</t>
  </si>
  <si>
    <t>PTK2</t>
  </si>
  <si>
    <t>PHB2</t>
  </si>
  <si>
    <t>SF3B3</t>
  </si>
  <si>
    <t>5730403B10RIK</t>
  </si>
  <si>
    <t>LIMS1</t>
  </si>
  <si>
    <t>SORBS1</t>
  </si>
  <si>
    <t>SORBS3</t>
  </si>
  <si>
    <t>PRKX</t>
  </si>
  <si>
    <t>SEMA6B</t>
  </si>
  <si>
    <t>H2-K1</t>
  </si>
  <si>
    <t>SCARA5</t>
  </si>
  <si>
    <t>DDHD1</t>
  </si>
  <si>
    <t>SUN1</t>
  </si>
  <si>
    <t>DNAJC17</t>
  </si>
  <si>
    <t>DNAJC14</t>
  </si>
  <si>
    <t>NARFL</t>
  </si>
  <si>
    <t>RAB14</t>
  </si>
  <si>
    <t>MTX2</t>
  </si>
  <si>
    <t>FEM1C</t>
  </si>
  <si>
    <t>PACSIN3</t>
  </si>
  <si>
    <t>DNAJC19</t>
  </si>
  <si>
    <t>ENDOG</t>
  </si>
  <si>
    <t>MS4A6C</t>
  </si>
  <si>
    <t>SLC9A3R2</t>
  </si>
  <si>
    <t>MS4A6B</t>
  </si>
  <si>
    <t>POT1A</t>
  </si>
  <si>
    <t>UCP3</t>
  </si>
  <si>
    <t>MDP1</t>
  </si>
  <si>
    <t>ALPPL2</t>
  </si>
  <si>
    <t>SEC11A</t>
  </si>
  <si>
    <t>DDX21</t>
  </si>
  <si>
    <t>DDX27</t>
  </si>
  <si>
    <t>PMF1</t>
  </si>
  <si>
    <t>PFKFB3</t>
  </si>
  <si>
    <t>NRIP1</t>
  </si>
  <si>
    <t>RAB31</t>
  </si>
  <si>
    <t>MGL2</t>
  </si>
  <si>
    <t>VTI1A</t>
  </si>
  <si>
    <t>TWISTNB</t>
  </si>
  <si>
    <t>1110059E24RIK</t>
  </si>
  <si>
    <t>FBXO18</t>
  </si>
  <si>
    <t>ADD3</t>
  </si>
  <si>
    <t>ACTG1</t>
  </si>
  <si>
    <t>ADD1</t>
  </si>
  <si>
    <t>RAB3IP</t>
  </si>
  <si>
    <t>WDR8</t>
  </si>
  <si>
    <t>ATF7IP</t>
  </si>
  <si>
    <t>PPIL3</t>
  </si>
  <si>
    <t>PPIL4</t>
  </si>
  <si>
    <t>2310046A06RIK</t>
  </si>
  <si>
    <t>BRI3BP</t>
  </si>
  <si>
    <t>MNAT1</t>
  </si>
  <si>
    <t>LTBR</t>
  </si>
  <si>
    <t>PPP1R7</t>
  </si>
  <si>
    <t>BCLAF1</t>
  </si>
  <si>
    <t>MAP3K4</t>
  </si>
  <si>
    <t>MAP3K5</t>
  </si>
  <si>
    <t>CPNE3</t>
  </si>
  <si>
    <t>LUC7L3</t>
  </si>
  <si>
    <t>FMO2</t>
  </si>
  <si>
    <t>FMO1</t>
  </si>
  <si>
    <t>CCDC71</t>
  </si>
  <si>
    <t>SERHL</t>
  </si>
  <si>
    <t>SETD8</t>
  </si>
  <si>
    <t>CHERP</t>
  </si>
  <si>
    <t>OMA1</t>
  </si>
  <si>
    <t>TMEM101</t>
  </si>
  <si>
    <t>ZFP768</t>
  </si>
  <si>
    <t>P4HA2</t>
  </si>
  <si>
    <t>NME3</t>
  </si>
  <si>
    <t>SYP</t>
  </si>
  <si>
    <t>AMMECR1</t>
  </si>
  <si>
    <t>PRRX1</t>
  </si>
  <si>
    <t>SPEG</t>
  </si>
  <si>
    <t>METT10D</t>
  </si>
  <si>
    <t>FBLN2</t>
  </si>
  <si>
    <t>FBLIM1</t>
  </si>
  <si>
    <t>PIAS2</t>
  </si>
  <si>
    <t>NT5M</t>
  </si>
  <si>
    <t>PDE4DIP</t>
  </si>
  <si>
    <t>NT5C</t>
  </si>
  <si>
    <t>NT5E</t>
  </si>
  <si>
    <t>AFF1</t>
  </si>
  <si>
    <t>PNPLA2</t>
  </si>
  <si>
    <t>NPPB</t>
  </si>
  <si>
    <t>PIAS4</t>
  </si>
  <si>
    <t>UNC5B</t>
  </si>
  <si>
    <t>KATNAL1</t>
  </si>
  <si>
    <t>UBA7</t>
  </si>
  <si>
    <t>FRMD5</t>
  </si>
  <si>
    <t>FRMD6</t>
  </si>
  <si>
    <t>PHF23</t>
  </si>
  <si>
    <t>UBE2I</t>
  </si>
  <si>
    <t>UBE2H</t>
  </si>
  <si>
    <t>GNAQ</t>
  </si>
  <si>
    <t>MED13L</t>
  </si>
  <si>
    <t>MOGS</t>
  </si>
  <si>
    <t>PTCD1</t>
  </si>
  <si>
    <t>HLTF</t>
  </si>
  <si>
    <t>UBE2W</t>
  </si>
  <si>
    <t>TOP3B</t>
  </si>
  <si>
    <t>RPS15A</t>
  </si>
  <si>
    <t>GNG11</t>
  </si>
  <si>
    <t>TRP53INP1</t>
  </si>
  <si>
    <t>CEND1</t>
  </si>
  <si>
    <t>PHTF2</t>
  </si>
  <si>
    <t>VPS41</t>
  </si>
  <si>
    <t>PDE3A</t>
  </si>
  <si>
    <t>RAB22A</t>
  </si>
  <si>
    <t>NMNAT1</t>
  </si>
  <si>
    <t>MORF4L1</t>
  </si>
  <si>
    <t>PPCDC</t>
  </si>
  <si>
    <t>2510006D16RIK</t>
  </si>
  <si>
    <t>ACSS1</t>
  </si>
  <si>
    <t>FAM162A</t>
  </si>
  <si>
    <t>GSTM6</t>
  </si>
  <si>
    <t>PPP1R15A</t>
  </si>
  <si>
    <t>PALLD</t>
  </si>
  <si>
    <t>FIS1</t>
  </si>
  <si>
    <t>STX18</t>
  </si>
  <si>
    <t>IFITM3</t>
  </si>
  <si>
    <t>CUTA</t>
  </si>
  <si>
    <t>EIF6</t>
  </si>
  <si>
    <t>MOSPD1</t>
  </si>
  <si>
    <t>AEBP2</t>
  </si>
  <si>
    <t>RB1CC1</t>
  </si>
  <si>
    <t>2810021J22RIK</t>
  </si>
  <si>
    <t>ANKRD10</t>
  </si>
  <si>
    <t>RCHY1</t>
  </si>
  <si>
    <t>EBAG9</t>
  </si>
  <si>
    <t>FBXO9</t>
  </si>
  <si>
    <t>CBR3</t>
  </si>
  <si>
    <t>TLN1</t>
  </si>
  <si>
    <t>NT5C3</t>
  </si>
  <si>
    <t>D3ERTD751E</t>
  </si>
  <si>
    <t>SLC44A1</t>
  </si>
  <si>
    <t>ANXA3</t>
  </si>
  <si>
    <t>ZBTB7A</t>
  </si>
  <si>
    <t>TPST1</t>
  </si>
  <si>
    <t>ZG16</t>
  </si>
  <si>
    <t>COQ10B</t>
  </si>
  <si>
    <t>SIDT2</t>
  </si>
  <si>
    <t>PCNX</t>
  </si>
  <si>
    <t>SQSTM1</t>
  </si>
  <si>
    <t>SAMHD1</t>
  </si>
  <si>
    <t>6330406I15RIK</t>
  </si>
  <si>
    <t>EPC1</t>
  </si>
  <si>
    <t>POGZ</t>
  </si>
  <si>
    <t>HSPB11</t>
  </si>
  <si>
    <t>HIAT1</t>
  </si>
  <si>
    <t>NDUFS4</t>
  </si>
  <si>
    <t>COQ5</t>
  </si>
  <si>
    <t>COQ3</t>
  </si>
  <si>
    <t>SP100</t>
  </si>
  <si>
    <t>FAM198B</t>
  </si>
  <si>
    <t>TIMP3</t>
  </si>
  <si>
    <t>TIMP2</t>
  </si>
  <si>
    <t>ZRANB2</t>
  </si>
  <si>
    <t>ELOF1</t>
  </si>
  <si>
    <t>4932438H23RIK</t>
  </si>
  <si>
    <t>LAMB1-1</t>
  </si>
  <si>
    <t>NHLRC2</t>
  </si>
  <si>
    <t>PAFAH1B1</t>
  </si>
  <si>
    <t>DGCR2</t>
  </si>
  <si>
    <t>DSC2</t>
  </si>
  <si>
    <t>MKNK2</t>
  </si>
  <si>
    <t>COX8A</t>
  </si>
  <si>
    <t>RNF19A</t>
  </si>
  <si>
    <t>MPEG1</t>
  </si>
  <si>
    <t>DDX3Y</t>
  </si>
  <si>
    <t>VWA1</t>
  </si>
  <si>
    <t>NACC2</t>
  </si>
  <si>
    <t>BAMBI</t>
  </si>
  <si>
    <t>KCNN2</t>
  </si>
  <si>
    <t>6430548M08RIK</t>
  </si>
  <si>
    <t>IP6K2</t>
  </si>
  <si>
    <t>PKIA</t>
  </si>
  <si>
    <t>ZADH2</t>
  </si>
  <si>
    <t>FBXL6</t>
  </si>
  <si>
    <t>INADL</t>
  </si>
  <si>
    <t>RNF6</t>
  </si>
  <si>
    <t>RNF5</t>
  </si>
  <si>
    <t>SLC19A2</t>
  </si>
  <si>
    <t>NIT1</t>
  </si>
  <si>
    <t>STMN3</t>
  </si>
  <si>
    <t>NFKBIB</t>
  </si>
  <si>
    <t>TYSND1</t>
  </si>
  <si>
    <t>ASB15</t>
  </si>
  <si>
    <t>PABPN1</t>
  </si>
  <si>
    <t>NRXN1</t>
  </si>
  <si>
    <t>SPRR1B</t>
  </si>
  <si>
    <t>NGLY1</t>
  </si>
  <si>
    <t>ABCB1A</t>
  </si>
  <si>
    <t>NMD3</t>
  </si>
  <si>
    <t>UBE3A</t>
  </si>
  <si>
    <t>SLC35A4</t>
  </si>
  <si>
    <t>SLC35A5</t>
  </si>
  <si>
    <t>SLC35A3</t>
  </si>
  <si>
    <t>UBXN4</t>
  </si>
  <si>
    <t>6720475J19RIK</t>
  </si>
  <si>
    <t>MYD88</t>
  </si>
  <si>
    <t>TOP2B</t>
  </si>
  <si>
    <t>1700016H13RIK</t>
  </si>
  <si>
    <t>ITSN1</t>
  </si>
  <si>
    <t>ISCA2</t>
  </si>
  <si>
    <t>TRF</t>
  </si>
  <si>
    <t>ABCB10</t>
  </si>
  <si>
    <t>SART1</t>
  </si>
  <si>
    <t>SBK1</t>
  </si>
  <si>
    <t>MRPL49</t>
  </si>
  <si>
    <t>FGF1</t>
  </si>
  <si>
    <t>SLC25A46</t>
  </si>
  <si>
    <t>CDC26</t>
  </si>
  <si>
    <t>D230025D16RIK</t>
  </si>
  <si>
    <t>SAMD8</t>
  </si>
  <si>
    <t>SDC4</t>
  </si>
  <si>
    <t>RBPMS</t>
  </si>
  <si>
    <t>4921524J17RIK</t>
  </si>
  <si>
    <t>BAIAP2</t>
  </si>
  <si>
    <t>IPO5</t>
  </si>
  <si>
    <t>ACTR2</t>
  </si>
  <si>
    <t>CD82</t>
  </si>
  <si>
    <t>SMCHD1</t>
  </si>
  <si>
    <t>CARS2</t>
  </si>
  <si>
    <t>TNPO3</t>
  </si>
  <si>
    <t>NAA20</t>
  </si>
  <si>
    <t>CNKSR3</t>
  </si>
  <si>
    <t>NAGK</t>
  </si>
  <si>
    <t>SYVN1</t>
  </si>
  <si>
    <t>CBARA1</t>
  </si>
  <si>
    <t>MAPK7</t>
  </si>
  <si>
    <t>MAPK9</t>
  </si>
  <si>
    <t>PGPEP1</t>
  </si>
  <si>
    <t>DUSP3</t>
  </si>
  <si>
    <t>GABPB1</t>
  </si>
  <si>
    <t>ICAM1</t>
  </si>
  <si>
    <t>LRRC8C</t>
  </si>
  <si>
    <t>TOMM70A</t>
  </si>
  <si>
    <t>TGS1</t>
  </si>
  <si>
    <t>1700021K19RIK</t>
  </si>
  <si>
    <t>METTL1</t>
  </si>
  <si>
    <t>MTF2</t>
  </si>
  <si>
    <t>GLB1</t>
  </si>
  <si>
    <t>PITPNM1</t>
  </si>
  <si>
    <t>TBC1D15</t>
  </si>
  <si>
    <t>KCTD1</t>
  </si>
  <si>
    <t>SERPINA3M</t>
  </si>
  <si>
    <t>SERPINA3N</t>
  </si>
  <si>
    <t>NUMA1</t>
  </si>
  <si>
    <t>SERPINA3C</t>
  </si>
  <si>
    <t>GPR56</t>
  </si>
  <si>
    <t>IDH3A</t>
  </si>
  <si>
    <t>IDH3B</t>
  </si>
  <si>
    <t>HAGH</t>
  </si>
  <si>
    <t>ZC3HC1</t>
  </si>
  <si>
    <t>PLOD1</t>
  </si>
  <si>
    <t>PDZD11</t>
  </si>
  <si>
    <t>SFRS14</t>
  </si>
  <si>
    <t>PYCARD</t>
  </si>
  <si>
    <t>RPS27L</t>
  </si>
  <si>
    <t>SFRS12</t>
  </si>
  <si>
    <t>TMEM106B</t>
  </si>
  <si>
    <t>CNP</t>
  </si>
  <si>
    <t>MPHOSPH8</t>
  </si>
  <si>
    <t>PTGIS</t>
  </si>
  <si>
    <t>USP12</t>
  </si>
  <si>
    <t>USP16</t>
  </si>
  <si>
    <t>SSBP3</t>
  </si>
  <si>
    <t>MOV10L1</t>
  </si>
  <si>
    <t>BCL10</t>
  </si>
  <si>
    <t>PLAA</t>
  </si>
  <si>
    <t>RNF167</t>
  </si>
  <si>
    <t>GATAD1</t>
  </si>
  <si>
    <t>HSPA14</t>
  </si>
  <si>
    <t>RNF168</t>
  </si>
  <si>
    <t>TBC1D10B</t>
  </si>
  <si>
    <t>UCP2</t>
  </si>
  <si>
    <t>NEDD4L</t>
  </si>
  <si>
    <t>BRAF</t>
  </si>
  <si>
    <t>RIC8</t>
  </si>
  <si>
    <t>MEN1</t>
  </si>
  <si>
    <t>JPH2</t>
  </si>
  <si>
    <t>HIPK2</t>
  </si>
  <si>
    <t>HIPK1</t>
  </si>
  <si>
    <t>P4HA1</t>
  </si>
  <si>
    <t>DDX54</t>
  </si>
  <si>
    <t>ANP32A</t>
  </si>
  <si>
    <t>UQCC</t>
  </si>
  <si>
    <t>ZFP259</t>
  </si>
  <si>
    <t>NCAN</t>
  </si>
  <si>
    <t>TAZ</t>
  </si>
  <si>
    <t>MRPL51</t>
  </si>
  <si>
    <t>NAPA</t>
  </si>
  <si>
    <t>VEZF1</t>
  </si>
  <si>
    <t>ARHGEF12</t>
  </si>
  <si>
    <t>ARHGEF18</t>
  </si>
  <si>
    <t>CPD</t>
  </si>
  <si>
    <t>FXR1</t>
  </si>
  <si>
    <t>FKBP4</t>
  </si>
  <si>
    <t>SKP1A</t>
  </si>
  <si>
    <t>GTL3</t>
  </si>
  <si>
    <t>PTEN</t>
  </si>
  <si>
    <t>ANGPTL4</t>
  </si>
  <si>
    <t>RHBDD2</t>
  </si>
  <si>
    <t>KLC4</t>
  </si>
  <si>
    <t>GMCL1</t>
  </si>
  <si>
    <t>CTCF</t>
  </si>
  <si>
    <t>ACTA2</t>
  </si>
  <si>
    <t>MMP15</t>
  </si>
  <si>
    <t>FBXW11</t>
  </si>
  <si>
    <t>CDKN1C</t>
  </si>
  <si>
    <t>UBE2D3</t>
  </si>
  <si>
    <t>UBE2D1</t>
  </si>
  <si>
    <t>MLL1</t>
  </si>
  <si>
    <t>EDNRB</t>
  </si>
  <si>
    <t>FARSA</t>
  </si>
  <si>
    <t>OVCA2</t>
  </si>
  <si>
    <t>PPP1R15B</t>
  </si>
  <si>
    <t>BC011248</t>
  </si>
  <si>
    <t>GDF15</t>
  </si>
  <si>
    <t>TSPYL4</t>
  </si>
  <si>
    <t>FOXJ3</t>
  </si>
  <si>
    <t>CCDC56</t>
  </si>
  <si>
    <t>CCDC59</t>
  </si>
  <si>
    <t>TMEM129</t>
  </si>
  <si>
    <t>KCNQ1</t>
  </si>
  <si>
    <t>VEGFA</t>
  </si>
  <si>
    <t>GLO1</t>
  </si>
  <si>
    <t>WDR33</t>
  </si>
  <si>
    <t>SLC39A3</t>
  </si>
  <si>
    <t>BNIP1</t>
  </si>
  <si>
    <t>BNIP3</t>
  </si>
  <si>
    <t>LHX6</t>
  </si>
  <si>
    <t>D1BWG0212E</t>
  </si>
  <si>
    <t>CABP1</t>
  </si>
  <si>
    <t>FBXO30</t>
  </si>
  <si>
    <t>FBXO31</t>
  </si>
  <si>
    <t>1700020C11RIK</t>
  </si>
  <si>
    <t>ATXN7</t>
  </si>
  <si>
    <t>NAB1</t>
  </si>
  <si>
    <t>NAB2</t>
  </si>
  <si>
    <t>SAT1</t>
  </si>
  <si>
    <t>SNX14</t>
  </si>
  <si>
    <t>OTUD1</t>
  </si>
  <si>
    <t>SPSB1</t>
  </si>
  <si>
    <t>APBB3</t>
  </si>
  <si>
    <t>HTRA3</t>
  </si>
  <si>
    <t>SCLT1</t>
  </si>
  <si>
    <t>SDPR</t>
  </si>
  <si>
    <t>2610034B18RIK</t>
  </si>
  <si>
    <t>NEDD1</t>
  </si>
  <si>
    <t>SYNE1</t>
  </si>
  <si>
    <t>4632428N05RIK</t>
  </si>
  <si>
    <t>SMC4</t>
  </si>
  <si>
    <t>SMC6</t>
  </si>
  <si>
    <t>ALAS1</t>
  </si>
  <si>
    <t>S100A9</t>
  </si>
  <si>
    <t>S100A8</t>
  </si>
  <si>
    <t>S100A5</t>
  </si>
  <si>
    <t>S100A4</t>
  </si>
  <si>
    <t>LIMK1</t>
  </si>
  <si>
    <t>WWC2</t>
  </si>
  <si>
    <t>ROM1</t>
  </si>
  <si>
    <t>ALG14</t>
  </si>
  <si>
    <t>RIOK2</t>
  </si>
  <si>
    <t>RIOK3</t>
  </si>
  <si>
    <t>1500011H22RIK</t>
  </si>
  <si>
    <t>NAA38</t>
  </si>
  <si>
    <t>ABT1</t>
  </si>
  <si>
    <t>FITM2</t>
  </si>
  <si>
    <t>1110008P14RIK</t>
  </si>
  <si>
    <t>RBM6</t>
  </si>
  <si>
    <t>RBM4</t>
  </si>
  <si>
    <t>SLBP</t>
  </si>
  <si>
    <t>B4GALNT1</t>
  </si>
  <si>
    <t>RASGRP2</t>
  </si>
  <si>
    <t>EGFR</t>
  </si>
  <si>
    <t>ALOX5AP</t>
  </si>
  <si>
    <t>AP1S2</t>
  </si>
  <si>
    <t>NOC4L</t>
  </si>
  <si>
    <t>WDR89</t>
  </si>
  <si>
    <t>ACER2</t>
  </si>
  <si>
    <t>MEF2C</t>
  </si>
  <si>
    <t>PFN1</t>
  </si>
  <si>
    <t>ATP13A2</t>
  </si>
  <si>
    <t>ESYT1</t>
  </si>
  <si>
    <t>IMPDH2</t>
  </si>
  <si>
    <t>PELO</t>
  </si>
  <si>
    <t>KLF13</t>
  </si>
  <si>
    <t>BMI1</t>
  </si>
  <si>
    <t>IL33</t>
  </si>
  <si>
    <t>PLEKHO2</t>
  </si>
  <si>
    <t>PLEKHO1</t>
  </si>
  <si>
    <t>2610030H06RIK</t>
  </si>
  <si>
    <t>TMEM218</t>
  </si>
  <si>
    <t>IWS1</t>
  </si>
  <si>
    <t>EXOC4</t>
  </si>
  <si>
    <t>OGT</t>
  </si>
  <si>
    <t>ARMCX2</t>
  </si>
  <si>
    <t>ANK3</t>
  </si>
  <si>
    <t>MON2</t>
  </si>
  <si>
    <t>BZW1</t>
  </si>
  <si>
    <t>FUT8</t>
  </si>
  <si>
    <t>TUSC2</t>
  </si>
  <si>
    <t>ZFP644</t>
  </si>
  <si>
    <t>SF1</t>
  </si>
  <si>
    <t>TNRC6B</t>
  </si>
  <si>
    <t>DAB2</t>
  </si>
  <si>
    <t>SNHG11</t>
  </si>
  <si>
    <t>FBLN5</t>
  </si>
  <si>
    <t>ARHGEF6</t>
  </si>
  <si>
    <t>COX6A1</t>
  </si>
  <si>
    <t>SYNJ2BP</t>
  </si>
  <si>
    <t>ARHGEF3</t>
  </si>
  <si>
    <t>1700001L19RIK</t>
  </si>
  <si>
    <t>IFITM2</t>
  </si>
  <si>
    <t>IFITM1</t>
  </si>
  <si>
    <t>LIPE</t>
  </si>
  <si>
    <t>BRP44</t>
  </si>
  <si>
    <t>SCD2</t>
  </si>
  <si>
    <t>RAMP1</t>
  </si>
  <si>
    <t>HAGHL</t>
  </si>
  <si>
    <t>CENPA</t>
  </si>
  <si>
    <t>LDB3</t>
  </si>
  <si>
    <t>PEX11B</t>
  </si>
  <si>
    <t>NSD1</t>
  </si>
  <si>
    <t>PALM</t>
  </si>
  <si>
    <t>TERF2IP</t>
  </si>
  <si>
    <t>CENPV</t>
  </si>
  <si>
    <t>2310035K24RIK</t>
  </si>
  <si>
    <t>PDXDC1</t>
  </si>
  <si>
    <t>SCARB1</t>
  </si>
  <si>
    <t>CSF1</t>
  </si>
  <si>
    <t>PLEKHA5</t>
  </si>
  <si>
    <t>E130308A19RIK</t>
  </si>
  <si>
    <t>PLEKHA1</t>
  </si>
  <si>
    <t>ACTB</t>
  </si>
  <si>
    <t>CTLA2A</t>
  </si>
  <si>
    <t>CTPS</t>
  </si>
  <si>
    <t>LITAF</t>
  </si>
  <si>
    <t>RRAD</t>
  </si>
  <si>
    <t>PROS1</t>
  </si>
  <si>
    <t>SEC62</t>
  </si>
  <si>
    <t>CNTN1</t>
  </si>
  <si>
    <t>ZFP422</t>
  </si>
  <si>
    <t>UNC93B1</t>
  </si>
  <si>
    <t>ZFP428</t>
  </si>
  <si>
    <t>ARHGEF10L</t>
  </si>
  <si>
    <t>NEK7</t>
  </si>
  <si>
    <t>NEK4</t>
  </si>
  <si>
    <t>CABIN1</t>
  </si>
  <si>
    <t>RUVBL2</t>
  </si>
  <si>
    <t>LCE1H</t>
  </si>
  <si>
    <t>CDC42BPA</t>
  </si>
  <si>
    <t>SF3A3</t>
  </si>
  <si>
    <t>COX6C</t>
  </si>
  <si>
    <t>TXNRD1</t>
  </si>
  <si>
    <t>NUP62</t>
  </si>
  <si>
    <t>CCDC9</t>
  </si>
  <si>
    <t>HHATL</t>
  </si>
  <si>
    <t>GLTPD1</t>
  </si>
  <si>
    <t>PLA2G15</t>
  </si>
  <si>
    <t>MGA</t>
  </si>
  <si>
    <t>DCTN5</t>
  </si>
  <si>
    <t>SEMA5B</t>
  </si>
  <si>
    <t>TBP</t>
  </si>
  <si>
    <t>CSNK1E</t>
  </si>
  <si>
    <t>RPL7L1</t>
  </si>
  <si>
    <t>SCN5A</t>
  </si>
  <si>
    <t>IRGM2</t>
  </si>
  <si>
    <t>IRGM1</t>
  </si>
  <si>
    <t>NUDCD2</t>
  </si>
  <si>
    <t>TMEM135</t>
  </si>
  <si>
    <t>CCDC47</t>
  </si>
  <si>
    <t>CCDC46</t>
  </si>
  <si>
    <t>TMEM138</t>
  </si>
  <si>
    <t>CCDC43</t>
  </si>
  <si>
    <t>RNPEP</t>
  </si>
  <si>
    <t>GMNN</t>
  </si>
  <si>
    <t>AS3MT</t>
  </si>
  <si>
    <t>RPL41</t>
  </si>
  <si>
    <t>GM16517</t>
  </si>
  <si>
    <t>FBXO28</t>
  </si>
  <si>
    <t>RANBP3</t>
  </si>
  <si>
    <t>FGD5</t>
  </si>
  <si>
    <t>RALGDS</t>
  </si>
  <si>
    <t>AMBRA1</t>
  </si>
  <si>
    <t>VTN</t>
  </si>
  <si>
    <t>NUDT13</t>
  </si>
  <si>
    <t>TXN1</t>
  </si>
  <si>
    <t>SATB1</t>
  </si>
  <si>
    <t>BCL2L1</t>
  </si>
  <si>
    <t>MXD1</t>
  </si>
  <si>
    <t>PIP5K1B</t>
  </si>
  <si>
    <t>SLC23A1</t>
  </si>
  <si>
    <t>KEAP1</t>
  </si>
  <si>
    <t>SLC23A2</t>
  </si>
  <si>
    <t>SRXN1</t>
  </si>
  <si>
    <t>CRHR2</t>
  </si>
  <si>
    <t>PHF14</t>
  </si>
  <si>
    <t>LAGE3</t>
  </si>
  <si>
    <t>PHF17</t>
  </si>
  <si>
    <t>STAB1</t>
  </si>
  <si>
    <t>2810474O19RIK</t>
  </si>
  <si>
    <t>CDADC1</t>
  </si>
  <si>
    <t>GPR137B</t>
  </si>
  <si>
    <t>HBP1</t>
  </si>
  <si>
    <t>IQGAP1</t>
  </si>
  <si>
    <t>UBN1</t>
  </si>
  <si>
    <t>IMPACT</t>
  </si>
  <si>
    <t>RAVER1</t>
  </si>
  <si>
    <t>NFYC</t>
  </si>
  <si>
    <t>NAA40</t>
  </si>
  <si>
    <t>NOP56</t>
  </si>
  <si>
    <t>ETS1</t>
  </si>
  <si>
    <t>RPE</t>
  </si>
  <si>
    <t>PANK1</t>
  </si>
  <si>
    <t>KRI1</t>
  </si>
  <si>
    <t>ATAD3A</t>
  </si>
  <si>
    <t>MAT2B</t>
  </si>
  <si>
    <t>CDC42EP3</t>
  </si>
  <si>
    <t>CDC42EP1</t>
  </si>
  <si>
    <t>CARD10</t>
  </si>
  <si>
    <t>DUS1L</t>
  </si>
  <si>
    <t>CDC42EP5</t>
  </si>
  <si>
    <t>CASC4</t>
  </si>
  <si>
    <t>TUBA4A</t>
  </si>
  <si>
    <t>PXMP3</t>
  </si>
  <si>
    <t>VAMP3</t>
  </si>
  <si>
    <t>SLC20A1</t>
  </si>
  <si>
    <t>VPS18</t>
  </si>
  <si>
    <t>ABI1</t>
  </si>
  <si>
    <t>CSTF1</t>
  </si>
  <si>
    <t>ROCK1</t>
  </si>
  <si>
    <t>ROCK2</t>
  </si>
  <si>
    <t>BOLA1</t>
  </si>
  <si>
    <t>MMP2</t>
  </si>
  <si>
    <t>PITPNC1</t>
  </si>
  <si>
    <t>GLCCI1</t>
  </si>
  <si>
    <t>NUDT14</t>
  </si>
  <si>
    <t>SLC6A9</t>
  </si>
  <si>
    <t>MUS81</t>
  </si>
  <si>
    <t>FCHO2</t>
  </si>
  <si>
    <t>CHN2</t>
  </si>
  <si>
    <t>CHN1</t>
  </si>
  <si>
    <t>CAPRIN1</t>
  </si>
  <si>
    <t>PLDN</t>
  </si>
  <si>
    <t>SOX17</t>
  </si>
  <si>
    <t>KIF2A</t>
  </si>
  <si>
    <t>CAV3</t>
  </si>
  <si>
    <t>CAV1</t>
  </si>
  <si>
    <t>CREBZF</t>
  </si>
  <si>
    <t>FAM50A</t>
  </si>
  <si>
    <t>SERPINC1</t>
  </si>
  <si>
    <t>TPD52</t>
  </si>
  <si>
    <t>CBFA2T3</t>
  </si>
  <si>
    <t>CBFA2T2</t>
  </si>
  <si>
    <t>AQP7</t>
  </si>
  <si>
    <t>VRK3</t>
  </si>
  <si>
    <t>VRK2</t>
  </si>
  <si>
    <t>ANKRD49</t>
  </si>
  <si>
    <t>WNK4</t>
  </si>
  <si>
    <t>ZFP654</t>
  </si>
  <si>
    <t>NR2C2</t>
  </si>
  <si>
    <t>RFNG</t>
  </si>
  <si>
    <t>ZFP280D</t>
  </si>
  <si>
    <t>RNF185</t>
  </si>
  <si>
    <t>LIMA1</t>
  </si>
  <si>
    <t>ADCY9</t>
  </si>
  <si>
    <t>TCF7L2</t>
  </si>
  <si>
    <t>APOBEC3</t>
  </si>
  <si>
    <t>BMPR2</t>
  </si>
  <si>
    <t>GUCY1B3</t>
  </si>
  <si>
    <t>RNF215</t>
  </si>
  <si>
    <t>RBX1</t>
  </si>
  <si>
    <t>ADORA1</t>
  </si>
  <si>
    <t>MED20</t>
  </si>
  <si>
    <t>ENAH</t>
  </si>
  <si>
    <t>CDYL2</t>
  </si>
  <si>
    <t>TNFRSF12A</t>
  </si>
  <si>
    <t>FAM184A</t>
  </si>
  <si>
    <t>SMURF2</t>
  </si>
  <si>
    <t>JUN</t>
  </si>
  <si>
    <t>MEIS2</t>
  </si>
  <si>
    <t>TRIAP1</t>
  </si>
  <si>
    <t>CYB5R3</t>
  </si>
  <si>
    <t>GDPD1</t>
  </si>
  <si>
    <t>SENP6</t>
  </si>
  <si>
    <t>DYNLT1B</t>
  </si>
  <si>
    <t>GSPT1</t>
  </si>
  <si>
    <t>PLCB3</t>
  </si>
  <si>
    <t>PLCB4</t>
  </si>
  <si>
    <t>EPHB4</t>
  </si>
  <si>
    <t>EPB4.1</t>
  </si>
  <si>
    <t>EPN2</t>
  </si>
  <si>
    <t>DDO</t>
  </si>
  <si>
    <t>DDC</t>
  </si>
  <si>
    <t>GIMAP1</t>
  </si>
  <si>
    <t>GPHN</t>
  </si>
  <si>
    <t>IL13RA1</t>
  </si>
  <si>
    <t>MRPS25</t>
  </si>
  <si>
    <t>MRPS22</t>
  </si>
  <si>
    <t>MRPS23</t>
  </si>
  <si>
    <t>PHF8</t>
  </si>
  <si>
    <t>PPT1</t>
  </si>
  <si>
    <t>2700062C07RIK</t>
  </si>
  <si>
    <t>PHF1</t>
  </si>
  <si>
    <t>MYOM2</t>
  </si>
  <si>
    <t>YY1</t>
  </si>
  <si>
    <t>RPP30</t>
  </si>
  <si>
    <t>ZFP1</t>
  </si>
  <si>
    <t>TBX2</t>
  </si>
  <si>
    <t>FBXO8</t>
  </si>
  <si>
    <t>SH3GL1</t>
  </si>
  <si>
    <t>TMEM38B</t>
  </si>
  <si>
    <t>ZHX1</t>
  </si>
  <si>
    <t>8430406I07RIK</t>
  </si>
  <si>
    <t>GOLGA3</t>
  </si>
  <si>
    <t>2610044O15RIK</t>
  </si>
  <si>
    <t>KDR</t>
  </si>
  <si>
    <t>RPS25</t>
  </si>
  <si>
    <t>CCDC30</t>
  </si>
  <si>
    <t>FOXD3</t>
  </si>
  <si>
    <t>CCDC34</t>
  </si>
  <si>
    <t>APPL1</t>
  </si>
  <si>
    <t>APPL2</t>
  </si>
  <si>
    <t>DBR1</t>
  </si>
  <si>
    <t>ZDHHC7</t>
  </si>
  <si>
    <t>ATL3</t>
  </si>
  <si>
    <t>NFYA</t>
  </si>
  <si>
    <t>GATAD2B</t>
  </si>
  <si>
    <t>TRMT2A</t>
  </si>
  <si>
    <t>GPA33</t>
  </si>
  <si>
    <t>GPSM1</t>
  </si>
  <si>
    <t>NECAP1</t>
  </si>
  <si>
    <t>AIMP2</t>
  </si>
  <si>
    <t>CORO1A</t>
  </si>
  <si>
    <t>MDH1</t>
  </si>
  <si>
    <t>MID2</t>
  </si>
  <si>
    <t>YES1</t>
  </si>
  <si>
    <t>RNASE4</t>
  </si>
  <si>
    <t>DCPS</t>
  </si>
  <si>
    <t>THUMPD3</t>
  </si>
  <si>
    <t>2700078K21RIK</t>
  </si>
  <si>
    <t>CHORDC1</t>
  </si>
  <si>
    <t>SLC22A5</t>
  </si>
  <si>
    <t>FAS</t>
  </si>
  <si>
    <t>FAP</t>
  </si>
  <si>
    <t>FAH</t>
  </si>
  <si>
    <t>SYNJ2</t>
  </si>
  <si>
    <t>YWHAZ</t>
  </si>
  <si>
    <t>MYCT1</t>
  </si>
  <si>
    <t>GTPBP4</t>
  </si>
  <si>
    <t>GTPBP1</t>
  </si>
  <si>
    <t>GTPBP3</t>
  </si>
  <si>
    <t>GTPBP2</t>
  </si>
  <si>
    <t>FLNB</t>
  </si>
  <si>
    <t>SFPI1</t>
  </si>
  <si>
    <t>NOP58</t>
  </si>
  <si>
    <t>MIDN</t>
  </si>
  <si>
    <t>UPP2</t>
  </si>
  <si>
    <t>BPNT1</t>
  </si>
  <si>
    <t>IL15RA</t>
  </si>
  <si>
    <t>PURB</t>
  </si>
  <si>
    <t>FAM18B</t>
  </si>
  <si>
    <t>BCL6</t>
  </si>
  <si>
    <t>OAF</t>
  </si>
  <si>
    <t>MAN2B2</t>
  </si>
  <si>
    <t>KLHL24</t>
  </si>
  <si>
    <t>PLK2</t>
  </si>
  <si>
    <t>CLMN</t>
  </si>
  <si>
    <t>GLRX2</t>
  </si>
  <si>
    <t>CCDC28B</t>
  </si>
  <si>
    <t>NKX2-9</t>
  </si>
  <si>
    <t>LYRM5</t>
  </si>
  <si>
    <t>S100A11</t>
  </si>
  <si>
    <t>S100A10</t>
  </si>
  <si>
    <t>NKX2-5</t>
  </si>
  <si>
    <t>MRC1</t>
  </si>
  <si>
    <t>NOSIP</t>
  </si>
  <si>
    <t>D10ERTD610E</t>
  </si>
  <si>
    <t>GRK5</t>
  </si>
  <si>
    <t>FSTL3</t>
  </si>
  <si>
    <t>5033414D02RIK</t>
  </si>
  <si>
    <t>PDE7A</t>
  </si>
  <si>
    <t>ENTPD5</t>
  </si>
  <si>
    <t>COG8</t>
  </si>
  <si>
    <t>ENTPD1</t>
  </si>
  <si>
    <t>SYKB</t>
  </si>
  <si>
    <t>COG3</t>
  </si>
  <si>
    <t>MTM1</t>
  </si>
  <si>
    <t>OSTF1</t>
  </si>
  <si>
    <t>IGHMBP2</t>
  </si>
  <si>
    <t>RAE1</t>
  </si>
  <si>
    <t>CAB39L</t>
  </si>
  <si>
    <t>FAM76B</t>
  </si>
  <si>
    <t>GSK3B</t>
  </si>
  <si>
    <t>LACE1</t>
  </si>
  <si>
    <t>SNAPIN</t>
  </si>
  <si>
    <t>ELP2</t>
  </si>
  <si>
    <t>ZFP276</t>
  </si>
  <si>
    <t>RBPMS2</t>
  </si>
  <si>
    <t>ROBO4</t>
  </si>
  <si>
    <t>H2AFZ</t>
  </si>
  <si>
    <t>TRIM54</t>
  </si>
  <si>
    <t>VASN</t>
  </si>
  <si>
    <t>KLHDC2</t>
  </si>
  <si>
    <t>KLHDC3</t>
  </si>
  <si>
    <t>UBAP1</t>
  </si>
  <si>
    <t>PLXNB1</t>
  </si>
  <si>
    <t>CDV3</t>
  </si>
  <si>
    <t>PPP1R8</t>
  </si>
  <si>
    <t>GRAMD3</t>
  </si>
  <si>
    <t>GUCY1A3</t>
  </si>
  <si>
    <t>AKT1S1</t>
  </si>
  <si>
    <t>GBA2</t>
  </si>
  <si>
    <t>MYST4</t>
  </si>
  <si>
    <t>PROCR</t>
  </si>
  <si>
    <t>SIRT3</t>
  </si>
  <si>
    <t>ODF2</t>
  </si>
  <si>
    <t>NR4A1</t>
  </si>
  <si>
    <t>SIRT7</t>
  </si>
  <si>
    <t>2300009A05RIK</t>
  </si>
  <si>
    <t>KLHL30</t>
  </si>
  <si>
    <t>G6PDX</t>
  </si>
  <si>
    <t>PAK1IP1</t>
  </si>
  <si>
    <t>SERAC1</t>
  </si>
  <si>
    <t>TRIM44</t>
  </si>
  <si>
    <t>KIF3B</t>
  </si>
  <si>
    <t>KIF3A</t>
  </si>
  <si>
    <t>TBPL1</t>
  </si>
  <si>
    <t>RNF2</t>
  </si>
  <si>
    <t>1110018J18RIK</t>
  </si>
  <si>
    <t>RBM25</t>
  </si>
  <si>
    <t>ESAM</t>
  </si>
  <si>
    <t>NCF1</t>
  </si>
  <si>
    <t>RFWD3</t>
  </si>
  <si>
    <t>ACE</t>
  </si>
  <si>
    <t>FNBP4</t>
  </si>
  <si>
    <t>USP38</t>
  </si>
  <si>
    <t>EPHA4</t>
  </si>
  <si>
    <t>HNRNPH1</t>
  </si>
  <si>
    <t>GNAI3</t>
  </si>
  <si>
    <t>AFAP1L2</t>
  </si>
  <si>
    <t>TBK1</t>
  </si>
  <si>
    <t>ZFP687</t>
  </si>
  <si>
    <t>TBC1D1</t>
  </si>
  <si>
    <t>MRPS33</t>
  </si>
  <si>
    <t>IKBIP</t>
  </si>
  <si>
    <t>TRMT5</t>
  </si>
  <si>
    <t>TRAK2</t>
  </si>
  <si>
    <t>CITED2</t>
  </si>
  <si>
    <t>FGF16</t>
  </si>
  <si>
    <t>PSMG1</t>
  </si>
  <si>
    <t>SEL1L</t>
  </si>
  <si>
    <t>PHF21A</t>
  </si>
  <si>
    <t>TFPI</t>
  </si>
  <si>
    <t>PDSS2</t>
  </si>
  <si>
    <t>PDSS1</t>
  </si>
  <si>
    <t>VCAM1</t>
  </si>
  <si>
    <t>SYNE2</t>
  </si>
  <si>
    <t>LOXL1</t>
  </si>
  <si>
    <t>VAMP4</t>
  </si>
  <si>
    <t>SEMA3F</t>
  </si>
  <si>
    <t>GLUL</t>
  </si>
  <si>
    <t>RNF144B</t>
  </si>
  <si>
    <t>EMP1</t>
  </si>
  <si>
    <t>FAM160B1</t>
  </si>
  <si>
    <t>RAPGEF5</t>
  </si>
  <si>
    <t>CLPX</t>
  </si>
  <si>
    <t>OTC</t>
  </si>
  <si>
    <t>RPS18</t>
  </si>
  <si>
    <t>PCOLCE2</t>
  </si>
  <si>
    <t>RIPK1</t>
  </si>
  <si>
    <t>LATS2</t>
  </si>
  <si>
    <t>LATS1</t>
  </si>
  <si>
    <t>PDCL</t>
  </si>
  <si>
    <t>ZFP238</t>
  </si>
  <si>
    <t>DERA</t>
  </si>
  <si>
    <t>FAM149B</t>
  </si>
  <si>
    <t>BLZF1</t>
  </si>
  <si>
    <t>B3GNT2</t>
  </si>
  <si>
    <t>UBQLN1</t>
  </si>
  <si>
    <t>GCLC</t>
  </si>
  <si>
    <t>LSM10</t>
  </si>
  <si>
    <t>OSMR</t>
  </si>
  <si>
    <t>UBE2G2</t>
  </si>
  <si>
    <t>KCTD20</t>
  </si>
  <si>
    <t>DAPK1</t>
  </si>
  <si>
    <t>DPY19L1</t>
  </si>
  <si>
    <t>NR3C1</t>
  </si>
  <si>
    <t>TFAM</t>
  </si>
  <si>
    <t>PIM1</t>
  </si>
  <si>
    <t>ZFPL1</t>
  </si>
  <si>
    <t>2610029I01RIK</t>
  </si>
  <si>
    <t>RASA1</t>
  </si>
  <si>
    <t>SLC40A1</t>
  </si>
  <si>
    <t>C1QTNF2</t>
  </si>
  <si>
    <t>PRPF38B</t>
  </si>
  <si>
    <t>TMEM39A</t>
  </si>
  <si>
    <t>PTPRG</t>
  </si>
  <si>
    <t>PTPRD</t>
  </si>
  <si>
    <t>PTPRC</t>
  </si>
  <si>
    <t>PTPRB</t>
  </si>
  <si>
    <t>G3BP2</t>
  </si>
  <si>
    <t>FAM101B</t>
  </si>
  <si>
    <t>SFRS18</t>
  </si>
  <si>
    <t>IFT27</t>
  </si>
  <si>
    <t>IFT20</t>
  </si>
  <si>
    <t>LASS5</t>
  </si>
  <si>
    <t>PPAPDC3</t>
  </si>
  <si>
    <t>STK10</t>
  </si>
  <si>
    <t>STK16</t>
  </si>
  <si>
    <t>IFNAR2</t>
  </si>
  <si>
    <t>FKBP5</t>
  </si>
  <si>
    <t>MFAP3</t>
  </si>
  <si>
    <t>GRAMD1B</t>
  </si>
  <si>
    <t>3110001D03RIK</t>
  </si>
  <si>
    <t>SGPL1</t>
  </si>
  <si>
    <t>TYROBP</t>
  </si>
  <si>
    <t>ZFP422-RS1</t>
  </si>
  <si>
    <t>N6AMT2</t>
  </si>
  <si>
    <t>PIK3R2</t>
  </si>
  <si>
    <t>WDR6</t>
  </si>
  <si>
    <t>DYSF</t>
  </si>
  <si>
    <t>MUTED</t>
  </si>
  <si>
    <t>SIVA1</t>
  </si>
  <si>
    <t>ABLIM1</t>
  </si>
  <si>
    <t>SMARCD1</t>
  </si>
  <si>
    <t>GATA2</t>
  </si>
  <si>
    <t>SCARF2</t>
  </si>
  <si>
    <t>SNAP25</t>
  </si>
  <si>
    <t>HNRPDL</t>
  </si>
  <si>
    <t>SNAP23</t>
  </si>
  <si>
    <t>FKBPL</t>
  </si>
  <si>
    <t>GRB10</t>
  </si>
  <si>
    <t>TCF15</t>
  </si>
  <si>
    <t>PRR14</t>
  </si>
  <si>
    <t>HSD17B12</t>
  </si>
  <si>
    <t>HMGN3</t>
  </si>
  <si>
    <t>ACVR1B</t>
  </si>
  <si>
    <t>RPS27A</t>
  </si>
  <si>
    <t>UROS</t>
  </si>
  <si>
    <t>CHL1</t>
  </si>
  <si>
    <t>SOX18</t>
  </si>
  <si>
    <t>PANK3</t>
  </si>
  <si>
    <t>PANK2</t>
  </si>
  <si>
    <t>PANK4</t>
  </si>
  <si>
    <t>CAV2</t>
  </si>
  <si>
    <t>CCT4</t>
  </si>
  <si>
    <t>PAM</t>
  </si>
  <si>
    <t>6330416G13RIK</t>
  </si>
  <si>
    <t>1700109H08RIK</t>
  </si>
  <si>
    <t>PDLIM5</t>
  </si>
  <si>
    <t>PDLIM2</t>
  </si>
  <si>
    <t>ZFP27</t>
  </si>
  <si>
    <t>INSIG2</t>
  </si>
  <si>
    <t>2700097O09RIK</t>
  </si>
  <si>
    <t>CBY1</t>
  </si>
  <si>
    <t>TNK2</t>
  </si>
  <si>
    <t>ZNRF1</t>
  </si>
  <si>
    <t>ERLIN2</t>
  </si>
  <si>
    <t>ZDHHC6</t>
  </si>
  <si>
    <t>SBSN</t>
  </si>
  <si>
    <t>ZC3H6</t>
  </si>
  <si>
    <t>PRDM5</t>
  </si>
  <si>
    <t>WDR37</t>
  </si>
  <si>
    <t>KRT10</t>
  </si>
  <si>
    <t>GPX8</t>
  </si>
  <si>
    <t>TTC39A</t>
  </si>
  <si>
    <t>FLNC</t>
  </si>
  <si>
    <t>EIF4A1</t>
  </si>
  <si>
    <t>KRT19</t>
  </si>
  <si>
    <t>KLHL25</t>
  </si>
  <si>
    <t>TMEM88</t>
  </si>
  <si>
    <t>CYP2J6</t>
  </si>
  <si>
    <t>GIGYF2</t>
  </si>
  <si>
    <t>TMEM82</t>
  </si>
  <si>
    <t>2900092E17RIK</t>
  </si>
  <si>
    <t>NUDT16L1</t>
  </si>
  <si>
    <t>PLP1</t>
  </si>
  <si>
    <t>DCTN6</t>
  </si>
  <si>
    <t>CYHR1</t>
  </si>
  <si>
    <t>DCTN4</t>
  </si>
  <si>
    <t>SERF1</t>
  </si>
  <si>
    <t>RBM12</t>
  </si>
  <si>
    <t>TM9SF1</t>
  </si>
  <si>
    <t>RBM14</t>
  </si>
  <si>
    <t>LIN37</t>
  </si>
  <si>
    <t>RBM18</t>
  </si>
  <si>
    <t>TPRA1</t>
  </si>
  <si>
    <t>2510012J08RIK</t>
  </si>
  <si>
    <t>MBTPS1</t>
  </si>
  <si>
    <t>RXRB</t>
  </si>
  <si>
    <t>FAM96B</t>
  </si>
  <si>
    <t>MXRA7</t>
  </si>
  <si>
    <t>SIGMAR1</t>
  </si>
  <si>
    <t>RNF25</t>
  </si>
  <si>
    <t>MXRA8</t>
  </si>
  <si>
    <t>UBE2V2</t>
  </si>
  <si>
    <t>RNF26</t>
  </si>
  <si>
    <t>MEPCE</t>
  </si>
  <si>
    <t>C1GALT1C1</t>
  </si>
  <si>
    <t>RELL1</t>
  </si>
  <si>
    <t>KRTCAP2</t>
  </si>
  <si>
    <t>ABCA3</t>
  </si>
  <si>
    <t>PSMD9</t>
  </si>
  <si>
    <t>C2CD2L</t>
  </si>
  <si>
    <t>CDH29</t>
  </si>
  <si>
    <t>G6PC</t>
  </si>
  <si>
    <t>EI24</t>
  </si>
  <si>
    <t>CPSF7</t>
  </si>
  <si>
    <t>RTP4</t>
  </si>
  <si>
    <t>SGMS1</t>
  </si>
  <si>
    <t>SEC22B</t>
  </si>
  <si>
    <t>CPSF2</t>
  </si>
  <si>
    <t>EPS15</t>
  </si>
  <si>
    <t>TMEM41A</t>
  </si>
  <si>
    <t>MYBPHL</t>
  </si>
  <si>
    <t>ARPC3</t>
  </si>
  <si>
    <t>LMCD1</t>
  </si>
  <si>
    <t>CLCN3</t>
  </si>
  <si>
    <t>CNOT8</t>
  </si>
  <si>
    <t>CML1</t>
  </si>
  <si>
    <t>APCS</t>
  </si>
  <si>
    <t>HSD17B7</t>
  </si>
  <si>
    <t>FLT3L</t>
  </si>
  <si>
    <t>NOS3</t>
  </si>
  <si>
    <t>CYR61</t>
  </si>
  <si>
    <t>ARIH1</t>
  </si>
  <si>
    <t>RTN4</t>
  </si>
  <si>
    <t>KPNB1</t>
  </si>
  <si>
    <t>RTN2</t>
  </si>
  <si>
    <t>RTN3</t>
  </si>
  <si>
    <t>CREB1</t>
  </si>
  <si>
    <t>ACTR6</t>
  </si>
  <si>
    <t>MCFD2</t>
  </si>
  <si>
    <t>LCP1</t>
  </si>
  <si>
    <t>ZFP207</t>
  </si>
  <si>
    <t>BACE1</t>
  </si>
  <si>
    <t>LRWD1</t>
  </si>
  <si>
    <t>2700078E11RIK</t>
  </si>
  <si>
    <t>IER5</t>
  </si>
  <si>
    <t>IER2</t>
  </si>
  <si>
    <t>IER3</t>
  </si>
  <si>
    <t>KIF13A</t>
  </si>
  <si>
    <t>KIF13B</t>
  </si>
  <si>
    <t>MBD6</t>
  </si>
  <si>
    <t>RPP14</t>
  </si>
  <si>
    <t>MBD3</t>
  </si>
  <si>
    <t>CMTM7</t>
  </si>
  <si>
    <t>PSKH1</t>
  </si>
  <si>
    <t>ORAOV1</t>
  </si>
  <si>
    <t>ZFPM2</t>
  </si>
  <si>
    <t>GNPDA1</t>
  </si>
  <si>
    <t>HPS4</t>
  </si>
  <si>
    <t>IGTP</t>
  </si>
  <si>
    <t>SLC25A19</t>
  </si>
  <si>
    <t>NFE2L2</t>
  </si>
  <si>
    <t>FAM173B</t>
  </si>
  <si>
    <t>SLC12A7</t>
  </si>
  <si>
    <t>NEO1</t>
  </si>
  <si>
    <t>NDUFA11</t>
  </si>
  <si>
    <t>LBH</t>
  </si>
  <si>
    <t>MRVI1</t>
  </si>
  <si>
    <t>EXT2</t>
  </si>
  <si>
    <t>TMUB2</t>
  </si>
  <si>
    <t>UTP14A</t>
  </si>
  <si>
    <t>CNOT2</t>
  </si>
  <si>
    <t>SYNCRIP</t>
  </si>
  <si>
    <t>ZC3H11A</t>
  </si>
  <si>
    <t>EFR3A</t>
  </si>
  <si>
    <t>C1QC</t>
  </si>
  <si>
    <t>FAM164A</t>
  </si>
  <si>
    <t>FAM36A</t>
  </si>
  <si>
    <t>ALDH5A1</t>
  </si>
  <si>
    <t>LEPROTL1</t>
  </si>
  <si>
    <t>YIPF5</t>
  </si>
  <si>
    <t>PTPN11</t>
  </si>
  <si>
    <t>TCTA</t>
  </si>
  <si>
    <t>SNX2</t>
  </si>
  <si>
    <t>CYB5R4</t>
  </si>
  <si>
    <t>FUS</t>
  </si>
  <si>
    <t>SNX5</t>
  </si>
  <si>
    <t>ALG2</t>
  </si>
  <si>
    <t>ALG3</t>
  </si>
  <si>
    <t>ITGB2</t>
  </si>
  <si>
    <t>SLC29A3</t>
  </si>
  <si>
    <t>SMARCE1</t>
  </si>
  <si>
    <t>SLC29A1</t>
  </si>
  <si>
    <t>LRRCC1</t>
  </si>
  <si>
    <t>STAM</t>
  </si>
  <si>
    <t>BTF3L4</t>
  </si>
  <si>
    <t>GLE1</t>
  </si>
  <si>
    <t>CCDC127</t>
  </si>
  <si>
    <t>JKAMP</t>
  </si>
  <si>
    <t>YPEL1</t>
  </si>
  <si>
    <t>TTC14</t>
  </si>
  <si>
    <t>FTSJ2</t>
  </si>
  <si>
    <t>DERL1</t>
  </si>
  <si>
    <t>RAB11B</t>
  </si>
  <si>
    <t>PLXDC2</t>
  </si>
  <si>
    <t>ZFP295</t>
  </si>
  <si>
    <t>DLAT</t>
  </si>
  <si>
    <t>UHRF1BP1L</t>
  </si>
  <si>
    <t>EIF4E</t>
  </si>
  <si>
    <t>AU040320</t>
  </si>
  <si>
    <t>HAT1</t>
  </si>
  <si>
    <t>CD97</t>
  </si>
  <si>
    <t>IRF9</t>
  </si>
  <si>
    <t>CD93</t>
  </si>
  <si>
    <t>DTYMK</t>
  </si>
  <si>
    <t>CLK2</t>
  </si>
  <si>
    <t>CLK4</t>
  </si>
  <si>
    <t>HNRNPR</t>
  </si>
  <si>
    <t>EFNB1</t>
  </si>
  <si>
    <t>CLOCK</t>
  </si>
  <si>
    <t>RFC4</t>
  </si>
  <si>
    <t>ZFHX3</t>
  </si>
  <si>
    <t>FABP4</t>
  </si>
  <si>
    <t>FABP5</t>
  </si>
  <si>
    <t>SH3BP2</t>
  </si>
  <si>
    <t>PGAM1</t>
  </si>
  <si>
    <t>CBX3</t>
  </si>
  <si>
    <t>RPRD1A</t>
  </si>
  <si>
    <t>2410017P07RIK</t>
  </si>
  <si>
    <t>ATXN7L1</t>
  </si>
  <si>
    <t>TTC30A1</t>
  </si>
  <si>
    <t>PNRC2</t>
  </si>
  <si>
    <t>FILIP1</t>
  </si>
  <si>
    <t>DNAJC28</t>
  </si>
  <si>
    <t>WDR26</t>
  </si>
  <si>
    <t>MED21</t>
  </si>
  <si>
    <t>ZFML</t>
  </si>
  <si>
    <t>PEX3</t>
  </si>
  <si>
    <t>RAB13</t>
  </si>
  <si>
    <t>ASL</t>
  </si>
  <si>
    <t>LYSMD3</t>
  </si>
  <si>
    <t>LYSMD2</t>
  </si>
  <si>
    <t>ATP6V0E</t>
  </si>
  <si>
    <t>CDC42SE1</t>
  </si>
  <si>
    <t>GKN2</t>
  </si>
  <si>
    <t>ZFP593</t>
  </si>
  <si>
    <t>GNL1</t>
  </si>
  <si>
    <t>LAMP2</t>
  </si>
  <si>
    <t>ZFP758</t>
  </si>
  <si>
    <t>UNG</t>
  </si>
  <si>
    <t>IL4I1</t>
  </si>
  <si>
    <t>NCK1</t>
  </si>
  <si>
    <t>SNRNP70</t>
  </si>
  <si>
    <t>2610301B20RIK</t>
  </si>
  <si>
    <t>SHOC2</t>
  </si>
  <si>
    <t>HBA-A1</t>
  </si>
  <si>
    <t>SMEK2</t>
  </si>
  <si>
    <t>NRF1</t>
  </si>
  <si>
    <t>IFNGR2</t>
  </si>
  <si>
    <t>USP1</t>
  </si>
  <si>
    <t>USP3</t>
  </si>
  <si>
    <t>SOX9</t>
  </si>
  <si>
    <t>ARHGAP5</t>
  </si>
  <si>
    <t>SC4MOL</t>
  </si>
  <si>
    <t>RAB8A</t>
  </si>
  <si>
    <t>RNF34</t>
  </si>
  <si>
    <t>RNF32</t>
  </si>
  <si>
    <t>SOX4</t>
  </si>
  <si>
    <t>CEBPA</t>
  </si>
  <si>
    <t>UNC119</t>
  </si>
  <si>
    <t>NM_053120</t>
  </si>
  <si>
    <t>SUZ12</t>
  </si>
  <si>
    <t>BICC1</t>
  </si>
  <si>
    <t>MED19</t>
  </si>
  <si>
    <t>ABCB9</t>
  </si>
  <si>
    <t>INTS3</t>
  </si>
  <si>
    <t>INTS6</t>
  </si>
  <si>
    <t>INTS9</t>
  </si>
  <si>
    <t>MFSD5</t>
  </si>
  <si>
    <t>LSM1</t>
  </si>
  <si>
    <t>LSM3</t>
  </si>
  <si>
    <t>MTSS1</t>
  </si>
  <si>
    <t>CIDEB</t>
  </si>
  <si>
    <t>CIDEA</t>
  </si>
  <si>
    <t>BAI1</t>
  </si>
  <si>
    <t>ABCF1</t>
  </si>
  <si>
    <t>NOTCH4</t>
  </si>
  <si>
    <t>ZFP579</t>
  </si>
  <si>
    <t>GOLGB1</t>
  </si>
  <si>
    <t>NCDN</t>
  </si>
  <si>
    <t>USP47</t>
  </si>
  <si>
    <t>CRLF2</t>
  </si>
  <si>
    <t>NISCH</t>
  </si>
  <si>
    <t>PRPF4B</t>
  </si>
  <si>
    <t>PPARGC1A</t>
  </si>
  <si>
    <t>MYL7</t>
  </si>
  <si>
    <t>MYL1</t>
  </si>
  <si>
    <t>SLC30A5</t>
  </si>
  <si>
    <t>SLC30A6</t>
  </si>
  <si>
    <t>DLL1</t>
  </si>
  <si>
    <t>MPP1</t>
  </si>
  <si>
    <t>1110003E01RIK</t>
  </si>
  <si>
    <t>MPP6</t>
  </si>
  <si>
    <t>MPP5</t>
  </si>
  <si>
    <t>TGDS</t>
  </si>
  <si>
    <t>FAM110B</t>
  </si>
  <si>
    <t>MAGI3</t>
  </si>
  <si>
    <t>MAGI1</t>
  </si>
  <si>
    <t>TAGLN3</t>
  </si>
  <si>
    <t>KLHDC10</t>
  </si>
  <si>
    <t>DMTF1</t>
  </si>
  <si>
    <t>DEB1</t>
  </si>
  <si>
    <t>GUSB</t>
  </si>
  <si>
    <t>SPEF1</t>
  </si>
  <si>
    <t>NARS2</t>
  </si>
  <si>
    <t>SLC25A23</t>
  </si>
  <si>
    <t>SLC25A27</t>
  </si>
  <si>
    <t>ZFP101</t>
  </si>
  <si>
    <t>SLC25A25</t>
  </si>
  <si>
    <t>MDM2</t>
  </si>
  <si>
    <t>SLC25A29</t>
  </si>
  <si>
    <t>NARF</t>
  </si>
  <si>
    <t>CNN3</t>
  </si>
  <si>
    <t>SLTM</t>
  </si>
  <si>
    <t>MYLK</t>
  </si>
  <si>
    <t>CHAC2</t>
  </si>
  <si>
    <t>ARAF</t>
  </si>
  <si>
    <t>IFT46</t>
  </si>
  <si>
    <t>KDELC1</t>
  </si>
  <si>
    <t>FAM98A</t>
  </si>
  <si>
    <t>FRS2</t>
  </si>
  <si>
    <t>1700029I01RIK</t>
  </si>
  <si>
    <t>CRK</t>
  </si>
  <si>
    <t>B9D2</t>
  </si>
  <si>
    <t>SDHAF2</t>
  </si>
  <si>
    <t>RTN4IP1</t>
  </si>
  <si>
    <t>B4GALT1</t>
  </si>
  <si>
    <t>B4GALT3</t>
  </si>
  <si>
    <t>PGK2</t>
  </si>
  <si>
    <t>B4GALT4</t>
  </si>
  <si>
    <t>ZFP292</t>
  </si>
  <si>
    <t>TUBB6</t>
  </si>
  <si>
    <t>EIF3J</t>
  </si>
  <si>
    <t>MAN2A1</t>
  </si>
  <si>
    <t>HERC1</t>
  </si>
  <si>
    <t>2810432D09RIK</t>
  </si>
  <si>
    <t>HEMGN</t>
  </si>
  <si>
    <t>CCDC136</t>
  </si>
  <si>
    <t>RARG</t>
  </si>
  <si>
    <t>CCDC132</t>
  </si>
  <si>
    <t>TNFRSF1A</t>
  </si>
  <si>
    <t>GLB1L</t>
  </si>
  <si>
    <t>PHF5A</t>
  </si>
  <si>
    <t>TFDP2</t>
  </si>
  <si>
    <t>TFDP1</t>
  </si>
  <si>
    <t>SYN1</t>
  </si>
  <si>
    <t>OXA1L</t>
  </si>
  <si>
    <t>TINAGL1</t>
  </si>
  <si>
    <t>1700065I17RIK</t>
  </si>
  <si>
    <t>SERPING1</t>
  </si>
  <si>
    <t>RHOT1</t>
  </si>
  <si>
    <t>PTPN2</t>
  </si>
  <si>
    <t>PSTPIP2</t>
  </si>
  <si>
    <t>POFUT2</t>
  </si>
  <si>
    <t>CD9</t>
  </si>
  <si>
    <t>HRAS1</t>
  </si>
  <si>
    <t>EHMT1</t>
  </si>
  <si>
    <t>DRAM2</t>
  </si>
  <si>
    <t>STAT3</t>
  </si>
  <si>
    <t>CD55</t>
  </si>
  <si>
    <t>SNX19</t>
  </si>
  <si>
    <t>HBEGF</t>
  </si>
  <si>
    <t>ICAM2</t>
  </si>
  <si>
    <t>BCL7A</t>
  </si>
  <si>
    <t>1700123O20RIK</t>
  </si>
  <si>
    <t>LY6E</t>
  </si>
  <si>
    <t>ZBED3</t>
  </si>
  <si>
    <t>CRYAB</t>
  </si>
  <si>
    <t>RABIF</t>
  </si>
  <si>
    <t>SGK3</t>
  </si>
  <si>
    <t>GALNT10</t>
  </si>
  <si>
    <t>CDS2</t>
  </si>
  <si>
    <t>ARPC5L</t>
  </si>
  <si>
    <t>ASNS</t>
  </si>
  <si>
    <t>SLC3A2</t>
  </si>
  <si>
    <t>PDE4A</t>
  </si>
  <si>
    <t>GABPA</t>
  </si>
  <si>
    <t>PSCA</t>
  </si>
  <si>
    <t>PEG3</t>
  </si>
  <si>
    <t>CLCC1</t>
  </si>
  <si>
    <t>LMF1</t>
  </si>
  <si>
    <t>MAP4K4</t>
  </si>
  <si>
    <t>TNNT1</t>
  </si>
  <si>
    <t>CYCS</t>
  </si>
  <si>
    <t>MAP2K3</t>
  </si>
  <si>
    <t>BMPR1A</t>
  </si>
  <si>
    <t>MAP2K7</t>
  </si>
  <si>
    <t>AACS</t>
  </si>
  <si>
    <t>BCL9L</t>
  </si>
  <si>
    <t>TSNAX</t>
  </si>
  <si>
    <t>PTPN23</t>
  </si>
  <si>
    <t>PTPN21</t>
  </si>
  <si>
    <t>PLEKHF1</t>
  </si>
  <si>
    <t>MT1</t>
  </si>
  <si>
    <t>BC028528</t>
  </si>
  <si>
    <t>ZFP46</t>
  </si>
  <si>
    <t>ATP5G1</t>
  </si>
  <si>
    <t>MAD2L1BP</t>
  </si>
  <si>
    <t>DGKZ</t>
  </si>
  <si>
    <t>CYP4V3</t>
  </si>
  <si>
    <t>PSMC3IP</t>
  </si>
  <si>
    <t>RHOBTB2</t>
  </si>
  <si>
    <t>TIA1</t>
  </si>
  <si>
    <t>PLOD2</t>
  </si>
  <si>
    <t>2410015M20RIK</t>
  </si>
  <si>
    <t>B230120H23RIK</t>
  </si>
  <si>
    <t>ABCC5</t>
  </si>
  <si>
    <t>E130309D02RIK</t>
  </si>
  <si>
    <t>PPP2R5C</t>
  </si>
  <si>
    <t>1810008A18RIK</t>
  </si>
  <si>
    <t>CKAP5</t>
  </si>
  <si>
    <t>FAM160A2</t>
  </si>
  <si>
    <t>ERBB2IP</t>
  </si>
  <si>
    <t>TMOD3</t>
  </si>
  <si>
    <t>TMOD2</t>
  </si>
  <si>
    <t>RASIP1</t>
  </si>
  <si>
    <t>ZFP369</t>
  </si>
  <si>
    <t>RPS10</t>
  </si>
  <si>
    <t>SPINT2</t>
  </si>
  <si>
    <t>NES</t>
  </si>
  <si>
    <t>IFI204</t>
  </si>
  <si>
    <t>ITSN2</t>
  </si>
  <si>
    <t>IFI203</t>
  </si>
  <si>
    <t>GOLGA1</t>
  </si>
  <si>
    <t>KHK</t>
  </si>
  <si>
    <t>GOLGA7</t>
  </si>
  <si>
    <t>PTBP2</t>
  </si>
  <si>
    <t>PTBP1</t>
  </si>
  <si>
    <t>SLCO3A1</t>
  </si>
  <si>
    <t>EPB4.1L2</t>
  </si>
  <si>
    <t>RSPRY1</t>
  </si>
  <si>
    <t>5730437N04RIK</t>
  </si>
  <si>
    <t>TDP1</t>
  </si>
  <si>
    <t>2410002O22RIK</t>
  </si>
  <si>
    <t>KCTD13</t>
  </si>
  <si>
    <t>CRCP</t>
  </si>
  <si>
    <t>EPT1</t>
  </si>
  <si>
    <t>GFRA4</t>
  </si>
  <si>
    <t>DKKL1</t>
  </si>
  <si>
    <t>PLCE1</t>
  </si>
  <si>
    <t>CINP</t>
  </si>
  <si>
    <t>KDM5C</t>
  </si>
  <si>
    <t>GGTA1</t>
  </si>
  <si>
    <t>RASD1</t>
  </si>
  <si>
    <t>SLC25A37</t>
  </si>
  <si>
    <t>SLC25A36</t>
  </si>
  <si>
    <t>SLC25A33</t>
  </si>
  <si>
    <t>KCNA7</t>
  </si>
  <si>
    <t>EED</t>
  </si>
  <si>
    <t>TUBA1A</t>
  </si>
  <si>
    <t>CPA5</t>
  </si>
  <si>
    <t>SLMAP</t>
  </si>
  <si>
    <t>PIK3R4</t>
  </si>
  <si>
    <t>TMEM186</t>
  </si>
  <si>
    <t>PIK3R1</t>
  </si>
  <si>
    <t>FAM102A</t>
  </si>
  <si>
    <t>LNX2</t>
  </si>
  <si>
    <t>STAG2</t>
  </si>
  <si>
    <t>ST6GALNAC6</t>
  </si>
  <si>
    <t>6430527G18RIK</t>
  </si>
  <si>
    <t>DNMT3L</t>
  </si>
  <si>
    <t>ETV3</t>
  </si>
  <si>
    <t>ETV5</t>
  </si>
  <si>
    <t>AP1G1</t>
  </si>
  <si>
    <t>HMOX1</t>
  </si>
  <si>
    <t>HMOX2</t>
  </si>
  <si>
    <t>BTBD9</t>
  </si>
  <si>
    <t>POMT1</t>
  </si>
  <si>
    <t>SNRPN</t>
  </si>
  <si>
    <t>CFL2</t>
  </si>
  <si>
    <t>RAB3A</t>
  </si>
  <si>
    <t>EHD1</t>
  </si>
  <si>
    <t>PDXK</t>
  </si>
  <si>
    <t>GON4L</t>
  </si>
  <si>
    <t>CCL6</t>
  </si>
  <si>
    <t>TMEM86A</t>
  </si>
  <si>
    <t>RAG1AP1</t>
  </si>
  <si>
    <t>SSBP2</t>
  </si>
  <si>
    <t>CYB5R1</t>
  </si>
  <si>
    <t>GRAP</t>
  </si>
  <si>
    <t>BAIAP2L1</t>
  </si>
  <si>
    <t>ZFP775</t>
  </si>
  <si>
    <t>FHL1</t>
  </si>
  <si>
    <t>HNRNPL</t>
  </si>
  <si>
    <t>SACM1L</t>
  </si>
  <si>
    <t>PDCD4</t>
  </si>
  <si>
    <t>HNRNPF</t>
  </si>
  <si>
    <t>CECR5</t>
  </si>
  <si>
    <t>RCC1</t>
  </si>
  <si>
    <t>NUB1</t>
  </si>
  <si>
    <t>ARL6IP6</t>
  </si>
  <si>
    <t>PRKCE</t>
  </si>
  <si>
    <t>ARL6IP1</t>
  </si>
  <si>
    <t>MLST8</t>
  </si>
  <si>
    <t>MAPK8IP1</t>
  </si>
  <si>
    <t>RGS10</t>
  </si>
  <si>
    <t>ID2</t>
  </si>
  <si>
    <t>ID1</t>
  </si>
  <si>
    <t>TM7SF3</t>
  </si>
  <si>
    <t>9430023L20RIK</t>
  </si>
  <si>
    <t>TADA1</t>
  </si>
  <si>
    <t>WIZ</t>
  </si>
  <si>
    <t>CD52</t>
  </si>
  <si>
    <t>UTP6</t>
  </si>
  <si>
    <t>TXNDC16</t>
  </si>
  <si>
    <t>SPZ1</t>
  </si>
  <si>
    <t>FBXO44</t>
  </si>
  <si>
    <t>HAX1</t>
  </si>
  <si>
    <t>MINA</t>
  </si>
  <si>
    <t>SLC33A1</t>
  </si>
  <si>
    <t>GALNTL1</t>
  </si>
  <si>
    <t>SEC31A</t>
  </si>
  <si>
    <t>XBP1</t>
  </si>
  <si>
    <t>ANKRD7</t>
  </si>
  <si>
    <t>UPK3B</t>
  </si>
  <si>
    <t>ANKRD1</t>
  </si>
  <si>
    <t>PRPS1</t>
  </si>
  <si>
    <t>CDR2</t>
  </si>
  <si>
    <t>TATDN3</t>
  </si>
  <si>
    <t>FUK</t>
  </si>
  <si>
    <t>AHDC1</t>
  </si>
  <si>
    <t>DOK4</t>
  </si>
  <si>
    <t>GMPR2</t>
  </si>
  <si>
    <t>MPPE1</t>
  </si>
  <si>
    <t>ARL4A</t>
  </si>
  <si>
    <t>MTA1</t>
  </si>
  <si>
    <t>PDGFA</t>
  </si>
  <si>
    <t>PDGFD</t>
  </si>
  <si>
    <t>GTF2E2</t>
  </si>
  <si>
    <t>PTRF</t>
  </si>
  <si>
    <t>RAB3D</t>
  </si>
  <si>
    <t>2810004N23RIK</t>
  </si>
  <si>
    <t>CFL1</t>
  </si>
  <si>
    <t>ZFP772</t>
  </si>
  <si>
    <t>BICD2</t>
  </si>
  <si>
    <t>ARMC1</t>
  </si>
  <si>
    <t>NFIC</t>
  </si>
  <si>
    <t>NFIB</t>
  </si>
  <si>
    <t>SELK</t>
  </si>
  <si>
    <t>PDCD6IP</t>
  </si>
  <si>
    <t>METTL11A</t>
  </si>
  <si>
    <t>ACTL6A</t>
  </si>
  <si>
    <t>SPATA3</t>
  </si>
  <si>
    <t>SPATA2</t>
  </si>
  <si>
    <t>TCP11L2</t>
  </si>
  <si>
    <t>SPATA5</t>
  </si>
  <si>
    <t>AAAAAHL8/6g=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</si>
</sst>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274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6</v>
      </c>
      <c r="B6" t="s">
        <v>10</v>
      </c>
    </row>
    <row r="7" spans="1:2">
      <c r="A7" t="s">
        <v>6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15</v>
      </c>
    </row>
    <row r="10" spans="1:2">
      <c r="A10" t="s">
        <v>6</v>
      </c>
      <c r="B10" t="s">
        <v>16</v>
      </c>
    </row>
    <row r="11" spans="1:2">
      <c r="A11" t="s">
        <v>6</v>
      </c>
      <c r="B11" t="s">
        <v>17</v>
      </c>
    </row>
    <row r="12" spans="1:2">
      <c r="A12" t="s">
        <v>18</v>
      </c>
      <c r="B12" t="s">
        <v>19</v>
      </c>
    </row>
    <row r="13" spans="1:2">
      <c r="A13" t="s">
        <v>20</v>
      </c>
      <c r="B13" t="s">
        <v>21</v>
      </c>
    </row>
    <row r="14" spans="1:2">
      <c r="A14" t="s">
        <v>22</v>
      </c>
      <c r="B14" t="s">
        <v>23</v>
      </c>
    </row>
    <row r="15" spans="1:2">
      <c r="A15" t="s">
        <v>24</v>
      </c>
      <c r="B15" t="s">
        <v>25</v>
      </c>
    </row>
    <row r="16" spans="1:2">
      <c r="A16" t="s">
        <v>6</v>
      </c>
      <c r="B16" t="s">
        <v>26</v>
      </c>
    </row>
    <row r="17" spans="1:2">
      <c r="A17" t="s">
        <v>27</v>
      </c>
      <c r="B17" t="s">
        <v>28</v>
      </c>
    </row>
    <row r="18" spans="1:2">
      <c r="A18" t="s">
        <v>29</v>
      </c>
      <c r="B18" t="s">
        <v>30</v>
      </c>
    </row>
    <row r="19" spans="1:2">
      <c r="A19" t="s">
        <v>6</v>
      </c>
      <c r="B19" t="s">
        <v>31</v>
      </c>
    </row>
    <row r="20" spans="1:2">
      <c r="A20" t="s">
        <v>6</v>
      </c>
      <c r="B20" t="s">
        <v>32</v>
      </c>
    </row>
    <row r="21" spans="1:2">
      <c r="A21" t="s">
        <v>33</v>
      </c>
      <c r="B21" t="s">
        <v>34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 t="s">
        <v>40</v>
      </c>
    </row>
    <row r="25" spans="1:2">
      <c r="A25" t="s">
        <v>14</v>
      </c>
      <c r="B25" t="s">
        <v>41</v>
      </c>
    </row>
    <row r="26" spans="1:2">
      <c r="A26" t="s">
        <v>42</v>
      </c>
      <c r="B26" t="s">
        <v>43</v>
      </c>
    </row>
    <row r="27" spans="1:2">
      <c r="A27" t="s">
        <v>22</v>
      </c>
      <c r="B27" t="s">
        <v>44</v>
      </c>
    </row>
    <row r="28" spans="1:2">
      <c r="A28" t="s">
        <v>8</v>
      </c>
      <c r="B28" t="s">
        <v>45</v>
      </c>
    </row>
    <row r="29" spans="1:2">
      <c r="A29" t="s">
        <v>46</v>
      </c>
      <c r="B29" t="s">
        <v>47</v>
      </c>
    </row>
    <row r="30" spans="1:2">
      <c r="A30" t="s">
        <v>48</v>
      </c>
      <c r="B30" t="s">
        <v>49</v>
      </c>
    </row>
    <row r="31" spans="1:2">
      <c r="A31" t="s">
        <v>50</v>
      </c>
      <c r="B31" t="s">
        <v>51</v>
      </c>
    </row>
    <row r="32" spans="1:2">
      <c r="A32" t="s">
        <v>52</v>
      </c>
      <c r="B32" t="s">
        <v>53</v>
      </c>
    </row>
    <row r="33" spans="1:2">
      <c r="A33" t="s">
        <v>6</v>
      </c>
      <c r="B33" t="s">
        <v>54</v>
      </c>
    </row>
    <row r="34" spans="1:2">
      <c r="A34" t="s">
        <v>46</v>
      </c>
      <c r="B34" t="s">
        <v>55</v>
      </c>
    </row>
    <row r="35" spans="1:2">
      <c r="A35" t="s">
        <v>56</v>
      </c>
      <c r="B35" t="s">
        <v>57</v>
      </c>
    </row>
    <row r="36" spans="1:2">
      <c r="A36" t="s">
        <v>18</v>
      </c>
      <c r="B36" t="s">
        <v>58</v>
      </c>
    </row>
    <row r="37" spans="1:2">
      <c r="A37" t="s">
        <v>39</v>
      </c>
      <c r="B37" t="s">
        <v>59</v>
      </c>
    </row>
    <row r="38" spans="1:2">
      <c r="A38" t="s">
        <v>46</v>
      </c>
      <c r="B38" t="s">
        <v>60</v>
      </c>
    </row>
    <row r="39" spans="1:2">
      <c r="A39" t="s">
        <v>6</v>
      </c>
      <c r="B39" t="s">
        <v>61</v>
      </c>
    </row>
    <row r="40" spans="1:2">
      <c r="A40" t="s">
        <v>62</v>
      </c>
      <c r="B40" t="s">
        <v>63</v>
      </c>
    </row>
    <row r="41" spans="1:2">
      <c r="A41" t="s">
        <v>39</v>
      </c>
      <c r="B41" t="s">
        <v>64</v>
      </c>
    </row>
    <row r="42" spans="1:2">
      <c r="A42" t="s">
        <v>65</v>
      </c>
      <c r="B42" t="s">
        <v>66</v>
      </c>
    </row>
    <row r="43" spans="1:2">
      <c r="A43" t="s">
        <v>6</v>
      </c>
      <c r="B43" t="s">
        <v>67</v>
      </c>
    </row>
    <row r="44" spans="1:2">
      <c r="A44" t="s">
        <v>68</v>
      </c>
      <c r="B44" t="s">
        <v>69</v>
      </c>
    </row>
    <row r="45" spans="1:2">
      <c r="A45" t="s">
        <v>6</v>
      </c>
      <c r="B45" t="s">
        <v>70</v>
      </c>
    </row>
    <row r="46" spans="1:2">
      <c r="A46" t="s">
        <v>71</v>
      </c>
      <c r="B46" t="s">
        <v>72</v>
      </c>
    </row>
    <row r="47" spans="1:2">
      <c r="A47" t="s">
        <v>6</v>
      </c>
      <c r="B47" t="s">
        <v>73</v>
      </c>
    </row>
    <row r="48" spans="1:2">
      <c r="A48" t="s">
        <v>65</v>
      </c>
      <c r="B48" t="s">
        <v>74</v>
      </c>
    </row>
    <row r="49" spans="1:2">
      <c r="A49" t="s">
        <v>75</v>
      </c>
      <c r="B49" t="s">
        <v>76</v>
      </c>
    </row>
    <row r="50" spans="1:2">
      <c r="A50" t="s">
        <v>77</v>
      </c>
      <c r="B50" t="s">
        <v>78</v>
      </c>
    </row>
    <row r="51" spans="1:2">
      <c r="A51" t="s">
        <v>29</v>
      </c>
      <c r="B51" t="s">
        <v>79</v>
      </c>
    </row>
    <row r="52" spans="1:2">
      <c r="A52" t="s">
        <v>6</v>
      </c>
      <c r="B52" t="s">
        <v>80</v>
      </c>
    </row>
    <row r="53" spans="1:2">
      <c r="A53" t="s">
        <v>6</v>
      </c>
      <c r="B53" t="s">
        <v>81</v>
      </c>
    </row>
    <row r="54" spans="1:2">
      <c r="A54" t="s">
        <v>6</v>
      </c>
      <c r="B54" t="s">
        <v>82</v>
      </c>
    </row>
    <row r="55" spans="1:2">
      <c r="A55" t="s">
        <v>83</v>
      </c>
      <c r="B55" t="s">
        <v>84</v>
      </c>
    </row>
    <row r="56" spans="1:2">
      <c r="A56" t="s">
        <v>85</v>
      </c>
      <c r="B56" t="s">
        <v>86</v>
      </c>
    </row>
    <row r="57" spans="1:2">
      <c r="A57" t="s">
        <v>29</v>
      </c>
      <c r="B57" t="s">
        <v>87</v>
      </c>
    </row>
    <row r="58" spans="1:2">
      <c r="A58" t="s">
        <v>27</v>
      </c>
      <c r="B58" t="s">
        <v>88</v>
      </c>
    </row>
    <row r="59" spans="1:2">
      <c r="A59" t="s">
        <v>46</v>
      </c>
      <c r="B59" t="s">
        <v>89</v>
      </c>
    </row>
    <row r="60" spans="1:2">
      <c r="A60" t="s">
        <v>8</v>
      </c>
      <c r="B60" t="s">
        <v>90</v>
      </c>
    </row>
    <row r="61" spans="1:2">
      <c r="A61" t="s">
        <v>91</v>
      </c>
      <c r="B61" t="s">
        <v>92</v>
      </c>
    </row>
    <row r="62" spans="1:2">
      <c r="A62" t="s">
        <v>42</v>
      </c>
      <c r="B62" t="s">
        <v>93</v>
      </c>
    </row>
    <row r="63" spans="1:2">
      <c r="A63" t="s">
        <v>94</v>
      </c>
      <c r="B63" t="s">
        <v>95</v>
      </c>
    </row>
    <row r="64" spans="1:2">
      <c r="A64" t="s">
        <v>77</v>
      </c>
      <c r="B64" t="s">
        <v>96</v>
      </c>
    </row>
    <row r="65" spans="1:2">
      <c r="A65" t="s">
        <v>97</v>
      </c>
      <c r="B65" t="s">
        <v>98</v>
      </c>
    </row>
    <row r="66" spans="1:2">
      <c r="A66" t="s">
        <v>6</v>
      </c>
      <c r="B66" t="s">
        <v>99</v>
      </c>
    </row>
    <row r="67" spans="1:2">
      <c r="A67" t="s">
        <v>77</v>
      </c>
      <c r="B67" t="s">
        <v>100</v>
      </c>
    </row>
    <row r="68" spans="1:2">
      <c r="A68" t="s">
        <v>18</v>
      </c>
      <c r="B68" t="s">
        <v>101</v>
      </c>
    </row>
    <row r="69" spans="1:2">
      <c r="A69" t="s">
        <v>6</v>
      </c>
      <c r="B69" t="s">
        <v>102</v>
      </c>
    </row>
    <row r="70" spans="1:2">
      <c r="A70" t="s">
        <v>103</v>
      </c>
      <c r="B70" t="s">
        <v>104</v>
      </c>
    </row>
    <row r="71" spans="1:2">
      <c r="A71" t="s">
        <v>105</v>
      </c>
      <c r="B71" t="s">
        <v>106</v>
      </c>
    </row>
    <row r="72" spans="1:2">
      <c r="A72" t="s">
        <v>107</v>
      </c>
      <c r="B72" t="s">
        <v>108</v>
      </c>
    </row>
    <row r="73" spans="1:2">
      <c r="A73" t="s">
        <v>24</v>
      </c>
      <c r="B73" t="s">
        <v>109</v>
      </c>
    </row>
    <row r="74" spans="1:2">
      <c r="A74" t="s">
        <v>6</v>
      </c>
      <c r="B74" t="s">
        <v>110</v>
      </c>
    </row>
    <row r="75" spans="1:2">
      <c r="A75" t="s">
        <v>68</v>
      </c>
      <c r="B75" t="s">
        <v>111</v>
      </c>
    </row>
    <row r="76" spans="1:2">
      <c r="A76" t="s">
        <v>112</v>
      </c>
      <c r="B76" t="s">
        <v>113</v>
      </c>
    </row>
    <row r="77" spans="1:2">
      <c r="A77" t="s">
        <v>114</v>
      </c>
      <c r="B77" t="s">
        <v>115</v>
      </c>
    </row>
    <row r="78" spans="1:2">
      <c r="A78" t="s">
        <v>6</v>
      </c>
      <c r="B78" t="s">
        <v>116</v>
      </c>
    </row>
    <row r="79" spans="1:2">
      <c r="A79" t="s">
        <v>117</v>
      </c>
      <c r="B79" t="s">
        <v>118</v>
      </c>
    </row>
    <row r="80" spans="1:2">
      <c r="A80" t="s">
        <v>68</v>
      </c>
      <c r="B80" t="s">
        <v>119</v>
      </c>
    </row>
    <row r="81" spans="1:2">
      <c r="A81" t="s">
        <v>6</v>
      </c>
      <c r="B81" t="s">
        <v>120</v>
      </c>
    </row>
    <row r="82" spans="1:2">
      <c r="A82" t="s">
        <v>6</v>
      </c>
      <c r="B82" t="s">
        <v>121</v>
      </c>
    </row>
    <row r="83" spans="1:2">
      <c r="A83" t="s">
        <v>6</v>
      </c>
      <c r="B83" t="s">
        <v>122</v>
      </c>
    </row>
    <row r="84" spans="1:2">
      <c r="A84" t="s">
        <v>46</v>
      </c>
      <c r="B84" t="s">
        <v>123</v>
      </c>
    </row>
    <row r="85" spans="1:2">
      <c r="A85" t="s">
        <v>68</v>
      </c>
      <c r="B85" t="s">
        <v>124</v>
      </c>
    </row>
    <row r="86" spans="1:2">
      <c r="A86" t="s">
        <v>18</v>
      </c>
      <c r="B86" t="s">
        <v>125</v>
      </c>
    </row>
    <row r="87" spans="1:2">
      <c r="A87" t="s">
        <v>6</v>
      </c>
      <c r="B87" t="s">
        <v>126</v>
      </c>
    </row>
    <row r="88" spans="1:2">
      <c r="A88" t="s">
        <v>127</v>
      </c>
      <c r="B88" t="s">
        <v>128</v>
      </c>
    </row>
    <row r="89" spans="1:2">
      <c r="A89" t="s">
        <v>129</v>
      </c>
      <c r="B89" t="s">
        <v>130</v>
      </c>
    </row>
    <row r="90" spans="1:2">
      <c r="A90" t="s">
        <v>131</v>
      </c>
      <c r="B90" t="s">
        <v>132</v>
      </c>
    </row>
    <row r="91" spans="1:2">
      <c r="A91" t="s">
        <v>18</v>
      </c>
      <c r="B91" t="s">
        <v>133</v>
      </c>
    </row>
    <row r="92" spans="1:2">
      <c r="A92" t="s">
        <v>18</v>
      </c>
      <c r="B92" t="s">
        <v>134</v>
      </c>
    </row>
    <row r="93" spans="1:2">
      <c r="A93" t="s">
        <v>85</v>
      </c>
      <c r="B93" t="s">
        <v>135</v>
      </c>
    </row>
    <row r="94" spans="1:2">
      <c r="A94" t="s">
        <v>48</v>
      </c>
      <c r="B94" t="s">
        <v>136</v>
      </c>
    </row>
    <row r="95" spans="1:2">
      <c r="A95" t="s">
        <v>137</v>
      </c>
      <c r="B95" t="s">
        <v>138</v>
      </c>
    </row>
    <row r="96" spans="1:2">
      <c r="A96" t="s">
        <v>22</v>
      </c>
      <c r="B96" t="s">
        <v>139</v>
      </c>
    </row>
    <row r="97" spans="1:2">
      <c r="A97" t="s">
        <v>77</v>
      </c>
      <c r="B97" t="s">
        <v>140</v>
      </c>
    </row>
    <row r="98" spans="1:2">
      <c r="A98" t="s">
        <v>6</v>
      </c>
      <c r="B98" t="s">
        <v>141</v>
      </c>
    </row>
    <row r="99" spans="1:2">
      <c r="A99" t="s">
        <v>142</v>
      </c>
      <c r="B99" t="s">
        <v>143</v>
      </c>
    </row>
    <row r="100" spans="1:2">
      <c r="A100" t="s">
        <v>33</v>
      </c>
      <c r="B100" t="s">
        <v>144</v>
      </c>
    </row>
    <row r="101" spans="1:2">
      <c r="A101" t="s">
        <v>56</v>
      </c>
      <c r="B101" t="s">
        <v>145</v>
      </c>
    </row>
    <row r="102" spans="1:2">
      <c r="A102" t="s">
        <v>48</v>
      </c>
      <c r="B102" t="s">
        <v>146</v>
      </c>
    </row>
    <row r="103" spans="1:2">
      <c r="A103" t="s">
        <v>46</v>
      </c>
      <c r="B103" t="s">
        <v>147</v>
      </c>
    </row>
    <row r="104" spans="1:2">
      <c r="A104" t="s">
        <v>50</v>
      </c>
      <c r="B104" t="s">
        <v>148</v>
      </c>
    </row>
    <row r="105" spans="1:2">
      <c r="A105" t="s">
        <v>6</v>
      </c>
      <c r="B105" t="s">
        <v>149</v>
      </c>
    </row>
    <row r="106" spans="1:2">
      <c r="A106" t="s">
        <v>22</v>
      </c>
      <c r="B106" t="s">
        <v>150</v>
      </c>
    </row>
    <row r="107" spans="1:2">
      <c r="A107" t="s">
        <v>6</v>
      </c>
      <c r="B107" t="s">
        <v>151</v>
      </c>
    </row>
    <row r="108" spans="1:2">
      <c r="A108" t="s">
        <v>152</v>
      </c>
      <c r="B108" t="s">
        <v>153</v>
      </c>
    </row>
    <row r="109" spans="1:2">
      <c r="A109" t="s">
        <v>154</v>
      </c>
      <c r="B109" t="s">
        <v>155</v>
      </c>
    </row>
    <row r="110" spans="1:2">
      <c r="A110" t="s">
        <v>156</v>
      </c>
      <c r="B110" t="s">
        <v>157</v>
      </c>
    </row>
    <row r="111" spans="1:2">
      <c r="A111" t="s">
        <v>6</v>
      </c>
      <c r="B111" t="s">
        <v>158</v>
      </c>
    </row>
    <row r="112" spans="1:2">
      <c r="A112" t="s">
        <v>159</v>
      </c>
      <c r="B112" t="s">
        <v>160</v>
      </c>
    </row>
    <row r="113" spans="1:2">
      <c r="A113" t="s">
        <v>6</v>
      </c>
      <c r="B113" t="s">
        <v>161</v>
      </c>
    </row>
    <row r="114" spans="1:2">
      <c r="A114" t="s">
        <v>6</v>
      </c>
      <c r="B114" t="s">
        <v>162</v>
      </c>
    </row>
    <row r="115" spans="1:2">
      <c r="A115" t="s">
        <v>6</v>
      </c>
      <c r="B115" t="s">
        <v>163</v>
      </c>
    </row>
    <row r="116" spans="1:2">
      <c r="A116" t="s">
        <v>46</v>
      </c>
      <c r="B116" t="s">
        <v>164</v>
      </c>
    </row>
    <row r="117" spans="1:2">
      <c r="A117" t="s">
        <v>50</v>
      </c>
      <c r="B117" t="s">
        <v>165</v>
      </c>
    </row>
    <row r="118" spans="1:2">
      <c r="A118" t="s">
        <v>6</v>
      </c>
      <c r="B118" t="s">
        <v>166</v>
      </c>
    </row>
    <row r="119" spans="1:2">
      <c r="A119" t="s">
        <v>167</v>
      </c>
      <c r="B119" t="s">
        <v>168</v>
      </c>
    </row>
    <row r="120" spans="1:2">
      <c r="A120" t="s">
        <v>154</v>
      </c>
      <c r="B120" t="s">
        <v>169</v>
      </c>
    </row>
    <row r="121" spans="1:2">
      <c r="A121" t="s">
        <v>29</v>
      </c>
      <c r="B121" t="s">
        <v>170</v>
      </c>
    </row>
    <row r="122" spans="1:2">
      <c r="A122" t="s">
        <v>50</v>
      </c>
      <c r="B122" t="s">
        <v>171</v>
      </c>
    </row>
    <row r="123" spans="1:2">
      <c r="A123" t="s">
        <v>18</v>
      </c>
      <c r="B123" t="s">
        <v>172</v>
      </c>
    </row>
    <row r="124" spans="1:2">
      <c r="A124" t="s">
        <v>103</v>
      </c>
      <c r="B124" t="s">
        <v>173</v>
      </c>
    </row>
    <row r="125" spans="1:2">
      <c r="A125" t="s">
        <v>6</v>
      </c>
      <c r="B125" t="s">
        <v>174</v>
      </c>
    </row>
    <row r="126" spans="1:2">
      <c r="A126" t="s">
        <v>6</v>
      </c>
      <c r="B126" t="s">
        <v>175</v>
      </c>
    </row>
    <row r="127" spans="1:2">
      <c r="A127" t="s">
        <v>176</v>
      </c>
      <c r="B127" t="s">
        <v>177</v>
      </c>
    </row>
    <row r="128" spans="1:2">
      <c r="A128" t="s">
        <v>6</v>
      </c>
      <c r="B128" t="s">
        <v>178</v>
      </c>
    </row>
    <row r="129" spans="1:2">
      <c r="A129" t="s">
        <v>18</v>
      </c>
      <c r="B129" t="s">
        <v>179</v>
      </c>
    </row>
    <row r="130" spans="1:2">
      <c r="A130" t="s">
        <v>6</v>
      </c>
      <c r="B130" t="s">
        <v>180</v>
      </c>
    </row>
    <row r="131" spans="1:2">
      <c r="A131" t="s">
        <v>6</v>
      </c>
      <c r="B131" t="s">
        <v>181</v>
      </c>
    </row>
    <row r="132" spans="1:2">
      <c r="A132" t="s">
        <v>6</v>
      </c>
      <c r="B132" t="s">
        <v>182</v>
      </c>
    </row>
    <row r="133" spans="1:2">
      <c r="A133" t="s">
        <v>6</v>
      </c>
      <c r="B133" t="s">
        <v>183</v>
      </c>
    </row>
    <row r="134" spans="1:2">
      <c r="A134" t="s">
        <v>68</v>
      </c>
      <c r="B134" t="s">
        <v>184</v>
      </c>
    </row>
    <row r="135" spans="1:2">
      <c r="A135" t="s">
        <v>48</v>
      </c>
      <c r="B135" t="s">
        <v>185</v>
      </c>
    </row>
    <row r="136" spans="1:2">
      <c r="A136" t="s">
        <v>46</v>
      </c>
      <c r="B136" t="s">
        <v>186</v>
      </c>
    </row>
    <row r="137" spans="1:2">
      <c r="A137" t="s">
        <v>22</v>
      </c>
      <c r="B137" t="s">
        <v>187</v>
      </c>
    </row>
    <row r="138" spans="1:2">
      <c r="A138" t="s">
        <v>42</v>
      </c>
      <c r="B138" t="s">
        <v>188</v>
      </c>
    </row>
    <row r="139" spans="1:2">
      <c r="A139" t="s">
        <v>6</v>
      </c>
      <c r="B139" t="s">
        <v>189</v>
      </c>
    </row>
    <row r="140" spans="1:2">
      <c r="A140" t="s">
        <v>6</v>
      </c>
      <c r="B140" t="s">
        <v>190</v>
      </c>
    </row>
    <row r="141" spans="1:2">
      <c r="A141" t="s">
        <v>191</v>
      </c>
      <c r="B141" t="s">
        <v>192</v>
      </c>
    </row>
    <row r="142" spans="1:2">
      <c r="A142" t="s">
        <v>77</v>
      </c>
      <c r="B142" t="s">
        <v>193</v>
      </c>
    </row>
    <row r="143" spans="1:2">
      <c r="A143" t="s">
        <v>8</v>
      </c>
      <c r="B143" t="s">
        <v>194</v>
      </c>
    </row>
    <row r="144" spans="1:2">
      <c r="A144" t="s">
        <v>39</v>
      </c>
      <c r="B144" t="s">
        <v>195</v>
      </c>
    </row>
    <row r="145" spans="1:2">
      <c r="A145" t="s">
        <v>6</v>
      </c>
      <c r="B145" t="s">
        <v>196</v>
      </c>
    </row>
    <row r="146" spans="1:2">
      <c r="A146" t="s">
        <v>18</v>
      </c>
      <c r="B146" t="s">
        <v>197</v>
      </c>
    </row>
    <row r="147" spans="1:2">
      <c r="A147" t="s">
        <v>68</v>
      </c>
      <c r="B147" t="s">
        <v>198</v>
      </c>
    </row>
    <row r="148" spans="1:2">
      <c r="A148" t="s">
        <v>6</v>
      </c>
      <c r="B148" t="s">
        <v>199</v>
      </c>
    </row>
    <row r="149" spans="1:2">
      <c r="A149" t="s">
        <v>6</v>
      </c>
      <c r="B149" t="s">
        <v>200</v>
      </c>
    </row>
    <row r="150" spans="1:2">
      <c r="A150" t="s">
        <v>6</v>
      </c>
      <c r="B150" t="s">
        <v>201</v>
      </c>
    </row>
    <row r="151" spans="1:2">
      <c r="A151" t="s">
        <v>105</v>
      </c>
      <c r="B151" t="s">
        <v>202</v>
      </c>
    </row>
    <row r="152" spans="1:2">
      <c r="A152" t="s">
        <v>33</v>
      </c>
      <c r="B152" t="s">
        <v>203</v>
      </c>
    </row>
    <row r="153" spans="1:2">
      <c r="A153" t="s">
        <v>6</v>
      </c>
      <c r="B153" t="s">
        <v>204</v>
      </c>
    </row>
    <row r="154" spans="1:2">
      <c r="A154" t="s">
        <v>6</v>
      </c>
      <c r="B154" t="s">
        <v>205</v>
      </c>
    </row>
    <row r="155" spans="1:2">
      <c r="A155" t="s">
        <v>6</v>
      </c>
      <c r="B155" t="s">
        <v>206</v>
      </c>
    </row>
    <row r="156" spans="1:2">
      <c r="A156" t="s">
        <v>6</v>
      </c>
      <c r="B156" t="s">
        <v>207</v>
      </c>
    </row>
    <row r="157" spans="1:2">
      <c r="A157" t="s">
        <v>8</v>
      </c>
      <c r="B157" t="s">
        <v>208</v>
      </c>
    </row>
    <row r="158" spans="1:2">
      <c r="A158" t="s">
        <v>6</v>
      </c>
      <c r="B158" t="s">
        <v>209</v>
      </c>
    </row>
    <row r="159" spans="1:2">
      <c r="A159" t="s">
        <v>6</v>
      </c>
      <c r="B159" t="s">
        <v>210</v>
      </c>
    </row>
    <row r="160" spans="1:2">
      <c r="A160" t="s">
        <v>18</v>
      </c>
      <c r="B160" t="s">
        <v>211</v>
      </c>
    </row>
    <row r="161" spans="1:2">
      <c r="A161" t="s">
        <v>212</v>
      </c>
      <c r="B161" t="s">
        <v>213</v>
      </c>
    </row>
    <row r="162" spans="1:2">
      <c r="A162" t="s">
        <v>214</v>
      </c>
      <c r="B162" t="s">
        <v>215</v>
      </c>
    </row>
    <row r="163" spans="1:2">
      <c r="A163" t="s">
        <v>133</v>
      </c>
      <c r="B163" t="s">
        <v>216</v>
      </c>
    </row>
    <row r="164" spans="1:2">
      <c r="A164" t="s">
        <v>112</v>
      </c>
      <c r="B164" t="s">
        <v>217</v>
      </c>
    </row>
    <row r="165" spans="1:2">
      <c r="A165" t="s">
        <v>218</v>
      </c>
      <c r="B165" t="s">
        <v>219</v>
      </c>
    </row>
    <row r="166" spans="1:2">
      <c r="A166" t="s">
        <v>18</v>
      </c>
      <c r="B166" t="s">
        <v>220</v>
      </c>
    </row>
    <row r="167" spans="1:2">
      <c r="A167" t="s">
        <v>20</v>
      </c>
      <c r="B167" t="s">
        <v>221</v>
      </c>
    </row>
    <row r="168" spans="1:2">
      <c r="A168" t="s">
        <v>20</v>
      </c>
      <c r="B168" t="s">
        <v>222</v>
      </c>
    </row>
    <row r="169" spans="1:2">
      <c r="A169" t="s">
        <v>223</v>
      </c>
      <c r="B169" t="s">
        <v>224</v>
      </c>
    </row>
    <row r="170" spans="1:2">
      <c r="A170" t="s">
        <v>8</v>
      </c>
      <c r="B170" t="s">
        <v>225</v>
      </c>
    </row>
    <row r="171" spans="1:2">
      <c r="A171" t="s">
        <v>6</v>
      </c>
      <c r="B171" t="s">
        <v>226</v>
      </c>
    </row>
    <row r="172" spans="1:2">
      <c r="A172" t="s">
        <v>18</v>
      </c>
      <c r="B172" t="s">
        <v>227</v>
      </c>
    </row>
    <row r="173" spans="1:2">
      <c r="A173" t="s">
        <v>6</v>
      </c>
      <c r="B173" t="s">
        <v>228</v>
      </c>
    </row>
    <row r="174" spans="1:2">
      <c r="A174" t="s">
        <v>6</v>
      </c>
      <c r="B174" t="s">
        <v>229</v>
      </c>
    </row>
    <row r="175" spans="1:2">
      <c r="A175" t="s">
        <v>6</v>
      </c>
      <c r="B175" t="s">
        <v>230</v>
      </c>
    </row>
    <row r="176" spans="1:2">
      <c r="A176" t="s">
        <v>6</v>
      </c>
      <c r="B176" t="s">
        <v>231</v>
      </c>
    </row>
    <row r="177" spans="1:2">
      <c r="A177" t="s">
        <v>18</v>
      </c>
      <c r="B177" t="s">
        <v>232</v>
      </c>
    </row>
    <row r="178" spans="1:2">
      <c r="A178" t="s">
        <v>42</v>
      </c>
      <c r="B178" t="s">
        <v>233</v>
      </c>
    </row>
    <row r="179" spans="1:2">
      <c r="A179" t="s">
        <v>6</v>
      </c>
      <c r="B179" t="s">
        <v>234</v>
      </c>
    </row>
    <row r="180" spans="1:2">
      <c r="A180" t="s">
        <v>6</v>
      </c>
      <c r="B180" t="s">
        <v>235</v>
      </c>
    </row>
    <row r="181" spans="1:2">
      <c r="A181" t="s">
        <v>56</v>
      </c>
      <c r="B181" t="s">
        <v>236</v>
      </c>
    </row>
    <row r="182" spans="1:2">
      <c r="A182" t="s">
        <v>6</v>
      </c>
      <c r="B182" t="s">
        <v>237</v>
      </c>
    </row>
    <row r="183" spans="1:2">
      <c r="A183" t="s">
        <v>6</v>
      </c>
      <c r="B183" t="s">
        <v>238</v>
      </c>
    </row>
    <row r="184" spans="1:2">
      <c r="A184" t="s">
        <v>6</v>
      </c>
      <c r="B184" t="s">
        <v>239</v>
      </c>
    </row>
    <row r="185" spans="1:2">
      <c r="A185" t="s">
        <v>29</v>
      </c>
      <c r="B185" t="s">
        <v>240</v>
      </c>
    </row>
    <row r="186" spans="1:2">
      <c r="A186" t="s">
        <v>241</v>
      </c>
      <c r="B186" t="s">
        <v>242</v>
      </c>
    </row>
    <row r="187" spans="1:2">
      <c r="A187" t="s">
        <v>50</v>
      </c>
      <c r="B187" t="s">
        <v>243</v>
      </c>
    </row>
    <row r="188" spans="1:2">
      <c r="A188" t="s">
        <v>8</v>
      </c>
      <c r="B188" t="s">
        <v>244</v>
      </c>
    </row>
    <row r="189" spans="1:2">
      <c r="A189" t="s">
        <v>191</v>
      </c>
      <c r="B189" t="s">
        <v>245</v>
      </c>
    </row>
    <row r="190" spans="1:2">
      <c r="A190" t="s">
        <v>29</v>
      </c>
      <c r="B190" t="s">
        <v>246</v>
      </c>
    </row>
    <row r="191" spans="1:2">
      <c r="A191" t="s">
        <v>12</v>
      </c>
      <c r="B191" t="s">
        <v>247</v>
      </c>
    </row>
    <row r="192" spans="1:2">
      <c r="A192" t="s">
        <v>6</v>
      </c>
      <c r="B192" t="s">
        <v>248</v>
      </c>
    </row>
    <row r="193" spans="1:2">
      <c r="A193" t="s">
        <v>14</v>
      </c>
      <c r="B193" t="s">
        <v>249</v>
      </c>
    </row>
    <row r="194" spans="1:2">
      <c r="A194" t="s">
        <v>56</v>
      </c>
      <c r="B194" t="s">
        <v>250</v>
      </c>
    </row>
    <row r="195" spans="1:2">
      <c r="A195" t="s">
        <v>251</v>
      </c>
      <c r="B195" t="s">
        <v>252</v>
      </c>
    </row>
    <row r="196" spans="1:2">
      <c r="A196" t="s">
        <v>18</v>
      </c>
      <c r="B196" t="s">
        <v>253</v>
      </c>
    </row>
    <row r="197" spans="1:2">
      <c r="A197" t="s">
        <v>39</v>
      </c>
      <c r="B197" t="s">
        <v>254</v>
      </c>
    </row>
    <row r="198" spans="1:2">
      <c r="A198" t="s">
        <v>255</v>
      </c>
      <c r="B198" t="s">
        <v>256</v>
      </c>
    </row>
    <row r="199" spans="1:2">
      <c r="A199" t="s">
        <v>14</v>
      </c>
      <c r="B199" t="s">
        <v>257</v>
      </c>
    </row>
    <row r="200" spans="1:2">
      <c r="A200" t="s">
        <v>258</v>
      </c>
      <c r="B200" t="s">
        <v>259</v>
      </c>
    </row>
    <row r="201" spans="1:2">
      <c r="A201" t="s">
        <v>18</v>
      </c>
      <c r="B201" t="s">
        <v>260</v>
      </c>
    </row>
    <row r="202" spans="1:2">
      <c r="A202" t="s">
        <v>6</v>
      </c>
      <c r="B202" t="s">
        <v>261</v>
      </c>
    </row>
    <row r="203" spans="1:2">
      <c r="A203" t="s">
        <v>6</v>
      </c>
      <c r="B203" t="s">
        <v>262</v>
      </c>
    </row>
    <row r="204" spans="1:2">
      <c r="A204" t="s">
        <v>33</v>
      </c>
      <c r="B204" t="s">
        <v>263</v>
      </c>
    </row>
    <row r="205" spans="1:2">
      <c r="A205" t="s">
        <v>107</v>
      </c>
      <c r="B205" t="s">
        <v>264</v>
      </c>
    </row>
    <row r="206" spans="1:2">
      <c r="A206" t="s">
        <v>6</v>
      </c>
      <c r="B206" t="s">
        <v>265</v>
      </c>
    </row>
    <row r="207" spans="1:2">
      <c r="A207" t="s">
        <v>8</v>
      </c>
      <c r="B207" t="s">
        <v>266</v>
      </c>
    </row>
    <row r="208" spans="1:2">
      <c r="A208" t="s">
        <v>18</v>
      </c>
      <c r="B208" t="s">
        <v>267</v>
      </c>
    </row>
    <row r="209" spans="1:2">
      <c r="A209" t="s">
        <v>176</v>
      </c>
      <c r="B209" t="s">
        <v>268</v>
      </c>
    </row>
    <row r="210" spans="1:2">
      <c r="A210" t="s">
        <v>77</v>
      </c>
      <c r="B210" t="s">
        <v>269</v>
      </c>
    </row>
    <row r="211" spans="1:2">
      <c r="A211" t="s">
        <v>6</v>
      </c>
      <c r="B211" t="s">
        <v>270</v>
      </c>
    </row>
    <row r="212" spans="1:2">
      <c r="A212" t="s">
        <v>154</v>
      </c>
      <c r="B212" t="s">
        <v>271</v>
      </c>
    </row>
    <row r="213" spans="1:2">
      <c r="A213" t="s">
        <v>6</v>
      </c>
      <c r="B213" t="s">
        <v>272</v>
      </c>
    </row>
    <row r="214" spans="1:2">
      <c r="A214" t="s">
        <v>20</v>
      </c>
      <c r="B214" t="s">
        <v>273</v>
      </c>
    </row>
    <row r="215" spans="1:2">
      <c r="A215" t="s">
        <v>42</v>
      </c>
      <c r="B215" t="s">
        <v>274</v>
      </c>
    </row>
    <row r="216" spans="1:2">
      <c r="A216" t="s">
        <v>77</v>
      </c>
      <c r="B216" t="s">
        <v>275</v>
      </c>
    </row>
    <row r="217" spans="1:2">
      <c r="A217" t="s">
        <v>6</v>
      </c>
      <c r="B217" t="s">
        <v>276</v>
      </c>
    </row>
    <row r="218" spans="1:2">
      <c r="A218" t="s">
        <v>18</v>
      </c>
      <c r="B218" t="s">
        <v>277</v>
      </c>
    </row>
    <row r="219" spans="1:2">
      <c r="A219" t="s">
        <v>6</v>
      </c>
      <c r="B219" t="s">
        <v>278</v>
      </c>
    </row>
    <row r="220" spans="1:2">
      <c r="A220" t="s">
        <v>6</v>
      </c>
      <c r="B220" t="s">
        <v>279</v>
      </c>
    </row>
    <row r="221" spans="1:2">
      <c r="A221" t="s">
        <v>6</v>
      </c>
      <c r="B221" t="s">
        <v>280</v>
      </c>
    </row>
    <row r="222" spans="1:2">
      <c r="A222" t="s">
        <v>6</v>
      </c>
      <c r="B222" t="s">
        <v>281</v>
      </c>
    </row>
    <row r="223" spans="1:2">
      <c r="A223" t="s">
        <v>134</v>
      </c>
      <c r="B223" t="s">
        <v>282</v>
      </c>
    </row>
    <row r="224" spans="1:2">
      <c r="A224" t="s">
        <v>18</v>
      </c>
      <c r="B224" t="s">
        <v>283</v>
      </c>
    </row>
    <row r="225" spans="1:2">
      <c r="A225" t="s">
        <v>12</v>
      </c>
      <c r="B225" t="s">
        <v>284</v>
      </c>
    </row>
    <row r="226" spans="1:2">
      <c r="A226" t="s">
        <v>6</v>
      </c>
      <c r="B226" t="s">
        <v>285</v>
      </c>
    </row>
    <row r="227" spans="1:2">
      <c r="A227" t="s">
        <v>14</v>
      </c>
      <c r="B227" t="s">
        <v>286</v>
      </c>
    </row>
    <row r="228" spans="1:2">
      <c r="A228" t="s">
        <v>6</v>
      </c>
      <c r="B228" t="s">
        <v>287</v>
      </c>
    </row>
    <row r="229" spans="1:2">
      <c r="A229" t="s">
        <v>288</v>
      </c>
      <c r="B229" t="s">
        <v>289</v>
      </c>
    </row>
    <row r="230" spans="1:2">
      <c r="A230" t="s">
        <v>56</v>
      </c>
      <c r="B230" t="s">
        <v>290</v>
      </c>
    </row>
    <row r="231" spans="1:2">
      <c r="A231" t="s">
        <v>6</v>
      </c>
      <c r="B231" t="s">
        <v>291</v>
      </c>
    </row>
    <row r="232" spans="1:2">
      <c r="A232" t="s">
        <v>77</v>
      </c>
      <c r="B232" t="s">
        <v>292</v>
      </c>
    </row>
    <row r="233" spans="1:2">
      <c r="A233" t="s">
        <v>68</v>
      </c>
      <c r="B233" t="s">
        <v>293</v>
      </c>
    </row>
    <row r="234" spans="1:2">
      <c r="A234" t="s">
        <v>288</v>
      </c>
      <c r="B234" t="s">
        <v>294</v>
      </c>
    </row>
    <row r="235" spans="1:2">
      <c r="A235" t="s">
        <v>6</v>
      </c>
      <c r="B235" t="s">
        <v>295</v>
      </c>
    </row>
    <row r="236" spans="1:2">
      <c r="A236" t="s">
        <v>20</v>
      </c>
      <c r="B236" t="s">
        <v>296</v>
      </c>
    </row>
    <row r="237" spans="1:2">
      <c r="A237" t="s">
        <v>6</v>
      </c>
      <c r="B237" t="s">
        <v>297</v>
      </c>
    </row>
    <row r="238" spans="1:2">
      <c r="A238" t="s">
        <v>152</v>
      </c>
      <c r="B238" t="s">
        <v>298</v>
      </c>
    </row>
    <row r="239" spans="1:2">
      <c r="A239" t="s">
        <v>6</v>
      </c>
      <c r="B239" t="s">
        <v>299</v>
      </c>
    </row>
    <row r="240" spans="1:2">
      <c r="A240" t="s">
        <v>39</v>
      </c>
      <c r="B240" t="s">
        <v>300</v>
      </c>
    </row>
    <row r="241" spans="1:2">
      <c r="A241" t="s">
        <v>68</v>
      </c>
      <c r="B241" t="s">
        <v>301</v>
      </c>
    </row>
    <row r="242" spans="1:2">
      <c r="A242" t="s">
        <v>68</v>
      </c>
      <c r="B242" t="s">
        <v>302</v>
      </c>
    </row>
    <row r="243" spans="1:2">
      <c r="A243" t="s">
        <v>303</v>
      </c>
      <c r="B243" t="s">
        <v>304</v>
      </c>
    </row>
    <row r="244" spans="1:2">
      <c r="A244" t="s">
        <v>77</v>
      </c>
      <c r="B244" t="s">
        <v>305</v>
      </c>
    </row>
    <row r="245" spans="1:2">
      <c r="A245" t="s">
        <v>105</v>
      </c>
      <c r="B245" t="s">
        <v>306</v>
      </c>
    </row>
    <row r="246" spans="1:2">
      <c r="A246" t="s">
        <v>6</v>
      </c>
      <c r="B246" t="s">
        <v>307</v>
      </c>
    </row>
    <row r="247" spans="1:2">
      <c r="A247" t="s">
        <v>6</v>
      </c>
      <c r="B247" t="s">
        <v>308</v>
      </c>
    </row>
    <row r="248" spans="1:2">
      <c r="A248" t="s">
        <v>18</v>
      </c>
      <c r="B248" t="s">
        <v>309</v>
      </c>
    </row>
    <row r="249" spans="1:2">
      <c r="A249" t="s">
        <v>310</v>
      </c>
      <c r="B249" t="s">
        <v>311</v>
      </c>
    </row>
    <row r="250" spans="1:2">
      <c r="A250" t="s">
        <v>6</v>
      </c>
      <c r="B250" t="s">
        <v>312</v>
      </c>
    </row>
    <row r="251" spans="1:2">
      <c r="A251" t="s">
        <v>33</v>
      </c>
      <c r="B251" t="s">
        <v>131</v>
      </c>
    </row>
    <row r="252" spans="1:2">
      <c r="A252" t="s">
        <v>6</v>
      </c>
      <c r="B252" t="s">
        <v>313</v>
      </c>
    </row>
    <row r="253" spans="1:2">
      <c r="A253" t="s">
        <v>314</v>
      </c>
      <c r="B253" t="s">
        <v>315</v>
      </c>
    </row>
    <row r="254" spans="1:2">
      <c r="A254" t="s">
        <v>6</v>
      </c>
      <c r="B254" t="s">
        <v>316</v>
      </c>
    </row>
    <row r="255" spans="1:2">
      <c r="A255" t="s">
        <v>20</v>
      </c>
      <c r="B255" t="s">
        <v>317</v>
      </c>
    </row>
    <row r="256" spans="1:2">
      <c r="A256" t="s">
        <v>77</v>
      </c>
      <c r="B256" t="s">
        <v>318</v>
      </c>
    </row>
    <row r="257" spans="1:2">
      <c r="A257" t="s">
        <v>91</v>
      </c>
      <c r="B257" t="s">
        <v>319</v>
      </c>
    </row>
    <row r="258" spans="1:2">
      <c r="A258" t="s">
        <v>56</v>
      </c>
      <c r="B258" t="s">
        <v>320</v>
      </c>
    </row>
    <row r="259" spans="1:2">
      <c r="A259" t="s">
        <v>18</v>
      </c>
      <c r="B259" t="s">
        <v>321</v>
      </c>
    </row>
    <row r="260" spans="1:2">
      <c r="A260" t="s">
        <v>6</v>
      </c>
      <c r="B260" t="s">
        <v>322</v>
      </c>
    </row>
    <row r="261" spans="1:2">
      <c r="A261" t="s">
        <v>323</v>
      </c>
      <c r="B261" t="s">
        <v>324</v>
      </c>
    </row>
    <row r="262" spans="1:2">
      <c r="A262" t="s">
        <v>6</v>
      </c>
      <c r="B262" t="s">
        <v>325</v>
      </c>
    </row>
    <row r="263" spans="1:2">
      <c r="A263" t="s">
        <v>6</v>
      </c>
      <c r="B263" t="s">
        <v>326</v>
      </c>
    </row>
    <row r="264" spans="1:2">
      <c r="A264" t="s">
        <v>310</v>
      </c>
      <c r="B264" t="s">
        <v>327</v>
      </c>
    </row>
    <row r="265" spans="1:2">
      <c r="A265" t="s">
        <v>77</v>
      </c>
      <c r="B265" t="s">
        <v>328</v>
      </c>
    </row>
    <row r="266" spans="1:2">
      <c r="A266" t="s">
        <v>107</v>
      </c>
      <c r="B266" t="s">
        <v>329</v>
      </c>
    </row>
    <row r="267" spans="1:2">
      <c r="A267" t="s">
        <v>6</v>
      </c>
      <c r="B267" t="s">
        <v>330</v>
      </c>
    </row>
    <row r="268" spans="1:2">
      <c r="A268" t="s">
        <v>8</v>
      </c>
      <c r="B268" t="s">
        <v>331</v>
      </c>
    </row>
    <row r="269" spans="1:2">
      <c r="A269" t="s">
        <v>6</v>
      </c>
      <c r="B269" t="s">
        <v>332</v>
      </c>
    </row>
    <row r="270" spans="1:2">
      <c r="A270" t="s">
        <v>56</v>
      </c>
      <c r="B270" t="s">
        <v>333</v>
      </c>
    </row>
    <row r="271" spans="1:2">
      <c r="A271" t="s">
        <v>56</v>
      </c>
      <c r="B271" t="s">
        <v>334</v>
      </c>
    </row>
    <row r="272" spans="1:2">
      <c r="A272" t="s">
        <v>48</v>
      </c>
      <c r="B272" t="s">
        <v>335</v>
      </c>
    </row>
    <row r="273" spans="1:2">
      <c r="A273" t="s">
        <v>6</v>
      </c>
      <c r="B273" t="s">
        <v>336</v>
      </c>
    </row>
    <row r="274" spans="1:2">
      <c r="A274" t="s">
        <v>18</v>
      </c>
      <c r="B274" t="s">
        <v>337</v>
      </c>
    </row>
    <row r="275" spans="1:2">
      <c r="A275" t="s">
        <v>56</v>
      </c>
      <c r="B275" t="s">
        <v>4</v>
      </c>
    </row>
    <row r="276" spans="1:2">
      <c r="A276" t="s">
        <v>107</v>
      </c>
      <c r="B276" t="s">
        <v>338</v>
      </c>
    </row>
    <row r="277" spans="1:2">
      <c r="A277" t="s">
        <v>6</v>
      </c>
      <c r="B277" t="s">
        <v>339</v>
      </c>
    </row>
    <row r="278" spans="1:2">
      <c r="A278" t="s">
        <v>6</v>
      </c>
      <c r="B278" t="s">
        <v>340</v>
      </c>
    </row>
    <row r="279" spans="1:2">
      <c r="A279" t="s">
        <v>56</v>
      </c>
      <c r="B279" t="s">
        <v>341</v>
      </c>
    </row>
    <row r="280" spans="1:2">
      <c r="A280" t="s">
        <v>14</v>
      </c>
      <c r="B280" t="s">
        <v>342</v>
      </c>
    </row>
    <row r="281" spans="1:2">
      <c r="A281" t="s">
        <v>14</v>
      </c>
      <c r="B281" t="s">
        <v>343</v>
      </c>
    </row>
    <row r="282" spans="1:2">
      <c r="A282" t="s">
        <v>344</v>
      </c>
      <c r="B282" t="s">
        <v>345</v>
      </c>
    </row>
    <row r="283" spans="1:2">
      <c r="A283" t="s">
        <v>6</v>
      </c>
      <c r="B283" t="s">
        <v>346</v>
      </c>
    </row>
    <row r="284" spans="1:2">
      <c r="A284" t="s">
        <v>347</v>
      </c>
      <c r="B284" t="s">
        <v>348</v>
      </c>
    </row>
    <row r="285" spans="1:2">
      <c r="A285" t="s">
        <v>14</v>
      </c>
      <c r="B285" t="s">
        <v>349</v>
      </c>
    </row>
    <row r="286" spans="1:2">
      <c r="A286" t="s">
        <v>56</v>
      </c>
      <c r="B286" t="s">
        <v>350</v>
      </c>
    </row>
    <row r="287" spans="1:2">
      <c r="A287" t="s">
        <v>6</v>
      </c>
      <c r="B287" t="s">
        <v>351</v>
      </c>
    </row>
    <row r="288" spans="1:2">
      <c r="A288" t="s">
        <v>18</v>
      </c>
      <c r="B288" t="s">
        <v>352</v>
      </c>
    </row>
    <row r="289" spans="1:2">
      <c r="A289" t="s">
        <v>68</v>
      </c>
      <c r="B289" t="s">
        <v>353</v>
      </c>
    </row>
    <row r="290" spans="1:2">
      <c r="A290" t="s">
        <v>14</v>
      </c>
      <c r="B290" t="s">
        <v>354</v>
      </c>
    </row>
    <row r="291" spans="1:2">
      <c r="A291" t="s">
        <v>160</v>
      </c>
      <c r="B291" t="s">
        <v>355</v>
      </c>
    </row>
    <row r="292" spans="1:2">
      <c r="A292" t="s">
        <v>356</v>
      </c>
      <c r="B292" t="s">
        <v>357</v>
      </c>
    </row>
    <row r="293" spans="1:2">
      <c r="A293" t="s">
        <v>6</v>
      </c>
      <c r="B293" t="s">
        <v>358</v>
      </c>
    </row>
    <row r="294" spans="1:2">
      <c r="A294" t="s">
        <v>14</v>
      </c>
      <c r="B294" t="s">
        <v>359</v>
      </c>
    </row>
    <row r="295" spans="1:2">
      <c r="A295" t="s">
        <v>18</v>
      </c>
      <c r="B295" t="s">
        <v>360</v>
      </c>
    </row>
    <row r="296" spans="1:2">
      <c r="A296" t="s">
        <v>134</v>
      </c>
      <c r="B296" t="s">
        <v>361</v>
      </c>
    </row>
    <row r="297" spans="1:2">
      <c r="A297" t="s">
        <v>29</v>
      </c>
      <c r="B297" t="s">
        <v>362</v>
      </c>
    </row>
    <row r="298" spans="1:2">
      <c r="A298" t="s">
        <v>18</v>
      </c>
      <c r="B298" t="s">
        <v>363</v>
      </c>
    </row>
    <row r="299" spans="1:2">
      <c r="A299" t="s">
        <v>6</v>
      </c>
      <c r="B299" t="s">
        <v>364</v>
      </c>
    </row>
    <row r="300" spans="1:2">
      <c r="A300" t="s">
        <v>130</v>
      </c>
      <c r="B300" t="s">
        <v>365</v>
      </c>
    </row>
    <row r="301" spans="1:2">
      <c r="A301" t="s">
        <v>191</v>
      </c>
      <c r="B301" t="s">
        <v>366</v>
      </c>
    </row>
    <row r="302" spans="1:2">
      <c r="A302" t="s">
        <v>48</v>
      </c>
      <c r="B302" t="s">
        <v>367</v>
      </c>
    </row>
    <row r="303" spans="1:2">
      <c r="A303" t="s">
        <v>18</v>
      </c>
      <c r="B303" t="s">
        <v>368</v>
      </c>
    </row>
    <row r="304" spans="1:2">
      <c r="A304" t="s">
        <v>369</v>
      </c>
      <c r="B304" t="s">
        <v>370</v>
      </c>
    </row>
    <row r="305" spans="1:2">
      <c r="A305" t="s">
        <v>6</v>
      </c>
      <c r="B305" t="s">
        <v>371</v>
      </c>
    </row>
    <row r="306" spans="1:2">
      <c r="A306" t="s">
        <v>6</v>
      </c>
      <c r="B306" t="s">
        <v>372</v>
      </c>
    </row>
    <row r="307" spans="1:2">
      <c r="A307" t="s">
        <v>6</v>
      </c>
      <c r="B307" t="s">
        <v>373</v>
      </c>
    </row>
    <row r="308" spans="1:2">
      <c r="A308" t="s">
        <v>71</v>
      </c>
      <c r="B308" t="s">
        <v>374</v>
      </c>
    </row>
    <row r="309" spans="1:2">
      <c r="A309" t="s">
        <v>6</v>
      </c>
      <c r="B309" t="s">
        <v>375</v>
      </c>
    </row>
    <row r="310" spans="1:2">
      <c r="A310" t="s">
        <v>18</v>
      </c>
      <c r="B310" t="s">
        <v>376</v>
      </c>
    </row>
    <row r="311" spans="1:2">
      <c r="A311" t="s">
        <v>18</v>
      </c>
      <c r="B311" t="s">
        <v>377</v>
      </c>
    </row>
    <row r="312" spans="1:2">
      <c r="A312" t="s">
        <v>20</v>
      </c>
      <c r="B312" t="s">
        <v>378</v>
      </c>
    </row>
    <row r="313" spans="1:2">
      <c r="A313" t="s">
        <v>379</v>
      </c>
      <c r="B313" t="s">
        <v>380</v>
      </c>
    </row>
    <row r="314" spans="1:2">
      <c r="A314" t="s">
        <v>29</v>
      </c>
      <c r="B314" t="s">
        <v>381</v>
      </c>
    </row>
    <row r="315" spans="1:2">
      <c r="A315" t="s">
        <v>18</v>
      </c>
      <c r="B315" t="s">
        <v>382</v>
      </c>
    </row>
    <row r="316" spans="1:2">
      <c r="A316" t="s">
        <v>56</v>
      </c>
      <c r="B316" t="s">
        <v>383</v>
      </c>
    </row>
    <row r="317" spans="1:2">
      <c r="A317" t="s">
        <v>6</v>
      </c>
      <c r="B317" t="s">
        <v>384</v>
      </c>
    </row>
    <row r="318" spans="1:2">
      <c r="A318" t="s">
        <v>6</v>
      </c>
      <c r="B318" t="s">
        <v>385</v>
      </c>
    </row>
    <row r="319" spans="1:2">
      <c r="A319" t="s">
        <v>77</v>
      </c>
      <c r="B319" t="s">
        <v>386</v>
      </c>
    </row>
    <row r="320" spans="1:2">
      <c r="A320" t="s">
        <v>18</v>
      </c>
      <c r="B320" t="s">
        <v>387</v>
      </c>
    </row>
    <row r="321" spans="1:2">
      <c r="A321" t="s">
        <v>388</v>
      </c>
      <c r="B321" t="s">
        <v>389</v>
      </c>
    </row>
    <row r="322" spans="1:2">
      <c r="A322" t="s">
        <v>112</v>
      </c>
      <c r="B322" t="s">
        <v>390</v>
      </c>
    </row>
    <row r="323" spans="1:2">
      <c r="A323" t="s">
        <v>107</v>
      </c>
      <c r="B323" t="s">
        <v>391</v>
      </c>
    </row>
    <row r="324" spans="1:2">
      <c r="A324" t="s">
        <v>6</v>
      </c>
      <c r="B324" t="s">
        <v>392</v>
      </c>
    </row>
    <row r="325" spans="1:2">
      <c r="A325" t="s">
        <v>112</v>
      </c>
      <c r="B325" t="s">
        <v>393</v>
      </c>
    </row>
    <row r="326" spans="1:2">
      <c r="A326" t="s">
        <v>18</v>
      </c>
      <c r="B326" t="s">
        <v>223</v>
      </c>
    </row>
    <row r="327" spans="1:2">
      <c r="A327" t="s">
        <v>6</v>
      </c>
      <c r="B327" t="s">
        <v>394</v>
      </c>
    </row>
    <row r="328" spans="1:2">
      <c r="A328" t="s">
        <v>6</v>
      </c>
      <c r="B328" t="s">
        <v>395</v>
      </c>
    </row>
    <row r="329" spans="1:2">
      <c r="A329" t="s">
        <v>6</v>
      </c>
      <c r="B329" t="s">
        <v>396</v>
      </c>
    </row>
    <row r="330" spans="1:2">
      <c r="A330" t="s">
        <v>6</v>
      </c>
      <c r="B330" t="s">
        <v>397</v>
      </c>
    </row>
    <row r="331" spans="1:2">
      <c r="A331" t="s">
        <v>68</v>
      </c>
      <c r="B331" t="s">
        <v>398</v>
      </c>
    </row>
    <row r="332" spans="1:2">
      <c r="A332" t="s">
        <v>399</v>
      </c>
      <c r="B332" t="s">
        <v>400</v>
      </c>
    </row>
    <row r="333" spans="1:2">
      <c r="A333" t="s">
        <v>6</v>
      </c>
      <c r="B333" t="s">
        <v>401</v>
      </c>
    </row>
    <row r="334" spans="1:2">
      <c r="A334" t="s">
        <v>56</v>
      </c>
      <c r="B334" t="s">
        <v>310</v>
      </c>
    </row>
    <row r="335" spans="1:2">
      <c r="A335" t="s">
        <v>160</v>
      </c>
      <c r="B335" t="s">
        <v>402</v>
      </c>
    </row>
    <row r="336" spans="1:2">
      <c r="A336" t="s">
        <v>112</v>
      </c>
      <c r="B336" t="s">
        <v>403</v>
      </c>
    </row>
    <row r="337" spans="1:2">
      <c r="A337" t="s">
        <v>42</v>
      </c>
      <c r="B337" t="s">
        <v>404</v>
      </c>
    </row>
    <row r="338" spans="1:2">
      <c r="A338" t="s">
        <v>39</v>
      </c>
      <c r="B338" t="s">
        <v>405</v>
      </c>
    </row>
    <row r="339" spans="1:2">
      <c r="A339" t="s">
        <v>18</v>
      </c>
      <c r="B339" t="s">
        <v>406</v>
      </c>
    </row>
    <row r="340" spans="1:2">
      <c r="A340" t="s">
        <v>6</v>
      </c>
      <c r="B340" t="s">
        <v>407</v>
      </c>
    </row>
    <row r="341" spans="1:2">
      <c r="A341" t="s">
        <v>6</v>
      </c>
      <c r="B341" t="s">
        <v>408</v>
      </c>
    </row>
    <row r="342" spans="1:2">
      <c r="A342" t="s">
        <v>6</v>
      </c>
      <c r="B342" t="s">
        <v>409</v>
      </c>
    </row>
    <row r="343" spans="1:2">
      <c r="A343" t="s">
        <v>6</v>
      </c>
      <c r="B343" t="s">
        <v>410</v>
      </c>
    </row>
    <row r="344" spans="1:2">
      <c r="A344" t="s">
        <v>39</v>
      </c>
      <c r="B344" t="s">
        <v>411</v>
      </c>
    </row>
    <row r="345" spans="1:2">
      <c r="A345" t="s">
        <v>6</v>
      </c>
      <c r="B345" t="s">
        <v>412</v>
      </c>
    </row>
    <row r="346" spans="1:2">
      <c r="A346" t="s">
        <v>6</v>
      </c>
      <c r="B346" t="s">
        <v>413</v>
      </c>
    </row>
    <row r="347" spans="1:2">
      <c r="A347" t="s">
        <v>18</v>
      </c>
      <c r="B347" t="s">
        <v>414</v>
      </c>
    </row>
    <row r="348" spans="1:2">
      <c r="A348" t="s">
        <v>29</v>
      </c>
      <c r="B348" t="s">
        <v>415</v>
      </c>
    </row>
    <row r="349" spans="1:2">
      <c r="A349" t="s">
        <v>77</v>
      </c>
      <c r="B349" t="s">
        <v>416</v>
      </c>
    </row>
    <row r="350" spans="1:2">
      <c r="A350" t="s">
        <v>42</v>
      </c>
      <c r="B350" t="s">
        <v>417</v>
      </c>
    </row>
    <row r="351" spans="1:2">
      <c r="A351" t="s">
        <v>6</v>
      </c>
      <c r="B351" t="s">
        <v>418</v>
      </c>
    </row>
    <row r="352" spans="1:2">
      <c r="A352" t="s">
        <v>6</v>
      </c>
      <c r="B352" t="s">
        <v>419</v>
      </c>
    </row>
    <row r="353" spans="1:2">
      <c r="A353" t="s">
        <v>6</v>
      </c>
      <c r="B353" t="s">
        <v>420</v>
      </c>
    </row>
    <row r="354" spans="1:2">
      <c r="A354" t="s">
        <v>77</v>
      </c>
      <c r="B354" t="s">
        <v>421</v>
      </c>
    </row>
    <row r="355" spans="1:2">
      <c r="A355" t="s">
        <v>6</v>
      </c>
      <c r="B355" t="s">
        <v>422</v>
      </c>
    </row>
    <row r="356" spans="1:2">
      <c r="A356" t="s">
        <v>18</v>
      </c>
      <c r="B356" t="s">
        <v>423</v>
      </c>
    </row>
    <row r="357" spans="1:2">
      <c r="A357" t="s">
        <v>6</v>
      </c>
      <c r="B357" t="s">
        <v>424</v>
      </c>
    </row>
    <row r="358" spans="1:2">
      <c r="A358" t="s">
        <v>39</v>
      </c>
      <c r="B358" t="s">
        <v>425</v>
      </c>
    </row>
    <row r="359" spans="1:2">
      <c r="A359" t="s">
        <v>154</v>
      </c>
      <c r="B359" t="s">
        <v>426</v>
      </c>
    </row>
    <row r="360" spans="1:2">
      <c r="A360" t="s">
        <v>56</v>
      </c>
      <c r="B360" t="s">
        <v>427</v>
      </c>
    </row>
    <row r="361" spans="1:2">
      <c r="A361" t="s">
        <v>428</v>
      </c>
      <c r="B361" t="s">
        <v>429</v>
      </c>
    </row>
    <row r="362" spans="1:2">
      <c r="A362" t="s">
        <v>112</v>
      </c>
      <c r="B362" t="s">
        <v>430</v>
      </c>
    </row>
    <row r="363" spans="1:2">
      <c r="A363" t="s">
        <v>77</v>
      </c>
      <c r="B363" t="s">
        <v>431</v>
      </c>
    </row>
    <row r="364" spans="1:2">
      <c r="A364" t="s">
        <v>6</v>
      </c>
      <c r="B364" t="s">
        <v>432</v>
      </c>
    </row>
    <row r="365" spans="1:2">
      <c r="A365" t="s">
        <v>6</v>
      </c>
      <c r="B365" t="s">
        <v>433</v>
      </c>
    </row>
    <row r="366" spans="1:2">
      <c r="A366" t="s">
        <v>18</v>
      </c>
      <c r="B366" t="s">
        <v>434</v>
      </c>
    </row>
    <row r="367" spans="1:2">
      <c r="A367" t="s">
        <v>6</v>
      </c>
      <c r="B367" t="s">
        <v>435</v>
      </c>
    </row>
    <row r="368" spans="1:2">
      <c r="A368" t="s">
        <v>29</v>
      </c>
      <c r="B368" t="s">
        <v>436</v>
      </c>
    </row>
    <row r="369" spans="1:2">
      <c r="A369" t="s">
        <v>6</v>
      </c>
      <c r="B369" t="s">
        <v>437</v>
      </c>
    </row>
    <row r="370" spans="1:2">
      <c r="A370" t="s">
        <v>18</v>
      </c>
      <c r="B370" t="s">
        <v>438</v>
      </c>
    </row>
    <row r="371" spans="1:2">
      <c r="A371" t="s">
        <v>439</v>
      </c>
      <c r="B371" t="s">
        <v>440</v>
      </c>
    </row>
    <row r="372" spans="1:2">
      <c r="A372" t="s">
        <v>42</v>
      </c>
      <c r="B372" t="s">
        <v>441</v>
      </c>
    </row>
    <row r="373" spans="1:2">
      <c r="A373" t="s">
        <v>112</v>
      </c>
      <c r="B373" t="s">
        <v>442</v>
      </c>
    </row>
    <row r="374" spans="1:2">
      <c r="A374" t="s">
        <v>12</v>
      </c>
      <c r="B374" t="s">
        <v>443</v>
      </c>
    </row>
    <row r="375" spans="1:2">
      <c r="A375" t="s">
        <v>39</v>
      </c>
      <c r="B375" t="s">
        <v>444</v>
      </c>
    </row>
    <row r="376" spans="1:2">
      <c r="A376" t="s">
        <v>6</v>
      </c>
      <c r="B376" t="s">
        <v>445</v>
      </c>
    </row>
    <row r="377" spans="1:2">
      <c r="A377" t="s">
        <v>18</v>
      </c>
      <c r="B377" t="s">
        <v>446</v>
      </c>
    </row>
    <row r="378" spans="1:2">
      <c r="A378" t="s">
        <v>6</v>
      </c>
      <c r="B378" t="s">
        <v>447</v>
      </c>
    </row>
    <row r="379" spans="1:2">
      <c r="A379" t="s">
        <v>107</v>
      </c>
      <c r="B379" t="s">
        <v>448</v>
      </c>
    </row>
    <row r="380" spans="1:2">
      <c r="A380" t="s">
        <v>77</v>
      </c>
      <c r="B380" t="s">
        <v>449</v>
      </c>
    </row>
    <row r="381" spans="1:2">
      <c r="A381" t="s">
        <v>18</v>
      </c>
      <c r="B381" t="s">
        <v>27</v>
      </c>
    </row>
    <row r="382" spans="1:2">
      <c r="A382" t="s">
        <v>112</v>
      </c>
      <c r="B382" t="s">
        <v>450</v>
      </c>
    </row>
    <row r="383" spans="1:2">
      <c r="A383" t="s">
        <v>77</v>
      </c>
      <c r="B383" t="s">
        <v>451</v>
      </c>
    </row>
    <row r="384" spans="1:2">
      <c r="A384" t="s">
        <v>12</v>
      </c>
      <c r="B384" t="s">
        <v>452</v>
      </c>
    </row>
    <row r="385" spans="1:2">
      <c r="A385" t="s">
        <v>453</v>
      </c>
      <c r="B385" t="s">
        <v>454</v>
      </c>
    </row>
    <row r="386" spans="1:2">
      <c r="A386" t="s">
        <v>223</v>
      </c>
      <c r="B386" t="s">
        <v>455</v>
      </c>
    </row>
    <row r="387" spans="1:2">
      <c r="A387" t="s">
        <v>456</v>
      </c>
      <c r="B387" t="s">
        <v>457</v>
      </c>
    </row>
    <row r="388" spans="1:2">
      <c r="A388" t="s">
        <v>48</v>
      </c>
      <c r="B388" t="s">
        <v>458</v>
      </c>
    </row>
    <row r="389" spans="1:2">
      <c r="A389" t="s">
        <v>6</v>
      </c>
      <c r="B389" t="s">
        <v>459</v>
      </c>
    </row>
    <row r="390" spans="1:2">
      <c r="A390" t="s">
        <v>77</v>
      </c>
      <c r="B390" t="s">
        <v>460</v>
      </c>
    </row>
    <row r="391" spans="1:2">
      <c r="A391" t="s">
        <v>6</v>
      </c>
      <c r="B391" t="s">
        <v>461</v>
      </c>
    </row>
    <row r="392" spans="1:2">
      <c r="A392" t="s">
        <v>56</v>
      </c>
      <c r="B392" t="s">
        <v>462</v>
      </c>
    </row>
    <row r="393" spans="1:2">
      <c r="A393" t="s">
        <v>8</v>
      </c>
      <c r="B393" t="s">
        <v>463</v>
      </c>
    </row>
    <row r="394" spans="1:2">
      <c r="A394" t="s">
        <v>68</v>
      </c>
      <c r="B394" t="s">
        <v>464</v>
      </c>
    </row>
    <row r="395" spans="1:2">
      <c r="A395" t="s">
        <v>6</v>
      </c>
      <c r="B395" t="s">
        <v>465</v>
      </c>
    </row>
    <row r="396" spans="1:2">
      <c r="A396" t="s">
        <v>29</v>
      </c>
      <c r="B396" t="s">
        <v>466</v>
      </c>
    </row>
    <row r="397" spans="1:2">
      <c r="A397" t="s">
        <v>6</v>
      </c>
      <c r="B397" t="s">
        <v>467</v>
      </c>
    </row>
    <row r="398" spans="1:2">
      <c r="A398" t="s">
        <v>456</v>
      </c>
      <c r="B398" t="s">
        <v>468</v>
      </c>
    </row>
    <row r="399" spans="1:2">
      <c r="A399" t="s">
        <v>469</v>
      </c>
      <c r="B399" t="s">
        <v>470</v>
      </c>
    </row>
    <row r="400" spans="1:2">
      <c r="A400" t="s">
        <v>18</v>
      </c>
      <c r="B400" t="s">
        <v>471</v>
      </c>
    </row>
    <row r="401" spans="1:2">
      <c r="A401" t="s">
        <v>134</v>
      </c>
      <c r="B401" t="s">
        <v>472</v>
      </c>
    </row>
    <row r="402" spans="1:2">
      <c r="A402" t="s">
        <v>48</v>
      </c>
      <c r="B402" t="s">
        <v>473</v>
      </c>
    </row>
    <row r="403" spans="1:2">
      <c r="A403" t="s">
        <v>103</v>
      </c>
      <c r="B403" t="s">
        <v>474</v>
      </c>
    </row>
    <row r="404" spans="1:2">
      <c r="A404" t="s">
        <v>6</v>
      </c>
      <c r="B404" t="s">
        <v>475</v>
      </c>
    </row>
    <row r="405" spans="1:2">
      <c r="A405" t="s">
        <v>39</v>
      </c>
      <c r="B405" t="s">
        <v>476</v>
      </c>
    </row>
    <row r="406" spans="1:2">
      <c r="A406" t="s">
        <v>42</v>
      </c>
      <c r="B406" t="s">
        <v>477</v>
      </c>
    </row>
    <row r="407" spans="1:2">
      <c r="A407" t="s">
        <v>478</v>
      </c>
      <c r="B407" t="s">
        <v>479</v>
      </c>
    </row>
    <row r="408" spans="1:2">
      <c r="A408" t="s">
        <v>48</v>
      </c>
      <c r="B408" t="s">
        <v>480</v>
      </c>
    </row>
    <row r="409" spans="1:2">
      <c r="A409" t="s">
        <v>29</v>
      </c>
      <c r="B409" t="s">
        <v>481</v>
      </c>
    </row>
    <row r="410" spans="1:2">
      <c r="A410" t="s">
        <v>105</v>
      </c>
      <c r="B410" t="s">
        <v>482</v>
      </c>
    </row>
    <row r="411" spans="1:2">
      <c r="A411" t="s">
        <v>6</v>
      </c>
      <c r="B411" t="s">
        <v>483</v>
      </c>
    </row>
    <row r="412" spans="1:2">
      <c r="A412" t="s">
        <v>68</v>
      </c>
      <c r="B412" t="s">
        <v>484</v>
      </c>
    </row>
    <row r="413" spans="1:2">
      <c r="A413" t="s">
        <v>485</v>
      </c>
      <c r="B413" t="s">
        <v>486</v>
      </c>
    </row>
    <row r="414" spans="1:2">
      <c r="A414" t="s">
        <v>6</v>
      </c>
      <c r="B414" t="s">
        <v>487</v>
      </c>
    </row>
    <row r="415" spans="1:2">
      <c r="A415" t="s">
        <v>20</v>
      </c>
      <c r="B415" t="s">
        <v>488</v>
      </c>
    </row>
    <row r="416" spans="1:2">
      <c r="A416" t="s">
        <v>6</v>
      </c>
      <c r="B416" t="s">
        <v>489</v>
      </c>
    </row>
    <row r="417" spans="1:2">
      <c r="A417" t="s">
        <v>6</v>
      </c>
      <c r="B417" t="s">
        <v>490</v>
      </c>
    </row>
    <row r="418" spans="1:2">
      <c r="A418" t="s">
        <v>491</v>
      </c>
      <c r="B418" t="s">
        <v>492</v>
      </c>
    </row>
    <row r="419" spans="1:2">
      <c r="A419" s="1">
        <v>41159</v>
      </c>
      <c r="B419" t="s">
        <v>493</v>
      </c>
    </row>
    <row r="420" spans="1:2">
      <c r="A420" t="s">
        <v>6</v>
      </c>
      <c r="B420" t="s">
        <v>494</v>
      </c>
    </row>
    <row r="421" spans="1:2">
      <c r="A421" t="s">
        <v>495</v>
      </c>
      <c r="B421" t="s">
        <v>496</v>
      </c>
    </row>
    <row r="422" spans="1:2">
      <c r="A422" t="s">
        <v>388</v>
      </c>
      <c r="B422" t="s">
        <v>497</v>
      </c>
    </row>
    <row r="423" spans="1:2">
      <c r="A423" t="s">
        <v>133</v>
      </c>
      <c r="B423" t="s">
        <v>498</v>
      </c>
    </row>
    <row r="424" spans="1:2">
      <c r="A424" t="s">
        <v>137</v>
      </c>
      <c r="B424" t="s">
        <v>499</v>
      </c>
    </row>
    <row r="425" spans="1:2">
      <c r="A425" t="s">
        <v>6</v>
      </c>
      <c r="B425" t="s">
        <v>500</v>
      </c>
    </row>
    <row r="426" spans="1:2">
      <c r="A426" t="s">
        <v>77</v>
      </c>
      <c r="B426" t="s">
        <v>501</v>
      </c>
    </row>
    <row r="427" spans="1:2">
      <c r="A427" t="s">
        <v>18</v>
      </c>
      <c r="B427" t="s">
        <v>77</v>
      </c>
    </row>
    <row r="428" spans="1:2">
      <c r="A428" t="s">
        <v>14</v>
      </c>
      <c r="B428" t="s">
        <v>502</v>
      </c>
    </row>
    <row r="429" spans="1:2">
      <c r="A429" t="s">
        <v>107</v>
      </c>
      <c r="B429" t="s">
        <v>503</v>
      </c>
    </row>
    <row r="430" spans="1:2">
      <c r="A430" t="s">
        <v>18</v>
      </c>
      <c r="B430" t="s">
        <v>504</v>
      </c>
    </row>
    <row r="431" spans="1:2">
      <c r="A431" t="s">
        <v>48</v>
      </c>
      <c r="B431" t="s">
        <v>505</v>
      </c>
    </row>
    <row r="432" spans="1:2">
      <c r="A432" t="s">
        <v>506</v>
      </c>
      <c r="B432" t="s">
        <v>507</v>
      </c>
    </row>
    <row r="433" spans="1:2">
      <c r="A433" t="s">
        <v>152</v>
      </c>
      <c r="B433" t="s">
        <v>94</v>
      </c>
    </row>
    <row r="434" spans="1:2">
      <c r="A434" t="s">
        <v>18</v>
      </c>
      <c r="B434" t="s">
        <v>508</v>
      </c>
    </row>
    <row r="435" spans="1:2">
      <c r="A435" t="s">
        <v>29</v>
      </c>
      <c r="B435" t="s">
        <v>509</v>
      </c>
    </row>
    <row r="436" spans="1:2">
      <c r="A436" t="s">
        <v>212</v>
      </c>
      <c r="B436" t="s">
        <v>510</v>
      </c>
    </row>
    <row r="437" spans="1:2">
      <c r="A437" t="s">
        <v>46</v>
      </c>
      <c r="B437" t="s">
        <v>511</v>
      </c>
    </row>
    <row r="438" spans="1:2">
      <c r="A438" t="s">
        <v>6</v>
      </c>
      <c r="B438" t="s">
        <v>512</v>
      </c>
    </row>
    <row r="439" spans="1:2">
      <c r="A439" t="s">
        <v>20</v>
      </c>
      <c r="B439" t="s">
        <v>513</v>
      </c>
    </row>
    <row r="440" spans="1:2">
      <c r="A440" t="s">
        <v>29</v>
      </c>
      <c r="B440" t="s">
        <v>514</v>
      </c>
    </row>
    <row r="441" spans="1:2">
      <c r="A441" t="s">
        <v>105</v>
      </c>
      <c r="B441" t="s">
        <v>515</v>
      </c>
    </row>
    <row r="442" spans="1:2">
      <c r="A442" t="s">
        <v>6</v>
      </c>
      <c r="B442" t="s">
        <v>516</v>
      </c>
    </row>
    <row r="443" spans="1:2">
      <c r="A443" t="s">
        <v>18</v>
      </c>
      <c r="B443" t="s">
        <v>517</v>
      </c>
    </row>
    <row r="444" spans="1:2">
      <c r="A444" t="s">
        <v>469</v>
      </c>
      <c r="B444" t="s">
        <v>62</v>
      </c>
    </row>
    <row r="445" spans="1:2">
      <c r="A445" t="s">
        <v>6</v>
      </c>
      <c r="B445" t="s">
        <v>518</v>
      </c>
    </row>
    <row r="446" spans="1:2">
      <c r="A446" t="s">
        <v>6</v>
      </c>
      <c r="B446" t="s">
        <v>519</v>
      </c>
    </row>
    <row r="447" spans="1:2">
      <c r="A447" t="s">
        <v>105</v>
      </c>
      <c r="B447" t="s">
        <v>520</v>
      </c>
    </row>
    <row r="448" spans="1:2">
      <c r="A448" t="s">
        <v>68</v>
      </c>
      <c r="B448" t="s">
        <v>521</v>
      </c>
    </row>
    <row r="449" spans="1:2">
      <c r="A449" t="s">
        <v>18</v>
      </c>
      <c r="B449" t="s">
        <v>522</v>
      </c>
    </row>
    <row r="450" spans="1:2">
      <c r="A450" t="s">
        <v>6</v>
      </c>
      <c r="B450" t="s">
        <v>523</v>
      </c>
    </row>
    <row r="451" spans="1:2">
      <c r="A451" t="s">
        <v>33</v>
      </c>
      <c r="B451" t="s">
        <v>524</v>
      </c>
    </row>
    <row r="452" spans="1:2">
      <c r="A452" t="s">
        <v>525</v>
      </c>
      <c r="B452" t="s">
        <v>526</v>
      </c>
    </row>
    <row r="453" spans="1:2">
      <c r="A453" t="s">
        <v>527</v>
      </c>
      <c r="B453" t="s">
        <v>528</v>
      </c>
    </row>
    <row r="454" spans="1:2">
      <c r="A454" t="s">
        <v>18</v>
      </c>
      <c r="B454" t="s">
        <v>529</v>
      </c>
    </row>
    <row r="455" spans="1:2">
      <c r="A455" t="s">
        <v>12</v>
      </c>
      <c r="B455" t="s">
        <v>530</v>
      </c>
    </row>
    <row r="456" spans="1:2">
      <c r="A456" t="s">
        <v>531</v>
      </c>
      <c r="B456" t="s">
        <v>532</v>
      </c>
    </row>
    <row r="457" spans="1:2">
      <c r="A457" t="s">
        <v>56</v>
      </c>
      <c r="B457" t="s">
        <v>533</v>
      </c>
    </row>
    <row r="458" spans="1:2">
      <c r="A458" t="s">
        <v>6</v>
      </c>
      <c r="B458" t="s">
        <v>534</v>
      </c>
    </row>
    <row r="459" spans="1:2">
      <c r="A459" t="s">
        <v>20</v>
      </c>
      <c r="B459" t="s">
        <v>535</v>
      </c>
    </row>
    <row r="460" spans="1:2">
      <c r="A460" t="s">
        <v>50</v>
      </c>
      <c r="B460" t="s">
        <v>536</v>
      </c>
    </row>
    <row r="461" spans="1:2">
      <c r="A461" t="s">
        <v>6</v>
      </c>
      <c r="B461" t="s">
        <v>537</v>
      </c>
    </row>
    <row r="462" spans="1:2">
      <c r="A462" t="s">
        <v>18</v>
      </c>
      <c r="B462" t="s">
        <v>538</v>
      </c>
    </row>
    <row r="463" spans="1:2">
      <c r="A463" t="s">
        <v>539</v>
      </c>
      <c r="B463" t="s">
        <v>540</v>
      </c>
    </row>
    <row r="464" spans="1:2">
      <c r="A464" t="s">
        <v>6</v>
      </c>
      <c r="B464" t="s">
        <v>541</v>
      </c>
    </row>
    <row r="465" spans="1:2">
      <c r="A465" t="s">
        <v>56</v>
      </c>
      <c r="B465" t="s">
        <v>542</v>
      </c>
    </row>
    <row r="466" spans="1:2">
      <c r="A466" t="s">
        <v>77</v>
      </c>
      <c r="B466" t="s">
        <v>543</v>
      </c>
    </row>
    <row r="467" spans="1:2">
      <c r="A467" t="s">
        <v>77</v>
      </c>
      <c r="B467" t="s">
        <v>544</v>
      </c>
    </row>
    <row r="468" spans="1:2">
      <c r="A468" t="s">
        <v>22</v>
      </c>
      <c r="B468" t="s">
        <v>545</v>
      </c>
    </row>
    <row r="469" spans="1:2">
      <c r="A469" t="s">
        <v>46</v>
      </c>
      <c r="B469" t="s">
        <v>546</v>
      </c>
    </row>
    <row r="470" spans="1:2">
      <c r="A470" t="s">
        <v>48</v>
      </c>
      <c r="B470" t="s">
        <v>547</v>
      </c>
    </row>
    <row r="471" spans="1:2">
      <c r="A471" t="s">
        <v>14</v>
      </c>
      <c r="B471" t="s">
        <v>548</v>
      </c>
    </row>
    <row r="472" spans="1:2">
      <c r="A472" t="s">
        <v>18</v>
      </c>
      <c r="B472" t="s">
        <v>549</v>
      </c>
    </row>
    <row r="473" spans="1:2">
      <c r="A473" t="s">
        <v>77</v>
      </c>
      <c r="B473" t="s">
        <v>550</v>
      </c>
    </row>
    <row r="474" spans="1:2">
      <c r="A474" t="s">
        <v>6</v>
      </c>
      <c r="B474" t="s">
        <v>551</v>
      </c>
    </row>
    <row r="475" spans="1:2">
      <c r="A475" t="s">
        <v>103</v>
      </c>
      <c r="B475" t="s">
        <v>552</v>
      </c>
    </row>
    <row r="476" spans="1:2">
      <c r="A476" t="s">
        <v>112</v>
      </c>
      <c r="B476" t="s">
        <v>553</v>
      </c>
    </row>
    <row r="477" spans="1:2">
      <c r="A477" t="s">
        <v>56</v>
      </c>
      <c r="B477" t="s">
        <v>379</v>
      </c>
    </row>
    <row r="478" spans="1:2">
      <c r="A478" t="s">
        <v>6</v>
      </c>
      <c r="B478" t="s">
        <v>554</v>
      </c>
    </row>
    <row r="479" spans="1:2">
      <c r="A479" t="s">
        <v>6</v>
      </c>
      <c r="B479" t="s">
        <v>555</v>
      </c>
    </row>
    <row r="480" spans="1:2">
      <c r="A480" t="s">
        <v>8</v>
      </c>
      <c r="B480" t="s">
        <v>556</v>
      </c>
    </row>
    <row r="481" spans="1:2">
      <c r="A481" t="s">
        <v>22</v>
      </c>
      <c r="B481" t="s">
        <v>557</v>
      </c>
    </row>
    <row r="482" spans="1:2">
      <c r="A482" t="s">
        <v>6</v>
      </c>
      <c r="B482" t="s">
        <v>558</v>
      </c>
    </row>
    <row r="483" spans="1:2">
      <c r="A483" t="s">
        <v>18</v>
      </c>
      <c r="B483" t="s">
        <v>559</v>
      </c>
    </row>
    <row r="484" spans="1:2">
      <c r="A484" t="s">
        <v>68</v>
      </c>
      <c r="B484" t="s">
        <v>560</v>
      </c>
    </row>
    <row r="485" spans="1:2">
      <c r="A485" t="s">
        <v>154</v>
      </c>
      <c r="B485" t="s">
        <v>561</v>
      </c>
    </row>
    <row r="486" spans="1:2">
      <c r="A486" t="s">
        <v>107</v>
      </c>
      <c r="B486" t="s">
        <v>388</v>
      </c>
    </row>
    <row r="487" spans="1:2">
      <c r="A487" t="s">
        <v>22</v>
      </c>
      <c r="B487" t="s">
        <v>562</v>
      </c>
    </row>
    <row r="488" spans="1:2">
      <c r="A488" t="s">
        <v>18</v>
      </c>
      <c r="B488" t="s">
        <v>563</v>
      </c>
    </row>
    <row r="489" spans="1:2">
      <c r="A489" t="s">
        <v>6</v>
      </c>
      <c r="B489" t="s">
        <v>564</v>
      </c>
    </row>
    <row r="490" spans="1:2">
      <c r="A490" t="s">
        <v>6</v>
      </c>
      <c r="B490" t="s">
        <v>565</v>
      </c>
    </row>
    <row r="491" spans="1:2">
      <c r="A491" t="s">
        <v>62</v>
      </c>
      <c r="B491" t="s">
        <v>566</v>
      </c>
    </row>
    <row r="492" spans="1:2">
      <c r="A492" t="s">
        <v>56</v>
      </c>
      <c r="B492" t="s">
        <v>20</v>
      </c>
    </row>
    <row r="493" spans="1:2">
      <c r="A493" t="s">
        <v>105</v>
      </c>
      <c r="B493" t="s">
        <v>567</v>
      </c>
    </row>
    <row r="494" spans="1:2">
      <c r="A494" t="s">
        <v>42</v>
      </c>
      <c r="B494" t="s">
        <v>568</v>
      </c>
    </row>
    <row r="495" spans="1:2">
      <c r="A495" t="s">
        <v>20</v>
      </c>
      <c r="B495" t="s">
        <v>569</v>
      </c>
    </row>
    <row r="496" spans="1:2">
      <c r="A496" t="s">
        <v>6</v>
      </c>
      <c r="B496" t="s">
        <v>570</v>
      </c>
    </row>
    <row r="497" spans="1:2">
      <c r="A497" t="s">
        <v>56</v>
      </c>
      <c r="B497" t="s">
        <v>571</v>
      </c>
    </row>
    <row r="498" spans="1:2">
      <c r="A498" t="s">
        <v>137</v>
      </c>
      <c r="B498" t="s">
        <v>572</v>
      </c>
    </row>
    <row r="499" spans="1:2">
      <c r="A499" t="s">
        <v>18</v>
      </c>
      <c r="B499" t="s">
        <v>573</v>
      </c>
    </row>
    <row r="500" spans="1:2">
      <c r="A500" t="s">
        <v>154</v>
      </c>
      <c r="B500" t="s">
        <v>574</v>
      </c>
    </row>
    <row r="501" spans="1:2">
      <c r="A501" t="s">
        <v>309</v>
      </c>
      <c r="B501" t="s">
        <v>575</v>
      </c>
    </row>
    <row r="502" spans="1:2">
      <c r="A502" t="s">
        <v>18</v>
      </c>
      <c r="B502" t="s">
        <v>576</v>
      </c>
    </row>
    <row r="503" spans="1:2">
      <c r="A503" t="s">
        <v>68</v>
      </c>
      <c r="B503" t="s">
        <v>577</v>
      </c>
    </row>
    <row r="504" spans="1:2">
      <c r="A504" t="s">
        <v>6</v>
      </c>
      <c r="B504" t="s">
        <v>18</v>
      </c>
    </row>
    <row r="505" spans="1:2">
      <c r="A505" t="s">
        <v>48</v>
      </c>
      <c r="B505" t="s">
        <v>578</v>
      </c>
    </row>
    <row r="506" spans="1:2">
      <c r="A506" t="s">
        <v>83</v>
      </c>
      <c r="B506" t="s">
        <v>579</v>
      </c>
    </row>
    <row r="507" spans="1:2">
      <c r="A507" t="s">
        <v>191</v>
      </c>
      <c r="B507" t="s">
        <v>580</v>
      </c>
    </row>
    <row r="508" spans="1:2">
      <c r="A508" t="s">
        <v>48</v>
      </c>
      <c r="B508" t="s">
        <v>581</v>
      </c>
    </row>
    <row r="509" spans="1:2">
      <c r="A509" t="s">
        <v>6</v>
      </c>
      <c r="B509" t="s">
        <v>582</v>
      </c>
    </row>
    <row r="510" spans="1:2">
      <c r="A510" t="s">
        <v>8</v>
      </c>
      <c r="B510" t="s">
        <v>583</v>
      </c>
    </row>
    <row r="511" spans="1:2">
      <c r="A511" t="s">
        <v>584</v>
      </c>
      <c r="B511" t="s">
        <v>585</v>
      </c>
    </row>
    <row r="512" spans="1:2">
      <c r="A512" t="s">
        <v>42</v>
      </c>
      <c r="B512" t="s">
        <v>586</v>
      </c>
    </row>
    <row r="513" spans="1:2">
      <c r="A513" t="s">
        <v>39</v>
      </c>
      <c r="B513" t="s">
        <v>587</v>
      </c>
    </row>
    <row r="514" spans="1:2">
      <c r="A514" t="s">
        <v>191</v>
      </c>
      <c r="B514" t="s">
        <v>258</v>
      </c>
    </row>
    <row r="515" spans="1:2">
      <c r="A515" t="s">
        <v>588</v>
      </c>
      <c r="B515" t="s">
        <v>589</v>
      </c>
    </row>
    <row r="516" spans="1:2">
      <c r="A516" t="s">
        <v>48</v>
      </c>
      <c r="B516" t="s">
        <v>590</v>
      </c>
    </row>
    <row r="517" spans="1:2">
      <c r="A517" t="s">
        <v>495</v>
      </c>
      <c r="B517" t="s">
        <v>591</v>
      </c>
    </row>
    <row r="518" spans="1:2">
      <c r="A518" t="s">
        <v>6</v>
      </c>
      <c r="B518" t="s">
        <v>592</v>
      </c>
    </row>
    <row r="519" spans="1:2">
      <c r="A519" t="s">
        <v>6</v>
      </c>
      <c r="B519" t="s">
        <v>593</v>
      </c>
    </row>
    <row r="520" spans="1:2">
      <c r="A520" t="s">
        <v>97</v>
      </c>
      <c r="B520" t="s">
        <v>594</v>
      </c>
    </row>
    <row r="521" spans="1:2">
      <c r="A521" t="s">
        <v>42</v>
      </c>
      <c r="B521" t="s">
        <v>595</v>
      </c>
    </row>
    <row r="522" spans="1:2">
      <c r="A522" t="s">
        <v>56</v>
      </c>
      <c r="B522" t="s">
        <v>127</v>
      </c>
    </row>
    <row r="523" spans="1:2">
      <c r="A523" t="s">
        <v>596</v>
      </c>
      <c r="B523" t="s">
        <v>597</v>
      </c>
    </row>
    <row r="524" spans="1:2">
      <c r="A524" t="s">
        <v>529</v>
      </c>
      <c r="B524" t="s">
        <v>598</v>
      </c>
    </row>
    <row r="525" spans="1:2">
      <c r="A525" t="s">
        <v>68</v>
      </c>
      <c r="B525" t="s">
        <v>599</v>
      </c>
    </row>
    <row r="526" spans="1:2">
      <c r="A526" t="s">
        <v>154</v>
      </c>
      <c r="B526" t="s">
        <v>600</v>
      </c>
    </row>
    <row r="527" spans="1:2">
      <c r="A527" t="s">
        <v>6</v>
      </c>
      <c r="B527" t="s">
        <v>601</v>
      </c>
    </row>
    <row r="528" spans="1:2">
      <c r="A528" t="s">
        <v>56</v>
      </c>
      <c r="B528" t="s">
        <v>602</v>
      </c>
    </row>
    <row r="529" spans="1:2">
      <c r="A529" t="s">
        <v>6</v>
      </c>
      <c r="B529" t="s">
        <v>603</v>
      </c>
    </row>
    <row r="530" spans="1:2">
      <c r="A530" t="s">
        <v>526</v>
      </c>
      <c r="B530" t="s">
        <v>604</v>
      </c>
    </row>
    <row r="531" spans="1:2">
      <c r="A531" t="s">
        <v>6</v>
      </c>
      <c r="B531" t="s">
        <v>605</v>
      </c>
    </row>
    <row r="532" spans="1:2">
      <c r="A532" t="s">
        <v>6</v>
      </c>
      <c r="B532" t="s">
        <v>606</v>
      </c>
    </row>
    <row r="533" spans="1:2">
      <c r="A533" t="s">
        <v>33</v>
      </c>
      <c r="B533" t="s">
        <v>607</v>
      </c>
    </row>
    <row r="534" spans="1:2">
      <c r="A534" t="s">
        <v>608</v>
      </c>
      <c r="B534" t="s">
        <v>609</v>
      </c>
    </row>
    <row r="535" spans="1:2">
      <c r="A535" t="s">
        <v>6</v>
      </c>
      <c r="B535" t="s">
        <v>610</v>
      </c>
    </row>
    <row r="536" spans="1:2">
      <c r="A536" t="s">
        <v>154</v>
      </c>
      <c r="B536" t="s">
        <v>611</v>
      </c>
    </row>
    <row r="537" spans="1:2">
      <c r="A537" t="s">
        <v>18</v>
      </c>
      <c r="B537" t="s">
        <v>612</v>
      </c>
    </row>
    <row r="538" spans="1:2">
      <c r="A538" t="s">
        <v>613</v>
      </c>
      <c r="B538" t="s">
        <v>614</v>
      </c>
    </row>
    <row r="539" spans="1:2">
      <c r="A539" t="s">
        <v>18</v>
      </c>
      <c r="B539" t="s">
        <v>68</v>
      </c>
    </row>
    <row r="540" spans="1:2">
      <c r="A540" t="s">
        <v>615</v>
      </c>
      <c r="B540" t="s">
        <v>616</v>
      </c>
    </row>
    <row r="541" spans="1:2">
      <c r="A541" t="s">
        <v>22</v>
      </c>
      <c r="B541" t="s">
        <v>617</v>
      </c>
    </row>
    <row r="542" spans="1:2">
      <c r="A542" t="s">
        <v>39</v>
      </c>
      <c r="B542" t="s">
        <v>618</v>
      </c>
    </row>
    <row r="543" spans="1:2">
      <c r="A543" t="s">
        <v>133</v>
      </c>
      <c r="B543" t="s">
        <v>619</v>
      </c>
    </row>
    <row r="544" spans="1:2">
      <c r="A544" t="s">
        <v>6</v>
      </c>
      <c r="B544" t="s">
        <v>620</v>
      </c>
    </row>
    <row r="545" spans="1:2">
      <c r="A545" t="s">
        <v>621</v>
      </c>
      <c r="B545" t="s">
        <v>622</v>
      </c>
    </row>
    <row r="546" spans="1:2">
      <c r="A546" t="s">
        <v>623</v>
      </c>
      <c r="B546" t="s">
        <v>624</v>
      </c>
    </row>
    <row r="547" spans="1:2">
      <c r="A547" t="s">
        <v>107</v>
      </c>
      <c r="B547" t="s">
        <v>625</v>
      </c>
    </row>
    <row r="548" spans="1:2">
      <c r="A548" t="s">
        <v>39</v>
      </c>
      <c r="B548" t="s">
        <v>626</v>
      </c>
    </row>
    <row r="549" spans="1:2">
      <c r="A549" t="s">
        <v>29</v>
      </c>
      <c r="B549" t="s">
        <v>627</v>
      </c>
    </row>
    <row r="550" spans="1:2">
      <c r="A550" t="s">
        <v>628</v>
      </c>
      <c r="B550" t="s">
        <v>629</v>
      </c>
    </row>
    <row r="551" spans="1:2">
      <c r="A551" t="s">
        <v>6</v>
      </c>
      <c r="B551" t="s">
        <v>630</v>
      </c>
    </row>
    <row r="552" spans="1:2">
      <c r="A552" t="s">
        <v>14</v>
      </c>
      <c r="B552" t="s">
        <v>85</v>
      </c>
    </row>
    <row r="553" spans="1:2">
      <c r="A553" t="s">
        <v>18</v>
      </c>
      <c r="B553" t="s">
        <v>631</v>
      </c>
    </row>
    <row r="554" spans="1:2">
      <c r="A554" t="s">
        <v>91</v>
      </c>
      <c r="B554" t="s">
        <v>632</v>
      </c>
    </row>
    <row r="555" spans="1:2">
      <c r="A555" t="s">
        <v>48</v>
      </c>
      <c r="B555" t="s">
        <v>633</v>
      </c>
    </row>
    <row r="556" spans="1:2">
      <c r="A556" t="s">
        <v>6</v>
      </c>
      <c r="B556" t="s">
        <v>634</v>
      </c>
    </row>
    <row r="557" spans="1:2">
      <c r="A557" t="s">
        <v>137</v>
      </c>
      <c r="B557" t="s">
        <v>635</v>
      </c>
    </row>
    <row r="558" spans="1:2">
      <c r="A558" t="s">
        <v>6</v>
      </c>
      <c r="B558" t="s">
        <v>636</v>
      </c>
    </row>
    <row r="559" spans="1:2">
      <c r="A559" t="s">
        <v>24</v>
      </c>
      <c r="B559" t="s">
        <v>637</v>
      </c>
    </row>
    <row r="560" spans="1:2">
      <c r="A560" t="s">
        <v>6</v>
      </c>
      <c r="B560" t="s">
        <v>638</v>
      </c>
    </row>
    <row r="561" spans="1:2">
      <c r="A561" t="s">
        <v>29</v>
      </c>
      <c r="B561" t="s">
        <v>639</v>
      </c>
    </row>
    <row r="562" spans="1:2">
      <c r="A562" t="s">
        <v>50</v>
      </c>
      <c r="B562" t="s">
        <v>640</v>
      </c>
    </row>
    <row r="563" spans="1:2">
      <c r="A563" t="s">
        <v>50</v>
      </c>
      <c r="B563" t="s">
        <v>641</v>
      </c>
    </row>
    <row r="564" spans="1:2">
      <c r="A564" t="s">
        <v>6</v>
      </c>
      <c r="B564" t="s">
        <v>642</v>
      </c>
    </row>
    <row r="565" spans="1:2">
      <c r="A565" t="s">
        <v>643</v>
      </c>
      <c r="B565" t="s">
        <v>644</v>
      </c>
    </row>
    <row r="566" spans="1:2">
      <c r="A566" t="s">
        <v>191</v>
      </c>
      <c r="B566" t="s">
        <v>645</v>
      </c>
    </row>
    <row r="567" spans="1:2">
      <c r="A567" t="s">
        <v>6</v>
      </c>
      <c r="B567" t="s">
        <v>646</v>
      </c>
    </row>
    <row r="568" spans="1:2">
      <c r="A568" t="s">
        <v>56</v>
      </c>
      <c r="B568" t="s">
        <v>647</v>
      </c>
    </row>
    <row r="569" spans="1:2">
      <c r="A569" t="s">
        <v>103</v>
      </c>
      <c r="B569" t="s">
        <v>648</v>
      </c>
    </row>
    <row r="570" spans="1:2">
      <c r="A570" t="s">
        <v>56</v>
      </c>
      <c r="B570" t="s">
        <v>6</v>
      </c>
    </row>
    <row r="571" spans="1:2">
      <c r="A571" t="s">
        <v>20</v>
      </c>
      <c r="B571" t="s">
        <v>649</v>
      </c>
    </row>
    <row r="572" spans="1:2">
      <c r="A572" t="s">
        <v>6</v>
      </c>
      <c r="B572" t="s">
        <v>650</v>
      </c>
    </row>
    <row r="573" spans="1:2">
      <c r="A573" t="s">
        <v>29</v>
      </c>
      <c r="B573" t="s">
        <v>651</v>
      </c>
    </row>
    <row r="574" spans="1:2">
      <c r="A574" t="s">
        <v>6</v>
      </c>
      <c r="B574" t="s">
        <v>652</v>
      </c>
    </row>
    <row r="575" spans="1:2">
      <c r="A575" t="s">
        <v>33</v>
      </c>
      <c r="B575" t="s">
        <v>653</v>
      </c>
    </row>
    <row r="576" spans="1:2">
      <c r="A576" t="s">
        <v>6</v>
      </c>
      <c r="B576" t="s">
        <v>654</v>
      </c>
    </row>
    <row r="577" spans="1:2">
      <c r="A577" t="s">
        <v>107</v>
      </c>
      <c r="B577" t="s">
        <v>356</v>
      </c>
    </row>
    <row r="578" spans="1:2">
      <c r="A578" t="s">
        <v>6</v>
      </c>
      <c r="B578" t="s">
        <v>655</v>
      </c>
    </row>
    <row r="579" spans="1:2">
      <c r="A579" t="s">
        <v>6</v>
      </c>
      <c r="B579" t="s">
        <v>656</v>
      </c>
    </row>
    <row r="580" spans="1:2">
      <c r="A580" t="s">
        <v>68</v>
      </c>
      <c r="B580" t="s">
        <v>657</v>
      </c>
    </row>
    <row r="581" spans="1:2">
      <c r="A581" t="s">
        <v>29</v>
      </c>
      <c r="B581" t="s">
        <v>658</v>
      </c>
    </row>
    <row r="582" spans="1:2">
      <c r="A582" s="1">
        <v>41159</v>
      </c>
      <c r="B582" t="s">
        <v>659</v>
      </c>
    </row>
    <row r="583" spans="1:2">
      <c r="A583" t="s">
        <v>22</v>
      </c>
      <c r="B583" t="s">
        <v>660</v>
      </c>
    </row>
    <row r="584" spans="1:2">
      <c r="A584" t="s">
        <v>6</v>
      </c>
      <c r="B584" t="s">
        <v>661</v>
      </c>
    </row>
    <row r="585" spans="1:2">
      <c r="A585" t="s">
        <v>6</v>
      </c>
      <c r="B585" t="s">
        <v>662</v>
      </c>
    </row>
    <row r="586" spans="1:2">
      <c r="A586" t="s">
        <v>20</v>
      </c>
      <c r="B586" t="s">
        <v>663</v>
      </c>
    </row>
    <row r="587" spans="1:2">
      <c r="A587" t="s">
        <v>6</v>
      </c>
      <c r="B587" t="s">
        <v>664</v>
      </c>
    </row>
    <row r="588" spans="1:2">
      <c r="A588" t="s">
        <v>29</v>
      </c>
      <c r="B588" t="s">
        <v>665</v>
      </c>
    </row>
    <row r="589" spans="1:2">
      <c r="A589" t="s">
        <v>6</v>
      </c>
      <c r="B589" t="s">
        <v>666</v>
      </c>
    </row>
    <row r="590" spans="1:2">
      <c r="A590" t="s">
        <v>623</v>
      </c>
      <c r="B590" t="s">
        <v>667</v>
      </c>
    </row>
    <row r="591" spans="1:2">
      <c r="A591" t="s">
        <v>6</v>
      </c>
      <c r="B591" t="s">
        <v>668</v>
      </c>
    </row>
    <row r="592" spans="1:2">
      <c r="A592" t="s">
        <v>6</v>
      </c>
      <c r="B592" t="s">
        <v>669</v>
      </c>
    </row>
    <row r="593" spans="1:2">
      <c r="A593" s="1">
        <v>41159</v>
      </c>
      <c r="B593" t="s">
        <v>670</v>
      </c>
    </row>
    <row r="594" spans="1:2">
      <c r="A594" t="s">
        <v>12</v>
      </c>
      <c r="B594" t="s">
        <v>671</v>
      </c>
    </row>
    <row r="595" spans="1:2">
      <c r="A595" t="s">
        <v>6</v>
      </c>
      <c r="B595" t="s">
        <v>672</v>
      </c>
    </row>
    <row r="596" spans="1:2">
      <c r="A596" t="s">
        <v>6</v>
      </c>
      <c r="B596" t="s">
        <v>673</v>
      </c>
    </row>
    <row r="597" spans="1:2">
      <c r="A597" t="s">
        <v>56</v>
      </c>
      <c r="B597" t="s">
        <v>674</v>
      </c>
    </row>
    <row r="598" spans="1:2">
      <c r="A598" t="s">
        <v>46</v>
      </c>
      <c r="B598" t="s">
        <v>675</v>
      </c>
    </row>
    <row r="599" spans="1:2">
      <c r="A599" t="s">
        <v>29</v>
      </c>
      <c r="B599" t="s">
        <v>676</v>
      </c>
    </row>
    <row r="600" spans="1:2">
      <c r="A600" t="s">
        <v>6</v>
      </c>
      <c r="B600" t="s">
        <v>677</v>
      </c>
    </row>
    <row r="601" spans="1:2">
      <c r="A601" t="s">
        <v>369</v>
      </c>
      <c r="B601" t="s">
        <v>678</v>
      </c>
    </row>
    <row r="602" spans="1:2">
      <c r="A602" t="s">
        <v>679</v>
      </c>
      <c r="B602" t="s">
        <v>680</v>
      </c>
    </row>
    <row r="603" spans="1:2">
      <c r="A603" t="s">
        <v>39</v>
      </c>
      <c r="B603" t="s">
        <v>681</v>
      </c>
    </row>
    <row r="604" spans="1:2">
      <c r="A604" t="s">
        <v>8</v>
      </c>
      <c r="B604" t="s">
        <v>682</v>
      </c>
    </row>
    <row r="605" spans="1:2">
      <c r="A605" t="s">
        <v>20</v>
      </c>
      <c r="B605" t="s">
        <v>683</v>
      </c>
    </row>
    <row r="606" spans="1:2">
      <c r="A606" t="s">
        <v>18</v>
      </c>
      <c r="B606" t="s">
        <v>684</v>
      </c>
    </row>
    <row r="607" spans="1:2">
      <c r="A607" t="s">
        <v>685</v>
      </c>
      <c r="B607" t="s">
        <v>686</v>
      </c>
    </row>
    <row r="608" spans="1:2">
      <c r="A608" t="s">
        <v>6</v>
      </c>
      <c r="B608" t="s">
        <v>687</v>
      </c>
    </row>
    <row r="609" spans="1:2">
      <c r="A609" t="s">
        <v>478</v>
      </c>
      <c r="B609" t="s">
        <v>688</v>
      </c>
    </row>
    <row r="610" spans="1:2">
      <c r="A610" t="s">
        <v>56</v>
      </c>
      <c r="B610" t="s">
        <v>689</v>
      </c>
    </row>
    <row r="611" spans="1:2">
      <c r="A611" t="s">
        <v>103</v>
      </c>
      <c r="B611" t="s">
        <v>690</v>
      </c>
    </row>
    <row r="612" spans="1:2">
      <c r="A612" t="s">
        <v>18</v>
      </c>
      <c r="B612" t="s">
        <v>691</v>
      </c>
    </row>
    <row r="613" spans="1:2">
      <c r="A613" t="s">
        <v>6</v>
      </c>
      <c r="B613" t="s">
        <v>692</v>
      </c>
    </row>
    <row r="614" spans="1:2">
      <c r="A614" t="s">
        <v>57</v>
      </c>
      <c r="B614" t="s">
        <v>693</v>
      </c>
    </row>
    <row r="615" spans="1:2">
      <c r="A615" t="s">
        <v>12</v>
      </c>
      <c r="B615" t="s">
        <v>694</v>
      </c>
    </row>
    <row r="616" spans="1:2">
      <c r="A616" t="s">
        <v>8</v>
      </c>
      <c r="B616" t="s">
        <v>695</v>
      </c>
    </row>
    <row r="617" spans="1:2">
      <c r="A617" t="s">
        <v>83</v>
      </c>
      <c r="B617" t="s">
        <v>696</v>
      </c>
    </row>
    <row r="618" spans="1:2">
      <c r="A618" t="s">
        <v>105</v>
      </c>
      <c r="B618" t="s">
        <v>697</v>
      </c>
    </row>
    <row r="619" spans="1:2">
      <c r="A619" t="s">
        <v>6</v>
      </c>
      <c r="B619" t="s">
        <v>698</v>
      </c>
    </row>
    <row r="620" spans="1:2">
      <c r="A620" t="s">
        <v>18</v>
      </c>
      <c r="B620" t="s">
        <v>699</v>
      </c>
    </row>
    <row r="621" spans="1:2">
      <c r="A621" t="s">
        <v>46</v>
      </c>
      <c r="B621" t="s">
        <v>700</v>
      </c>
    </row>
    <row r="622" spans="1:2">
      <c r="A622" t="s">
        <v>309</v>
      </c>
      <c r="B622" t="s">
        <v>701</v>
      </c>
    </row>
    <row r="623" spans="1:2">
      <c r="A623" t="s">
        <v>6</v>
      </c>
      <c r="B623" t="s">
        <v>255</v>
      </c>
    </row>
    <row r="624" spans="1:2">
      <c r="A624" t="s">
        <v>18</v>
      </c>
      <c r="B624" t="s">
        <v>303</v>
      </c>
    </row>
    <row r="625" spans="1:2">
      <c r="A625" t="s">
        <v>77</v>
      </c>
      <c r="B625" t="s">
        <v>702</v>
      </c>
    </row>
    <row r="626" spans="1:2">
      <c r="A626" t="s">
        <v>56</v>
      </c>
      <c r="B626" t="s">
        <v>703</v>
      </c>
    </row>
    <row r="627" spans="1:2">
      <c r="A627" t="s">
        <v>62</v>
      </c>
      <c r="B627" t="s">
        <v>704</v>
      </c>
    </row>
    <row r="628" spans="1:2">
      <c r="A628" t="s">
        <v>152</v>
      </c>
      <c r="B628" t="s">
        <v>705</v>
      </c>
    </row>
    <row r="629" spans="1:2">
      <c r="A629" t="s">
        <v>42</v>
      </c>
      <c r="B629" t="s">
        <v>706</v>
      </c>
    </row>
    <row r="630" spans="1:2">
      <c r="A630" t="s">
        <v>6</v>
      </c>
      <c r="B630" t="s">
        <v>707</v>
      </c>
    </row>
    <row r="631" spans="1:2">
      <c r="A631" t="s">
        <v>152</v>
      </c>
      <c r="B631" t="s">
        <v>708</v>
      </c>
    </row>
    <row r="632" spans="1:2">
      <c r="A632" t="s">
        <v>29</v>
      </c>
      <c r="B632" t="s">
        <v>709</v>
      </c>
    </row>
    <row r="633" spans="1:2">
      <c r="A633" t="s">
        <v>6</v>
      </c>
      <c r="B633" t="s">
        <v>710</v>
      </c>
    </row>
    <row r="634" spans="1:2">
      <c r="A634" t="s">
        <v>48</v>
      </c>
      <c r="B634" t="s">
        <v>711</v>
      </c>
    </row>
    <row r="635" spans="1:2">
      <c r="A635" t="s">
        <v>531</v>
      </c>
      <c r="B635" t="s">
        <v>712</v>
      </c>
    </row>
    <row r="636" spans="1:2">
      <c r="A636" t="s">
        <v>39</v>
      </c>
      <c r="B636" t="s">
        <v>713</v>
      </c>
    </row>
    <row r="637" spans="1:2">
      <c r="A637" t="s">
        <v>6</v>
      </c>
      <c r="B637" t="s">
        <v>714</v>
      </c>
    </row>
    <row r="638" spans="1:2">
      <c r="A638" t="s">
        <v>22</v>
      </c>
      <c r="B638" t="s">
        <v>485</v>
      </c>
    </row>
    <row r="639" spans="1:2">
      <c r="A639" t="s">
        <v>71</v>
      </c>
      <c r="B639" t="s">
        <v>715</v>
      </c>
    </row>
    <row r="640" spans="1:2">
      <c r="A640" t="s">
        <v>6</v>
      </c>
      <c r="B640" t="s">
        <v>716</v>
      </c>
    </row>
    <row r="641" spans="1:2">
      <c r="A641" t="s">
        <v>68</v>
      </c>
      <c r="B641" t="s">
        <v>717</v>
      </c>
    </row>
    <row r="642" spans="1:2">
      <c r="A642" t="s">
        <v>68</v>
      </c>
      <c r="B642" t="s">
        <v>718</v>
      </c>
    </row>
    <row r="643" spans="1:2">
      <c r="A643" t="s">
        <v>56</v>
      </c>
      <c r="B643" t="s">
        <v>719</v>
      </c>
    </row>
    <row r="644" spans="1:2">
      <c r="A644" t="s">
        <v>6</v>
      </c>
      <c r="B644" t="s">
        <v>720</v>
      </c>
    </row>
    <row r="645" spans="1:2">
      <c r="A645" t="s">
        <v>62</v>
      </c>
      <c r="B645" t="s">
        <v>721</v>
      </c>
    </row>
    <row r="646" spans="1:2">
      <c r="A646" t="s">
        <v>46</v>
      </c>
      <c r="B646" t="s">
        <v>722</v>
      </c>
    </row>
    <row r="647" spans="1:2">
      <c r="A647" s="1">
        <v>41159</v>
      </c>
      <c r="B647" t="s">
        <v>723</v>
      </c>
    </row>
    <row r="648" spans="1:2">
      <c r="A648" t="s">
        <v>6</v>
      </c>
      <c r="B648" t="s">
        <v>724</v>
      </c>
    </row>
    <row r="649" spans="1:2">
      <c r="A649" t="s">
        <v>6</v>
      </c>
      <c r="B649" t="s">
        <v>725</v>
      </c>
    </row>
    <row r="650" spans="1:2">
      <c r="A650" t="s">
        <v>22</v>
      </c>
      <c r="B650" t="s">
        <v>726</v>
      </c>
    </row>
    <row r="651" spans="1:2">
      <c r="A651" t="s">
        <v>39</v>
      </c>
      <c r="B651" t="s">
        <v>727</v>
      </c>
    </row>
    <row r="652" spans="1:2">
      <c r="A652" t="s">
        <v>728</v>
      </c>
      <c r="B652" t="s">
        <v>615</v>
      </c>
    </row>
    <row r="653" spans="1:2">
      <c r="A653" t="s">
        <v>112</v>
      </c>
      <c r="B653" t="s">
        <v>729</v>
      </c>
    </row>
    <row r="654" spans="1:2">
      <c r="A654" t="s">
        <v>730</v>
      </c>
      <c r="B654" t="s">
        <v>731</v>
      </c>
    </row>
    <row r="655" spans="1:2">
      <c r="A655" t="s">
        <v>8</v>
      </c>
      <c r="B655" t="s">
        <v>732</v>
      </c>
    </row>
    <row r="656" spans="1:2">
      <c r="A656" t="s">
        <v>4</v>
      </c>
      <c r="B656" t="s">
        <v>733</v>
      </c>
    </row>
    <row r="657" spans="1:2">
      <c r="A657" t="s">
        <v>6</v>
      </c>
      <c r="B657" t="s">
        <v>734</v>
      </c>
    </row>
    <row r="658" spans="1:2">
      <c r="A658" t="s">
        <v>137</v>
      </c>
      <c r="B658" t="s">
        <v>735</v>
      </c>
    </row>
    <row r="659" spans="1:2">
      <c r="A659" t="s">
        <v>56</v>
      </c>
      <c r="B659" t="s">
        <v>736</v>
      </c>
    </row>
    <row r="660" spans="1:2">
      <c r="A660" t="s">
        <v>6</v>
      </c>
      <c r="B660" t="s">
        <v>737</v>
      </c>
    </row>
    <row r="661" spans="1:2">
      <c r="A661" t="s">
        <v>6</v>
      </c>
      <c r="B661" t="s">
        <v>738</v>
      </c>
    </row>
    <row r="662" spans="1:2">
      <c r="A662" t="s">
        <v>14</v>
      </c>
      <c r="B662" t="s">
        <v>65</v>
      </c>
    </row>
    <row r="663" spans="1:2">
      <c r="A663" t="s">
        <v>14</v>
      </c>
      <c r="B663" t="s">
        <v>739</v>
      </c>
    </row>
    <row r="664" spans="1:2">
      <c r="A664" t="s">
        <v>6</v>
      </c>
      <c r="B664" t="s">
        <v>740</v>
      </c>
    </row>
    <row r="665" spans="1:2">
      <c r="A665" t="s">
        <v>48</v>
      </c>
      <c r="B665" t="s">
        <v>741</v>
      </c>
    </row>
    <row r="666" spans="1:2">
      <c r="A666" t="s">
        <v>48</v>
      </c>
      <c r="B666" t="s">
        <v>742</v>
      </c>
    </row>
    <row r="667" spans="1:2">
      <c r="A667" t="s">
        <v>6</v>
      </c>
      <c r="B667" t="s">
        <v>743</v>
      </c>
    </row>
    <row r="668" spans="1:2">
      <c r="A668" t="s">
        <v>77</v>
      </c>
      <c r="B668" t="s">
        <v>744</v>
      </c>
    </row>
    <row r="669" spans="1:2">
      <c r="A669" t="s">
        <v>6</v>
      </c>
      <c r="B669" t="s">
        <v>745</v>
      </c>
    </row>
    <row r="670" spans="1:2">
      <c r="A670" t="s">
        <v>33</v>
      </c>
      <c r="B670" t="s">
        <v>746</v>
      </c>
    </row>
    <row r="671" spans="1:2">
      <c r="A671" t="s">
        <v>8</v>
      </c>
      <c r="B671" t="s">
        <v>747</v>
      </c>
    </row>
    <row r="672" spans="1:2">
      <c r="A672" t="s">
        <v>112</v>
      </c>
      <c r="B672" t="s">
        <v>748</v>
      </c>
    </row>
    <row r="673" spans="1:2">
      <c r="A673" t="s">
        <v>18</v>
      </c>
      <c r="B673" t="s">
        <v>749</v>
      </c>
    </row>
    <row r="674" spans="1:2">
      <c r="A674" t="s">
        <v>56</v>
      </c>
      <c r="B674" t="s">
        <v>621</v>
      </c>
    </row>
    <row r="675" spans="1:2">
      <c r="A675" t="s">
        <v>750</v>
      </c>
      <c r="B675" t="s">
        <v>751</v>
      </c>
    </row>
    <row r="676" spans="1:2">
      <c r="A676" t="s">
        <v>6</v>
      </c>
      <c r="B676" t="s">
        <v>752</v>
      </c>
    </row>
    <row r="677" spans="1:2">
      <c r="A677" t="s">
        <v>6</v>
      </c>
      <c r="B677" t="s">
        <v>753</v>
      </c>
    </row>
    <row r="678" spans="1:2">
      <c r="A678" t="s">
        <v>18</v>
      </c>
      <c r="B678" t="s">
        <v>754</v>
      </c>
    </row>
    <row r="679" spans="1:2">
      <c r="A679" t="s">
        <v>18</v>
      </c>
      <c r="B679" t="s">
        <v>755</v>
      </c>
    </row>
    <row r="680" spans="1:2">
      <c r="A680" t="s">
        <v>39</v>
      </c>
      <c r="B680" t="s">
        <v>756</v>
      </c>
    </row>
    <row r="681" spans="1:2">
      <c r="A681" t="s">
        <v>137</v>
      </c>
      <c r="B681" t="s">
        <v>757</v>
      </c>
    </row>
    <row r="682" spans="1:2">
      <c r="A682" t="s">
        <v>758</v>
      </c>
      <c r="B682" t="s">
        <v>759</v>
      </c>
    </row>
    <row r="683" spans="1:2">
      <c r="A683" t="s">
        <v>18</v>
      </c>
      <c r="B683" t="s">
        <v>760</v>
      </c>
    </row>
    <row r="684" spans="1:2">
      <c r="A684" t="s">
        <v>321</v>
      </c>
      <c r="B684" t="s">
        <v>761</v>
      </c>
    </row>
    <row r="685" spans="1:2">
      <c r="A685" t="s">
        <v>6</v>
      </c>
      <c r="B685" t="s">
        <v>762</v>
      </c>
    </row>
    <row r="686" spans="1:2">
      <c r="A686" t="s">
        <v>56</v>
      </c>
      <c r="B686" t="s">
        <v>39</v>
      </c>
    </row>
    <row r="687" spans="1:2">
      <c r="A687" t="s">
        <v>107</v>
      </c>
      <c r="B687" t="s">
        <v>763</v>
      </c>
    </row>
    <row r="688" spans="1:2">
      <c r="A688" t="s">
        <v>103</v>
      </c>
      <c r="B688" t="s">
        <v>764</v>
      </c>
    </row>
    <row r="689" spans="1:2">
      <c r="A689" t="s">
        <v>18</v>
      </c>
      <c r="B689" t="s">
        <v>765</v>
      </c>
    </row>
    <row r="690" spans="1:2">
      <c r="A690" t="s">
        <v>18</v>
      </c>
      <c r="B690" t="s">
        <v>766</v>
      </c>
    </row>
    <row r="691" spans="1:2">
      <c r="A691" t="s">
        <v>50</v>
      </c>
      <c r="B691" t="s">
        <v>767</v>
      </c>
    </row>
    <row r="692" spans="1:2">
      <c r="A692" t="s">
        <v>29</v>
      </c>
      <c r="B692" t="s">
        <v>768</v>
      </c>
    </row>
    <row r="693" spans="1:2">
      <c r="A693" t="s">
        <v>6</v>
      </c>
      <c r="B693" t="s">
        <v>769</v>
      </c>
    </row>
    <row r="694" spans="1:2">
      <c r="A694" t="s">
        <v>56</v>
      </c>
      <c r="B694" t="s">
        <v>770</v>
      </c>
    </row>
    <row r="695" spans="1:2">
      <c r="A695" t="s">
        <v>6</v>
      </c>
      <c r="B695" t="s">
        <v>771</v>
      </c>
    </row>
    <row r="696" spans="1:2">
      <c r="A696" t="s">
        <v>18</v>
      </c>
      <c r="B696" t="s">
        <v>772</v>
      </c>
    </row>
    <row r="697" spans="1:2">
      <c r="A697" t="s">
        <v>6</v>
      </c>
      <c r="B697" t="s">
        <v>773</v>
      </c>
    </row>
    <row r="698" spans="1:2">
      <c r="A698" t="s">
        <v>6</v>
      </c>
      <c r="B698" t="s">
        <v>774</v>
      </c>
    </row>
    <row r="699" spans="1:2">
      <c r="A699" t="s">
        <v>12</v>
      </c>
      <c r="B699" t="s">
        <v>775</v>
      </c>
    </row>
    <row r="700" spans="1:2">
      <c r="A700" t="s">
        <v>74</v>
      </c>
      <c r="B700" t="s">
        <v>506</v>
      </c>
    </row>
    <row r="701" spans="1:2">
      <c r="A701" t="s">
        <v>29</v>
      </c>
      <c r="B701" t="s">
        <v>776</v>
      </c>
    </row>
    <row r="702" spans="1:2">
      <c r="A702" t="s">
        <v>6</v>
      </c>
      <c r="B702" t="s">
        <v>777</v>
      </c>
    </row>
    <row r="703" spans="1:2">
      <c r="A703" t="s">
        <v>29</v>
      </c>
      <c r="B703" t="s">
        <v>778</v>
      </c>
    </row>
    <row r="704" spans="1:2">
      <c r="A704" t="s">
        <v>6</v>
      </c>
      <c r="B704" t="s">
        <v>779</v>
      </c>
    </row>
    <row r="705" spans="1:2">
      <c r="A705" t="s">
        <v>527</v>
      </c>
      <c r="B705" t="s">
        <v>780</v>
      </c>
    </row>
    <row r="706" spans="1:2">
      <c r="A706" t="s">
        <v>18</v>
      </c>
      <c r="B706" t="s">
        <v>781</v>
      </c>
    </row>
    <row r="707" spans="1:2">
      <c r="A707" t="s">
        <v>56</v>
      </c>
      <c r="B707" t="s">
        <v>469</v>
      </c>
    </row>
    <row r="708" spans="1:2">
      <c r="A708" t="s">
        <v>6</v>
      </c>
      <c r="B708" t="s">
        <v>782</v>
      </c>
    </row>
    <row r="709" spans="1:2">
      <c r="A709" t="s">
        <v>39</v>
      </c>
      <c r="B709" t="s">
        <v>783</v>
      </c>
    </row>
    <row r="710" spans="1:2">
      <c r="A710" t="s">
        <v>18</v>
      </c>
      <c r="B710" t="s">
        <v>784</v>
      </c>
    </row>
    <row r="711" spans="1:2">
      <c r="A711" t="s">
        <v>46</v>
      </c>
      <c r="B711" t="s">
        <v>785</v>
      </c>
    </row>
    <row r="712" spans="1:2">
      <c r="A712" t="s">
        <v>105</v>
      </c>
      <c r="B712" t="s">
        <v>786</v>
      </c>
    </row>
    <row r="713" spans="1:2">
      <c r="A713" t="s">
        <v>6</v>
      </c>
      <c r="B713" t="s">
        <v>787</v>
      </c>
    </row>
    <row r="714" spans="1:2">
      <c r="A714" t="s">
        <v>6</v>
      </c>
      <c r="B714" t="s">
        <v>788</v>
      </c>
    </row>
    <row r="715" spans="1:2">
      <c r="A715" t="s">
        <v>6</v>
      </c>
      <c r="B715" t="s">
        <v>789</v>
      </c>
    </row>
    <row r="716" spans="1:2">
      <c r="A716" t="s">
        <v>4</v>
      </c>
      <c r="B716" t="s">
        <v>790</v>
      </c>
    </row>
    <row r="717" spans="1:2">
      <c r="A717" t="s">
        <v>42</v>
      </c>
      <c r="B717" t="s">
        <v>791</v>
      </c>
    </row>
    <row r="718" spans="1:2">
      <c r="A718" t="s">
        <v>94</v>
      </c>
      <c r="B718" t="s">
        <v>792</v>
      </c>
    </row>
    <row r="719" spans="1:2">
      <c r="A719" t="s">
        <v>18</v>
      </c>
      <c r="B719" t="s">
        <v>793</v>
      </c>
    </row>
    <row r="720" spans="1:2">
      <c r="A720" t="s">
        <v>107</v>
      </c>
      <c r="B720" t="s">
        <v>794</v>
      </c>
    </row>
    <row r="721" spans="1:2">
      <c r="A721" t="s">
        <v>22</v>
      </c>
      <c r="B721" t="s">
        <v>795</v>
      </c>
    </row>
    <row r="722" spans="1:2">
      <c r="A722" t="s">
        <v>42</v>
      </c>
      <c r="B722" t="s">
        <v>796</v>
      </c>
    </row>
    <row r="723" spans="1:2">
      <c r="A723" t="s">
        <v>56</v>
      </c>
      <c r="B723" t="s">
        <v>797</v>
      </c>
    </row>
    <row r="724" spans="1:2">
      <c r="A724" t="s">
        <v>6</v>
      </c>
      <c r="B724" t="s">
        <v>798</v>
      </c>
    </row>
    <row r="725" spans="1:2">
      <c r="A725" t="s">
        <v>323</v>
      </c>
      <c r="B725" t="s">
        <v>799</v>
      </c>
    </row>
    <row r="726" spans="1:2">
      <c r="A726" t="s">
        <v>154</v>
      </c>
      <c r="B726" t="s">
        <v>800</v>
      </c>
    </row>
    <row r="727" spans="1:2">
      <c r="A727" t="s">
        <v>379</v>
      </c>
      <c r="B727" t="s">
        <v>801</v>
      </c>
    </row>
    <row r="728" spans="1:2">
      <c r="A728" t="s">
        <v>160</v>
      </c>
      <c r="B728" t="s">
        <v>802</v>
      </c>
    </row>
    <row r="729" spans="1:2">
      <c r="A729" t="s">
        <v>18</v>
      </c>
      <c r="B729" t="s">
        <v>803</v>
      </c>
    </row>
    <row r="730" spans="1:2">
      <c r="A730" t="s">
        <v>6</v>
      </c>
      <c r="B730" t="s">
        <v>804</v>
      </c>
    </row>
    <row r="731" spans="1:2">
      <c r="A731" s="1">
        <v>41159</v>
      </c>
      <c r="B731" t="s">
        <v>805</v>
      </c>
    </row>
    <row r="732" spans="1:2">
      <c r="A732" t="s">
        <v>20</v>
      </c>
      <c r="B732" t="s">
        <v>806</v>
      </c>
    </row>
    <row r="733" spans="1:2">
      <c r="A733" t="s">
        <v>18</v>
      </c>
      <c r="B733" t="s">
        <v>807</v>
      </c>
    </row>
    <row r="734" spans="1:2">
      <c r="A734" t="s">
        <v>347</v>
      </c>
      <c r="B734" t="s">
        <v>808</v>
      </c>
    </row>
    <row r="735" spans="1:2">
      <c r="A735" t="s">
        <v>20</v>
      </c>
      <c r="B735" t="s">
        <v>809</v>
      </c>
    </row>
    <row r="736" spans="1:2">
      <c r="A736" t="s">
        <v>56</v>
      </c>
      <c r="B736" t="s">
        <v>810</v>
      </c>
    </row>
    <row r="737" spans="1:2">
      <c r="A737" t="s">
        <v>77</v>
      </c>
      <c r="B737" t="s">
        <v>811</v>
      </c>
    </row>
    <row r="738" spans="1:2">
      <c r="A738" t="s">
        <v>18</v>
      </c>
      <c r="B738" t="s">
        <v>812</v>
      </c>
    </row>
    <row r="739" spans="1:2">
      <c r="A739" t="s">
        <v>18</v>
      </c>
      <c r="B739" t="s">
        <v>813</v>
      </c>
    </row>
    <row r="740" spans="1:2">
      <c r="A740" t="s">
        <v>6</v>
      </c>
      <c r="B740" t="s">
        <v>814</v>
      </c>
    </row>
    <row r="741" spans="1:2">
      <c r="A741" t="s">
        <v>103</v>
      </c>
      <c r="B741" t="s">
        <v>815</v>
      </c>
    </row>
    <row r="742" spans="1:2">
      <c r="A742" t="s">
        <v>137</v>
      </c>
      <c r="B742" t="s">
        <v>816</v>
      </c>
    </row>
    <row r="743" spans="1:2">
      <c r="A743" t="s">
        <v>6</v>
      </c>
      <c r="B743" t="s">
        <v>817</v>
      </c>
    </row>
    <row r="744" spans="1:2">
      <c r="A744" t="s">
        <v>645</v>
      </c>
      <c r="B744" t="s">
        <v>818</v>
      </c>
    </row>
    <row r="745" spans="1:2">
      <c r="A745" t="s">
        <v>29</v>
      </c>
      <c r="B745" t="s">
        <v>819</v>
      </c>
    </row>
    <row r="746" spans="1:2">
      <c r="A746" t="s">
        <v>129</v>
      </c>
      <c r="B746" t="s">
        <v>820</v>
      </c>
    </row>
    <row r="747" spans="1:2">
      <c r="A747" t="s">
        <v>33</v>
      </c>
      <c r="B747" t="s">
        <v>821</v>
      </c>
    </row>
    <row r="748" spans="1:2">
      <c r="A748" t="s">
        <v>6</v>
      </c>
      <c r="B748" t="s">
        <v>822</v>
      </c>
    </row>
    <row r="749" spans="1:2">
      <c r="A749" t="s">
        <v>6</v>
      </c>
      <c r="B749" t="s">
        <v>823</v>
      </c>
    </row>
    <row r="750" spans="1:2">
      <c r="A750" t="s">
        <v>20</v>
      </c>
      <c r="B750" t="s">
        <v>824</v>
      </c>
    </row>
    <row r="751" spans="1:2">
      <c r="A751" t="s">
        <v>77</v>
      </c>
      <c r="B751" t="s">
        <v>825</v>
      </c>
    </row>
    <row r="752" spans="1:2">
      <c r="A752" t="s">
        <v>6</v>
      </c>
      <c r="B752" t="s">
        <v>826</v>
      </c>
    </row>
    <row r="753" spans="1:2">
      <c r="A753" t="s">
        <v>14</v>
      </c>
      <c r="B753" t="s">
        <v>24</v>
      </c>
    </row>
    <row r="754" spans="1:2">
      <c r="A754" t="s">
        <v>6</v>
      </c>
      <c r="B754" t="s">
        <v>827</v>
      </c>
    </row>
    <row r="755" spans="1:2">
      <c r="A755" t="s">
        <v>6</v>
      </c>
      <c r="B755" t="s">
        <v>828</v>
      </c>
    </row>
    <row r="756" spans="1:2">
      <c r="A756" t="s">
        <v>6</v>
      </c>
      <c r="B756" t="s">
        <v>829</v>
      </c>
    </row>
    <row r="757" spans="1:2">
      <c r="A757" t="s">
        <v>18</v>
      </c>
      <c r="B757" t="s">
        <v>830</v>
      </c>
    </row>
    <row r="758" spans="1:2">
      <c r="A758" t="s">
        <v>18</v>
      </c>
      <c r="B758" t="s">
        <v>97</v>
      </c>
    </row>
    <row r="759" spans="1:2">
      <c r="A759" t="s">
        <v>29</v>
      </c>
      <c r="B759" t="s">
        <v>831</v>
      </c>
    </row>
    <row r="760" spans="1:2">
      <c r="A760" t="s">
        <v>309</v>
      </c>
      <c r="B760" t="s">
        <v>832</v>
      </c>
    </row>
    <row r="761" spans="1:2">
      <c r="A761" t="s">
        <v>83</v>
      </c>
      <c r="B761" t="s">
        <v>833</v>
      </c>
    </row>
    <row r="762" spans="1:2">
      <c r="A762" t="s">
        <v>6</v>
      </c>
      <c r="B762" t="s">
        <v>834</v>
      </c>
    </row>
    <row r="763" spans="1:2">
      <c r="A763" t="s">
        <v>6</v>
      </c>
      <c r="B763" t="s">
        <v>835</v>
      </c>
    </row>
    <row r="764" spans="1:2">
      <c r="A764" t="s">
        <v>525</v>
      </c>
      <c r="B764" t="s">
        <v>836</v>
      </c>
    </row>
    <row r="765" spans="1:2">
      <c r="A765" t="s">
        <v>6</v>
      </c>
      <c r="B765" t="s">
        <v>837</v>
      </c>
    </row>
    <row r="766" spans="1:2">
      <c r="A766" t="s">
        <v>6</v>
      </c>
      <c r="B766" t="s">
        <v>838</v>
      </c>
    </row>
    <row r="767" spans="1:2">
      <c r="A767" t="s">
        <v>56</v>
      </c>
      <c r="B767" t="s">
        <v>214</v>
      </c>
    </row>
    <row r="768" spans="1:2">
      <c r="A768" t="s">
        <v>42</v>
      </c>
      <c r="B768" t="s">
        <v>839</v>
      </c>
    </row>
    <row r="769" spans="1:2">
      <c r="A769" t="s">
        <v>29</v>
      </c>
      <c r="B769" t="s">
        <v>840</v>
      </c>
    </row>
    <row r="770" spans="1:2">
      <c r="A770" t="s">
        <v>6</v>
      </c>
      <c r="B770" t="s">
        <v>841</v>
      </c>
    </row>
    <row r="771" spans="1:2">
      <c r="A771" t="s">
        <v>379</v>
      </c>
      <c r="B771" t="s">
        <v>842</v>
      </c>
    </row>
    <row r="772" spans="1:2">
      <c r="A772" t="s">
        <v>29</v>
      </c>
      <c r="B772" t="s">
        <v>843</v>
      </c>
    </row>
    <row r="773" spans="1:2">
      <c r="A773" t="s">
        <v>6</v>
      </c>
      <c r="B773" t="s">
        <v>844</v>
      </c>
    </row>
    <row r="774" spans="1:2">
      <c r="A774" t="s">
        <v>6</v>
      </c>
      <c r="B774" t="s">
        <v>845</v>
      </c>
    </row>
    <row r="775" spans="1:2">
      <c r="A775" t="s">
        <v>6</v>
      </c>
      <c r="B775" t="s">
        <v>846</v>
      </c>
    </row>
    <row r="776" spans="1:2">
      <c r="A776" t="s">
        <v>6</v>
      </c>
      <c r="B776" t="s">
        <v>847</v>
      </c>
    </row>
    <row r="777" spans="1:2">
      <c r="A777" t="s">
        <v>50</v>
      </c>
      <c r="B777" t="s">
        <v>848</v>
      </c>
    </row>
    <row r="778" spans="1:2">
      <c r="A778" t="s">
        <v>50</v>
      </c>
      <c r="B778" t="s">
        <v>849</v>
      </c>
    </row>
    <row r="779" spans="1:2">
      <c r="A779" t="s">
        <v>137</v>
      </c>
      <c r="B779" t="s">
        <v>850</v>
      </c>
    </row>
    <row r="780" spans="1:2">
      <c r="A780" t="s">
        <v>42</v>
      </c>
      <c r="B780" t="s">
        <v>851</v>
      </c>
    </row>
    <row r="781" spans="1:2">
      <c r="A781" t="s">
        <v>112</v>
      </c>
      <c r="B781" t="s">
        <v>852</v>
      </c>
    </row>
    <row r="782" spans="1:2">
      <c r="A782" t="s">
        <v>6</v>
      </c>
      <c r="B782" t="s">
        <v>853</v>
      </c>
    </row>
    <row r="783" spans="1:2">
      <c r="A783" t="s">
        <v>83</v>
      </c>
      <c r="B783" t="s">
        <v>8</v>
      </c>
    </row>
    <row r="784" spans="1:2">
      <c r="A784" t="s">
        <v>56</v>
      </c>
      <c r="B784" t="s">
        <v>854</v>
      </c>
    </row>
    <row r="785" spans="1:2">
      <c r="A785" t="s">
        <v>94</v>
      </c>
      <c r="B785" t="s">
        <v>855</v>
      </c>
    </row>
    <row r="786" spans="1:2">
      <c r="A786" t="s">
        <v>107</v>
      </c>
      <c r="B786" t="s">
        <v>856</v>
      </c>
    </row>
    <row r="787" spans="1:2">
      <c r="A787" t="s">
        <v>6</v>
      </c>
      <c r="B787" t="s">
        <v>857</v>
      </c>
    </row>
    <row r="788" spans="1:2">
      <c r="A788" t="s">
        <v>18</v>
      </c>
      <c r="B788" t="s">
        <v>858</v>
      </c>
    </row>
    <row r="789" spans="1:2">
      <c r="A789" t="s">
        <v>56</v>
      </c>
      <c r="B789" t="s">
        <v>859</v>
      </c>
    </row>
    <row r="790" spans="1:2">
      <c r="A790" t="s">
        <v>83</v>
      </c>
      <c r="B790" t="s">
        <v>860</v>
      </c>
    </row>
    <row r="791" spans="1:2">
      <c r="A791" t="s">
        <v>6</v>
      </c>
      <c r="B791" t="s">
        <v>861</v>
      </c>
    </row>
    <row r="792" spans="1:2">
      <c r="A792" t="s">
        <v>6</v>
      </c>
      <c r="B792" t="s">
        <v>862</v>
      </c>
    </row>
    <row r="793" spans="1:2">
      <c r="A793" t="s">
        <v>6</v>
      </c>
      <c r="B793" t="s">
        <v>863</v>
      </c>
    </row>
    <row r="794" spans="1:2">
      <c r="A794" t="s">
        <v>8</v>
      </c>
      <c r="B794" t="s">
        <v>864</v>
      </c>
    </row>
    <row r="795" spans="1:2">
      <c r="A795" t="s">
        <v>8</v>
      </c>
      <c r="B795" t="s">
        <v>865</v>
      </c>
    </row>
    <row r="796" spans="1:2">
      <c r="A796" t="s">
        <v>6</v>
      </c>
      <c r="B796" t="s">
        <v>866</v>
      </c>
    </row>
    <row r="797" spans="1:2">
      <c r="A797" t="s">
        <v>6</v>
      </c>
      <c r="B797" t="s">
        <v>867</v>
      </c>
    </row>
    <row r="798" spans="1:2">
      <c r="A798" t="s">
        <v>6</v>
      </c>
      <c r="B798" t="s">
        <v>868</v>
      </c>
    </row>
    <row r="799" spans="1:2">
      <c r="A799" t="s">
        <v>6</v>
      </c>
      <c r="B799" t="s">
        <v>869</v>
      </c>
    </row>
    <row r="800" spans="1:2">
      <c r="A800" t="s">
        <v>105</v>
      </c>
      <c r="B800" t="s">
        <v>870</v>
      </c>
    </row>
    <row r="801" spans="1:2">
      <c r="A801" t="s">
        <v>105</v>
      </c>
      <c r="B801" t="s">
        <v>871</v>
      </c>
    </row>
    <row r="802" spans="1:2">
      <c r="A802" t="s">
        <v>68</v>
      </c>
      <c r="B802" t="s">
        <v>872</v>
      </c>
    </row>
    <row r="803" spans="1:2">
      <c r="A803" t="s">
        <v>643</v>
      </c>
      <c r="B803" t="s">
        <v>873</v>
      </c>
    </row>
    <row r="804" spans="1:2">
      <c r="A804" t="s">
        <v>456</v>
      </c>
      <c r="B804" t="s">
        <v>874</v>
      </c>
    </row>
    <row r="805" spans="1:2">
      <c r="A805" t="s">
        <v>56</v>
      </c>
      <c r="B805" t="s">
        <v>105</v>
      </c>
    </row>
    <row r="806" spans="1:2">
      <c r="A806" t="s">
        <v>6</v>
      </c>
      <c r="B806" t="s">
        <v>875</v>
      </c>
    </row>
    <row r="807" spans="1:2">
      <c r="A807" t="s">
        <v>6</v>
      </c>
      <c r="B807" t="s">
        <v>876</v>
      </c>
    </row>
    <row r="808" spans="1:2">
      <c r="A808" t="s">
        <v>18</v>
      </c>
      <c r="B808" t="s">
        <v>877</v>
      </c>
    </row>
    <row r="809" spans="1:2">
      <c r="A809" t="s">
        <v>46</v>
      </c>
      <c r="B809" t="s">
        <v>878</v>
      </c>
    </row>
    <row r="810" spans="1:2">
      <c r="A810" t="s">
        <v>344</v>
      </c>
      <c r="B810" t="s">
        <v>879</v>
      </c>
    </row>
    <row r="811" spans="1:2">
      <c r="A811" t="s">
        <v>6</v>
      </c>
      <c r="B811" t="s">
        <v>880</v>
      </c>
    </row>
    <row r="812" spans="1:2">
      <c r="A812" t="s">
        <v>12</v>
      </c>
      <c r="B812" t="s">
        <v>881</v>
      </c>
    </row>
    <row r="813" spans="1:2">
      <c r="A813" t="s">
        <v>22</v>
      </c>
      <c r="B813" t="s">
        <v>882</v>
      </c>
    </row>
    <row r="814" spans="1:2">
      <c r="A814" t="s">
        <v>56</v>
      </c>
      <c r="B814" t="s">
        <v>883</v>
      </c>
    </row>
    <row r="815" spans="1:2">
      <c r="A815" t="s">
        <v>8</v>
      </c>
      <c r="B815" t="s">
        <v>884</v>
      </c>
    </row>
    <row r="816" spans="1:2">
      <c r="A816" t="s">
        <v>6</v>
      </c>
      <c r="B816" t="s">
        <v>885</v>
      </c>
    </row>
    <row r="817" spans="1:2">
      <c r="A817" t="s">
        <v>56</v>
      </c>
      <c r="B817" t="s">
        <v>608</v>
      </c>
    </row>
    <row r="818" spans="1:2">
      <c r="A818" t="s">
        <v>369</v>
      </c>
      <c r="B818" t="s">
        <v>886</v>
      </c>
    </row>
    <row r="819" spans="1:2">
      <c r="A819" t="s">
        <v>6</v>
      </c>
      <c r="B819" t="s">
        <v>887</v>
      </c>
    </row>
    <row r="820" spans="1:2">
      <c r="A820" t="s">
        <v>6</v>
      </c>
      <c r="B820" t="s">
        <v>888</v>
      </c>
    </row>
    <row r="821" spans="1:2">
      <c r="A821" t="s">
        <v>889</v>
      </c>
      <c r="B821" t="s">
        <v>890</v>
      </c>
    </row>
    <row r="822" spans="1:2">
      <c r="A822" t="s">
        <v>48</v>
      </c>
      <c r="B822" t="s">
        <v>891</v>
      </c>
    </row>
    <row r="823" spans="1:2">
      <c r="A823" t="s">
        <v>39</v>
      </c>
      <c r="B823" t="s">
        <v>892</v>
      </c>
    </row>
    <row r="824" spans="1:2">
      <c r="A824" t="s">
        <v>8</v>
      </c>
      <c r="B824" t="s">
        <v>893</v>
      </c>
    </row>
    <row r="825" spans="1:2">
      <c r="A825" t="s">
        <v>29</v>
      </c>
      <c r="B825" t="s">
        <v>894</v>
      </c>
    </row>
    <row r="826" spans="1:2">
      <c r="A826" t="s">
        <v>6</v>
      </c>
      <c r="B826" t="s">
        <v>895</v>
      </c>
    </row>
    <row r="827" spans="1:2">
      <c r="A827" t="s">
        <v>6</v>
      </c>
      <c r="B827" t="s">
        <v>896</v>
      </c>
    </row>
    <row r="828" spans="1:2">
      <c r="A828" t="s">
        <v>46</v>
      </c>
      <c r="B828" t="s">
        <v>897</v>
      </c>
    </row>
    <row r="829" spans="1:2">
      <c r="A829" t="s">
        <v>56</v>
      </c>
      <c r="B829" t="s">
        <v>898</v>
      </c>
    </row>
    <row r="830" spans="1:2">
      <c r="A830" t="s">
        <v>6</v>
      </c>
      <c r="B830" t="s">
        <v>899</v>
      </c>
    </row>
    <row r="831" spans="1:2">
      <c r="A831" t="s">
        <v>172</v>
      </c>
      <c r="B831" t="s">
        <v>900</v>
      </c>
    </row>
    <row r="832" spans="1:2">
      <c r="A832" t="s">
        <v>112</v>
      </c>
      <c r="B832" t="s">
        <v>901</v>
      </c>
    </row>
    <row r="833" spans="1:2">
      <c r="A833" t="s">
        <v>129</v>
      </c>
      <c r="B833" t="s">
        <v>902</v>
      </c>
    </row>
    <row r="834" spans="1:2">
      <c r="A834" t="s">
        <v>223</v>
      </c>
      <c r="B834" t="s">
        <v>903</v>
      </c>
    </row>
    <row r="835" spans="1:2">
      <c r="A835" t="s">
        <v>105</v>
      </c>
      <c r="B835" t="s">
        <v>904</v>
      </c>
    </row>
    <row r="836" spans="1:2">
      <c r="A836" t="s">
        <v>314</v>
      </c>
      <c r="B836" t="s">
        <v>905</v>
      </c>
    </row>
    <row r="837" spans="1:2">
      <c r="A837" t="s">
        <v>6</v>
      </c>
      <c r="B837" t="s">
        <v>906</v>
      </c>
    </row>
    <row r="838" spans="1:2">
      <c r="A838" t="s">
        <v>6</v>
      </c>
      <c r="B838" t="s">
        <v>907</v>
      </c>
    </row>
    <row r="839" spans="1:2">
      <c r="A839" t="s">
        <v>68</v>
      </c>
      <c r="B839" t="s">
        <v>908</v>
      </c>
    </row>
    <row r="840" spans="1:2">
      <c r="A840" t="s">
        <v>6</v>
      </c>
      <c r="B840" t="s">
        <v>909</v>
      </c>
    </row>
    <row r="841" spans="1:2">
      <c r="A841" t="s">
        <v>6</v>
      </c>
      <c r="B841" t="s">
        <v>910</v>
      </c>
    </row>
    <row r="842" spans="1:2">
      <c r="A842" t="s">
        <v>347</v>
      </c>
      <c r="B842" t="s">
        <v>911</v>
      </c>
    </row>
    <row r="843" spans="1:2">
      <c r="A843" t="s">
        <v>83</v>
      </c>
      <c r="B843" t="s">
        <v>912</v>
      </c>
    </row>
    <row r="844" spans="1:2">
      <c r="A844" t="s">
        <v>218</v>
      </c>
      <c r="B844" t="s">
        <v>913</v>
      </c>
    </row>
    <row r="845" spans="1:2">
      <c r="A845" t="s">
        <v>6</v>
      </c>
      <c r="B845" t="s">
        <v>914</v>
      </c>
    </row>
    <row r="846" spans="1:2">
      <c r="A846" t="s">
        <v>18</v>
      </c>
      <c r="B846" t="s">
        <v>915</v>
      </c>
    </row>
    <row r="847" spans="1:2">
      <c r="A847" t="s">
        <v>62</v>
      </c>
      <c r="B847" t="s">
        <v>916</v>
      </c>
    </row>
    <row r="848" spans="1:2">
      <c r="A848" t="s">
        <v>6</v>
      </c>
      <c r="B848" t="s">
        <v>917</v>
      </c>
    </row>
    <row r="849" spans="1:2">
      <c r="A849" t="s">
        <v>12</v>
      </c>
      <c r="B849" t="s">
        <v>918</v>
      </c>
    </row>
    <row r="850" spans="1:2">
      <c r="A850" t="s">
        <v>153</v>
      </c>
      <c r="B850" t="s">
        <v>91</v>
      </c>
    </row>
    <row r="851" spans="1:2">
      <c r="A851" t="s">
        <v>6</v>
      </c>
      <c r="B851" t="s">
        <v>919</v>
      </c>
    </row>
    <row r="852" spans="1:2">
      <c r="A852" t="s">
        <v>29</v>
      </c>
      <c r="B852" t="s">
        <v>920</v>
      </c>
    </row>
    <row r="853" spans="1:2">
      <c r="A853" t="s">
        <v>728</v>
      </c>
      <c r="B853" t="s">
        <v>921</v>
      </c>
    </row>
    <row r="854" spans="1:2">
      <c r="A854" t="s">
        <v>469</v>
      </c>
      <c r="B854" t="s">
        <v>922</v>
      </c>
    </row>
    <row r="855" spans="1:2">
      <c r="A855" t="s">
        <v>6</v>
      </c>
      <c r="B855" t="s">
        <v>923</v>
      </c>
    </row>
    <row r="856" spans="1:2">
      <c r="A856" t="s">
        <v>12</v>
      </c>
      <c r="B856" t="s">
        <v>924</v>
      </c>
    </row>
    <row r="857" spans="1:2">
      <c r="A857" t="s">
        <v>314</v>
      </c>
      <c r="B857" t="s">
        <v>925</v>
      </c>
    </row>
    <row r="858" spans="1:2">
      <c r="A858" t="s">
        <v>18</v>
      </c>
      <c r="B858" t="s">
        <v>926</v>
      </c>
    </row>
    <row r="859" spans="1:2">
      <c r="A859" t="s">
        <v>105</v>
      </c>
      <c r="B859" t="s">
        <v>613</v>
      </c>
    </row>
    <row r="860" spans="1:2">
      <c r="A860" t="s">
        <v>42</v>
      </c>
      <c r="B860" t="s">
        <v>927</v>
      </c>
    </row>
    <row r="861" spans="1:2">
      <c r="A861" t="s">
        <v>46</v>
      </c>
      <c r="B861" t="s">
        <v>928</v>
      </c>
    </row>
    <row r="862" spans="1:2">
      <c r="A862" t="s">
        <v>6</v>
      </c>
      <c r="B862" t="s">
        <v>929</v>
      </c>
    </row>
    <row r="863" spans="1:2">
      <c r="A863" t="s">
        <v>22</v>
      </c>
      <c r="B863" t="s">
        <v>930</v>
      </c>
    </row>
    <row r="864" spans="1:2">
      <c r="A864" t="s">
        <v>160</v>
      </c>
      <c r="B864" t="s">
        <v>931</v>
      </c>
    </row>
    <row r="865" spans="1:2">
      <c r="A865" t="s">
        <v>29</v>
      </c>
      <c r="B865" t="s">
        <v>932</v>
      </c>
    </row>
    <row r="866" spans="1:2">
      <c r="A866" t="s">
        <v>6</v>
      </c>
      <c r="B866" t="s">
        <v>933</v>
      </c>
    </row>
    <row r="867" spans="1:2">
      <c r="A867" t="s">
        <v>934</v>
      </c>
      <c r="B867" t="s">
        <v>935</v>
      </c>
    </row>
    <row r="868" spans="1:2">
      <c r="A868" t="s">
        <v>18</v>
      </c>
      <c r="B868" t="s">
        <v>218</v>
      </c>
    </row>
    <row r="869" spans="1:2">
      <c r="A869" t="s">
        <v>56</v>
      </c>
      <c r="B869" t="s">
        <v>588</v>
      </c>
    </row>
    <row r="870" spans="1:2">
      <c r="A870" t="s">
        <v>160</v>
      </c>
      <c r="B870" t="s">
        <v>936</v>
      </c>
    </row>
    <row r="871" spans="1:2">
      <c r="A871" t="s">
        <v>77</v>
      </c>
      <c r="B871" t="s">
        <v>937</v>
      </c>
    </row>
    <row r="872" spans="1:2">
      <c r="A872" t="s">
        <v>6</v>
      </c>
      <c r="B872" t="s">
        <v>938</v>
      </c>
    </row>
    <row r="873" spans="1:2">
      <c r="A873" t="s">
        <v>539</v>
      </c>
      <c r="B873" t="s">
        <v>939</v>
      </c>
    </row>
    <row r="874" spans="1:2">
      <c r="A874" t="s">
        <v>6</v>
      </c>
      <c r="B874" t="s">
        <v>940</v>
      </c>
    </row>
    <row r="875" spans="1:2">
      <c r="A875" t="s">
        <v>941</v>
      </c>
      <c r="B875" t="s">
        <v>942</v>
      </c>
    </row>
    <row r="876" spans="1:2">
      <c r="A876" t="s">
        <v>14</v>
      </c>
      <c r="B876" t="s">
        <v>176</v>
      </c>
    </row>
    <row r="877" spans="1:2">
      <c r="A877" t="s">
        <v>48</v>
      </c>
      <c r="B877" t="s">
        <v>943</v>
      </c>
    </row>
    <row r="878" spans="1:2">
      <c r="A878" t="s">
        <v>6</v>
      </c>
      <c r="B878" t="s">
        <v>944</v>
      </c>
    </row>
    <row r="879" spans="1:2">
      <c r="A879" t="s">
        <v>42</v>
      </c>
      <c r="B879" t="s">
        <v>945</v>
      </c>
    </row>
    <row r="880" spans="1:2">
      <c r="A880" t="s">
        <v>6</v>
      </c>
      <c r="B880" t="s">
        <v>946</v>
      </c>
    </row>
    <row r="881" spans="1:2">
      <c r="A881" t="s">
        <v>6</v>
      </c>
      <c r="B881" t="s">
        <v>947</v>
      </c>
    </row>
    <row r="882" spans="1:2">
      <c r="A882" t="s">
        <v>6</v>
      </c>
      <c r="B882" t="s">
        <v>948</v>
      </c>
    </row>
    <row r="883" spans="1:2">
      <c r="A883" t="s">
        <v>6</v>
      </c>
      <c r="B883" t="s">
        <v>949</v>
      </c>
    </row>
    <row r="884" spans="1:2">
      <c r="A884" t="s">
        <v>18</v>
      </c>
      <c r="B884" t="s">
        <v>950</v>
      </c>
    </row>
    <row r="885" spans="1:2">
      <c r="A885" t="s">
        <v>48</v>
      </c>
      <c r="B885" t="s">
        <v>951</v>
      </c>
    </row>
    <row r="886" spans="1:2">
      <c r="A886" t="s">
        <v>8</v>
      </c>
      <c r="B886" t="s">
        <v>952</v>
      </c>
    </row>
    <row r="887" spans="1:2">
      <c r="A887" t="s">
        <v>953</v>
      </c>
      <c r="B887" t="s">
        <v>954</v>
      </c>
    </row>
    <row r="888" spans="1:2">
      <c r="A888" t="s">
        <v>56</v>
      </c>
      <c r="B888" t="s">
        <v>955</v>
      </c>
    </row>
    <row r="889" spans="1:2">
      <c r="A889" t="s">
        <v>218</v>
      </c>
      <c r="B889" t="s">
        <v>956</v>
      </c>
    </row>
    <row r="890" spans="1:2">
      <c r="A890" t="s">
        <v>18</v>
      </c>
      <c r="B890" t="s">
        <v>957</v>
      </c>
    </row>
    <row r="891" spans="1:2">
      <c r="A891" t="s">
        <v>129</v>
      </c>
      <c r="B891" t="s">
        <v>958</v>
      </c>
    </row>
    <row r="892" spans="1:2">
      <c r="A892" t="s">
        <v>18</v>
      </c>
      <c r="B892" t="s">
        <v>959</v>
      </c>
    </row>
    <row r="893" spans="1:2">
      <c r="A893" t="s">
        <v>784</v>
      </c>
      <c r="B893" t="s">
        <v>960</v>
      </c>
    </row>
    <row r="894" spans="1:2">
      <c r="A894" t="s">
        <v>46</v>
      </c>
      <c r="B894" t="s">
        <v>961</v>
      </c>
    </row>
    <row r="895" spans="1:2">
      <c r="A895" t="s">
        <v>6</v>
      </c>
      <c r="B895" t="s">
        <v>962</v>
      </c>
    </row>
    <row r="896" spans="1:2">
      <c r="A896" t="s">
        <v>68</v>
      </c>
      <c r="B896" t="s">
        <v>963</v>
      </c>
    </row>
    <row r="897" spans="1:2">
      <c r="A897" t="s">
        <v>68</v>
      </c>
      <c r="B897" t="s">
        <v>964</v>
      </c>
    </row>
    <row r="898" spans="1:2">
      <c r="A898" t="s">
        <v>6</v>
      </c>
      <c r="B898" t="s">
        <v>965</v>
      </c>
    </row>
    <row r="899" spans="1:2">
      <c r="A899" t="s">
        <v>6</v>
      </c>
      <c r="B899" t="s">
        <v>966</v>
      </c>
    </row>
    <row r="900" spans="1:2">
      <c r="A900" t="s">
        <v>68</v>
      </c>
      <c r="B900" t="s">
        <v>967</v>
      </c>
    </row>
    <row r="901" spans="1:2">
      <c r="A901" t="s">
        <v>758</v>
      </c>
      <c r="B901" t="s">
        <v>968</v>
      </c>
    </row>
    <row r="902" spans="1:2">
      <c r="A902" t="s">
        <v>8</v>
      </c>
      <c r="B902" t="s">
        <v>969</v>
      </c>
    </row>
    <row r="903" spans="1:2">
      <c r="A903" t="s">
        <v>154</v>
      </c>
      <c r="B903" t="s">
        <v>970</v>
      </c>
    </row>
    <row r="904" spans="1:2">
      <c r="A904" t="s">
        <v>42</v>
      </c>
      <c r="B904" t="s">
        <v>971</v>
      </c>
    </row>
    <row r="905" spans="1:2">
      <c r="A905" t="s">
        <v>6</v>
      </c>
      <c r="B905" t="s">
        <v>972</v>
      </c>
    </row>
    <row r="906" spans="1:2">
      <c r="A906" t="s">
        <v>14</v>
      </c>
      <c r="B906" t="s">
        <v>973</v>
      </c>
    </row>
    <row r="907" spans="1:2">
      <c r="A907" t="s">
        <v>6</v>
      </c>
      <c r="B907" t="s">
        <v>974</v>
      </c>
    </row>
    <row r="908" spans="1:2">
      <c r="A908" t="s">
        <v>56</v>
      </c>
      <c r="B908" t="s">
        <v>42</v>
      </c>
    </row>
    <row r="909" spans="1:2">
      <c r="A909" t="s">
        <v>56</v>
      </c>
      <c r="B909" t="s">
        <v>975</v>
      </c>
    </row>
    <row r="910" spans="1:2">
      <c r="A910" t="s">
        <v>754</v>
      </c>
      <c r="B910" t="s">
        <v>976</v>
      </c>
    </row>
    <row r="911" spans="1:2">
      <c r="A911" t="s">
        <v>973</v>
      </c>
      <c r="B911" t="s">
        <v>0</v>
      </c>
    </row>
    <row r="912" spans="1:2">
      <c r="A912" t="s">
        <v>97</v>
      </c>
      <c r="B912" t="s">
        <v>977</v>
      </c>
    </row>
    <row r="913" spans="1:2">
      <c r="A913" t="s">
        <v>154</v>
      </c>
      <c r="B913" t="s">
        <v>978</v>
      </c>
    </row>
    <row r="914" spans="1:2">
      <c r="A914" t="s">
        <v>6</v>
      </c>
      <c r="B914" t="s">
        <v>979</v>
      </c>
    </row>
    <row r="915" spans="1:2">
      <c r="A915" t="s">
        <v>14</v>
      </c>
      <c r="B915" t="s">
        <v>117</v>
      </c>
    </row>
    <row r="916" spans="1:2">
      <c r="A916" t="s">
        <v>46</v>
      </c>
      <c r="B916" t="s">
        <v>980</v>
      </c>
    </row>
    <row r="917" spans="1:2">
      <c r="A917" t="s">
        <v>48</v>
      </c>
      <c r="B917" t="s">
        <v>981</v>
      </c>
    </row>
    <row r="918" spans="1:2">
      <c r="A918" t="s">
        <v>39</v>
      </c>
      <c r="B918" t="s">
        <v>982</v>
      </c>
    </row>
    <row r="919" spans="1:2">
      <c r="A919" t="s">
        <v>18</v>
      </c>
      <c r="B919" t="s">
        <v>983</v>
      </c>
    </row>
    <row r="920" spans="1:2">
      <c r="A920" t="s">
        <v>6</v>
      </c>
      <c r="B920" t="s">
        <v>984</v>
      </c>
    </row>
    <row r="921" spans="1:2">
      <c r="A921" t="s">
        <v>18</v>
      </c>
      <c r="B921" t="s">
        <v>985</v>
      </c>
    </row>
    <row r="922" spans="1:2">
      <c r="A922" t="s">
        <v>83</v>
      </c>
      <c r="B922" t="s">
        <v>46</v>
      </c>
    </row>
    <row r="923" spans="1:2">
      <c r="A923" t="s">
        <v>6</v>
      </c>
      <c r="B923" t="s">
        <v>986</v>
      </c>
    </row>
    <row r="924" spans="1:2">
      <c r="A924" t="s">
        <v>20</v>
      </c>
      <c r="B924" t="s">
        <v>987</v>
      </c>
    </row>
    <row r="925" spans="1:2">
      <c r="A925" t="s">
        <v>39</v>
      </c>
      <c r="B925" t="s">
        <v>988</v>
      </c>
    </row>
    <row r="926" spans="1:2">
      <c r="A926" t="s">
        <v>33</v>
      </c>
      <c r="B926" t="s">
        <v>989</v>
      </c>
    </row>
    <row r="927" spans="1:2">
      <c r="A927" t="s">
        <v>6</v>
      </c>
      <c r="B927" t="s">
        <v>990</v>
      </c>
    </row>
    <row r="928" spans="1:2">
      <c r="A928" t="s">
        <v>68</v>
      </c>
      <c r="B928" t="s">
        <v>991</v>
      </c>
    </row>
    <row r="929" spans="1:2">
      <c r="A929" t="s">
        <v>479</v>
      </c>
      <c r="B929" t="s">
        <v>992</v>
      </c>
    </row>
    <row r="930" spans="1:2">
      <c r="A930" t="s">
        <v>39</v>
      </c>
      <c r="B930" t="s">
        <v>993</v>
      </c>
    </row>
    <row r="931" spans="1:2">
      <c r="A931" t="s">
        <v>18</v>
      </c>
      <c r="B931" t="s">
        <v>994</v>
      </c>
    </row>
    <row r="932" spans="1:2">
      <c r="A932" t="s">
        <v>12</v>
      </c>
      <c r="B932" t="s">
        <v>995</v>
      </c>
    </row>
    <row r="933" spans="1:2">
      <c r="A933" t="s">
        <v>18</v>
      </c>
      <c r="B933" t="s">
        <v>996</v>
      </c>
    </row>
    <row r="934" spans="1:2">
      <c r="A934" t="s">
        <v>15</v>
      </c>
      <c r="B934" t="s">
        <v>997</v>
      </c>
    </row>
    <row r="935" spans="1:2">
      <c r="A935" t="s">
        <v>33</v>
      </c>
      <c r="B935" t="s">
        <v>998</v>
      </c>
    </row>
    <row r="936" spans="1:2">
      <c r="A936" t="s">
        <v>77</v>
      </c>
      <c r="B936" t="s">
        <v>999</v>
      </c>
    </row>
    <row r="937" spans="1:2">
      <c r="A937" t="s">
        <v>105</v>
      </c>
      <c r="B937" t="s">
        <v>1000</v>
      </c>
    </row>
    <row r="938" spans="1:2">
      <c r="A938" t="s">
        <v>941</v>
      </c>
      <c r="B938" t="s">
        <v>1001</v>
      </c>
    </row>
    <row r="939" spans="1:2">
      <c r="A939" t="s">
        <v>399</v>
      </c>
      <c r="B939" t="s">
        <v>1002</v>
      </c>
    </row>
    <row r="940" spans="1:2">
      <c r="A940" t="s">
        <v>42</v>
      </c>
      <c r="B940" t="s">
        <v>1003</v>
      </c>
    </row>
    <row r="941" spans="1:2">
      <c r="A941" t="s">
        <v>8</v>
      </c>
      <c r="B941" t="s">
        <v>1004</v>
      </c>
    </row>
    <row r="942" spans="1:2">
      <c r="A942" t="s">
        <v>6</v>
      </c>
      <c r="B942" t="s">
        <v>1005</v>
      </c>
    </row>
    <row r="943" spans="1:2">
      <c r="A943" t="s">
        <v>6</v>
      </c>
      <c r="B943" t="s">
        <v>1006</v>
      </c>
    </row>
    <row r="944" spans="1:2">
      <c r="A944" t="s">
        <v>6</v>
      </c>
      <c r="B944" t="s">
        <v>1007</v>
      </c>
    </row>
    <row r="945" spans="1:2">
      <c r="A945" t="s">
        <v>42</v>
      </c>
      <c r="B945" t="s">
        <v>1008</v>
      </c>
    </row>
    <row r="946" spans="1:2">
      <c r="A946" t="s">
        <v>39</v>
      </c>
      <c r="B946" t="s">
        <v>1009</v>
      </c>
    </row>
    <row r="947" spans="1:2">
      <c r="A947" t="s">
        <v>6</v>
      </c>
      <c r="B947" t="s">
        <v>1010</v>
      </c>
    </row>
    <row r="948" spans="1:2">
      <c r="A948" t="s">
        <v>48</v>
      </c>
      <c r="B948" t="s">
        <v>1011</v>
      </c>
    </row>
    <row r="949" spans="1:2">
      <c r="A949" t="s">
        <v>105</v>
      </c>
      <c r="B949" t="s">
        <v>1012</v>
      </c>
    </row>
    <row r="950" spans="1:2">
      <c r="A950" t="s">
        <v>152</v>
      </c>
      <c r="B950" t="s">
        <v>1013</v>
      </c>
    </row>
    <row r="951" spans="1:2">
      <c r="A951" t="s">
        <v>6</v>
      </c>
      <c r="B951" t="s">
        <v>1014</v>
      </c>
    </row>
    <row r="952" spans="1:2">
      <c r="A952" t="s">
        <v>6</v>
      </c>
      <c r="B952" t="s">
        <v>1015</v>
      </c>
    </row>
    <row r="953" spans="1:2">
      <c r="A953" t="s">
        <v>6</v>
      </c>
      <c r="B953" t="s">
        <v>1016</v>
      </c>
    </row>
    <row r="954" spans="1:2">
      <c r="A954" t="s">
        <v>97</v>
      </c>
      <c r="B954" t="s">
        <v>1017</v>
      </c>
    </row>
    <row r="955" spans="1:2">
      <c r="A955" t="s">
        <v>6</v>
      </c>
      <c r="B955" t="s">
        <v>1018</v>
      </c>
    </row>
    <row r="956" spans="1:2">
      <c r="A956" t="s">
        <v>6</v>
      </c>
      <c r="B956" t="s">
        <v>1019</v>
      </c>
    </row>
    <row r="957" spans="1:2">
      <c r="A957" t="s">
        <v>6</v>
      </c>
      <c r="B957" t="s">
        <v>1020</v>
      </c>
    </row>
    <row r="958" spans="1:2">
      <c r="A958" t="s">
        <v>6</v>
      </c>
      <c r="B958" t="s">
        <v>1021</v>
      </c>
    </row>
    <row r="959" spans="1:2">
      <c r="A959" t="s">
        <v>152</v>
      </c>
      <c r="B959" t="s">
        <v>1022</v>
      </c>
    </row>
    <row r="960" spans="1:2">
      <c r="A960" t="s">
        <v>18</v>
      </c>
      <c r="B960" t="s">
        <v>1023</v>
      </c>
    </row>
    <row r="961" spans="1:2">
      <c r="A961" t="s">
        <v>6</v>
      </c>
      <c r="B961" t="s">
        <v>1024</v>
      </c>
    </row>
    <row r="962" spans="1:2">
      <c r="A962" t="s">
        <v>6</v>
      </c>
      <c r="B962" t="s">
        <v>1025</v>
      </c>
    </row>
    <row r="963" spans="1:2">
      <c r="A963" t="s">
        <v>18</v>
      </c>
      <c r="B963" t="s">
        <v>1026</v>
      </c>
    </row>
    <row r="964" spans="1:2">
      <c r="A964" t="s">
        <v>6</v>
      </c>
      <c r="B964" t="s">
        <v>1027</v>
      </c>
    </row>
    <row r="965" spans="1:2">
      <c r="A965" t="s">
        <v>130</v>
      </c>
      <c r="B965" t="s">
        <v>1028</v>
      </c>
    </row>
    <row r="966" spans="1:2">
      <c r="A966" t="s">
        <v>6</v>
      </c>
      <c r="B966" t="s">
        <v>1029</v>
      </c>
    </row>
    <row r="967" spans="1:2">
      <c r="A967" t="s">
        <v>107</v>
      </c>
      <c r="B967" t="s">
        <v>1030</v>
      </c>
    </row>
    <row r="968" spans="1:2">
      <c r="A968" t="s">
        <v>22</v>
      </c>
      <c r="B968" t="s">
        <v>1031</v>
      </c>
    </row>
    <row r="969" spans="1:2">
      <c r="A969" t="s">
        <v>56</v>
      </c>
      <c r="B969" t="s">
        <v>623</v>
      </c>
    </row>
    <row r="970" spans="1:2">
      <c r="A970" t="s">
        <v>46</v>
      </c>
      <c r="B970" t="s">
        <v>1032</v>
      </c>
    </row>
    <row r="971" spans="1:2">
      <c r="A971" t="s">
        <v>50</v>
      </c>
      <c r="B971" t="s">
        <v>1033</v>
      </c>
    </row>
    <row r="972" spans="1:2">
      <c r="A972" t="s">
        <v>684</v>
      </c>
      <c r="B972" t="s">
        <v>1034</v>
      </c>
    </row>
    <row r="973" spans="1:2">
      <c r="A973" t="s">
        <v>48</v>
      </c>
      <c r="B973" t="s">
        <v>1035</v>
      </c>
    </row>
    <row r="974" spans="1:2">
      <c r="A974" t="s">
        <v>68</v>
      </c>
      <c r="B974" t="s">
        <v>1036</v>
      </c>
    </row>
    <row r="975" spans="1:2">
      <c r="A975" t="s">
        <v>941</v>
      </c>
      <c r="B975" t="s">
        <v>1037</v>
      </c>
    </row>
    <row r="976" spans="1:2">
      <c r="A976" t="s">
        <v>107</v>
      </c>
      <c r="B976" t="s">
        <v>1038</v>
      </c>
    </row>
    <row r="977" spans="1:2">
      <c r="A977" t="s">
        <v>784</v>
      </c>
      <c r="B977" t="s">
        <v>1039</v>
      </c>
    </row>
    <row r="978" spans="1:2">
      <c r="A978" t="s">
        <v>14</v>
      </c>
      <c r="B978" t="s">
        <v>1040</v>
      </c>
    </row>
    <row r="979" spans="1:2">
      <c r="A979" t="s">
        <v>18</v>
      </c>
      <c r="B979" t="s">
        <v>1041</v>
      </c>
    </row>
    <row r="980" spans="1:2">
      <c r="A980" t="s">
        <v>112</v>
      </c>
      <c r="B980" t="s">
        <v>1042</v>
      </c>
    </row>
    <row r="981" spans="1:2">
      <c r="A981" t="s">
        <v>6</v>
      </c>
      <c r="B981" t="s">
        <v>1043</v>
      </c>
    </row>
    <row r="982" spans="1:2">
      <c r="A982" t="s">
        <v>56</v>
      </c>
      <c r="B982" t="s">
        <v>1044</v>
      </c>
    </row>
    <row r="983" spans="1:2">
      <c r="A983" t="s">
        <v>6</v>
      </c>
      <c r="B983" t="s">
        <v>1045</v>
      </c>
    </row>
    <row r="984" spans="1:2">
      <c r="A984" t="s">
        <v>56</v>
      </c>
      <c r="B984" t="s">
        <v>1046</v>
      </c>
    </row>
    <row r="985" spans="1:2">
      <c r="A985" t="s">
        <v>309</v>
      </c>
      <c r="B985" t="s">
        <v>1047</v>
      </c>
    </row>
    <row r="986" spans="1:2">
      <c r="A986" t="s">
        <v>1048</v>
      </c>
      <c r="B986" t="s">
        <v>1049</v>
      </c>
    </row>
    <row r="987" spans="1:2">
      <c r="A987" t="s">
        <v>6</v>
      </c>
      <c r="B987" t="s">
        <v>1050</v>
      </c>
    </row>
    <row r="988" spans="1:2">
      <c r="A988" t="s">
        <v>608</v>
      </c>
      <c r="B988" t="s">
        <v>1051</v>
      </c>
    </row>
    <row r="989" spans="1:2">
      <c r="A989" t="s">
        <v>18</v>
      </c>
      <c r="B989" t="s">
        <v>1052</v>
      </c>
    </row>
    <row r="990" spans="1:2">
      <c r="A990" t="s">
        <v>245</v>
      </c>
      <c r="B990" t="s">
        <v>1053</v>
      </c>
    </row>
    <row r="991" spans="1:2">
      <c r="A991" t="s">
        <v>18</v>
      </c>
      <c r="B991" t="s">
        <v>1054</v>
      </c>
    </row>
    <row r="992" spans="1:2">
      <c r="A992" t="s">
        <v>56</v>
      </c>
      <c r="B992" t="s">
        <v>1055</v>
      </c>
    </row>
    <row r="993" spans="1:2">
      <c r="A993" t="s">
        <v>754</v>
      </c>
      <c r="B993" t="s">
        <v>1056</v>
      </c>
    </row>
    <row r="994" spans="1:2">
      <c r="A994" t="s">
        <v>6</v>
      </c>
      <c r="B994" t="s">
        <v>1057</v>
      </c>
    </row>
    <row r="995" spans="1:2">
      <c r="A995" t="s">
        <v>12</v>
      </c>
      <c r="B995" t="s">
        <v>1058</v>
      </c>
    </row>
    <row r="996" spans="1:2">
      <c r="A996" t="s">
        <v>68</v>
      </c>
      <c r="B996" t="s">
        <v>1059</v>
      </c>
    </row>
    <row r="997" spans="1:2">
      <c r="A997" t="s">
        <v>323</v>
      </c>
      <c r="B997" t="s">
        <v>1060</v>
      </c>
    </row>
    <row r="998" spans="1:2">
      <c r="A998" t="s">
        <v>8</v>
      </c>
      <c r="B998" t="s">
        <v>1061</v>
      </c>
    </row>
    <row r="999" spans="1:2">
      <c r="A999" t="s">
        <v>77</v>
      </c>
      <c r="B999" t="s">
        <v>1062</v>
      </c>
    </row>
    <row r="1000" spans="1:2">
      <c r="A1000" t="s">
        <v>6</v>
      </c>
      <c r="B1000" t="s">
        <v>1063</v>
      </c>
    </row>
    <row r="1001" spans="1:2">
      <c r="A1001" t="s">
        <v>356</v>
      </c>
      <c r="B1001" t="s">
        <v>1064</v>
      </c>
    </row>
    <row r="1002" spans="1:2">
      <c r="A1002" t="s">
        <v>6</v>
      </c>
      <c r="B1002" t="s">
        <v>1065</v>
      </c>
    </row>
    <row r="1003" spans="1:2">
      <c r="A1003" t="s">
        <v>579</v>
      </c>
      <c r="B1003" t="s">
        <v>1066</v>
      </c>
    </row>
    <row r="1004" spans="1:2">
      <c r="A1004" t="s">
        <v>6</v>
      </c>
      <c r="B1004" t="s">
        <v>1067</v>
      </c>
    </row>
    <row r="1005" spans="1:2">
      <c r="A1005" t="s">
        <v>12</v>
      </c>
      <c r="B1005" t="s">
        <v>1068</v>
      </c>
    </row>
    <row r="1006" spans="1:2">
      <c r="A1006" t="s">
        <v>6</v>
      </c>
      <c r="B1006" t="s">
        <v>1069</v>
      </c>
    </row>
    <row r="1007" spans="1:2">
      <c r="A1007" t="s">
        <v>758</v>
      </c>
      <c r="B1007" t="s">
        <v>1070</v>
      </c>
    </row>
    <row r="1008" spans="1:2">
      <c r="A1008" t="s">
        <v>6</v>
      </c>
      <c r="B1008" t="s">
        <v>1071</v>
      </c>
    </row>
    <row r="1009" spans="1:2">
      <c r="A1009" t="s">
        <v>12</v>
      </c>
      <c r="B1009" t="s">
        <v>1072</v>
      </c>
    </row>
    <row r="1010" spans="1:2">
      <c r="A1010" t="s">
        <v>85</v>
      </c>
      <c r="B1010" t="s">
        <v>1073</v>
      </c>
    </row>
    <row r="1011" spans="1:2">
      <c r="A1011" t="s">
        <v>48</v>
      </c>
      <c r="B1011" t="s">
        <v>1074</v>
      </c>
    </row>
    <row r="1012" spans="1:2">
      <c r="A1012" t="s">
        <v>62</v>
      </c>
      <c r="B1012" t="s">
        <v>1075</v>
      </c>
    </row>
    <row r="1013" spans="1:2">
      <c r="A1013" t="s">
        <v>18</v>
      </c>
      <c r="B1013" t="s">
        <v>1076</v>
      </c>
    </row>
    <row r="1014" spans="1:2">
      <c r="A1014" t="s">
        <v>83</v>
      </c>
      <c r="B1014" t="s">
        <v>1077</v>
      </c>
    </row>
    <row r="1015" spans="1:2">
      <c r="A1015" t="s">
        <v>105</v>
      </c>
      <c r="B1015" t="s">
        <v>1078</v>
      </c>
    </row>
    <row r="1016" spans="1:2">
      <c r="A1016" t="s">
        <v>6</v>
      </c>
      <c r="B1016" t="s">
        <v>1079</v>
      </c>
    </row>
    <row r="1017" spans="1:2">
      <c r="A1017" t="s">
        <v>56</v>
      </c>
      <c r="B1017" t="s">
        <v>1080</v>
      </c>
    </row>
    <row r="1018" spans="1:2">
      <c r="A1018" t="s">
        <v>6</v>
      </c>
      <c r="B1018" t="s">
        <v>1081</v>
      </c>
    </row>
    <row r="1019" spans="1:2">
      <c r="A1019" t="s">
        <v>6</v>
      </c>
      <c r="B1019" t="s">
        <v>1082</v>
      </c>
    </row>
    <row r="1020" spans="1:2">
      <c r="A1020" t="s">
        <v>6</v>
      </c>
      <c r="B1020" t="s">
        <v>1083</v>
      </c>
    </row>
    <row r="1021" spans="1:2">
      <c r="A1021" t="s">
        <v>46</v>
      </c>
      <c r="B1021" t="s">
        <v>1084</v>
      </c>
    </row>
    <row r="1022" spans="1:2">
      <c r="A1022" t="s">
        <v>39</v>
      </c>
      <c r="B1022" t="s">
        <v>1085</v>
      </c>
    </row>
    <row r="1023" spans="1:2">
      <c r="A1023" t="s">
        <v>6</v>
      </c>
      <c r="B1023" t="s">
        <v>1086</v>
      </c>
    </row>
    <row r="1024" spans="1:2">
      <c r="A1024" t="s">
        <v>112</v>
      </c>
      <c r="B1024" t="s">
        <v>1087</v>
      </c>
    </row>
    <row r="1025" spans="1:2">
      <c r="A1025" t="s">
        <v>105</v>
      </c>
      <c r="B1025" t="s">
        <v>1088</v>
      </c>
    </row>
    <row r="1026" spans="1:2">
      <c r="A1026" t="s">
        <v>6</v>
      </c>
      <c r="B1026" t="s">
        <v>1089</v>
      </c>
    </row>
    <row r="1027" spans="1:2">
      <c r="A1027" t="s">
        <v>251</v>
      </c>
      <c r="B1027" t="s">
        <v>1090</v>
      </c>
    </row>
    <row r="1028" spans="1:2">
      <c r="A1028" t="s">
        <v>112</v>
      </c>
      <c r="B1028" t="s">
        <v>1091</v>
      </c>
    </row>
    <row r="1029" spans="1:2">
      <c r="A1029" t="s">
        <v>8</v>
      </c>
      <c r="B1029" t="s">
        <v>1092</v>
      </c>
    </row>
    <row r="1030" spans="1:2">
      <c r="A1030" t="s">
        <v>6</v>
      </c>
      <c r="B1030" t="s">
        <v>1093</v>
      </c>
    </row>
    <row r="1031" spans="1:2">
      <c r="A1031" t="s">
        <v>48</v>
      </c>
      <c r="B1031" t="s">
        <v>1094</v>
      </c>
    </row>
    <row r="1032" spans="1:2">
      <c r="A1032" t="s">
        <v>6</v>
      </c>
      <c r="B1032" t="s">
        <v>1095</v>
      </c>
    </row>
    <row r="1033" spans="1:2">
      <c r="A1033" t="s">
        <v>18</v>
      </c>
      <c r="B1033" t="s">
        <v>1096</v>
      </c>
    </row>
    <row r="1034" spans="1:2">
      <c r="A1034" t="s">
        <v>8</v>
      </c>
      <c r="B1034" t="s">
        <v>1097</v>
      </c>
    </row>
    <row r="1035" spans="1:2">
      <c r="A1035" t="s">
        <v>6</v>
      </c>
      <c r="B1035" t="s">
        <v>1098</v>
      </c>
    </row>
    <row r="1036" spans="1:2">
      <c r="A1036" t="s">
        <v>18</v>
      </c>
      <c r="B1036" t="s">
        <v>1099</v>
      </c>
    </row>
    <row r="1037" spans="1:2">
      <c r="A1037" t="s">
        <v>39</v>
      </c>
      <c r="B1037" t="s">
        <v>1100</v>
      </c>
    </row>
    <row r="1038" spans="1:2">
      <c r="A1038" t="s">
        <v>48</v>
      </c>
      <c r="B1038" t="s">
        <v>1101</v>
      </c>
    </row>
    <row r="1039" spans="1:2">
      <c r="A1039" t="s">
        <v>18</v>
      </c>
      <c r="B1039" t="s">
        <v>1102</v>
      </c>
    </row>
    <row r="1040" spans="1:2">
      <c r="A1040" t="s">
        <v>107</v>
      </c>
      <c r="B1040" t="s">
        <v>1103</v>
      </c>
    </row>
    <row r="1041" spans="1:2">
      <c r="A1041" t="s">
        <v>6</v>
      </c>
      <c r="B1041" t="s">
        <v>1104</v>
      </c>
    </row>
    <row r="1042" spans="1:2">
      <c r="A1042" t="s">
        <v>584</v>
      </c>
      <c r="B1042" t="s">
        <v>1105</v>
      </c>
    </row>
    <row r="1043" spans="1:2">
      <c r="A1043" t="s">
        <v>389</v>
      </c>
      <c r="B1043" t="s">
        <v>1106</v>
      </c>
    </row>
    <row r="1044" spans="1:2">
      <c r="A1044" t="s">
        <v>6</v>
      </c>
      <c r="B1044" t="s">
        <v>1107</v>
      </c>
    </row>
    <row r="1045" spans="1:2">
      <c r="A1045" t="s">
        <v>42</v>
      </c>
      <c r="B1045" t="s">
        <v>1108</v>
      </c>
    </row>
    <row r="1046" spans="1:2">
      <c r="A1046" t="s">
        <v>6</v>
      </c>
      <c r="B1046" t="s">
        <v>1109</v>
      </c>
    </row>
    <row r="1047" spans="1:2">
      <c r="A1047" t="s">
        <v>6</v>
      </c>
      <c r="B1047" t="s">
        <v>1110</v>
      </c>
    </row>
    <row r="1048" spans="1:2">
      <c r="A1048" t="s">
        <v>18</v>
      </c>
      <c r="B1048" t="s">
        <v>596</v>
      </c>
    </row>
    <row r="1049" spans="1:2">
      <c r="A1049" t="s">
        <v>8</v>
      </c>
      <c r="B1049" t="s">
        <v>1111</v>
      </c>
    </row>
    <row r="1050" spans="1:2">
      <c r="A1050" t="s">
        <v>6</v>
      </c>
      <c r="B1050" t="s">
        <v>1112</v>
      </c>
    </row>
    <row r="1051" spans="1:2">
      <c r="A1051" t="s">
        <v>6</v>
      </c>
      <c r="B1051" t="s">
        <v>1113</v>
      </c>
    </row>
    <row r="1052" spans="1:2">
      <c r="A1052" t="s">
        <v>12</v>
      </c>
      <c r="B1052" t="s">
        <v>1114</v>
      </c>
    </row>
    <row r="1053" spans="1:2">
      <c r="A1053" t="s">
        <v>6</v>
      </c>
      <c r="B1053" t="s">
        <v>1115</v>
      </c>
    </row>
    <row r="1054" spans="1:2">
      <c r="A1054" t="s">
        <v>6</v>
      </c>
      <c r="B1054" t="s">
        <v>1116</v>
      </c>
    </row>
    <row r="1055" spans="1:2">
      <c r="A1055" t="s">
        <v>33</v>
      </c>
      <c r="B1055" t="s">
        <v>1117</v>
      </c>
    </row>
    <row r="1056" spans="1:2">
      <c r="A1056" t="s">
        <v>12</v>
      </c>
      <c r="B1056" t="s">
        <v>1118</v>
      </c>
    </row>
    <row r="1057" spans="1:2">
      <c r="A1057" t="s">
        <v>112</v>
      </c>
      <c r="B1057" t="s">
        <v>1119</v>
      </c>
    </row>
    <row r="1058" spans="1:2">
      <c r="A1058" t="s">
        <v>6</v>
      </c>
      <c r="B1058" t="s">
        <v>1120</v>
      </c>
    </row>
    <row r="1059" spans="1:2">
      <c r="A1059" t="s">
        <v>1121</v>
      </c>
      <c r="B1059" t="s">
        <v>1122</v>
      </c>
    </row>
    <row r="1060" spans="1:2">
      <c r="A1060" t="s">
        <v>56</v>
      </c>
      <c r="B1060" t="s">
        <v>643</v>
      </c>
    </row>
    <row r="1061" spans="1:2">
      <c r="A1061" t="s">
        <v>112</v>
      </c>
      <c r="B1061" t="s">
        <v>1123</v>
      </c>
    </row>
    <row r="1062" spans="1:2">
      <c r="A1062" t="s">
        <v>1053</v>
      </c>
      <c r="B1062" t="s">
        <v>1124</v>
      </c>
    </row>
    <row r="1063" spans="1:2">
      <c r="A1063" t="s">
        <v>350</v>
      </c>
      <c r="B1063" t="s">
        <v>679</v>
      </c>
    </row>
    <row r="1064" spans="1:2">
      <c r="A1064" t="s">
        <v>46</v>
      </c>
      <c r="B1064" t="s">
        <v>1125</v>
      </c>
    </row>
    <row r="1065" spans="1:2">
      <c r="A1065" s="1">
        <v>41159</v>
      </c>
      <c r="B1065" t="s">
        <v>1126</v>
      </c>
    </row>
    <row r="1066" spans="1:2">
      <c r="A1066" t="s">
        <v>6</v>
      </c>
      <c r="B1066" t="s">
        <v>1127</v>
      </c>
    </row>
    <row r="1067" spans="1:2">
      <c r="A1067" t="s">
        <v>83</v>
      </c>
      <c r="B1067" t="s">
        <v>1128</v>
      </c>
    </row>
    <row r="1068" spans="1:2">
      <c r="A1068" t="s">
        <v>18</v>
      </c>
      <c r="B1068" t="s">
        <v>1129</v>
      </c>
    </row>
    <row r="1069" spans="1:2">
      <c r="A1069" t="s">
        <v>344</v>
      </c>
      <c r="B1069" t="s">
        <v>1130</v>
      </c>
    </row>
    <row r="1070" spans="1:2">
      <c r="A1070" t="s">
        <v>6</v>
      </c>
      <c r="B1070" t="s">
        <v>1131</v>
      </c>
    </row>
    <row r="1071" spans="1:2">
      <c r="A1071" t="s">
        <v>1132</v>
      </c>
      <c r="B1071" t="s">
        <v>1133</v>
      </c>
    </row>
    <row r="1072" spans="1:2">
      <c r="A1072" t="s">
        <v>6</v>
      </c>
      <c r="B1072" t="s">
        <v>1134</v>
      </c>
    </row>
    <row r="1073" spans="1:2">
      <c r="A1073" t="s">
        <v>973</v>
      </c>
      <c r="B1073" t="s">
        <v>1135</v>
      </c>
    </row>
    <row r="1074" spans="1:2">
      <c r="A1074" t="s">
        <v>6</v>
      </c>
      <c r="B1074" t="s">
        <v>1136</v>
      </c>
    </row>
    <row r="1075" spans="1:2">
      <c r="A1075" t="s">
        <v>6</v>
      </c>
      <c r="B1075" t="s">
        <v>1137</v>
      </c>
    </row>
    <row r="1076" spans="1:2">
      <c r="A1076" t="s">
        <v>56</v>
      </c>
      <c r="B1076" t="s">
        <v>1138</v>
      </c>
    </row>
    <row r="1077" spans="1:2">
      <c r="A1077" t="s">
        <v>107</v>
      </c>
      <c r="B1077" t="s">
        <v>1139</v>
      </c>
    </row>
    <row r="1078" spans="1:2">
      <c r="A1078" t="s">
        <v>223</v>
      </c>
      <c r="B1078" t="s">
        <v>1140</v>
      </c>
    </row>
    <row r="1079" spans="1:2">
      <c r="A1079" t="s">
        <v>679</v>
      </c>
      <c r="B1079" t="s">
        <v>1141</v>
      </c>
    </row>
    <row r="1080" spans="1:2">
      <c r="A1080" t="s">
        <v>6</v>
      </c>
      <c r="B1080" t="s">
        <v>1142</v>
      </c>
    </row>
    <row r="1081" spans="1:2">
      <c r="A1081" t="s">
        <v>754</v>
      </c>
      <c r="B1081" t="s">
        <v>1143</v>
      </c>
    </row>
    <row r="1082" spans="1:2">
      <c r="A1082" t="s">
        <v>20</v>
      </c>
      <c r="B1082" t="s">
        <v>1144</v>
      </c>
    </row>
    <row r="1083" spans="1:2">
      <c r="A1083" t="s">
        <v>6</v>
      </c>
      <c r="B1083" t="s">
        <v>1145</v>
      </c>
    </row>
    <row r="1084" spans="1:2">
      <c r="A1084" t="s">
        <v>288</v>
      </c>
      <c r="B1084" t="s">
        <v>1146</v>
      </c>
    </row>
    <row r="1085" spans="1:2">
      <c r="A1085" t="s">
        <v>77</v>
      </c>
      <c r="B1085" t="s">
        <v>1147</v>
      </c>
    </row>
    <row r="1086" spans="1:2">
      <c r="A1086" t="s">
        <v>566</v>
      </c>
      <c r="B1086" t="s">
        <v>1148</v>
      </c>
    </row>
    <row r="1087" spans="1:2">
      <c r="A1087" t="s">
        <v>56</v>
      </c>
      <c r="B1087" t="s">
        <v>1149</v>
      </c>
    </row>
    <row r="1088" spans="1:2">
      <c r="A1088" t="s">
        <v>1150</v>
      </c>
      <c r="B1088" t="s">
        <v>1151</v>
      </c>
    </row>
    <row r="1089" spans="1:2">
      <c r="A1089" t="s">
        <v>6</v>
      </c>
      <c r="B1089" t="s">
        <v>1152</v>
      </c>
    </row>
    <row r="1090" spans="1:2">
      <c r="A1090" t="s">
        <v>579</v>
      </c>
      <c r="B1090" t="s">
        <v>1153</v>
      </c>
    </row>
    <row r="1091" spans="1:2">
      <c r="A1091" t="s">
        <v>241</v>
      </c>
      <c r="B1091" t="s">
        <v>1154</v>
      </c>
    </row>
    <row r="1092" spans="1:2">
      <c r="A1092" t="s">
        <v>18</v>
      </c>
      <c r="B1092" t="s">
        <v>428</v>
      </c>
    </row>
    <row r="1093" spans="1:2">
      <c r="A1093" t="s">
        <v>29</v>
      </c>
      <c r="B1093" t="s">
        <v>1155</v>
      </c>
    </row>
    <row r="1094" spans="1:2">
      <c r="A1094" t="s">
        <v>6</v>
      </c>
      <c r="B1094" t="s">
        <v>1156</v>
      </c>
    </row>
    <row r="1095" spans="1:2">
      <c r="A1095" t="s">
        <v>56</v>
      </c>
      <c r="B1095" t="s">
        <v>1157</v>
      </c>
    </row>
    <row r="1096" spans="1:2">
      <c r="A1096" t="s">
        <v>29</v>
      </c>
      <c r="B1096" t="s">
        <v>1158</v>
      </c>
    </row>
    <row r="1097" spans="1:2">
      <c r="A1097" t="s">
        <v>18</v>
      </c>
      <c r="B1097" t="s">
        <v>1159</v>
      </c>
    </row>
    <row r="1098" spans="1:2">
      <c r="A1098" t="s">
        <v>77</v>
      </c>
      <c r="B1098" t="s">
        <v>1160</v>
      </c>
    </row>
    <row r="1099" spans="1:2">
      <c r="A1099" t="s">
        <v>303</v>
      </c>
      <c r="B1099" t="s">
        <v>1161</v>
      </c>
    </row>
    <row r="1100" spans="1:2">
      <c r="A1100" t="s">
        <v>48</v>
      </c>
      <c r="B1100" t="s">
        <v>1162</v>
      </c>
    </row>
    <row r="1101" spans="1:2">
      <c r="A1101" t="s">
        <v>137</v>
      </c>
      <c r="B1101" t="s">
        <v>1163</v>
      </c>
    </row>
    <row r="1102" spans="1:2">
      <c r="A1102" t="s">
        <v>6</v>
      </c>
      <c r="B1102" t="s">
        <v>1164</v>
      </c>
    </row>
    <row r="1103" spans="1:2">
      <c r="A1103" t="s">
        <v>6</v>
      </c>
      <c r="B1103" t="s">
        <v>1165</v>
      </c>
    </row>
    <row r="1104" spans="1:2">
      <c r="A1104" t="s">
        <v>18</v>
      </c>
      <c r="B1104" t="s">
        <v>1166</v>
      </c>
    </row>
    <row r="1105" spans="1:2">
      <c r="A1105" t="s">
        <v>29</v>
      </c>
      <c r="B1105" t="s">
        <v>1167</v>
      </c>
    </row>
    <row r="1106" spans="1:2">
      <c r="A1106" t="s">
        <v>56</v>
      </c>
      <c r="B1106" t="s">
        <v>29</v>
      </c>
    </row>
    <row r="1107" spans="1:2">
      <c r="A1107" t="s">
        <v>6</v>
      </c>
      <c r="B1107" t="s">
        <v>1168</v>
      </c>
    </row>
    <row r="1108" spans="1:2">
      <c r="A1108" t="s">
        <v>6</v>
      </c>
      <c r="B1108" t="s">
        <v>1169</v>
      </c>
    </row>
    <row r="1109" spans="1:2">
      <c r="A1109" t="s">
        <v>6</v>
      </c>
      <c r="B1109" t="s">
        <v>1170</v>
      </c>
    </row>
    <row r="1110" spans="1:2">
      <c r="A1110" t="s">
        <v>56</v>
      </c>
      <c r="B1110" t="s">
        <v>1171</v>
      </c>
    </row>
    <row r="1111" spans="1:2">
      <c r="A1111" t="s">
        <v>6</v>
      </c>
      <c r="B1111" t="s">
        <v>1172</v>
      </c>
    </row>
    <row r="1112" spans="1:2">
      <c r="A1112" t="s">
        <v>728</v>
      </c>
      <c r="B1112" t="s">
        <v>1173</v>
      </c>
    </row>
    <row r="1113" spans="1:2">
      <c r="A1113" t="s">
        <v>154</v>
      </c>
      <c r="B1113" t="s">
        <v>1174</v>
      </c>
    </row>
    <row r="1114" spans="1:2">
      <c r="A1114" t="s">
        <v>18</v>
      </c>
      <c r="B1114" t="s">
        <v>35</v>
      </c>
    </row>
    <row r="1115" spans="1:2">
      <c r="A1115" t="s">
        <v>18</v>
      </c>
      <c r="B1115" t="s">
        <v>1175</v>
      </c>
    </row>
    <row r="1116" spans="1:2">
      <c r="A1116" t="s">
        <v>29</v>
      </c>
      <c r="B1116" t="s">
        <v>1176</v>
      </c>
    </row>
    <row r="1117" spans="1:2">
      <c r="A1117" t="s">
        <v>1177</v>
      </c>
      <c r="B1117" t="s">
        <v>14</v>
      </c>
    </row>
    <row r="1118" spans="1:2">
      <c r="A1118" t="s">
        <v>77</v>
      </c>
      <c r="B1118" t="s">
        <v>1178</v>
      </c>
    </row>
    <row r="1119" spans="1:2">
      <c r="A1119" t="s">
        <v>191</v>
      </c>
      <c r="B1119" t="s">
        <v>167</v>
      </c>
    </row>
    <row r="1120" spans="1:2">
      <c r="A1120" t="s">
        <v>39</v>
      </c>
      <c r="B1120" t="s">
        <v>1179</v>
      </c>
    </row>
    <row r="1121" spans="1:2">
      <c r="A1121" t="s">
        <v>37</v>
      </c>
      <c r="B1121" t="s">
        <v>1180</v>
      </c>
    </row>
    <row r="1122" spans="1:2">
      <c r="A1122" t="s">
        <v>42</v>
      </c>
      <c r="B1122" t="s">
        <v>1181</v>
      </c>
    </row>
    <row r="1123" spans="1:2">
      <c r="A1123" t="s">
        <v>12</v>
      </c>
      <c r="B1123" t="s">
        <v>1182</v>
      </c>
    </row>
    <row r="1124" spans="1:2">
      <c r="A1124" t="s">
        <v>369</v>
      </c>
      <c r="B1124" t="s">
        <v>1183</v>
      </c>
    </row>
    <row r="1125" spans="1:2">
      <c r="A1125" t="s">
        <v>6</v>
      </c>
      <c r="B1125" t="s">
        <v>1184</v>
      </c>
    </row>
    <row r="1126" spans="1:2">
      <c r="A1126" t="s">
        <v>6</v>
      </c>
      <c r="B1126" t="s">
        <v>1185</v>
      </c>
    </row>
    <row r="1127" spans="1:2">
      <c r="A1127" t="s">
        <v>758</v>
      </c>
      <c r="B1127" t="s">
        <v>1186</v>
      </c>
    </row>
    <row r="1128" spans="1:2">
      <c r="A1128" t="s">
        <v>56</v>
      </c>
      <c r="B1128" t="s">
        <v>1187</v>
      </c>
    </row>
    <row r="1129" spans="1:2">
      <c r="A1129" t="s">
        <v>1188</v>
      </c>
      <c r="B1129" t="s">
        <v>1189</v>
      </c>
    </row>
    <row r="1130" spans="1:2">
      <c r="A1130" t="s">
        <v>18</v>
      </c>
      <c r="B1130" t="s">
        <v>1190</v>
      </c>
    </row>
    <row r="1131" spans="1:2">
      <c r="A1131" t="s">
        <v>6</v>
      </c>
      <c r="B1131" t="s">
        <v>1191</v>
      </c>
    </row>
    <row r="1132" spans="1:2">
      <c r="A1132" t="s">
        <v>251</v>
      </c>
      <c r="B1132" t="s">
        <v>1192</v>
      </c>
    </row>
    <row r="1133" spans="1:2">
      <c r="A1133" t="s">
        <v>18</v>
      </c>
      <c r="B1133" t="s">
        <v>1193</v>
      </c>
    </row>
    <row r="1134" spans="1:2">
      <c r="A1134" t="s">
        <v>6</v>
      </c>
      <c r="B1134" t="s">
        <v>1194</v>
      </c>
    </row>
    <row r="1135" spans="1:2">
      <c r="A1135" t="s">
        <v>6</v>
      </c>
      <c r="B1135" t="s">
        <v>1195</v>
      </c>
    </row>
    <row r="1136" spans="1:2">
      <c r="A1136" t="s">
        <v>107</v>
      </c>
      <c r="B1136" t="s">
        <v>584</v>
      </c>
    </row>
    <row r="1137" spans="1:2">
      <c r="A1137" t="s">
        <v>29</v>
      </c>
      <c r="B1137" t="s">
        <v>1196</v>
      </c>
    </row>
    <row r="1138" spans="1:2">
      <c r="A1138" t="s">
        <v>154</v>
      </c>
      <c r="B1138" t="s">
        <v>453</v>
      </c>
    </row>
    <row r="1139" spans="1:2">
      <c r="A1139" t="s">
        <v>14</v>
      </c>
      <c r="B1139" t="s">
        <v>1197</v>
      </c>
    </row>
    <row r="1140" spans="1:2">
      <c r="A1140" t="s">
        <v>8</v>
      </c>
      <c r="B1140" t="s">
        <v>1198</v>
      </c>
    </row>
    <row r="1141" spans="1:2">
      <c r="A1141" t="s">
        <v>18</v>
      </c>
      <c r="B1141" t="s">
        <v>1199</v>
      </c>
    </row>
    <row r="1142" spans="1:2">
      <c r="A1142" t="s">
        <v>39</v>
      </c>
      <c r="B1142" t="s">
        <v>1200</v>
      </c>
    </row>
    <row r="1143" spans="1:2">
      <c r="A1143" t="s">
        <v>6</v>
      </c>
      <c r="B1143" t="s">
        <v>1201</v>
      </c>
    </row>
    <row r="1144" spans="1:2">
      <c r="A1144" t="s">
        <v>6</v>
      </c>
      <c r="B1144" t="s">
        <v>1202</v>
      </c>
    </row>
    <row r="1145" spans="1:2">
      <c r="A1145" t="s">
        <v>6</v>
      </c>
      <c r="B1145" t="s">
        <v>1203</v>
      </c>
    </row>
    <row r="1146" spans="1:2">
      <c r="A1146" t="s">
        <v>6</v>
      </c>
      <c r="B1146" t="s">
        <v>1204</v>
      </c>
    </row>
    <row r="1147" spans="1:2">
      <c r="A1147" t="s">
        <v>48</v>
      </c>
      <c r="B1147" t="s">
        <v>1205</v>
      </c>
    </row>
    <row r="1148" spans="1:2">
      <c r="A1148" t="s">
        <v>12</v>
      </c>
      <c r="B1148" t="s">
        <v>1206</v>
      </c>
    </row>
    <row r="1149" spans="1:2">
      <c r="A1149" t="s">
        <v>83</v>
      </c>
      <c r="B1149" t="s">
        <v>1207</v>
      </c>
    </row>
    <row r="1150" spans="1:2">
      <c r="A1150" t="s">
        <v>105</v>
      </c>
      <c r="B1150" t="s">
        <v>1208</v>
      </c>
    </row>
    <row r="1151" spans="1:2">
      <c r="A1151" t="s">
        <v>56</v>
      </c>
      <c r="B1151" t="s">
        <v>1209</v>
      </c>
    </row>
    <row r="1152" spans="1:2">
      <c r="A1152" t="s">
        <v>6</v>
      </c>
      <c r="B1152" t="s">
        <v>1210</v>
      </c>
    </row>
    <row r="1153" spans="1:2">
      <c r="A1153" t="s">
        <v>56</v>
      </c>
      <c r="B1153" t="s">
        <v>1211</v>
      </c>
    </row>
    <row r="1154" spans="1:2">
      <c r="A1154" t="s">
        <v>33</v>
      </c>
      <c r="B1154" t="s">
        <v>525</v>
      </c>
    </row>
    <row r="1155" spans="1:2">
      <c r="A1155" t="s">
        <v>8</v>
      </c>
      <c r="B1155" t="s">
        <v>1212</v>
      </c>
    </row>
    <row r="1156" spans="1:2">
      <c r="A1156" t="s">
        <v>91</v>
      </c>
      <c r="B1156" t="s">
        <v>1213</v>
      </c>
    </row>
    <row r="1157" spans="1:2">
      <c r="A1157" t="s">
        <v>6</v>
      </c>
      <c r="B1157" t="s">
        <v>1214</v>
      </c>
    </row>
    <row r="1158" spans="1:2">
      <c r="A1158" t="s">
        <v>56</v>
      </c>
      <c r="B1158" t="s">
        <v>1215</v>
      </c>
    </row>
    <row r="1159" spans="1:2">
      <c r="A1159" t="s">
        <v>6</v>
      </c>
      <c r="B1159" t="s">
        <v>1216</v>
      </c>
    </row>
    <row r="1160" spans="1:2">
      <c r="A1160" t="s">
        <v>114</v>
      </c>
      <c r="B1160" t="s">
        <v>1217</v>
      </c>
    </row>
    <row r="1161" spans="1:2">
      <c r="A1161" t="s">
        <v>103</v>
      </c>
      <c r="B1161" t="s">
        <v>1218</v>
      </c>
    </row>
    <row r="1162" spans="1:2">
      <c r="A1162" t="s">
        <v>6</v>
      </c>
      <c r="B1162" t="s">
        <v>1219</v>
      </c>
    </row>
    <row r="1163" spans="1:2">
      <c r="A1163" t="s">
        <v>48</v>
      </c>
      <c r="B1163" t="s">
        <v>1220</v>
      </c>
    </row>
    <row r="1164" spans="1:2">
      <c r="A1164" t="s">
        <v>6</v>
      </c>
      <c r="B1164" t="s">
        <v>1221</v>
      </c>
    </row>
    <row r="1165" spans="1:2">
      <c r="A1165" t="s">
        <v>18</v>
      </c>
      <c r="B1165" t="s">
        <v>142</v>
      </c>
    </row>
    <row r="1166" spans="1:2">
      <c r="A1166" t="s">
        <v>105</v>
      </c>
      <c r="B1166" t="s">
        <v>1222</v>
      </c>
    </row>
    <row r="1167" spans="1:2">
      <c r="A1167" t="s">
        <v>1223</v>
      </c>
      <c r="B1167" t="s">
        <v>1224</v>
      </c>
    </row>
    <row r="1168" spans="1:2">
      <c r="A1168" t="s">
        <v>112</v>
      </c>
      <c r="B1168" t="s">
        <v>1225</v>
      </c>
    </row>
    <row r="1169" spans="1:2">
      <c r="A1169" t="s">
        <v>18</v>
      </c>
      <c r="B1169" t="s">
        <v>1226</v>
      </c>
    </row>
    <row r="1170" spans="1:2">
      <c r="A1170" t="s">
        <v>6</v>
      </c>
      <c r="B1170" t="s">
        <v>1227</v>
      </c>
    </row>
    <row r="1171" spans="1:2">
      <c r="A1171" t="s">
        <v>56</v>
      </c>
      <c r="B1171" t="s">
        <v>1228</v>
      </c>
    </row>
    <row r="1172" spans="1:2">
      <c r="A1172" t="s">
        <v>4</v>
      </c>
      <c r="B1172" t="s">
        <v>1229</v>
      </c>
    </row>
    <row r="1173" spans="1:2">
      <c r="A1173" t="s">
        <v>6</v>
      </c>
      <c r="B1173" t="s">
        <v>1230</v>
      </c>
    </row>
    <row r="1174" spans="1:2">
      <c r="A1174" t="s">
        <v>223</v>
      </c>
      <c r="B1174" t="s">
        <v>1231</v>
      </c>
    </row>
    <row r="1175" spans="1:2">
      <c r="A1175" t="s">
        <v>56</v>
      </c>
      <c r="B1175" t="s">
        <v>48</v>
      </c>
    </row>
    <row r="1176" spans="1:2">
      <c r="A1176" t="s">
        <v>212</v>
      </c>
      <c r="B1176" t="s">
        <v>1232</v>
      </c>
    </row>
    <row r="1177" spans="1:2">
      <c r="A1177" t="s">
        <v>6</v>
      </c>
      <c r="B1177" t="s">
        <v>1233</v>
      </c>
    </row>
    <row r="1178" spans="1:2">
      <c r="A1178" t="s">
        <v>6</v>
      </c>
      <c r="B1178" t="s">
        <v>1234</v>
      </c>
    </row>
    <row r="1179" spans="1:2">
      <c r="A1179" t="s">
        <v>29</v>
      </c>
      <c r="B1179" t="s">
        <v>1235</v>
      </c>
    </row>
    <row r="1180" spans="1:2">
      <c r="A1180" t="s">
        <v>42</v>
      </c>
      <c r="B1180" t="s">
        <v>1236</v>
      </c>
    </row>
    <row r="1181" spans="1:2">
      <c r="A1181" t="s">
        <v>684</v>
      </c>
      <c r="B1181" t="s">
        <v>1237</v>
      </c>
    </row>
    <row r="1182" spans="1:2">
      <c r="A1182" t="s">
        <v>18</v>
      </c>
      <c r="B1182" t="s">
        <v>1238</v>
      </c>
    </row>
    <row r="1183" spans="1:2">
      <c r="A1183" t="s">
        <v>56</v>
      </c>
      <c r="B1183" t="s">
        <v>758</v>
      </c>
    </row>
    <row r="1184" spans="1:2">
      <c r="A1184" t="s">
        <v>56</v>
      </c>
      <c r="B1184" t="s">
        <v>1239</v>
      </c>
    </row>
    <row r="1185" spans="1:2">
      <c r="A1185" t="s">
        <v>309</v>
      </c>
      <c r="B1185" t="s">
        <v>1240</v>
      </c>
    </row>
    <row r="1186" spans="1:2">
      <c r="A1186" t="s">
        <v>6</v>
      </c>
      <c r="B1186" t="s">
        <v>1241</v>
      </c>
    </row>
    <row r="1187" spans="1:2">
      <c r="A1187" t="s">
        <v>50</v>
      </c>
      <c r="B1187" t="s">
        <v>1242</v>
      </c>
    </row>
    <row r="1188" spans="1:2">
      <c r="A1188" t="s">
        <v>6</v>
      </c>
      <c r="B1188" t="s">
        <v>1243</v>
      </c>
    </row>
    <row r="1189" spans="1:2">
      <c r="A1189" t="s">
        <v>20</v>
      </c>
      <c r="B1189" t="s">
        <v>1244</v>
      </c>
    </row>
    <row r="1190" spans="1:2">
      <c r="A1190" t="s">
        <v>57</v>
      </c>
      <c r="B1190" t="s">
        <v>1245</v>
      </c>
    </row>
    <row r="1191" spans="1:2">
      <c r="A1191" t="s">
        <v>1246</v>
      </c>
      <c r="B1191" t="s">
        <v>1247</v>
      </c>
    </row>
    <row r="1192" spans="1:2">
      <c r="A1192" t="s">
        <v>8</v>
      </c>
      <c r="B1192" t="s">
        <v>1248</v>
      </c>
    </row>
    <row r="1193" spans="1:2">
      <c r="A1193" t="s">
        <v>18</v>
      </c>
      <c r="B1193" t="s">
        <v>1249</v>
      </c>
    </row>
    <row r="1194" spans="1:2">
      <c r="A1194" t="s">
        <v>137</v>
      </c>
      <c r="B1194" t="s">
        <v>1250</v>
      </c>
    </row>
    <row r="1195" spans="1:2">
      <c r="A1195" t="s">
        <v>6</v>
      </c>
      <c r="B1195" t="s">
        <v>1251</v>
      </c>
    </row>
    <row r="1196" spans="1:2">
      <c r="A1196" t="s">
        <v>18</v>
      </c>
      <c r="B1196" t="s">
        <v>1252</v>
      </c>
    </row>
    <row r="1197" spans="1:2">
      <c r="A1197" t="s">
        <v>77</v>
      </c>
      <c r="B1197" t="s">
        <v>1253</v>
      </c>
    </row>
    <row r="1198" spans="1:2">
      <c r="A1198" t="s">
        <v>57</v>
      </c>
      <c r="B1198" t="s">
        <v>1254</v>
      </c>
    </row>
    <row r="1199" spans="1:2">
      <c r="A1199" t="s">
        <v>6</v>
      </c>
      <c r="B1199" t="s">
        <v>1255</v>
      </c>
    </row>
    <row r="1200" spans="1:2">
      <c r="A1200" t="s">
        <v>22</v>
      </c>
      <c r="B1200" t="s">
        <v>1256</v>
      </c>
    </row>
    <row r="1201" spans="1:2">
      <c r="A1201" t="s">
        <v>6</v>
      </c>
      <c r="B1201" t="s">
        <v>1257</v>
      </c>
    </row>
    <row r="1202" spans="1:2">
      <c r="A1202" t="s">
        <v>6</v>
      </c>
      <c r="B1202" t="s">
        <v>1258</v>
      </c>
    </row>
    <row r="1203" spans="1:2">
      <c r="A1203" t="s">
        <v>6</v>
      </c>
      <c r="B1203" t="s">
        <v>1259</v>
      </c>
    </row>
    <row r="1204" spans="1:2">
      <c r="A1204" t="s">
        <v>6</v>
      </c>
      <c r="B1204" t="s">
        <v>1260</v>
      </c>
    </row>
    <row r="1205" spans="1:2">
      <c r="A1205" t="s">
        <v>6</v>
      </c>
      <c r="B1205" t="s">
        <v>1261</v>
      </c>
    </row>
    <row r="1206" spans="1:2">
      <c r="A1206" t="s">
        <v>77</v>
      </c>
      <c r="B1206" t="s">
        <v>1262</v>
      </c>
    </row>
    <row r="1207" spans="1:2">
      <c r="A1207" t="s">
        <v>6</v>
      </c>
      <c r="B1207" t="s">
        <v>1263</v>
      </c>
    </row>
    <row r="1208" spans="1:2">
      <c r="A1208" t="s">
        <v>6</v>
      </c>
      <c r="B1208" t="s">
        <v>1264</v>
      </c>
    </row>
    <row r="1209" spans="1:2">
      <c r="A1209" t="s">
        <v>50</v>
      </c>
      <c r="B1209" t="s">
        <v>1265</v>
      </c>
    </row>
    <row r="1210" spans="1:2">
      <c r="A1210" t="s">
        <v>134</v>
      </c>
      <c r="B1210" t="s">
        <v>1266</v>
      </c>
    </row>
    <row r="1211" spans="1:2">
      <c r="A1211" t="s">
        <v>27</v>
      </c>
      <c r="B1211" t="s">
        <v>1267</v>
      </c>
    </row>
    <row r="1212" spans="1:2">
      <c r="A1212" t="s">
        <v>6</v>
      </c>
      <c r="B1212" t="s">
        <v>1268</v>
      </c>
    </row>
    <row r="1213" spans="1:2">
      <c r="A1213" t="s">
        <v>1269</v>
      </c>
      <c r="B1213" t="s">
        <v>1270</v>
      </c>
    </row>
    <row r="1214" spans="1:2">
      <c r="A1214" t="s">
        <v>223</v>
      </c>
      <c r="B1214" t="s">
        <v>1271</v>
      </c>
    </row>
    <row r="1215" spans="1:2">
      <c r="A1215" t="s">
        <v>39</v>
      </c>
      <c r="B1215" t="s">
        <v>1272</v>
      </c>
    </row>
    <row r="1216" spans="1:2">
      <c r="A1216" t="s">
        <v>97</v>
      </c>
      <c r="B1216" t="s">
        <v>1273</v>
      </c>
    </row>
    <row r="1217" spans="1:2">
      <c r="A1217" t="s">
        <v>6</v>
      </c>
      <c r="B1217" t="s">
        <v>1274</v>
      </c>
    </row>
    <row r="1218" spans="1:2">
      <c r="A1218" t="s">
        <v>250</v>
      </c>
      <c r="B1218" t="s">
        <v>1275</v>
      </c>
    </row>
    <row r="1219" spans="1:2">
      <c r="A1219" t="s">
        <v>6</v>
      </c>
      <c r="B1219" t="s">
        <v>1276</v>
      </c>
    </row>
    <row r="1220" spans="1:2">
      <c r="A1220" t="s">
        <v>6</v>
      </c>
      <c r="B1220" t="s">
        <v>1277</v>
      </c>
    </row>
    <row r="1221" spans="1:2">
      <c r="A1221" t="s">
        <v>6</v>
      </c>
      <c r="B1221" t="s">
        <v>1278</v>
      </c>
    </row>
    <row r="1222" spans="1:2">
      <c r="A1222" t="s">
        <v>18</v>
      </c>
      <c r="B1222" t="s">
        <v>1279</v>
      </c>
    </row>
    <row r="1223" spans="1:2">
      <c r="A1223" t="s">
        <v>18</v>
      </c>
      <c r="B1223" t="s">
        <v>1280</v>
      </c>
    </row>
    <row r="1224" spans="1:2">
      <c r="A1224" t="s">
        <v>39</v>
      </c>
      <c r="B1224" t="s">
        <v>1281</v>
      </c>
    </row>
    <row r="1225" spans="1:2">
      <c r="A1225" t="s">
        <v>18</v>
      </c>
      <c r="B1225" t="s">
        <v>1282</v>
      </c>
    </row>
    <row r="1226" spans="1:2">
      <c r="A1226" t="s">
        <v>889</v>
      </c>
      <c r="B1226" t="s">
        <v>1283</v>
      </c>
    </row>
    <row r="1227" spans="1:2">
      <c r="A1227" t="s">
        <v>8</v>
      </c>
      <c r="B1227" t="s">
        <v>1284</v>
      </c>
    </row>
    <row r="1228" spans="1:2">
      <c r="A1228" t="s">
        <v>758</v>
      </c>
      <c r="B1228" t="s">
        <v>1285</v>
      </c>
    </row>
    <row r="1229" spans="1:2">
      <c r="A1229" t="s">
        <v>18</v>
      </c>
      <c r="B1229" t="s">
        <v>1286</v>
      </c>
    </row>
    <row r="1230" spans="1:2">
      <c r="A1230" t="s">
        <v>323</v>
      </c>
      <c r="B1230" t="s">
        <v>1287</v>
      </c>
    </row>
    <row r="1231" spans="1:2">
      <c r="A1231" t="s">
        <v>18</v>
      </c>
      <c r="B1231" t="s">
        <v>1288</v>
      </c>
    </row>
    <row r="1232" spans="1:2">
      <c r="A1232" t="s">
        <v>18</v>
      </c>
      <c r="B1232" t="s">
        <v>1289</v>
      </c>
    </row>
    <row r="1233" spans="1:2">
      <c r="A1233" t="s">
        <v>6</v>
      </c>
      <c r="B1233" t="s">
        <v>1290</v>
      </c>
    </row>
    <row r="1234" spans="1:2">
      <c r="A1234" t="s">
        <v>6</v>
      </c>
      <c r="B1234" t="s">
        <v>1291</v>
      </c>
    </row>
    <row r="1235" spans="1:2">
      <c r="A1235" t="s">
        <v>6</v>
      </c>
      <c r="B1235" t="s">
        <v>1292</v>
      </c>
    </row>
    <row r="1236" spans="1:2">
      <c r="A1236" t="s">
        <v>29</v>
      </c>
      <c r="B1236" t="s">
        <v>1293</v>
      </c>
    </row>
    <row r="1237" spans="1:2">
      <c r="A1237" t="s">
        <v>154</v>
      </c>
      <c r="B1237" t="s">
        <v>1294</v>
      </c>
    </row>
    <row r="1238" spans="1:2">
      <c r="A1238" t="s">
        <v>6</v>
      </c>
      <c r="B1238" t="s">
        <v>1295</v>
      </c>
    </row>
    <row r="1239" spans="1:2">
      <c r="A1239" t="s">
        <v>6</v>
      </c>
      <c r="B1239" t="s">
        <v>1296</v>
      </c>
    </row>
    <row r="1240" spans="1:2">
      <c r="A1240" t="s">
        <v>6</v>
      </c>
      <c r="B1240" t="s">
        <v>1297</v>
      </c>
    </row>
    <row r="1241" spans="1:2">
      <c r="A1241" t="s">
        <v>29</v>
      </c>
      <c r="B1241" t="s">
        <v>1298</v>
      </c>
    </row>
    <row r="1242" spans="1:2">
      <c r="A1242" t="s">
        <v>137</v>
      </c>
      <c r="B1242" t="s">
        <v>1299</v>
      </c>
    </row>
    <row r="1243" spans="1:2">
      <c r="A1243" t="s">
        <v>6</v>
      </c>
      <c r="B1243" t="s">
        <v>1300</v>
      </c>
    </row>
    <row r="1244" spans="1:2">
      <c r="A1244" t="s">
        <v>6</v>
      </c>
      <c r="B1244" t="s">
        <v>1301</v>
      </c>
    </row>
    <row r="1245" spans="1:2">
      <c r="A1245" t="s">
        <v>588</v>
      </c>
      <c r="B1245" t="s">
        <v>1302</v>
      </c>
    </row>
    <row r="1246" spans="1:2">
      <c r="A1246" t="s">
        <v>6</v>
      </c>
      <c r="B1246" t="s">
        <v>1303</v>
      </c>
    </row>
    <row r="1247" spans="1:2">
      <c r="A1247" t="s">
        <v>6</v>
      </c>
      <c r="B1247" t="s">
        <v>1304</v>
      </c>
    </row>
    <row r="1248" spans="1:2">
      <c r="A1248" t="s">
        <v>684</v>
      </c>
      <c r="B1248" t="s">
        <v>1305</v>
      </c>
    </row>
    <row r="1249" spans="1:2">
      <c r="A1249" t="s">
        <v>56</v>
      </c>
      <c r="B1249" t="s">
        <v>1306</v>
      </c>
    </row>
    <row r="1250" spans="1:2">
      <c r="A1250" t="s">
        <v>18</v>
      </c>
      <c r="B1250" t="s">
        <v>1307</v>
      </c>
    </row>
    <row r="1251" spans="1:2">
      <c r="A1251" t="s">
        <v>68</v>
      </c>
      <c r="B1251" t="s">
        <v>1308</v>
      </c>
    </row>
    <row r="1252" spans="1:2">
      <c r="A1252" t="s">
        <v>323</v>
      </c>
      <c r="B1252" t="s">
        <v>1309</v>
      </c>
    </row>
    <row r="1253" spans="1:2">
      <c r="A1253" t="s">
        <v>18</v>
      </c>
      <c r="B1253" t="s">
        <v>1310</v>
      </c>
    </row>
    <row r="1254" spans="1:2">
      <c r="A1254" t="s">
        <v>4</v>
      </c>
      <c r="B1254" t="s">
        <v>1311</v>
      </c>
    </row>
    <row r="1255" spans="1:2">
      <c r="A1255" t="s">
        <v>6</v>
      </c>
      <c r="B1255" t="s">
        <v>1312</v>
      </c>
    </row>
    <row r="1256" spans="1:2">
      <c r="A1256" t="s">
        <v>1313</v>
      </c>
      <c r="B1256" t="s">
        <v>1314</v>
      </c>
    </row>
    <row r="1257" spans="1:2">
      <c r="A1257" t="s">
        <v>105</v>
      </c>
      <c r="B1257" t="s">
        <v>1315</v>
      </c>
    </row>
    <row r="1258" spans="1:2">
      <c r="A1258" t="s">
        <v>6</v>
      </c>
      <c r="B1258" t="s">
        <v>1316</v>
      </c>
    </row>
    <row r="1259" spans="1:2">
      <c r="A1259" t="s">
        <v>39</v>
      </c>
      <c r="B1259" t="s">
        <v>1317</v>
      </c>
    </row>
    <row r="1260" spans="1:2">
      <c r="A1260" t="s">
        <v>103</v>
      </c>
      <c r="B1260" t="s">
        <v>1318</v>
      </c>
    </row>
    <row r="1261" spans="1:2">
      <c r="A1261" t="s">
        <v>156</v>
      </c>
      <c r="B1261" t="s">
        <v>1319</v>
      </c>
    </row>
    <row r="1262" spans="1:2">
      <c r="A1262" t="s">
        <v>56</v>
      </c>
      <c r="B1262" t="s">
        <v>1320</v>
      </c>
    </row>
    <row r="1263" spans="1:2">
      <c r="A1263" t="s">
        <v>388</v>
      </c>
      <c r="B1263" t="s">
        <v>37</v>
      </c>
    </row>
    <row r="1264" spans="1:2">
      <c r="A1264" t="s">
        <v>12</v>
      </c>
      <c r="B1264" t="s">
        <v>1321</v>
      </c>
    </row>
    <row r="1265" spans="1:2">
      <c r="A1265" t="s">
        <v>112</v>
      </c>
      <c r="B1265" t="s">
        <v>1322</v>
      </c>
    </row>
    <row r="1266" spans="1:2">
      <c r="A1266" t="s">
        <v>56</v>
      </c>
      <c r="B1266" t="s">
        <v>103</v>
      </c>
    </row>
    <row r="1267" spans="1:2">
      <c r="A1267" t="s">
        <v>8</v>
      </c>
      <c r="B1267" t="s">
        <v>1323</v>
      </c>
    </row>
    <row r="1268" spans="1:2">
      <c r="A1268" t="s">
        <v>112</v>
      </c>
      <c r="B1268" t="s">
        <v>1324</v>
      </c>
    </row>
    <row r="1269" spans="1:2">
      <c r="A1269" t="s">
        <v>48</v>
      </c>
      <c r="B1269" t="s">
        <v>1325</v>
      </c>
    </row>
    <row r="1270" spans="1:2">
      <c r="A1270" t="s">
        <v>50</v>
      </c>
      <c r="B1270" t="s">
        <v>1326</v>
      </c>
    </row>
    <row r="1271" spans="1:2">
      <c r="A1271" t="s">
        <v>56</v>
      </c>
      <c r="B1271" t="s">
        <v>1327</v>
      </c>
    </row>
    <row r="1272" spans="1:2">
      <c r="A1272" t="s">
        <v>6</v>
      </c>
      <c r="B1272" t="s">
        <v>1328</v>
      </c>
    </row>
    <row r="1273" spans="1:2">
      <c r="A1273" t="s">
        <v>77</v>
      </c>
      <c r="B1273" t="s">
        <v>1329</v>
      </c>
    </row>
    <row r="1274" spans="1:2">
      <c r="A1274" t="s">
        <v>18</v>
      </c>
      <c r="B1274" t="s">
        <v>1330</v>
      </c>
    </row>
    <row r="1275" spans="1:2">
      <c r="A1275" t="s">
        <v>8</v>
      </c>
      <c r="B1275" t="s">
        <v>1331</v>
      </c>
    </row>
    <row r="1276" spans="1:2">
      <c r="A1276" t="s">
        <v>56</v>
      </c>
      <c r="B1276" t="s">
        <v>1223</v>
      </c>
    </row>
    <row r="1277" spans="1:2">
      <c r="A1277" t="s">
        <v>56</v>
      </c>
      <c r="B1277" t="s">
        <v>1332</v>
      </c>
    </row>
    <row r="1278" spans="1:2">
      <c r="A1278" t="s">
        <v>97</v>
      </c>
      <c r="B1278" t="s">
        <v>1333</v>
      </c>
    </row>
    <row r="1279" spans="1:2">
      <c r="A1279" t="s">
        <v>18</v>
      </c>
      <c r="B1279" t="s">
        <v>1334</v>
      </c>
    </row>
    <row r="1280" spans="1:2">
      <c r="A1280" t="s">
        <v>18</v>
      </c>
      <c r="B1280" t="s">
        <v>1335</v>
      </c>
    </row>
    <row r="1281" spans="1:2">
      <c r="A1281" t="s">
        <v>68</v>
      </c>
      <c r="B1281" t="s">
        <v>1336</v>
      </c>
    </row>
    <row r="1282" spans="1:2">
      <c r="A1282" t="s">
        <v>6</v>
      </c>
      <c r="B1282" t="s">
        <v>1337</v>
      </c>
    </row>
    <row r="1283" spans="1:2">
      <c r="A1283" t="s">
        <v>20</v>
      </c>
      <c r="B1283" t="s">
        <v>1338</v>
      </c>
    </row>
    <row r="1284" spans="1:2">
      <c r="A1284" t="s">
        <v>154</v>
      </c>
      <c r="B1284" t="s">
        <v>1339</v>
      </c>
    </row>
    <row r="1285" spans="1:2">
      <c r="A1285" t="s">
        <v>20</v>
      </c>
      <c r="B1285" t="s">
        <v>1340</v>
      </c>
    </row>
    <row r="1286" spans="1:2">
      <c r="A1286" t="s">
        <v>6</v>
      </c>
      <c r="B1286" t="s">
        <v>159</v>
      </c>
    </row>
    <row r="1287" spans="1:2">
      <c r="A1287" t="s">
        <v>154</v>
      </c>
      <c r="B1287" t="s">
        <v>1341</v>
      </c>
    </row>
    <row r="1288" spans="1:2">
      <c r="A1288" t="s">
        <v>56</v>
      </c>
      <c r="B1288" t="s">
        <v>156</v>
      </c>
    </row>
    <row r="1289" spans="1:2">
      <c r="A1289" t="s">
        <v>6</v>
      </c>
      <c r="B1289" t="s">
        <v>1342</v>
      </c>
    </row>
    <row r="1290" spans="1:2">
      <c r="A1290" t="s">
        <v>1343</v>
      </c>
      <c r="B1290" t="s">
        <v>1344</v>
      </c>
    </row>
    <row r="1291" spans="1:2">
      <c r="A1291" t="s">
        <v>12</v>
      </c>
      <c r="B1291" t="s">
        <v>1345</v>
      </c>
    </row>
    <row r="1292" spans="1:2">
      <c r="A1292" t="s">
        <v>18</v>
      </c>
      <c r="B1292" t="s">
        <v>1346</v>
      </c>
    </row>
    <row r="1293" spans="1:2">
      <c r="A1293" t="s">
        <v>0</v>
      </c>
      <c r="B1293" t="s">
        <v>456</v>
      </c>
    </row>
    <row r="1294" spans="1:2">
      <c r="A1294" t="s">
        <v>191</v>
      </c>
      <c r="B1294" t="s">
        <v>750</v>
      </c>
    </row>
    <row r="1295" spans="1:2">
      <c r="A1295" t="s">
        <v>46</v>
      </c>
      <c r="B1295" t="s">
        <v>1347</v>
      </c>
    </row>
    <row r="1296" spans="1:2">
      <c r="A1296" t="s">
        <v>6</v>
      </c>
      <c r="B1296" t="s">
        <v>1348</v>
      </c>
    </row>
    <row r="1297" spans="1:2">
      <c r="A1297" t="s">
        <v>6</v>
      </c>
      <c r="B1297" t="s">
        <v>1349</v>
      </c>
    </row>
    <row r="1298" spans="1:2">
      <c r="A1298" t="s">
        <v>18</v>
      </c>
      <c r="B1298" t="s">
        <v>1350</v>
      </c>
    </row>
    <row r="1299" spans="1:2">
      <c r="A1299" t="s">
        <v>33</v>
      </c>
      <c r="B1299" t="s">
        <v>1351</v>
      </c>
    </row>
    <row r="1300" spans="1:2">
      <c r="A1300" t="s">
        <v>48</v>
      </c>
      <c r="B1300" t="s">
        <v>1352</v>
      </c>
    </row>
    <row r="1301" spans="1:2">
      <c r="A1301" t="s">
        <v>29</v>
      </c>
      <c r="B1301" t="s">
        <v>1353</v>
      </c>
    </row>
    <row r="1302" spans="1:2">
      <c r="A1302" t="s">
        <v>14</v>
      </c>
      <c r="B1302" t="s">
        <v>491</v>
      </c>
    </row>
    <row r="1303" spans="1:2">
      <c r="A1303" t="s">
        <v>621</v>
      </c>
      <c r="B1303" t="s">
        <v>1354</v>
      </c>
    </row>
    <row r="1304" spans="1:2">
      <c r="A1304" t="s">
        <v>309</v>
      </c>
      <c r="B1304" t="s">
        <v>1355</v>
      </c>
    </row>
    <row r="1305" spans="1:2">
      <c r="A1305" t="s">
        <v>2</v>
      </c>
      <c r="B1305" t="s">
        <v>1356</v>
      </c>
    </row>
    <row r="1306" spans="1:2">
      <c r="A1306" t="s">
        <v>6</v>
      </c>
      <c r="B1306" t="s">
        <v>1357</v>
      </c>
    </row>
    <row r="1307" spans="1:2">
      <c r="A1307" t="s">
        <v>18</v>
      </c>
      <c r="B1307" t="s">
        <v>1358</v>
      </c>
    </row>
    <row r="1308" spans="1:2">
      <c r="A1308" t="s">
        <v>53</v>
      </c>
      <c r="B1308" t="s">
        <v>1359</v>
      </c>
    </row>
    <row r="1309" spans="1:2">
      <c r="A1309" t="s">
        <v>6</v>
      </c>
      <c r="B1309" t="s">
        <v>1360</v>
      </c>
    </row>
    <row r="1310" spans="1:2">
      <c r="A1310" t="s">
        <v>8</v>
      </c>
      <c r="B1310" t="s">
        <v>1361</v>
      </c>
    </row>
    <row r="1311" spans="1:2">
      <c r="A1311" t="s">
        <v>77</v>
      </c>
      <c r="B1311" t="s">
        <v>1362</v>
      </c>
    </row>
    <row r="1312" spans="1:2">
      <c r="A1312" t="s">
        <v>129</v>
      </c>
      <c r="B1312" t="s">
        <v>1363</v>
      </c>
    </row>
    <row r="1313" spans="1:2">
      <c r="A1313" t="s">
        <v>6</v>
      </c>
      <c r="B1313" t="s">
        <v>1364</v>
      </c>
    </row>
    <row r="1314" spans="1:2">
      <c r="A1314" t="s">
        <v>6</v>
      </c>
      <c r="B1314" t="s">
        <v>1365</v>
      </c>
    </row>
    <row r="1315" spans="1:2">
      <c r="A1315" t="s">
        <v>6</v>
      </c>
      <c r="B1315" t="s">
        <v>1366</v>
      </c>
    </row>
    <row r="1316" spans="1:2">
      <c r="A1316" t="s">
        <v>18</v>
      </c>
      <c r="B1316" t="s">
        <v>1367</v>
      </c>
    </row>
    <row r="1317" spans="1:2">
      <c r="A1317" t="s">
        <v>103</v>
      </c>
      <c r="B1317" t="s">
        <v>1368</v>
      </c>
    </row>
    <row r="1318" spans="1:2">
      <c r="A1318" t="s">
        <v>20</v>
      </c>
      <c r="B1318" t="s">
        <v>1369</v>
      </c>
    </row>
    <row r="1319" spans="1:2">
      <c r="A1319" t="s">
        <v>6</v>
      </c>
      <c r="B1319" t="s">
        <v>1370</v>
      </c>
    </row>
    <row r="1320" spans="1:2">
      <c r="A1320" t="s">
        <v>137</v>
      </c>
      <c r="B1320" t="s">
        <v>1371</v>
      </c>
    </row>
    <row r="1321" spans="1:2">
      <c r="A1321" t="s">
        <v>6</v>
      </c>
      <c r="B1321" t="s">
        <v>1372</v>
      </c>
    </row>
    <row r="1322" spans="1:2">
      <c r="A1322" t="s">
        <v>68</v>
      </c>
      <c r="B1322" t="s">
        <v>1373</v>
      </c>
    </row>
    <row r="1323" spans="1:2">
      <c r="A1323" t="s">
        <v>29</v>
      </c>
      <c r="B1323" t="s">
        <v>1374</v>
      </c>
    </row>
    <row r="1324" spans="1:2">
      <c r="A1324" t="s">
        <v>50</v>
      </c>
      <c r="B1324" t="s">
        <v>1375</v>
      </c>
    </row>
    <row r="1325" spans="1:2">
      <c r="A1325" t="s">
        <v>39</v>
      </c>
      <c r="B1325" t="s">
        <v>1376</v>
      </c>
    </row>
    <row r="1326" spans="1:2">
      <c r="A1326" t="s">
        <v>77</v>
      </c>
      <c r="B1326" t="s">
        <v>1377</v>
      </c>
    </row>
    <row r="1327" spans="1:2">
      <c r="A1327" t="s">
        <v>728</v>
      </c>
      <c r="B1327" t="s">
        <v>1378</v>
      </c>
    </row>
    <row r="1328" spans="1:2">
      <c r="A1328" t="s">
        <v>6</v>
      </c>
      <c r="B1328" t="s">
        <v>1379</v>
      </c>
    </row>
    <row r="1329" spans="1:2">
      <c r="A1329" t="s">
        <v>35</v>
      </c>
      <c r="B1329" t="s">
        <v>1380</v>
      </c>
    </row>
    <row r="1330" spans="1:2">
      <c r="A1330" t="s">
        <v>1381</v>
      </c>
      <c r="B1330" t="s">
        <v>1382</v>
      </c>
    </row>
    <row r="1331" spans="1:2">
      <c r="A1331" t="s">
        <v>794</v>
      </c>
      <c r="B1331" t="s">
        <v>1383</v>
      </c>
    </row>
    <row r="1332" spans="1:2">
      <c r="A1332" t="s">
        <v>68</v>
      </c>
      <c r="B1332" t="s">
        <v>1384</v>
      </c>
    </row>
    <row r="1333" spans="1:2">
      <c r="A1333" t="s">
        <v>1246</v>
      </c>
      <c r="B1333" t="s">
        <v>1385</v>
      </c>
    </row>
    <row r="1334" spans="1:2">
      <c r="A1334" t="s">
        <v>77</v>
      </c>
      <c r="B1334" t="s">
        <v>1343</v>
      </c>
    </row>
    <row r="1335" spans="1:2">
      <c r="A1335" t="s">
        <v>18</v>
      </c>
      <c r="B1335" t="s">
        <v>1386</v>
      </c>
    </row>
    <row r="1336" spans="1:2">
      <c r="A1336" t="s">
        <v>134</v>
      </c>
      <c r="B1336" t="s">
        <v>1387</v>
      </c>
    </row>
    <row r="1337" spans="1:2">
      <c r="A1337" t="s">
        <v>18</v>
      </c>
      <c r="B1337" t="s">
        <v>1388</v>
      </c>
    </row>
    <row r="1338" spans="1:2">
      <c r="A1338" t="s">
        <v>68</v>
      </c>
      <c r="B1338" t="s">
        <v>1389</v>
      </c>
    </row>
    <row r="1339" spans="1:2">
      <c r="A1339" t="s">
        <v>112</v>
      </c>
      <c r="B1339" t="s">
        <v>1390</v>
      </c>
    </row>
    <row r="1340" spans="1:2">
      <c r="A1340" t="s">
        <v>6</v>
      </c>
      <c r="B1340" t="s">
        <v>1391</v>
      </c>
    </row>
    <row r="1341" spans="1:2">
      <c r="A1341" t="s">
        <v>388</v>
      </c>
      <c r="B1341" t="s">
        <v>1392</v>
      </c>
    </row>
    <row r="1342" spans="1:2">
      <c r="A1342" t="s">
        <v>56</v>
      </c>
      <c r="B1342" t="s">
        <v>1393</v>
      </c>
    </row>
    <row r="1343" spans="1:2">
      <c r="A1343" t="s">
        <v>6</v>
      </c>
      <c r="B1343" t="s">
        <v>1394</v>
      </c>
    </row>
    <row r="1344" spans="1:2">
      <c r="A1344" t="s">
        <v>48</v>
      </c>
      <c r="B1344" t="s">
        <v>1395</v>
      </c>
    </row>
    <row r="1345" spans="1:2">
      <c r="A1345" t="s">
        <v>29</v>
      </c>
      <c r="B1345" t="s">
        <v>1396</v>
      </c>
    </row>
    <row r="1346" spans="1:2">
      <c r="A1346" t="s">
        <v>347</v>
      </c>
      <c r="B1346" t="s">
        <v>1397</v>
      </c>
    </row>
    <row r="1347" spans="1:2">
      <c r="A1347" t="s">
        <v>112</v>
      </c>
      <c r="B1347" t="s">
        <v>1398</v>
      </c>
    </row>
    <row r="1348" spans="1:2">
      <c r="A1348" t="s">
        <v>46</v>
      </c>
      <c r="B1348" t="s">
        <v>1399</v>
      </c>
    </row>
    <row r="1349" spans="1:2">
      <c r="A1349" t="s">
        <v>6</v>
      </c>
      <c r="B1349" t="s">
        <v>1400</v>
      </c>
    </row>
    <row r="1350" spans="1:2">
      <c r="A1350" t="s">
        <v>56</v>
      </c>
      <c r="B1350" t="s">
        <v>1401</v>
      </c>
    </row>
    <row r="1351" spans="1:2">
      <c r="A1351" t="s">
        <v>428</v>
      </c>
      <c r="B1351" t="s">
        <v>1402</v>
      </c>
    </row>
    <row r="1352" spans="1:2">
      <c r="A1352" t="s">
        <v>18</v>
      </c>
      <c r="B1352" t="s">
        <v>1403</v>
      </c>
    </row>
    <row r="1353" spans="1:2">
      <c r="A1353" t="s">
        <v>6</v>
      </c>
      <c r="B1353" t="s">
        <v>1404</v>
      </c>
    </row>
    <row r="1354" spans="1:2">
      <c r="A1354" t="s">
        <v>22</v>
      </c>
      <c r="B1354" t="s">
        <v>1405</v>
      </c>
    </row>
    <row r="1355" spans="1:2">
      <c r="A1355" t="s">
        <v>323</v>
      </c>
      <c r="B1355" t="s">
        <v>1406</v>
      </c>
    </row>
    <row r="1356" spans="1:2">
      <c r="A1356" t="s">
        <v>6</v>
      </c>
      <c r="B1356" t="s">
        <v>1407</v>
      </c>
    </row>
    <row r="1357" spans="1:2">
      <c r="A1357" t="s">
        <v>6</v>
      </c>
      <c r="B1357" t="s">
        <v>1408</v>
      </c>
    </row>
    <row r="1358" spans="1:2">
      <c r="A1358" t="s">
        <v>1409</v>
      </c>
      <c r="B1358" t="s">
        <v>1410</v>
      </c>
    </row>
    <row r="1359" spans="1:2">
      <c r="A1359" t="s">
        <v>46</v>
      </c>
      <c r="B1359" t="s">
        <v>1411</v>
      </c>
    </row>
    <row r="1360" spans="1:2">
      <c r="A1360" t="s">
        <v>6</v>
      </c>
      <c r="B1360" t="s">
        <v>1412</v>
      </c>
    </row>
    <row r="1361" spans="1:2">
      <c r="A1361" t="s">
        <v>105</v>
      </c>
      <c r="B1361" t="s">
        <v>1413</v>
      </c>
    </row>
    <row r="1362" spans="1:2">
      <c r="A1362" t="s">
        <v>6</v>
      </c>
      <c r="B1362" t="s">
        <v>1414</v>
      </c>
    </row>
    <row r="1363" spans="1:2">
      <c r="A1363" t="s">
        <v>68</v>
      </c>
      <c r="B1363" t="s">
        <v>1415</v>
      </c>
    </row>
    <row r="1364" spans="1:2">
      <c r="A1364" t="s">
        <v>288</v>
      </c>
      <c r="B1364" t="s">
        <v>1416</v>
      </c>
    </row>
    <row r="1365" spans="1:2">
      <c r="A1365" t="s">
        <v>29</v>
      </c>
      <c r="B1365" t="s">
        <v>1417</v>
      </c>
    </row>
    <row r="1366" spans="1:2">
      <c r="A1366" t="s">
        <v>6</v>
      </c>
      <c r="B1366" t="s">
        <v>1418</v>
      </c>
    </row>
    <row r="1367" spans="1:2">
      <c r="A1367" t="s">
        <v>608</v>
      </c>
      <c r="B1367" t="s">
        <v>1419</v>
      </c>
    </row>
    <row r="1368" spans="1:2">
      <c r="A1368" t="s">
        <v>35</v>
      </c>
      <c r="B1368" t="s">
        <v>1420</v>
      </c>
    </row>
    <row r="1369" spans="1:2">
      <c r="A1369" t="s">
        <v>6</v>
      </c>
      <c r="B1369" t="s">
        <v>1421</v>
      </c>
    </row>
    <row r="1370" spans="1:2">
      <c r="A1370" t="s">
        <v>77</v>
      </c>
      <c r="B1370" t="s">
        <v>1422</v>
      </c>
    </row>
    <row r="1371" spans="1:2">
      <c r="A1371" t="s">
        <v>56</v>
      </c>
      <c r="B1371" t="s">
        <v>1423</v>
      </c>
    </row>
    <row r="1372" spans="1:2">
      <c r="A1372" t="s">
        <v>112</v>
      </c>
      <c r="B1372" t="s">
        <v>1424</v>
      </c>
    </row>
    <row r="1373" spans="1:2">
      <c r="A1373" t="s">
        <v>6</v>
      </c>
      <c r="B1373" t="s">
        <v>1425</v>
      </c>
    </row>
    <row r="1374" spans="1:2">
      <c r="A1374" t="s">
        <v>68</v>
      </c>
      <c r="B1374" t="s">
        <v>1426</v>
      </c>
    </row>
    <row r="1375" spans="1:2">
      <c r="A1375" t="s">
        <v>6</v>
      </c>
      <c r="B1375" t="s">
        <v>1427</v>
      </c>
    </row>
    <row r="1376" spans="1:2">
      <c r="A1376" t="s">
        <v>14</v>
      </c>
      <c r="B1376" t="s">
        <v>1428</v>
      </c>
    </row>
    <row r="1377" spans="1:2">
      <c r="A1377" t="s">
        <v>1429</v>
      </c>
      <c r="B1377" t="s">
        <v>1430</v>
      </c>
    </row>
    <row r="1378" spans="1:2">
      <c r="A1378" t="s">
        <v>6</v>
      </c>
      <c r="B1378" t="s">
        <v>1431</v>
      </c>
    </row>
    <row r="1379" spans="1:2">
      <c r="A1379" t="s">
        <v>107</v>
      </c>
      <c r="B1379" t="s">
        <v>1432</v>
      </c>
    </row>
    <row r="1380" spans="1:2">
      <c r="A1380" t="s">
        <v>18</v>
      </c>
      <c r="B1380" t="s">
        <v>1433</v>
      </c>
    </row>
    <row r="1381" spans="1:2">
      <c r="A1381" t="s">
        <v>6</v>
      </c>
      <c r="B1381" t="s">
        <v>1434</v>
      </c>
    </row>
    <row r="1382" spans="1:2">
      <c r="A1382" t="s">
        <v>6</v>
      </c>
      <c r="B1382" t="s">
        <v>1435</v>
      </c>
    </row>
    <row r="1383" spans="1:2">
      <c r="A1383" t="s">
        <v>18</v>
      </c>
      <c r="B1383" t="s">
        <v>1436</v>
      </c>
    </row>
    <row r="1384" spans="1:2">
      <c r="A1384" t="s">
        <v>18</v>
      </c>
      <c r="B1384" t="s">
        <v>1437</v>
      </c>
    </row>
    <row r="1385" spans="1:2">
      <c r="A1385" t="s">
        <v>6</v>
      </c>
      <c r="B1385" t="s">
        <v>1438</v>
      </c>
    </row>
    <row r="1386" spans="1:2">
      <c r="A1386" t="s">
        <v>18</v>
      </c>
      <c r="B1386" t="s">
        <v>1439</v>
      </c>
    </row>
    <row r="1387" spans="1:2">
      <c r="A1387" t="s">
        <v>42</v>
      </c>
      <c r="B1387" t="s">
        <v>1440</v>
      </c>
    </row>
    <row r="1388" spans="1:2">
      <c r="A1388" t="s">
        <v>8</v>
      </c>
      <c r="B1388" t="s">
        <v>1441</v>
      </c>
    </row>
    <row r="1389" spans="1:2">
      <c r="A1389" t="s">
        <v>6</v>
      </c>
      <c r="B1389" t="s">
        <v>1442</v>
      </c>
    </row>
    <row r="1390" spans="1:2">
      <c r="A1390" t="s">
        <v>6</v>
      </c>
      <c r="B1390" t="s">
        <v>1443</v>
      </c>
    </row>
    <row r="1391" spans="1:2">
      <c r="A1391" t="s">
        <v>154</v>
      </c>
      <c r="B1391" t="s">
        <v>1444</v>
      </c>
    </row>
    <row r="1392" spans="1:2">
      <c r="A1392" t="s">
        <v>83</v>
      </c>
      <c r="B1392" t="s">
        <v>1445</v>
      </c>
    </row>
    <row r="1393" spans="1:2">
      <c r="A1393" t="s">
        <v>6</v>
      </c>
      <c r="B1393" t="s">
        <v>1446</v>
      </c>
    </row>
    <row r="1394" spans="1:2">
      <c r="A1394" t="s">
        <v>6</v>
      </c>
      <c r="B1394" t="s">
        <v>1447</v>
      </c>
    </row>
    <row r="1395" spans="1:2">
      <c r="A1395" t="s">
        <v>685</v>
      </c>
      <c r="B1395" t="s">
        <v>369</v>
      </c>
    </row>
    <row r="1396" spans="1:2">
      <c r="A1396" t="s">
        <v>399</v>
      </c>
      <c r="B1396" t="s">
        <v>1448</v>
      </c>
    </row>
    <row r="1397" spans="1:2">
      <c r="A1397" t="s">
        <v>137</v>
      </c>
      <c r="B1397" t="s">
        <v>1449</v>
      </c>
    </row>
    <row r="1398" spans="1:2">
      <c r="A1398" s="1">
        <v>41159</v>
      </c>
      <c r="B1398" t="s">
        <v>1450</v>
      </c>
    </row>
    <row r="1399" spans="1:2">
      <c r="A1399" t="s">
        <v>6</v>
      </c>
      <c r="B1399" t="s">
        <v>1451</v>
      </c>
    </row>
    <row r="1400" spans="1:2">
      <c r="A1400" t="s">
        <v>6</v>
      </c>
      <c r="B1400" t="s">
        <v>1452</v>
      </c>
    </row>
    <row r="1401" spans="1:2">
      <c r="A1401" t="s">
        <v>103</v>
      </c>
      <c r="B1401" t="s">
        <v>1453</v>
      </c>
    </row>
    <row r="1402" spans="1:2">
      <c r="A1402" t="s">
        <v>8</v>
      </c>
      <c r="B1402" t="s">
        <v>1454</v>
      </c>
    </row>
    <row r="1403" spans="1:2">
      <c r="A1403" t="s">
        <v>134</v>
      </c>
      <c r="B1403" t="s">
        <v>1455</v>
      </c>
    </row>
    <row r="1404" spans="1:2">
      <c r="A1404" t="s">
        <v>6</v>
      </c>
      <c r="B1404" t="s">
        <v>1456</v>
      </c>
    </row>
    <row r="1405" spans="1:2">
      <c r="A1405" t="s">
        <v>6</v>
      </c>
      <c r="B1405" t="s">
        <v>1457</v>
      </c>
    </row>
    <row r="1406" spans="1:2">
      <c r="A1406" t="s">
        <v>6</v>
      </c>
      <c r="B1406" t="s">
        <v>1458</v>
      </c>
    </row>
    <row r="1407" spans="1:2">
      <c r="A1407" t="s">
        <v>6</v>
      </c>
      <c r="B1407" t="s">
        <v>1459</v>
      </c>
    </row>
    <row r="1408" spans="1:2">
      <c r="A1408" t="s">
        <v>42</v>
      </c>
      <c r="B1408" t="s">
        <v>1460</v>
      </c>
    </row>
    <row r="1409" spans="1:2">
      <c r="A1409" t="s">
        <v>6</v>
      </c>
      <c r="B1409" t="s">
        <v>1461</v>
      </c>
    </row>
    <row r="1410" spans="1:2">
      <c r="A1410" t="s">
        <v>39</v>
      </c>
      <c r="B1410" t="s">
        <v>1462</v>
      </c>
    </row>
    <row r="1411" spans="1:2">
      <c r="A1411" t="s">
        <v>6</v>
      </c>
      <c r="B1411" t="s">
        <v>1463</v>
      </c>
    </row>
    <row r="1412" spans="1:2">
      <c r="A1412" t="s">
        <v>6</v>
      </c>
      <c r="B1412" t="s">
        <v>1464</v>
      </c>
    </row>
    <row r="1413" spans="1:2">
      <c r="A1413" t="s">
        <v>46</v>
      </c>
      <c r="B1413" t="s">
        <v>1465</v>
      </c>
    </row>
    <row r="1414" spans="1:2">
      <c r="A1414" t="s">
        <v>137</v>
      </c>
      <c r="B1414" t="s">
        <v>1466</v>
      </c>
    </row>
    <row r="1415" spans="1:2">
      <c r="A1415" t="s">
        <v>6</v>
      </c>
      <c r="B1415" t="s">
        <v>1467</v>
      </c>
    </row>
    <row r="1416" spans="1:2">
      <c r="A1416" t="s">
        <v>6</v>
      </c>
      <c r="B1416" t="s">
        <v>1468</v>
      </c>
    </row>
    <row r="1417" spans="1:2">
      <c r="A1417" t="s">
        <v>105</v>
      </c>
      <c r="B1417" t="s">
        <v>1469</v>
      </c>
    </row>
    <row r="1418" spans="1:2">
      <c r="A1418" t="s">
        <v>114</v>
      </c>
      <c r="B1418" t="s">
        <v>1470</v>
      </c>
    </row>
    <row r="1419" spans="1:2">
      <c r="A1419" t="s">
        <v>495</v>
      </c>
      <c r="B1419" t="s">
        <v>1471</v>
      </c>
    </row>
    <row r="1420" spans="1:2">
      <c r="A1420" t="s">
        <v>608</v>
      </c>
      <c r="B1420" t="s">
        <v>1472</v>
      </c>
    </row>
    <row r="1421" spans="1:2">
      <c r="A1421" t="s">
        <v>29</v>
      </c>
      <c r="B1421" t="s">
        <v>1473</v>
      </c>
    </row>
    <row r="1422" spans="1:2">
      <c r="A1422" t="s">
        <v>127</v>
      </c>
      <c r="B1422" t="s">
        <v>1474</v>
      </c>
    </row>
    <row r="1423" spans="1:2">
      <c r="A1423" t="s">
        <v>46</v>
      </c>
      <c r="B1423" t="s">
        <v>1475</v>
      </c>
    </row>
    <row r="1424" spans="1:2">
      <c r="A1424" t="s">
        <v>428</v>
      </c>
      <c r="B1424" t="s">
        <v>1476</v>
      </c>
    </row>
    <row r="1425" spans="1:2">
      <c r="A1425" t="s">
        <v>105</v>
      </c>
      <c r="B1425" t="s">
        <v>1477</v>
      </c>
    </row>
    <row r="1426" spans="1:2">
      <c r="A1426" t="s">
        <v>6</v>
      </c>
      <c r="B1426" t="s">
        <v>1478</v>
      </c>
    </row>
    <row r="1427" spans="1:2">
      <c r="A1427" t="s">
        <v>77</v>
      </c>
      <c r="B1427" t="s">
        <v>1479</v>
      </c>
    </row>
    <row r="1428" spans="1:2">
      <c r="A1428" t="s">
        <v>50</v>
      </c>
      <c r="B1428" t="s">
        <v>1480</v>
      </c>
    </row>
    <row r="1429" spans="1:2">
      <c r="A1429" t="s">
        <v>6</v>
      </c>
      <c r="B1429" t="s">
        <v>1481</v>
      </c>
    </row>
    <row r="1430" spans="1:2">
      <c r="A1430" t="s">
        <v>68</v>
      </c>
      <c r="B1430" t="s">
        <v>1482</v>
      </c>
    </row>
    <row r="1431" spans="1:2">
      <c r="A1431" t="s">
        <v>154</v>
      </c>
      <c r="B1431" t="s">
        <v>1483</v>
      </c>
    </row>
    <row r="1432" spans="1:2">
      <c r="A1432" t="s">
        <v>6</v>
      </c>
      <c r="B1432" t="s">
        <v>1484</v>
      </c>
    </row>
    <row r="1433" spans="1:2">
      <c r="A1433" t="s">
        <v>23</v>
      </c>
      <c r="B1433" t="s">
        <v>1485</v>
      </c>
    </row>
    <row r="1434" spans="1:2">
      <c r="A1434" t="s">
        <v>6</v>
      </c>
      <c r="B1434" t="s">
        <v>1486</v>
      </c>
    </row>
    <row r="1435" spans="1:2">
      <c r="A1435" t="s">
        <v>152</v>
      </c>
      <c r="B1435" t="s">
        <v>1487</v>
      </c>
    </row>
    <row r="1436" spans="1:2">
      <c r="A1436" t="s">
        <v>323</v>
      </c>
      <c r="B1436" t="s">
        <v>1488</v>
      </c>
    </row>
    <row r="1437" spans="1:2">
      <c r="A1437" t="s">
        <v>6</v>
      </c>
      <c r="B1437" t="s">
        <v>1489</v>
      </c>
    </row>
    <row r="1438" spans="1:2">
      <c r="A1438" t="s">
        <v>941</v>
      </c>
      <c r="B1438" t="s">
        <v>1490</v>
      </c>
    </row>
    <row r="1439" spans="1:2">
      <c r="A1439" t="s">
        <v>18</v>
      </c>
      <c r="B1439" t="s">
        <v>1491</v>
      </c>
    </row>
    <row r="1440" spans="1:2">
      <c r="A1440" t="s">
        <v>20</v>
      </c>
      <c r="B1440" t="s">
        <v>1492</v>
      </c>
    </row>
    <row r="1441" spans="1:2">
      <c r="A1441" t="s">
        <v>103</v>
      </c>
      <c r="B1441" t="s">
        <v>1493</v>
      </c>
    </row>
    <row r="1442" spans="1:2">
      <c r="A1442" t="s">
        <v>12</v>
      </c>
      <c r="B1442" t="s">
        <v>1494</v>
      </c>
    </row>
    <row r="1443" spans="1:2">
      <c r="A1443" t="s">
        <v>48</v>
      </c>
      <c r="B1443" t="s">
        <v>1495</v>
      </c>
    </row>
    <row r="1444" spans="1:2">
      <c r="A1444" t="s">
        <v>18</v>
      </c>
      <c r="B1444" t="s">
        <v>495</v>
      </c>
    </row>
    <row r="1445" spans="1:2">
      <c r="A1445" t="s">
        <v>68</v>
      </c>
      <c r="B1445" s="1">
        <v>41161</v>
      </c>
    </row>
    <row r="1446" spans="1:2">
      <c r="A1446" t="s">
        <v>12</v>
      </c>
      <c r="B1446" t="s">
        <v>1496</v>
      </c>
    </row>
    <row r="1447" spans="1:2">
      <c r="A1447" t="s">
        <v>56</v>
      </c>
      <c r="B1447" s="1">
        <v>41159</v>
      </c>
    </row>
    <row r="1448" spans="1:2">
      <c r="A1448" t="s">
        <v>218</v>
      </c>
      <c r="B1448" t="s">
        <v>1497</v>
      </c>
    </row>
    <row r="1449" spans="1:2">
      <c r="A1449" t="s">
        <v>6</v>
      </c>
      <c r="B1449" t="s">
        <v>1498</v>
      </c>
    </row>
    <row r="1450" spans="1:2">
      <c r="A1450" t="s">
        <v>18</v>
      </c>
      <c r="B1450" s="1">
        <v>41154</v>
      </c>
    </row>
    <row r="1451" spans="1:2">
      <c r="A1451" t="s">
        <v>18</v>
      </c>
      <c r="B1451" t="s">
        <v>1499</v>
      </c>
    </row>
    <row r="1452" spans="1:2">
      <c r="A1452" t="s">
        <v>20</v>
      </c>
      <c r="B1452" t="s">
        <v>1500</v>
      </c>
    </row>
    <row r="1453" spans="1:2">
      <c r="A1453" t="s">
        <v>6</v>
      </c>
      <c r="B1453" t="s">
        <v>1501</v>
      </c>
    </row>
    <row r="1454" spans="1:2">
      <c r="A1454" t="s">
        <v>18</v>
      </c>
      <c r="B1454" t="s">
        <v>1502</v>
      </c>
    </row>
    <row r="1455" spans="1:2">
      <c r="A1455" t="s">
        <v>1503</v>
      </c>
      <c r="B1455" t="s">
        <v>1504</v>
      </c>
    </row>
    <row r="1456" spans="1:2">
      <c r="A1456" t="s">
        <v>6</v>
      </c>
      <c r="B1456" t="s">
        <v>1505</v>
      </c>
    </row>
    <row r="1457" spans="1:2">
      <c r="A1457" t="s">
        <v>112</v>
      </c>
      <c r="B1457" t="s">
        <v>1506</v>
      </c>
    </row>
    <row r="1458" spans="1:2">
      <c r="A1458" t="s">
        <v>6</v>
      </c>
      <c r="B1458" t="s">
        <v>1507</v>
      </c>
    </row>
    <row r="1459" spans="1:2">
      <c r="A1459" t="s">
        <v>1105</v>
      </c>
      <c r="B1459" t="s">
        <v>1508</v>
      </c>
    </row>
    <row r="1460" spans="1:2">
      <c r="A1460" t="s">
        <v>39</v>
      </c>
      <c r="B1460" t="s">
        <v>1509</v>
      </c>
    </row>
    <row r="1461" spans="1:2">
      <c r="A1461" t="s">
        <v>6</v>
      </c>
      <c r="B1461" t="s">
        <v>1510</v>
      </c>
    </row>
    <row r="1462" spans="1:2">
      <c r="A1462" t="s">
        <v>6</v>
      </c>
      <c r="B1462" t="s">
        <v>1511</v>
      </c>
    </row>
    <row r="1463" spans="1:2">
      <c r="A1463" t="s">
        <v>6</v>
      </c>
      <c r="B1463" t="s">
        <v>1512</v>
      </c>
    </row>
    <row r="1464" spans="1:2">
      <c r="A1464" t="s">
        <v>137</v>
      </c>
      <c r="B1464" t="s">
        <v>1513</v>
      </c>
    </row>
    <row r="1465" spans="1:2">
      <c r="A1465" t="s">
        <v>6</v>
      </c>
      <c r="B1465" t="s">
        <v>1514</v>
      </c>
    </row>
    <row r="1466" spans="1:2">
      <c r="A1466" t="s">
        <v>18</v>
      </c>
      <c r="B1466" t="s">
        <v>1515</v>
      </c>
    </row>
    <row r="1467" spans="1:2">
      <c r="A1467" t="s">
        <v>68</v>
      </c>
      <c r="B1467" t="s">
        <v>1516</v>
      </c>
    </row>
    <row r="1468" spans="1:2">
      <c r="A1468" t="s">
        <v>42</v>
      </c>
      <c r="B1468" t="s">
        <v>1517</v>
      </c>
    </row>
    <row r="1469" spans="1:2">
      <c r="A1469" t="s">
        <v>56</v>
      </c>
      <c r="B1469" t="s">
        <v>539</v>
      </c>
    </row>
    <row r="1470" spans="1:2">
      <c r="A1470" t="s">
        <v>6</v>
      </c>
      <c r="B1470" t="s">
        <v>1518</v>
      </c>
    </row>
    <row r="1471" spans="1:2">
      <c r="A1471" t="s">
        <v>48</v>
      </c>
      <c r="B1471" t="s">
        <v>1519</v>
      </c>
    </row>
    <row r="1472" spans="1:2">
      <c r="A1472" t="s">
        <v>6</v>
      </c>
      <c r="B1472" t="s">
        <v>1520</v>
      </c>
    </row>
    <row r="1473" spans="1:2">
      <c r="A1473" t="s">
        <v>42</v>
      </c>
      <c r="B1473" t="s">
        <v>1521</v>
      </c>
    </row>
    <row r="1474" spans="1:2">
      <c r="A1474" t="s">
        <v>4</v>
      </c>
      <c r="B1474" t="s">
        <v>1522</v>
      </c>
    </row>
    <row r="1475" spans="1:2">
      <c r="A1475" t="s">
        <v>56</v>
      </c>
      <c r="B1475" t="s">
        <v>1523</v>
      </c>
    </row>
    <row r="1476" spans="1:2">
      <c r="A1476" t="s">
        <v>6</v>
      </c>
      <c r="B1476" t="s">
        <v>1524</v>
      </c>
    </row>
    <row r="1477" spans="1:2">
      <c r="A1477" t="s">
        <v>18</v>
      </c>
      <c r="B1477" t="s">
        <v>1525</v>
      </c>
    </row>
    <row r="1478" spans="1:2">
      <c r="A1478" t="s">
        <v>754</v>
      </c>
      <c r="B1478" t="s">
        <v>1526</v>
      </c>
    </row>
    <row r="1479" spans="1:2">
      <c r="A1479" t="s">
        <v>6</v>
      </c>
      <c r="B1479" t="s">
        <v>1527</v>
      </c>
    </row>
    <row r="1480" spans="1:2">
      <c r="A1480" t="s">
        <v>456</v>
      </c>
      <c r="B1480" t="s">
        <v>1528</v>
      </c>
    </row>
    <row r="1481" spans="1:2">
      <c r="A1481" t="s">
        <v>83</v>
      </c>
      <c r="B1481" t="s">
        <v>1529</v>
      </c>
    </row>
    <row r="1482" spans="1:2">
      <c r="A1482" t="s">
        <v>18</v>
      </c>
      <c r="B1482" t="s">
        <v>1530</v>
      </c>
    </row>
    <row r="1483" spans="1:2">
      <c r="A1483" t="s">
        <v>6</v>
      </c>
      <c r="B1483" t="s">
        <v>1048</v>
      </c>
    </row>
    <row r="1484" spans="1:2">
      <c r="A1484" t="s">
        <v>6</v>
      </c>
      <c r="B1484" t="s">
        <v>1531</v>
      </c>
    </row>
    <row r="1485" spans="1:2">
      <c r="A1485" t="s">
        <v>77</v>
      </c>
      <c r="B1485" t="s">
        <v>1532</v>
      </c>
    </row>
    <row r="1486" spans="1:2">
      <c r="A1486" t="s">
        <v>18</v>
      </c>
      <c r="B1486" t="s">
        <v>347</v>
      </c>
    </row>
    <row r="1487" spans="1:2">
      <c r="A1487" t="s">
        <v>6</v>
      </c>
      <c r="B1487" t="s">
        <v>1533</v>
      </c>
    </row>
    <row r="1488" spans="1:2">
      <c r="A1488" t="s">
        <v>6</v>
      </c>
      <c r="B1488" t="s">
        <v>1534</v>
      </c>
    </row>
    <row r="1489" spans="1:2">
      <c r="A1489" t="s">
        <v>6</v>
      </c>
      <c r="B1489" t="s">
        <v>1535</v>
      </c>
    </row>
    <row r="1490" spans="1:2">
      <c r="A1490" t="s">
        <v>137</v>
      </c>
      <c r="B1490" t="s">
        <v>1536</v>
      </c>
    </row>
    <row r="1491" spans="1:2">
      <c r="A1491" t="s">
        <v>46</v>
      </c>
      <c r="B1491" t="s">
        <v>1537</v>
      </c>
    </row>
    <row r="1492" spans="1:2">
      <c r="A1492" t="s">
        <v>18</v>
      </c>
      <c r="B1492" t="s">
        <v>1538</v>
      </c>
    </row>
    <row r="1493" spans="1:2">
      <c r="A1493" t="s">
        <v>6</v>
      </c>
      <c r="B1493" t="s">
        <v>1539</v>
      </c>
    </row>
    <row r="1494" spans="1:2">
      <c r="A1494" t="s">
        <v>214</v>
      </c>
      <c r="B1494" t="s">
        <v>1540</v>
      </c>
    </row>
    <row r="1495" spans="1:2">
      <c r="A1495" t="s">
        <v>323</v>
      </c>
      <c r="B1495" t="s">
        <v>1541</v>
      </c>
    </row>
    <row r="1496" spans="1:2">
      <c r="A1496" t="s">
        <v>6</v>
      </c>
      <c r="B1496" t="s">
        <v>1542</v>
      </c>
    </row>
    <row r="1497" spans="1:2">
      <c r="A1497" t="s">
        <v>6</v>
      </c>
      <c r="B1497" t="s">
        <v>1543</v>
      </c>
    </row>
    <row r="1498" spans="1:2">
      <c r="A1498" t="s">
        <v>6</v>
      </c>
      <c r="B1498" t="s">
        <v>1544</v>
      </c>
    </row>
    <row r="1499" spans="1:2">
      <c r="A1499" t="s">
        <v>22</v>
      </c>
      <c r="B1499" t="s">
        <v>1429</v>
      </c>
    </row>
    <row r="1500" spans="1:2">
      <c r="A1500" t="s">
        <v>48</v>
      </c>
      <c r="B1500" t="s">
        <v>1545</v>
      </c>
    </row>
    <row r="1501" spans="1:2">
      <c r="A1501" t="s">
        <v>6</v>
      </c>
      <c r="B1501" t="s">
        <v>1546</v>
      </c>
    </row>
    <row r="1502" spans="1:2">
      <c r="A1502" t="s">
        <v>18</v>
      </c>
      <c r="B1502" t="s">
        <v>1547</v>
      </c>
    </row>
    <row r="1503" spans="1:2">
      <c r="A1503" t="s">
        <v>103</v>
      </c>
      <c r="B1503" t="s">
        <v>1548</v>
      </c>
    </row>
    <row r="1504" spans="1:2">
      <c r="A1504" t="s">
        <v>6</v>
      </c>
      <c r="B1504" t="s">
        <v>1549</v>
      </c>
    </row>
    <row r="1505" spans="1:2">
      <c r="A1505" t="s">
        <v>133</v>
      </c>
      <c r="B1505" t="s">
        <v>1550</v>
      </c>
    </row>
    <row r="1506" spans="1:2">
      <c r="A1506" t="s">
        <v>14</v>
      </c>
      <c r="B1506" t="s">
        <v>1551</v>
      </c>
    </row>
    <row r="1507" spans="1:2">
      <c r="A1507" t="s">
        <v>29</v>
      </c>
      <c r="B1507" t="s">
        <v>1552</v>
      </c>
    </row>
    <row r="1508" spans="1:2">
      <c r="A1508" t="s">
        <v>8</v>
      </c>
      <c r="B1508" t="s">
        <v>1553</v>
      </c>
    </row>
    <row r="1509" spans="1:2">
      <c r="A1509" t="s">
        <v>191</v>
      </c>
      <c r="B1509" t="s">
        <v>1554</v>
      </c>
    </row>
    <row r="1510" spans="1:2">
      <c r="A1510" t="s">
        <v>6</v>
      </c>
      <c r="B1510" t="s">
        <v>1555</v>
      </c>
    </row>
    <row r="1511" spans="1:2">
      <c r="A1511" t="s">
        <v>107</v>
      </c>
      <c r="B1511" t="s">
        <v>1556</v>
      </c>
    </row>
    <row r="1512" spans="1:2">
      <c r="A1512" t="s">
        <v>22</v>
      </c>
      <c r="B1512" t="s">
        <v>1557</v>
      </c>
    </row>
    <row r="1513" spans="1:2">
      <c r="A1513" t="s">
        <v>18</v>
      </c>
      <c r="B1513" t="s">
        <v>1558</v>
      </c>
    </row>
    <row r="1514" spans="1:2">
      <c r="A1514" t="s">
        <v>83</v>
      </c>
      <c r="B1514" t="s">
        <v>1559</v>
      </c>
    </row>
    <row r="1515" spans="1:2">
      <c r="A1515" t="s">
        <v>6</v>
      </c>
      <c r="B1515" t="s">
        <v>1560</v>
      </c>
    </row>
    <row r="1516" spans="1:2">
      <c r="A1516" t="s">
        <v>1561</v>
      </c>
      <c r="B1516" t="s">
        <v>1562</v>
      </c>
    </row>
    <row r="1517" spans="1:2">
      <c r="A1517" t="s">
        <v>6</v>
      </c>
      <c r="B1517" t="s">
        <v>1563</v>
      </c>
    </row>
    <row r="1518" spans="1:2">
      <c r="A1518" t="s">
        <v>6</v>
      </c>
      <c r="B1518" t="s">
        <v>1564</v>
      </c>
    </row>
    <row r="1519" spans="1:2">
      <c r="A1519" t="s">
        <v>107</v>
      </c>
      <c r="B1519" t="s">
        <v>1565</v>
      </c>
    </row>
    <row r="1520" spans="1:2">
      <c r="A1520" t="s">
        <v>18</v>
      </c>
      <c r="B1520" t="s">
        <v>251</v>
      </c>
    </row>
    <row r="1521" spans="1:2">
      <c r="A1521" t="s">
        <v>56</v>
      </c>
      <c r="B1521" t="s">
        <v>1566</v>
      </c>
    </row>
    <row r="1522" spans="1:2">
      <c r="A1522" t="s">
        <v>56</v>
      </c>
      <c r="B1522" t="s">
        <v>1567</v>
      </c>
    </row>
    <row r="1523" spans="1:2">
      <c r="A1523" t="s">
        <v>6</v>
      </c>
      <c r="B1523" t="s">
        <v>1568</v>
      </c>
    </row>
    <row r="1524" spans="1:2">
      <c r="A1524" t="s">
        <v>39</v>
      </c>
      <c r="B1524" t="s">
        <v>1569</v>
      </c>
    </row>
    <row r="1525" spans="1:2">
      <c r="A1525" t="s">
        <v>20</v>
      </c>
      <c r="B1525" t="s">
        <v>1570</v>
      </c>
    </row>
    <row r="1526" spans="1:2">
      <c r="A1526" t="s">
        <v>103</v>
      </c>
      <c r="B1526" t="s">
        <v>1571</v>
      </c>
    </row>
    <row r="1527" spans="1:2">
      <c r="A1527" t="s">
        <v>347</v>
      </c>
      <c r="B1527" t="s">
        <v>1572</v>
      </c>
    </row>
    <row r="1528" spans="1:2">
      <c r="A1528" t="s">
        <v>6</v>
      </c>
      <c r="B1528" t="s">
        <v>1573</v>
      </c>
    </row>
    <row r="1529" spans="1:2">
      <c r="A1529" t="s">
        <v>56</v>
      </c>
      <c r="B1529" t="s">
        <v>1574</v>
      </c>
    </row>
    <row r="1530" spans="1:2">
      <c r="A1530" t="s">
        <v>6</v>
      </c>
      <c r="B1530" t="s">
        <v>1575</v>
      </c>
    </row>
    <row r="1531" spans="1:2">
      <c r="A1531" t="s">
        <v>456</v>
      </c>
      <c r="B1531" t="s">
        <v>1576</v>
      </c>
    </row>
    <row r="1532" spans="1:2">
      <c r="A1532" t="s">
        <v>48</v>
      </c>
      <c r="B1532" t="s">
        <v>1577</v>
      </c>
    </row>
    <row r="1533" spans="1:2">
      <c r="A1533" t="s">
        <v>6</v>
      </c>
      <c r="B1533" t="s">
        <v>1578</v>
      </c>
    </row>
    <row r="1534" spans="1:2">
      <c r="A1534" t="s">
        <v>42</v>
      </c>
      <c r="B1534" t="s">
        <v>1579</v>
      </c>
    </row>
    <row r="1535" spans="1:2">
      <c r="A1535" t="s">
        <v>6</v>
      </c>
      <c r="B1535" t="s">
        <v>1580</v>
      </c>
    </row>
    <row r="1536" spans="1:2">
      <c r="A1536" t="s">
        <v>8</v>
      </c>
      <c r="B1536" t="s">
        <v>1581</v>
      </c>
    </row>
    <row r="1537" spans="1:2">
      <c r="A1537" t="s">
        <v>68</v>
      </c>
      <c r="B1537" t="s">
        <v>1582</v>
      </c>
    </row>
    <row r="1538" spans="1:2">
      <c r="A1538" t="s">
        <v>77</v>
      </c>
      <c r="B1538" t="s">
        <v>1583</v>
      </c>
    </row>
    <row r="1539" spans="1:2">
      <c r="A1539" t="s">
        <v>137</v>
      </c>
      <c r="B1539" t="s">
        <v>1584</v>
      </c>
    </row>
    <row r="1540" spans="1:2">
      <c r="A1540" t="s">
        <v>35</v>
      </c>
      <c r="B1540" t="s">
        <v>1585</v>
      </c>
    </row>
    <row r="1541" spans="1:2">
      <c r="A1541" t="s">
        <v>608</v>
      </c>
      <c r="B1541" t="s">
        <v>1586</v>
      </c>
    </row>
    <row r="1542" spans="1:2">
      <c r="A1542" t="s">
        <v>39</v>
      </c>
      <c r="B1542" t="s">
        <v>1587</v>
      </c>
    </row>
    <row r="1543" spans="1:2">
      <c r="A1543" t="s">
        <v>608</v>
      </c>
      <c r="B1543" t="s">
        <v>1588</v>
      </c>
    </row>
    <row r="1544" spans="1:2">
      <c r="A1544" t="s">
        <v>105</v>
      </c>
      <c r="B1544" t="s">
        <v>1589</v>
      </c>
    </row>
    <row r="1545" spans="1:2">
      <c r="A1545" t="s">
        <v>18</v>
      </c>
      <c r="B1545" t="s">
        <v>1590</v>
      </c>
    </row>
    <row r="1546" spans="1:2">
      <c r="A1546" t="s">
        <v>20</v>
      </c>
      <c r="B1546" t="s">
        <v>1591</v>
      </c>
    </row>
    <row r="1547" spans="1:2">
      <c r="A1547" t="s">
        <v>750</v>
      </c>
      <c r="B1547" t="s">
        <v>1592</v>
      </c>
    </row>
    <row r="1548" spans="1:2">
      <c r="A1548" t="s">
        <v>6</v>
      </c>
      <c r="B1548" t="s">
        <v>1593</v>
      </c>
    </row>
    <row r="1549" spans="1:2">
      <c r="A1549" t="s">
        <v>154</v>
      </c>
      <c r="B1549" t="s">
        <v>1594</v>
      </c>
    </row>
    <row r="1550" spans="1:2">
      <c r="A1550" t="s">
        <v>68</v>
      </c>
      <c r="B1550" t="s">
        <v>1595</v>
      </c>
    </row>
    <row r="1551" spans="1:2">
      <c r="A1551" t="s">
        <v>77</v>
      </c>
      <c r="B1551" t="s">
        <v>1596</v>
      </c>
    </row>
    <row r="1552" spans="1:2">
      <c r="A1552" t="s">
        <v>506</v>
      </c>
      <c r="B1552" t="s">
        <v>1597</v>
      </c>
    </row>
    <row r="1553" spans="1:2">
      <c r="A1553" t="s">
        <v>6</v>
      </c>
      <c r="B1553" t="s">
        <v>1598</v>
      </c>
    </row>
    <row r="1554" spans="1:2">
      <c r="A1554" t="s">
        <v>29</v>
      </c>
      <c r="B1554" t="s">
        <v>1599</v>
      </c>
    </row>
    <row r="1555" spans="1:2">
      <c r="A1555" t="s">
        <v>105</v>
      </c>
      <c r="B1555" t="s">
        <v>1600</v>
      </c>
    </row>
    <row r="1556" spans="1:2">
      <c r="A1556" t="s">
        <v>18</v>
      </c>
      <c r="B1556" t="s">
        <v>1601</v>
      </c>
    </row>
    <row r="1557" spans="1:2">
      <c r="A1557" t="s">
        <v>6</v>
      </c>
      <c r="B1557" t="s">
        <v>1602</v>
      </c>
    </row>
    <row r="1558" spans="1:2">
      <c r="A1558" t="s">
        <v>1313</v>
      </c>
      <c r="B1558" s="1">
        <v>41164</v>
      </c>
    </row>
    <row r="1559" spans="1:2">
      <c r="A1559" t="s">
        <v>12</v>
      </c>
      <c r="B1559" t="s">
        <v>1603</v>
      </c>
    </row>
    <row r="1560" spans="1:2">
      <c r="A1560" t="s">
        <v>6</v>
      </c>
      <c r="B1560" t="s">
        <v>1604</v>
      </c>
    </row>
    <row r="1561" spans="1:2">
      <c r="A1561" t="s">
        <v>50</v>
      </c>
      <c r="B1561" t="s">
        <v>1605</v>
      </c>
    </row>
    <row r="1562" spans="1:2">
      <c r="A1562" t="s">
        <v>56</v>
      </c>
      <c r="B1562" t="s">
        <v>1606</v>
      </c>
    </row>
    <row r="1563" spans="1:2">
      <c r="A1563" t="s">
        <v>33</v>
      </c>
      <c r="B1563" t="s">
        <v>1607</v>
      </c>
    </row>
    <row r="1564" spans="1:2">
      <c r="A1564" t="s">
        <v>6</v>
      </c>
      <c r="B1564" t="s">
        <v>1608</v>
      </c>
    </row>
    <row r="1565" spans="1:2">
      <c r="A1565" t="s">
        <v>218</v>
      </c>
      <c r="B1565" t="s">
        <v>1609</v>
      </c>
    </row>
    <row r="1566" spans="1:2">
      <c r="A1566" t="s">
        <v>103</v>
      </c>
      <c r="B1566" t="s">
        <v>1610</v>
      </c>
    </row>
    <row r="1567" spans="1:2">
      <c r="A1567" t="s">
        <v>68</v>
      </c>
      <c r="B1567" t="s">
        <v>1611</v>
      </c>
    </row>
    <row r="1568" spans="1:2">
      <c r="A1568" t="s">
        <v>20</v>
      </c>
      <c r="B1568" t="s">
        <v>1612</v>
      </c>
    </row>
    <row r="1569" spans="1:2">
      <c r="A1569" t="s">
        <v>6</v>
      </c>
      <c r="B1569" t="s">
        <v>1613</v>
      </c>
    </row>
    <row r="1570" spans="1:2">
      <c r="A1570" t="s">
        <v>6</v>
      </c>
      <c r="B1570" t="s">
        <v>1614</v>
      </c>
    </row>
    <row r="1571" spans="1:2">
      <c r="A1571" t="s">
        <v>105</v>
      </c>
      <c r="B1571" t="s">
        <v>1615</v>
      </c>
    </row>
    <row r="1572" spans="1:2">
      <c r="A1572" t="s">
        <v>56</v>
      </c>
      <c r="B1572" t="s">
        <v>1616</v>
      </c>
    </row>
    <row r="1573" spans="1:2">
      <c r="A1573" t="s">
        <v>48</v>
      </c>
      <c r="B1573" t="s">
        <v>1617</v>
      </c>
    </row>
    <row r="1574" spans="1:2">
      <c r="A1574" t="s">
        <v>105</v>
      </c>
      <c r="B1574" t="s">
        <v>1618</v>
      </c>
    </row>
    <row r="1575" spans="1:2">
      <c r="A1575" t="s">
        <v>6</v>
      </c>
      <c r="B1575" t="s">
        <v>52</v>
      </c>
    </row>
    <row r="1576" spans="1:2">
      <c r="A1576" t="s">
        <v>129</v>
      </c>
      <c r="B1576" t="s">
        <v>1619</v>
      </c>
    </row>
    <row r="1577" spans="1:2">
      <c r="A1577" t="s">
        <v>33</v>
      </c>
      <c r="B1577" t="s">
        <v>531</v>
      </c>
    </row>
    <row r="1578" spans="1:2">
      <c r="A1578" t="s">
        <v>6</v>
      </c>
      <c r="B1578" t="s">
        <v>1620</v>
      </c>
    </row>
    <row r="1579" spans="1:2">
      <c r="A1579" t="s">
        <v>6</v>
      </c>
      <c r="B1579" t="s">
        <v>1621</v>
      </c>
    </row>
    <row r="1580" spans="1:2">
      <c r="A1580" t="s">
        <v>6</v>
      </c>
      <c r="B1580" t="s">
        <v>1622</v>
      </c>
    </row>
    <row r="1581" spans="1:2">
      <c r="A1581" t="s">
        <v>18</v>
      </c>
      <c r="B1581" t="s">
        <v>1623</v>
      </c>
    </row>
    <row r="1582" spans="1:2">
      <c r="A1582" t="s">
        <v>20</v>
      </c>
      <c r="B1582" t="s">
        <v>1624</v>
      </c>
    </row>
    <row r="1583" spans="1:2">
      <c r="A1583" t="s">
        <v>50</v>
      </c>
      <c r="B1583" t="s">
        <v>1625</v>
      </c>
    </row>
    <row r="1584" spans="1:2">
      <c r="A1584" t="s">
        <v>6</v>
      </c>
      <c r="B1584" t="s">
        <v>1626</v>
      </c>
    </row>
    <row r="1585" spans="1:2">
      <c r="A1585" t="s">
        <v>83</v>
      </c>
      <c r="B1585" t="s">
        <v>1627</v>
      </c>
    </row>
    <row r="1586" spans="1:2">
      <c r="A1586" t="s">
        <v>1223</v>
      </c>
      <c r="B1586" t="s">
        <v>1628</v>
      </c>
    </row>
    <row r="1587" spans="1:2">
      <c r="A1587" t="s">
        <v>57</v>
      </c>
      <c r="B1587" t="s">
        <v>1629</v>
      </c>
    </row>
    <row r="1588" spans="1:2">
      <c r="A1588" t="s">
        <v>29</v>
      </c>
      <c r="B1588" t="s">
        <v>1630</v>
      </c>
    </row>
    <row r="1589" spans="1:2">
      <c r="A1589" t="s">
        <v>6</v>
      </c>
      <c r="B1589" t="s">
        <v>1631</v>
      </c>
    </row>
    <row r="1590" spans="1:2">
      <c r="A1590" t="s">
        <v>29</v>
      </c>
      <c r="B1590" t="s">
        <v>1632</v>
      </c>
    </row>
    <row r="1591" spans="1:2">
      <c r="A1591" t="s">
        <v>6</v>
      </c>
      <c r="B1591" t="s">
        <v>1633</v>
      </c>
    </row>
    <row r="1592" spans="1:2">
      <c r="A1592" t="s">
        <v>105</v>
      </c>
      <c r="B1592" t="s">
        <v>1634</v>
      </c>
    </row>
    <row r="1593" spans="1:2">
      <c r="A1593" t="s">
        <v>112</v>
      </c>
      <c r="B1593" t="s">
        <v>1635</v>
      </c>
    </row>
    <row r="1594" spans="1:2">
      <c r="A1594" t="s">
        <v>107</v>
      </c>
      <c r="B1594" t="s">
        <v>1636</v>
      </c>
    </row>
    <row r="1595" spans="1:2">
      <c r="A1595" t="s">
        <v>684</v>
      </c>
      <c r="B1595" t="s">
        <v>1637</v>
      </c>
    </row>
    <row r="1596" spans="1:2">
      <c r="A1596" t="s">
        <v>18</v>
      </c>
      <c r="B1596" t="s">
        <v>1638</v>
      </c>
    </row>
    <row r="1597" spans="1:2">
      <c r="A1597" t="s">
        <v>42</v>
      </c>
      <c r="B1597" t="s">
        <v>1639</v>
      </c>
    </row>
    <row r="1598" spans="1:2">
      <c r="A1598" t="s">
        <v>137</v>
      </c>
      <c r="B1598" t="s">
        <v>1640</v>
      </c>
    </row>
    <row r="1599" spans="1:2">
      <c r="A1599" t="s">
        <v>68</v>
      </c>
      <c r="B1599" t="s">
        <v>1641</v>
      </c>
    </row>
    <row r="1600" spans="1:2">
      <c r="A1600" t="s">
        <v>39</v>
      </c>
      <c r="B1600" t="s">
        <v>1642</v>
      </c>
    </row>
    <row r="1601" spans="1:2">
      <c r="A1601" t="s">
        <v>56</v>
      </c>
      <c r="B1601" t="s">
        <v>1643</v>
      </c>
    </row>
    <row r="1602" spans="1:2">
      <c r="A1602" t="s">
        <v>18</v>
      </c>
      <c r="B1602" t="s">
        <v>1644</v>
      </c>
    </row>
    <row r="1603" spans="1:2">
      <c r="A1603" t="s">
        <v>22</v>
      </c>
      <c r="B1603" t="s">
        <v>1645</v>
      </c>
    </row>
    <row r="1604" spans="1:2">
      <c r="A1604" t="s">
        <v>33</v>
      </c>
      <c r="B1604" t="s">
        <v>1646</v>
      </c>
    </row>
    <row r="1605" spans="1:2">
      <c r="A1605" t="s">
        <v>48</v>
      </c>
      <c r="B1605" t="s">
        <v>1647</v>
      </c>
    </row>
    <row r="1606" spans="1:2">
      <c r="A1606" t="s">
        <v>529</v>
      </c>
      <c r="B1606" t="s">
        <v>1648</v>
      </c>
    </row>
    <row r="1607" spans="1:2">
      <c r="A1607" t="s">
        <v>50</v>
      </c>
      <c r="B1607" t="s">
        <v>1649</v>
      </c>
    </row>
    <row r="1608" spans="1:2">
      <c r="A1608" t="s">
        <v>77</v>
      </c>
      <c r="B1608" t="s">
        <v>1650</v>
      </c>
    </row>
    <row r="1609" spans="1:2">
      <c r="A1609" t="s">
        <v>1105</v>
      </c>
      <c r="B1609" t="s">
        <v>1651</v>
      </c>
    </row>
    <row r="1610" spans="1:2">
      <c r="A1610" t="s">
        <v>48</v>
      </c>
      <c r="B1610" t="s">
        <v>1652</v>
      </c>
    </row>
    <row r="1611" spans="1:2">
      <c r="A1611" t="s">
        <v>6</v>
      </c>
      <c r="B1611" t="s">
        <v>1653</v>
      </c>
    </row>
    <row r="1612" spans="1:2">
      <c r="A1612" t="s">
        <v>18</v>
      </c>
      <c r="B1612" t="s">
        <v>1654</v>
      </c>
    </row>
    <row r="1613" spans="1:2">
      <c r="A1613" t="s">
        <v>728</v>
      </c>
      <c r="B1613" t="s">
        <v>1655</v>
      </c>
    </row>
    <row r="1614" spans="1:2">
      <c r="A1614" t="s">
        <v>4</v>
      </c>
      <c r="B1614" t="s">
        <v>1656</v>
      </c>
    </row>
    <row r="1615" spans="1:2">
      <c r="A1615" t="s">
        <v>18</v>
      </c>
      <c r="B1615" t="s">
        <v>1657</v>
      </c>
    </row>
    <row r="1616" spans="1:2">
      <c r="A1616" t="s">
        <v>46</v>
      </c>
      <c r="B1616" t="s">
        <v>1658</v>
      </c>
    </row>
    <row r="1617" spans="1:2">
      <c r="A1617" t="s">
        <v>105</v>
      </c>
      <c r="B1617" t="s">
        <v>1659</v>
      </c>
    </row>
    <row r="1618" spans="1:2">
      <c r="A1618" t="s">
        <v>889</v>
      </c>
      <c r="B1618" t="s">
        <v>1660</v>
      </c>
    </row>
    <row r="1619" spans="1:2">
      <c r="A1619" t="s">
        <v>6</v>
      </c>
      <c r="B1619" t="s">
        <v>1661</v>
      </c>
    </row>
    <row r="1620" spans="1:2">
      <c r="A1620" t="s">
        <v>6</v>
      </c>
      <c r="B1620" t="s">
        <v>1662</v>
      </c>
    </row>
    <row r="1621" spans="1:2">
      <c r="A1621" t="s">
        <v>12</v>
      </c>
      <c r="B1621" t="s">
        <v>1663</v>
      </c>
    </row>
    <row r="1622" spans="1:2">
      <c r="A1622" t="s">
        <v>6</v>
      </c>
      <c r="B1622" t="s">
        <v>1664</v>
      </c>
    </row>
    <row r="1623" spans="1:2">
      <c r="A1623" t="s">
        <v>12</v>
      </c>
      <c r="B1623" t="s">
        <v>1665</v>
      </c>
    </row>
    <row r="1624" spans="1:2">
      <c r="A1624" t="s">
        <v>77</v>
      </c>
      <c r="B1624" t="s">
        <v>1666</v>
      </c>
    </row>
    <row r="1625" spans="1:2">
      <c r="A1625" t="s">
        <v>18</v>
      </c>
      <c r="B1625" t="s">
        <v>1667</v>
      </c>
    </row>
    <row r="1626" spans="1:2">
      <c r="A1626" t="s">
        <v>48</v>
      </c>
      <c r="B1626" t="s">
        <v>1668</v>
      </c>
    </row>
    <row r="1627" spans="1:2">
      <c r="A1627" t="s">
        <v>20</v>
      </c>
      <c r="B1627" t="s">
        <v>1669</v>
      </c>
    </row>
    <row r="1628" spans="1:2">
      <c r="A1628" t="s">
        <v>20</v>
      </c>
      <c r="B1628" t="s">
        <v>1670</v>
      </c>
    </row>
    <row r="1629" spans="1:2">
      <c r="A1629" t="s">
        <v>6</v>
      </c>
      <c r="B1629" t="s">
        <v>1671</v>
      </c>
    </row>
    <row r="1630" spans="1:2">
      <c r="A1630" t="s">
        <v>14</v>
      </c>
      <c r="B1630" t="s">
        <v>1672</v>
      </c>
    </row>
    <row r="1631" spans="1:2">
      <c r="A1631" t="s">
        <v>42</v>
      </c>
      <c r="B1631" t="s">
        <v>1673</v>
      </c>
    </row>
    <row r="1632" spans="1:2">
      <c r="A1632" t="s">
        <v>6</v>
      </c>
      <c r="B1632" t="s">
        <v>1674</v>
      </c>
    </row>
    <row r="1633" spans="1:2">
      <c r="A1633" t="s">
        <v>758</v>
      </c>
      <c r="B1633" t="s">
        <v>1675</v>
      </c>
    </row>
    <row r="1634" spans="1:2">
      <c r="A1634" t="s">
        <v>6</v>
      </c>
      <c r="B1634" t="s">
        <v>1676</v>
      </c>
    </row>
    <row r="1635" spans="1:2">
      <c r="A1635" t="s">
        <v>615</v>
      </c>
      <c r="B1635" t="s">
        <v>1677</v>
      </c>
    </row>
    <row r="1636" spans="1:2">
      <c r="A1636" t="s">
        <v>14</v>
      </c>
      <c r="B1636" t="s">
        <v>1269</v>
      </c>
    </row>
    <row r="1637" spans="1:2">
      <c r="A1637" t="s">
        <v>1246</v>
      </c>
      <c r="B1637" t="s">
        <v>1678</v>
      </c>
    </row>
    <row r="1638" spans="1:2">
      <c r="A1638" t="s">
        <v>1679</v>
      </c>
      <c r="B1638" t="s">
        <v>1680</v>
      </c>
    </row>
    <row r="1639" spans="1:2">
      <c r="A1639" t="s">
        <v>6</v>
      </c>
      <c r="B1639" t="s">
        <v>1681</v>
      </c>
    </row>
    <row r="1640" spans="1:2">
      <c r="A1640" t="s">
        <v>33</v>
      </c>
      <c r="B1640" t="s">
        <v>1682</v>
      </c>
    </row>
    <row r="1641" spans="1:2">
      <c r="A1641" t="s">
        <v>56</v>
      </c>
      <c r="B1641" t="s">
        <v>399</v>
      </c>
    </row>
    <row r="1642" spans="1:2">
      <c r="A1642" t="s">
        <v>56</v>
      </c>
      <c r="B1642" t="s">
        <v>154</v>
      </c>
    </row>
    <row r="1643" spans="1:2">
      <c r="A1643" t="s">
        <v>6</v>
      </c>
      <c r="B1643" t="s">
        <v>1683</v>
      </c>
    </row>
    <row r="1644" spans="1:2">
      <c r="A1644" t="s">
        <v>1223</v>
      </c>
      <c r="B1644" t="s">
        <v>1684</v>
      </c>
    </row>
    <row r="1645" spans="1:2">
      <c r="A1645" t="s">
        <v>1685</v>
      </c>
      <c r="B1645" t="s">
        <v>1686</v>
      </c>
    </row>
    <row r="1646" spans="1:2">
      <c r="A1646" t="s">
        <v>187</v>
      </c>
      <c r="B1646" t="s">
        <v>728</v>
      </c>
    </row>
    <row r="1647" spans="1:2">
      <c r="A1647" t="s">
        <v>6</v>
      </c>
      <c r="B1647" t="s">
        <v>1687</v>
      </c>
    </row>
    <row r="1648" spans="1:2">
      <c r="A1648" t="s">
        <v>129</v>
      </c>
      <c r="B1648" t="s">
        <v>1688</v>
      </c>
    </row>
    <row r="1649" spans="1:2">
      <c r="A1649" t="s">
        <v>6</v>
      </c>
      <c r="B1649" t="s">
        <v>1689</v>
      </c>
    </row>
    <row r="1650" spans="1:2">
      <c r="A1650" t="s">
        <v>18</v>
      </c>
      <c r="B1650" t="s">
        <v>1690</v>
      </c>
    </row>
    <row r="1651" spans="1:2">
      <c r="A1651" t="s">
        <v>6</v>
      </c>
      <c r="B1651" t="s">
        <v>1691</v>
      </c>
    </row>
    <row r="1652" spans="1:2">
      <c r="A1652" t="s">
        <v>46</v>
      </c>
      <c r="B1652" t="s">
        <v>1692</v>
      </c>
    </row>
    <row r="1653" spans="1:2">
      <c r="A1653" t="s">
        <v>6</v>
      </c>
      <c r="B1653" t="s">
        <v>1693</v>
      </c>
    </row>
    <row r="1654" spans="1:2">
      <c r="A1654" t="s">
        <v>39</v>
      </c>
      <c r="B1654" t="s">
        <v>1694</v>
      </c>
    </row>
    <row r="1655" spans="1:2">
      <c r="A1655" t="s">
        <v>68</v>
      </c>
      <c r="B1655" t="s">
        <v>1695</v>
      </c>
    </row>
    <row r="1656" spans="1:2">
      <c r="A1656" t="s">
        <v>6</v>
      </c>
      <c r="B1656" t="s">
        <v>1696</v>
      </c>
    </row>
    <row r="1657" spans="1:2">
      <c r="A1657" t="s">
        <v>6</v>
      </c>
      <c r="B1657" t="s">
        <v>1697</v>
      </c>
    </row>
    <row r="1658" spans="1:2">
      <c r="A1658" t="s">
        <v>18</v>
      </c>
      <c r="B1658" t="s">
        <v>941</v>
      </c>
    </row>
    <row r="1659" spans="1:2">
      <c r="A1659" t="s">
        <v>39</v>
      </c>
      <c r="B1659" t="s">
        <v>1698</v>
      </c>
    </row>
    <row r="1660" spans="1:2">
      <c r="A1660" t="s">
        <v>1699</v>
      </c>
      <c r="B1660" t="s">
        <v>1700</v>
      </c>
    </row>
    <row r="1661" spans="1:2">
      <c r="A1661" t="s">
        <v>18</v>
      </c>
      <c r="B1661" t="s">
        <v>1701</v>
      </c>
    </row>
    <row r="1662" spans="1:2">
      <c r="A1662" t="s">
        <v>39</v>
      </c>
      <c r="B1662" t="s">
        <v>1702</v>
      </c>
    </row>
    <row r="1663" spans="1:2">
      <c r="A1663" t="s">
        <v>46</v>
      </c>
      <c r="B1663" t="s">
        <v>1703</v>
      </c>
    </row>
    <row r="1664" spans="1:2">
      <c r="A1664" t="s">
        <v>68</v>
      </c>
      <c r="B1664" t="s">
        <v>1704</v>
      </c>
    </row>
    <row r="1665" spans="1:2">
      <c r="A1665" t="s">
        <v>6</v>
      </c>
      <c r="B1665" t="s">
        <v>1705</v>
      </c>
    </row>
    <row r="1666" spans="1:2">
      <c r="A1666" t="s">
        <v>6</v>
      </c>
      <c r="B1666" t="s">
        <v>1706</v>
      </c>
    </row>
    <row r="1667" spans="1:2">
      <c r="A1667" t="s">
        <v>42</v>
      </c>
      <c r="B1667" t="s">
        <v>1707</v>
      </c>
    </row>
    <row r="1668" spans="1:2">
      <c r="A1668" t="s">
        <v>103</v>
      </c>
      <c r="B1668" t="s">
        <v>1708</v>
      </c>
    </row>
    <row r="1669" spans="1:2">
      <c r="A1669" t="s">
        <v>12</v>
      </c>
      <c r="B1669" t="s">
        <v>1709</v>
      </c>
    </row>
    <row r="1670" spans="1:2">
      <c r="A1670" t="s">
        <v>6</v>
      </c>
      <c r="B1670" t="s">
        <v>1710</v>
      </c>
    </row>
    <row r="1671" spans="1:2">
      <c r="A1671" t="s">
        <v>97</v>
      </c>
      <c r="B1671" t="s">
        <v>1711</v>
      </c>
    </row>
    <row r="1672" spans="1:2">
      <c r="A1672" t="s">
        <v>18</v>
      </c>
      <c r="B1672" t="s">
        <v>1712</v>
      </c>
    </row>
    <row r="1673" spans="1:2">
      <c r="A1673" t="s">
        <v>1121</v>
      </c>
      <c r="B1673" t="s">
        <v>1713</v>
      </c>
    </row>
    <row r="1674" spans="1:2">
      <c r="A1674" t="s">
        <v>42</v>
      </c>
      <c r="B1674" t="s">
        <v>1714</v>
      </c>
    </row>
    <row r="1675" spans="1:2">
      <c r="A1675" t="s">
        <v>68</v>
      </c>
      <c r="B1675" t="s">
        <v>1715</v>
      </c>
    </row>
    <row r="1676" spans="1:2">
      <c r="A1676" t="s">
        <v>1363</v>
      </c>
      <c r="B1676" t="s">
        <v>1716</v>
      </c>
    </row>
    <row r="1677" spans="1:2">
      <c r="A1677" t="s">
        <v>6</v>
      </c>
      <c r="B1677" t="s">
        <v>478</v>
      </c>
    </row>
    <row r="1678" spans="1:2">
      <c r="A1678" t="s">
        <v>6</v>
      </c>
      <c r="B1678" t="s">
        <v>1717</v>
      </c>
    </row>
    <row r="1679" spans="1:2">
      <c r="A1679" t="s">
        <v>309</v>
      </c>
      <c r="B1679" t="s">
        <v>1718</v>
      </c>
    </row>
    <row r="1680" spans="1:2">
      <c r="A1680" t="s">
        <v>46</v>
      </c>
      <c r="B1680" t="s">
        <v>1719</v>
      </c>
    </row>
    <row r="1681" spans="1:2">
      <c r="A1681" t="s">
        <v>6</v>
      </c>
      <c r="B1681" t="s">
        <v>1720</v>
      </c>
    </row>
    <row r="1682" spans="1:2">
      <c r="A1682" t="s">
        <v>127</v>
      </c>
      <c r="B1682" t="s">
        <v>1721</v>
      </c>
    </row>
    <row r="1683" spans="1:2">
      <c r="A1683" t="s">
        <v>643</v>
      </c>
      <c r="B1683" t="s">
        <v>1722</v>
      </c>
    </row>
    <row r="1684" spans="1:2">
      <c r="A1684" t="s">
        <v>6</v>
      </c>
      <c r="B1684" t="s">
        <v>1723</v>
      </c>
    </row>
    <row r="1685" spans="1:2">
      <c r="A1685" t="s">
        <v>6</v>
      </c>
      <c r="B1685" t="s">
        <v>1724</v>
      </c>
    </row>
    <row r="1686" spans="1:2">
      <c r="A1686" t="s">
        <v>12</v>
      </c>
      <c r="B1686" t="s">
        <v>1725</v>
      </c>
    </row>
    <row r="1687" spans="1:2">
      <c r="A1687" t="s">
        <v>153</v>
      </c>
      <c r="B1687" t="s">
        <v>1726</v>
      </c>
    </row>
    <row r="1688" spans="1:2">
      <c r="A1688" t="s">
        <v>29</v>
      </c>
      <c r="B1688" t="s">
        <v>1727</v>
      </c>
    </row>
    <row r="1689" spans="1:2">
      <c r="A1689" t="s">
        <v>18</v>
      </c>
      <c r="B1689" t="s">
        <v>1728</v>
      </c>
    </row>
    <row r="1690" spans="1:2">
      <c r="A1690" t="s">
        <v>6</v>
      </c>
      <c r="B1690" t="s">
        <v>1729</v>
      </c>
    </row>
    <row r="1691" spans="1:2">
      <c r="A1691" t="s">
        <v>608</v>
      </c>
      <c r="B1691" t="s">
        <v>1730</v>
      </c>
    </row>
    <row r="1692" spans="1:2">
      <c r="A1692" t="s">
        <v>103</v>
      </c>
      <c r="B1692" t="s">
        <v>1731</v>
      </c>
    </row>
    <row r="1693" spans="1:2">
      <c r="A1693" t="s">
        <v>6</v>
      </c>
      <c r="B1693" t="s">
        <v>1732</v>
      </c>
    </row>
    <row r="1694" spans="1:2">
      <c r="A1694" t="s">
        <v>241</v>
      </c>
      <c r="B1694" t="s">
        <v>1733</v>
      </c>
    </row>
    <row r="1695" spans="1:2">
      <c r="A1695" t="s">
        <v>1679</v>
      </c>
      <c r="B1695" t="s">
        <v>1734</v>
      </c>
    </row>
    <row r="1696" spans="1:2">
      <c r="A1696" t="s">
        <v>303</v>
      </c>
      <c r="B1696" t="s">
        <v>1735</v>
      </c>
    </row>
    <row r="1697" spans="1:2">
      <c r="A1697" t="s">
        <v>6</v>
      </c>
      <c r="B1697" t="s">
        <v>1736</v>
      </c>
    </row>
    <row r="1698" spans="1:2">
      <c r="A1698" t="s">
        <v>134</v>
      </c>
      <c r="B1698" t="s">
        <v>1737</v>
      </c>
    </row>
    <row r="1699" spans="1:2">
      <c r="A1699" t="s">
        <v>42</v>
      </c>
      <c r="B1699" t="s">
        <v>1738</v>
      </c>
    </row>
    <row r="1700" spans="1:2">
      <c r="A1700" t="s">
        <v>112</v>
      </c>
      <c r="B1700" t="s">
        <v>1739</v>
      </c>
    </row>
    <row r="1701" spans="1:2">
      <c r="A1701" t="s">
        <v>18</v>
      </c>
      <c r="B1701" t="s">
        <v>1740</v>
      </c>
    </row>
    <row r="1702" spans="1:2">
      <c r="A1702" t="s">
        <v>39</v>
      </c>
      <c r="B1702" t="s">
        <v>1741</v>
      </c>
    </row>
    <row r="1703" spans="1:2">
      <c r="A1703" t="s">
        <v>369</v>
      </c>
      <c r="B1703" t="s">
        <v>1742</v>
      </c>
    </row>
    <row r="1704" spans="1:2">
      <c r="A1704" t="s">
        <v>29</v>
      </c>
      <c r="B1704" t="s">
        <v>1743</v>
      </c>
    </row>
    <row r="1705" spans="1:2">
      <c r="A1705" t="s">
        <v>24</v>
      </c>
      <c r="B1705" t="s">
        <v>439</v>
      </c>
    </row>
    <row r="1706" spans="1:2">
      <c r="A1706" t="s">
        <v>6</v>
      </c>
      <c r="B1706" t="s">
        <v>1744</v>
      </c>
    </row>
    <row r="1707" spans="1:2">
      <c r="A1707" t="s">
        <v>107</v>
      </c>
      <c r="B1707" t="s">
        <v>1313</v>
      </c>
    </row>
    <row r="1708" spans="1:2">
      <c r="A1708" t="s">
        <v>29</v>
      </c>
      <c r="B1708" t="s">
        <v>1745</v>
      </c>
    </row>
    <row r="1709" spans="1:2">
      <c r="A1709" t="s">
        <v>137</v>
      </c>
      <c r="B1709" t="s">
        <v>1746</v>
      </c>
    </row>
    <row r="1710" spans="1:2">
      <c r="A1710" t="s">
        <v>46</v>
      </c>
      <c r="B1710" t="s">
        <v>1747</v>
      </c>
    </row>
    <row r="1711" spans="1:2">
      <c r="A1711" t="s">
        <v>77</v>
      </c>
      <c r="B1711" t="s">
        <v>1748</v>
      </c>
    </row>
    <row r="1712" spans="1:2">
      <c r="A1712" t="s">
        <v>18</v>
      </c>
      <c r="B1712" t="s">
        <v>1749</v>
      </c>
    </row>
    <row r="1713" spans="1:2">
      <c r="A1713" t="s">
        <v>68</v>
      </c>
      <c r="B1713" t="s">
        <v>1750</v>
      </c>
    </row>
    <row r="1714" spans="1:2">
      <c r="A1714" t="s">
        <v>137</v>
      </c>
      <c r="B1714" t="s">
        <v>1751</v>
      </c>
    </row>
    <row r="1715" spans="1:2">
      <c r="A1715" t="s">
        <v>56</v>
      </c>
      <c r="B1715" t="s">
        <v>1752</v>
      </c>
    </row>
    <row r="1716" spans="1:2">
      <c r="A1716" t="s">
        <v>6</v>
      </c>
      <c r="B1716" t="s">
        <v>1753</v>
      </c>
    </row>
    <row r="1717" spans="1:2">
      <c r="A1717" t="s">
        <v>18</v>
      </c>
      <c r="B1717" t="s">
        <v>730</v>
      </c>
    </row>
    <row r="1718" spans="1:2">
      <c r="A1718" t="s">
        <v>6</v>
      </c>
      <c r="B1718" t="s">
        <v>1754</v>
      </c>
    </row>
    <row r="1719" spans="1:2">
      <c r="A1719" t="s">
        <v>56</v>
      </c>
      <c r="B1719" t="s">
        <v>323</v>
      </c>
    </row>
    <row r="1720" spans="1:2">
      <c r="A1720" t="s">
        <v>27</v>
      </c>
      <c r="B1720" t="s">
        <v>1755</v>
      </c>
    </row>
    <row r="1721" spans="1:2">
      <c r="A1721" t="s">
        <v>2</v>
      </c>
      <c r="B1721" t="s">
        <v>1756</v>
      </c>
    </row>
    <row r="1722" spans="1:2">
      <c r="A1722" t="s">
        <v>8</v>
      </c>
      <c r="B1722" t="s">
        <v>1757</v>
      </c>
    </row>
    <row r="1723" spans="1:2">
      <c r="A1723" t="s">
        <v>56</v>
      </c>
      <c r="B1723" t="s">
        <v>1177</v>
      </c>
    </row>
    <row r="1724" spans="1:2">
      <c r="A1724" t="s">
        <v>321</v>
      </c>
      <c r="B1724" t="s">
        <v>1758</v>
      </c>
    </row>
    <row r="1725" spans="1:2">
      <c r="A1725" t="s">
        <v>758</v>
      </c>
      <c r="B1725" t="s">
        <v>1759</v>
      </c>
    </row>
    <row r="1726" spans="1:2">
      <c r="A1726" t="s">
        <v>22</v>
      </c>
      <c r="B1726" t="s">
        <v>1760</v>
      </c>
    </row>
    <row r="1727" spans="1:2">
      <c r="A1727" t="s">
        <v>107</v>
      </c>
      <c r="B1727" t="s">
        <v>1761</v>
      </c>
    </row>
    <row r="1728" spans="1:2">
      <c r="A1728" t="s">
        <v>303</v>
      </c>
      <c r="B1728" t="s">
        <v>1762</v>
      </c>
    </row>
    <row r="1729" spans="1:2">
      <c r="A1729" t="s">
        <v>6</v>
      </c>
      <c r="B1729" t="s">
        <v>1763</v>
      </c>
    </row>
    <row r="1730" spans="1:2">
      <c r="A1730" t="s">
        <v>6</v>
      </c>
      <c r="B1730" t="s">
        <v>1764</v>
      </c>
    </row>
    <row r="1731" spans="1:2">
      <c r="A1731" t="s">
        <v>18</v>
      </c>
      <c r="B1731" t="s">
        <v>1765</v>
      </c>
    </row>
    <row r="1732" spans="1:2">
      <c r="A1732" t="s">
        <v>264</v>
      </c>
      <c r="B1732" t="s">
        <v>1766</v>
      </c>
    </row>
    <row r="1733" spans="1:2">
      <c r="A1733" t="s">
        <v>596</v>
      </c>
      <c r="B1733" t="s">
        <v>1767</v>
      </c>
    </row>
    <row r="1734" spans="1:2">
      <c r="A1734" t="s">
        <v>6</v>
      </c>
      <c r="B1734" t="s">
        <v>1768</v>
      </c>
    </row>
    <row r="1735" spans="1:2">
      <c r="A1735" t="s">
        <v>20</v>
      </c>
      <c r="B1735" t="s">
        <v>1769</v>
      </c>
    </row>
    <row r="1736" spans="1:2">
      <c r="A1736" t="s">
        <v>18</v>
      </c>
      <c r="B1736" t="s">
        <v>1770</v>
      </c>
    </row>
    <row r="1737" spans="1:2">
      <c r="A1737" t="s">
        <v>114</v>
      </c>
      <c r="B1737" t="s">
        <v>1771</v>
      </c>
    </row>
    <row r="1738" spans="1:2">
      <c r="A1738" t="s">
        <v>48</v>
      </c>
      <c r="B1738" t="s">
        <v>1772</v>
      </c>
    </row>
    <row r="1739" spans="1:2">
      <c r="A1739" t="s">
        <v>191</v>
      </c>
      <c r="B1739" t="s">
        <v>1699</v>
      </c>
    </row>
    <row r="1740" spans="1:2">
      <c r="A1740" t="s">
        <v>1503</v>
      </c>
      <c r="B1740" t="s">
        <v>1773</v>
      </c>
    </row>
    <row r="1741" spans="1:2">
      <c r="A1741" t="s">
        <v>48</v>
      </c>
      <c r="B1741" t="s">
        <v>1774</v>
      </c>
    </row>
    <row r="1742" spans="1:2">
      <c r="A1742" t="s">
        <v>29</v>
      </c>
      <c r="B1742" t="s">
        <v>1775</v>
      </c>
    </row>
    <row r="1743" spans="1:2">
      <c r="A1743" t="s">
        <v>12</v>
      </c>
      <c r="B1743" t="s">
        <v>1776</v>
      </c>
    </row>
    <row r="1744" spans="1:2">
      <c r="A1744" t="s">
        <v>35</v>
      </c>
      <c r="B1744" t="s">
        <v>1777</v>
      </c>
    </row>
    <row r="1745" spans="1:2">
      <c r="A1745" t="s">
        <v>48</v>
      </c>
      <c r="B1745" t="s">
        <v>1778</v>
      </c>
    </row>
    <row r="1746" spans="1:2">
      <c r="A1746" t="s">
        <v>750</v>
      </c>
      <c r="B1746" t="s">
        <v>1779</v>
      </c>
    </row>
    <row r="1747" spans="1:2">
      <c r="A1747" t="s">
        <v>56</v>
      </c>
      <c r="B1747" t="s">
        <v>1780</v>
      </c>
    </row>
    <row r="1748" spans="1:2">
      <c r="A1748" t="s">
        <v>48</v>
      </c>
      <c r="B1748" t="s">
        <v>1781</v>
      </c>
    </row>
    <row r="1749" spans="1:2">
      <c r="A1749" t="s">
        <v>6</v>
      </c>
      <c r="B1749" t="s">
        <v>1782</v>
      </c>
    </row>
    <row r="1750" spans="1:2">
      <c r="A1750" t="s">
        <v>29</v>
      </c>
      <c r="B1750" t="s">
        <v>1783</v>
      </c>
    </row>
    <row r="1751" spans="1:2">
      <c r="A1751" t="s">
        <v>6</v>
      </c>
      <c r="B1751" t="s">
        <v>1784</v>
      </c>
    </row>
    <row r="1752" spans="1:2">
      <c r="A1752" t="s">
        <v>56</v>
      </c>
      <c r="B1752" t="s">
        <v>1246</v>
      </c>
    </row>
    <row r="1753" spans="1:2">
      <c r="A1753" t="s">
        <v>303</v>
      </c>
      <c r="B1753" t="s">
        <v>1785</v>
      </c>
    </row>
    <row r="1754" spans="1:2">
      <c r="A1754" t="s">
        <v>6</v>
      </c>
      <c r="B1754" t="s">
        <v>1786</v>
      </c>
    </row>
    <row r="1755" spans="1:2">
      <c r="A1755" t="s">
        <v>77</v>
      </c>
      <c r="B1755" t="s">
        <v>1787</v>
      </c>
    </row>
    <row r="1756" spans="1:2">
      <c r="A1756" t="s">
        <v>6</v>
      </c>
      <c r="B1756" t="s">
        <v>1788</v>
      </c>
    </row>
    <row r="1757" spans="1:2">
      <c r="A1757" t="s">
        <v>46</v>
      </c>
      <c r="B1757" t="s">
        <v>1789</v>
      </c>
    </row>
    <row r="1758" spans="1:2">
      <c r="A1758" t="s">
        <v>6</v>
      </c>
      <c r="B1758" t="s">
        <v>1790</v>
      </c>
    </row>
    <row r="1759" spans="1:2">
      <c r="A1759" t="s">
        <v>6</v>
      </c>
      <c r="B1759" t="s">
        <v>1791</v>
      </c>
    </row>
    <row r="1760" spans="1:2">
      <c r="A1760" t="s">
        <v>6</v>
      </c>
      <c r="B1760" t="s">
        <v>1792</v>
      </c>
    </row>
    <row r="1761" spans="1:2">
      <c r="A1761" t="s">
        <v>18</v>
      </c>
      <c r="B1761" t="s">
        <v>1793</v>
      </c>
    </row>
    <row r="1762" spans="1:2">
      <c r="A1762" t="s">
        <v>48</v>
      </c>
      <c r="B1762" t="s">
        <v>1794</v>
      </c>
    </row>
    <row r="1763" spans="1:2">
      <c r="A1763" t="s">
        <v>8</v>
      </c>
      <c r="B1763" t="s">
        <v>1795</v>
      </c>
    </row>
    <row r="1764" spans="1:2">
      <c r="A1764" t="s">
        <v>112</v>
      </c>
      <c r="B1764" t="s">
        <v>1796</v>
      </c>
    </row>
    <row r="1765" spans="1:2">
      <c r="A1765" t="s">
        <v>12</v>
      </c>
      <c r="B1765" t="s">
        <v>1797</v>
      </c>
    </row>
    <row r="1766" spans="1:2">
      <c r="A1766" t="s">
        <v>6</v>
      </c>
      <c r="B1766" t="s">
        <v>1798</v>
      </c>
    </row>
    <row r="1767" spans="1:2">
      <c r="A1767" t="s">
        <v>77</v>
      </c>
      <c r="B1767" t="s">
        <v>1799</v>
      </c>
    </row>
    <row r="1768" spans="1:2">
      <c r="A1768" t="s">
        <v>6</v>
      </c>
      <c r="B1768" t="s">
        <v>1800</v>
      </c>
    </row>
    <row r="1769" spans="1:2">
      <c r="A1769" t="s">
        <v>6</v>
      </c>
      <c r="B1769" t="s">
        <v>1801</v>
      </c>
    </row>
    <row r="1770" spans="1:2">
      <c r="A1770" t="s">
        <v>1313</v>
      </c>
      <c r="B1770" t="s">
        <v>1381</v>
      </c>
    </row>
    <row r="1771" spans="1:2">
      <c r="A1771" t="s">
        <v>6</v>
      </c>
      <c r="B1771" t="s">
        <v>1802</v>
      </c>
    </row>
    <row r="1772" spans="1:2">
      <c r="A1772" t="s">
        <v>6</v>
      </c>
      <c r="B1772" t="s">
        <v>1803</v>
      </c>
    </row>
    <row r="1773" spans="1:2">
      <c r="A1773" t="s">
        <v>77</v>
      </c>
      <c r="B1773" t="s">
        <v>1804</v>
      </c>
    </row>
    <row r="1774" spans="1:2">
      <c r="A1774" t="s">
        <v>6</v>
      </c>
      <c r="B1774" t="s">
        <v>1805</v>
      </c>
    </row>
    <row r="1775" spans="1:2">
      <c r="A1775" t="s">
        <v>6</v>
      </c>
      <c r="B1775" t="s">
        <v>1806</v>
      </c>
    </row>
    <row r="1776" spans="1:2">
      <c r="A1776" t="s">
        <v>6</v>
      </c>
      <c r="B1776" t="s">
        <v>1807</v>
      </c>
    </row>
    <row r="1777" spans="1:2">
      <c r="A1777" t="s">
        <v>6</v>
      </c>
      <c r="B1777" t="s">
        <v>1808</v>
      </c>
    </row>
    <row r="1778" spans="1:2">
      <c r="A1778" t="s">
        <v>223</v>
      </c>
      <c r="B1778" t="s">
        <v>1809</v>
      </c>
    </row>
    <row r="1779" spans="1:2">
      <c r="A1779" t="s">
        <v>53</v>
      </c>
      <c r="B1779" t="s">
        <v>1810</v>
      </c>
    </row>
    <row r="1780" spans="1:2">
      <c r="A1780" t="s">
        <v>48</v>
      </c>
      <c r="B1780" t="s">
        <v>1811</v>
      </c>
    </row>
    <row r="1781" spans="1:2">
      <c r="A1781" t="s">
        <v>303</v>
      </c>
      <c r="B1781" t="s">
        <v>1812</v>
      </c>
    </row>
    <row r="1782" spans="1:2">
      <c r="A1782" t="s">
        <v>214</v>
      </c>
      <c r="B1782" t="s">
        <v>1813</v>
      </c>
    </row>
    <row r="1783" spans="1:2">
      <c r="A1783" t="s">
        <v>6</v>
      </c>
      <c r="B1783" t="s">
        <v>1814</v>
      </c>
    </row>
    <row r="1784" spans="1:2">
      <c r="A1784" t="s">
        <v>1150</v>
      </c>
      <c r="B1784" t="s">
        <v>1815</v>
      </c>
    </row>
    <row r="1785" spans="1:2">
      <c r="A1785" t="s">
        <v>29</v>
      </c>
      <c r="B1785" t="s">
        <v>1816</v>
      </c>
    </row>
    <row r="1786" spans="1:2">
      <c r="A1786" t="s">
        <v>48</v>
      </c>
      <c r="B1786" t="s">
        <v>1817</v>
      </c>
    </row>
    <row r="1787" spans="1:2">
      <c r="A1787" t="s">
        <v>6</v>
      </c>
      <c r="B1787" t="s">
        <v>1818</v>
      </c>
    </row>
    <row r="1788" spans="1:2">
      <c r="A1788" t="s">
        <v>6</v>
      </c>
      <c r="B1788" t="s">
        <v>1819</v>
      </c>
    </row>
    <row r="1789" spans="1:2">
      <c r="A1789" t="s">
        <v>29</v>
      </c>
      <c r="B1789" t="s">
        <v>1820</v>
      </c>
    </row>
    <row r="1790" spans="1:2">
      <c r="A1790" t="s">
        <v>18</v>
      </c>
      <c r="B1790" t="s">
        <v>1821</v>
      </c>
    </row>
    <row r="1791" spans="1:2">
      <c r="A1791" t="s">
        <v>42</v>
      </c>
      <c r="B1791" t="s">
        <v>1822</v>
      </c>
    </row>
    <row r="1792" spans="1:2">
      <c r="A1792" t="s">
        <v>39</v>
      </c>
      <c r="B1792" t="s">
        <v>1823</v>
      </c>
    </row>
    <row r="1793" spans="1:2">
      <c r="A1793" t="s">
        <v>495</v>
      </c>
      <c r="B1793" t="s">
        <v>1824</v>
      </c>
    </row>
    <row r="1794" spans="1:2">
      <c r="A1794" t="s">
        <v>6</v>
      </c>
      <c r="B1794" t="s">
        <v>1825</v>
      </c>
    </row>
    <row r="1795" spans="1:2">
      <c r="A1795" t="s">
        <v>29</v>
      </c>
      <c r="B1795" t="s">
        <v>1826</v>
      </c>
    </row>
    <row r="1796" spans="1:2">
      <c r="A1796" t="s">
        <v>20</v>
      </c>
      <c r="B1796" t="s">
        <v>1827</v>
      </c>
    </row>
    <row r="1797" spans="1:2">
      <c r="A1797" t="s">
        <v>1177</v>
      </c>
      <c r="B1797" t="s">
        <v>22</v>
      </c>
    </row>
    <row r="1798" spans="1:2">
      <c r="A1798" t="s">
        <v>77</v>
      </c>
      <c r="B1798" t="s">
        <v>1828</v>
      </c>
    </row>
    <row r="1799" spans="1:2">
      <c r="A1799" t="s">
        <v>68</v>
      </c>
      <c r="B1799" t="s">
        <v>1829</v>
      </c>
    </row>
    <row r="1800" spans="1:2">
      <c r="A1800" t="s">
        <v>137</v>
      </c>
      <c r="B1800" t="s">
        <v>1830</v>
      </c>
    </row>
    <row r="1801" spans="1:2">
      <c r="A1801" t="s">
        <v>6</v>
      </c>
      <c r="B1801" t="s">
        <v>1831</v>
      </c>
    </row>
    <row r="1802" spans="1:2">
      <c r="A1802" t="s">
        <v>6</v>
      </c>
      <c r="B1802" t="s">
        <v>1832</v>
      </c>
    </row>
    <row r="1803" spans="1:2">
      <c r="A1803" t="s">
        <v>33</v>
      </c>
      <c r="B1803" t="s">
        <v>75</v>
      </c>
    </row>
    <row r="1804" spans="1:2">
      <c r="A1804" t="s">
        <v>48</v>
      </c>
      <c r="B1804" t="s">
        <v>1833</v>
      </c>
    </row>
    <row r="1805" spans="1:2">
      <c r="A1805" t="s">
        <v>6</v>
      </c>
      <c r="B1805" t="s">
        <v>1834</v>
      </c>
    </row>
    <row r="1806" spans="1:2">
      <c r="A1806" t="s">
        <v>6</v>
      </c>
      <c r="B1806" t="s">
        <v>1835</v>
      </c>
    </row>
    <row r="1807" spans="1:2">
      <c r="A1807" t="s">
        <v>6</v>
      </c>
      <c r="B1807" t="s">
        <v>1836</v>
      </c>
    </row>
    <row r="1808" spans="1:2">
      <c r="A1808" t="s">
        <v>6</v>
      </c>
      <c r="B1808" t="s">
        <v>1837</v>
      </c>
    </row>
    <row r="1809" spans="1:2">
      <c r="A1809" t="s">
        <v>56</v>
      </c>
      <c r="B1809" t="s">
        <v>241</v>
      </c>
    </row>
    <row r="1810" spans="1:2">
      <c r="A1810" t="s">
        <v>6</v>
      </c>
      <c r="B1810" t="s">
        <v>1838</v>
      </c>
    </row>
    <row r="1811" spans="1:2">
      <c r="A1811" t="s">
        <v>56</v>
      </c>
      <c r="B1811" t="s">
        <v>1839</v>
      </c>
    </row>
    <row r="1812" spans="1:2">
      <c r="A1812" t="s">
        <v>18</v>
      </c>
      <c r="B1812" t="s">
        <v>1840</v>
      </c>
    </row>
    <row r="1813" spans="1:2">
      <c r="A1813" t="s">
        <v>6</v>
      </c>
      <c r="B1813" t="s">
        <v>1841</v>
      </c>
    </row>
    <row r="1814" spans="1:2">
      <c r="A1814" t="s">
        <v>6</v>
      </c>
      <c r="B1814" t="s">
        <v>1842</v>
      </c>
    </row>
    <row r="1815" spans="1:2">
      <c r="A1815" t="s">
        <v>6</v>
      </c>
      <c r="B1815" t="s">
        <v>1843</v>
      </c>
    </row>
    <row r="1816" spans="1:2">
      <c r="A1816" t="s">
        <v>105</v>
      </c>
      <c r="B1816" t="s">
        <v>1844</v>
      </c>
    </row>
    <row r="1817" spans="1:2">
      <c r="A1817" t="s">
        <v>18</v>
      </c>
      <c r="B1817" t="s">
        <v>1845</v>
      </c>
    </row>
    <row r="1818" spans="1:2">
      <c r="A1818" t="s">
        <v>14</v>
      </c>
      <c r="B1818" t="s">
        <v>1846</v>
      </c>
    </row>
    <row r="1819" spans="1:2">
      <c r="A1819" t="s">
        <v>0</v>
      </c>
      <c r="B1819" t="s">
        <v>1847</v>
      </c>
    </row>
    <row r="1820" spans="1:2">
      <c r="A1820" t="s">
        <v>6</v>
      </c>
      <c r="B1820" t="s">
        <v>1848</v>
      </c>
    </row>
    <row r="1821" spans="1:2">
      <c r="A1821" t="s">
        <v>48</v>
      </c>
      <c r="B1821" t="s">
        <v>1849</v>
      </c>
    </row>
    <row r="1822" spans="1:2">
      <c r="A1822" t="s">
        <v>495</v>
      </c>
      <c r="B1822" t="s">
        <v>1850</v>
      </c>
    </row>
    <row r="1823" spans="1:2">
      <c r="A1823" t="s">
        <v>6</v>
      </c>
      <c r="B1823" t="s">
        <v>1851</v>
      </c>
    </row>
    <row r="1824" spans="1:2">
      <c r="A1824" t="s">
        <v>1686</v>
      </c>
      <c r="B1824" t="s">
        <v>1852</v>
      </c>
    </row>
    <row r="1825" spans="1:2">
      <c r="A1825" t="s">
        <v>6</v>
      </c>
      <c r="B1825" t="s">
        <v>1853</v>
      </c>
    </row>
    <row r="1826" spans="1:2">
      <c r="A1826" t="s">
        <v>6</v>
      </c>
      <c r="B1826" t="s">
        <v>1854</v>
      </c>
    </row>
    <row r="1827" spans="1:2">
      <c r="A1827" t="s">
        <v>50</v>
      </c>
      <c r="B1827" t="s">
        <v>1855</v>
      </c>
    </row>
    <row r="1828" spans="1:2">
      <c r="A1828" t="s">
        <v>137</v>
      </c>
      <c r="B1828" t="s">
        <v>1856</v>
      </c>
    </row>
    <row r="1829" spans="1:2">
      <c r="A1829" t="s">
        <v>6</v>
      </c>
      <c r="B1829" t="s">
        <v>1857</v>
      </c>
    </row>
    <row r="1830" spans="1:2">
      <c r="A1830" t="s">
        <v>29</v>
      </c>
      <c r="B1830" t="s">
        <v>1858</v>
      </c>
    </row>
    <row r="1831" spans="1:2">
      <c r="A1831" t="s">
        <v>728</v>
      </c>
      <c r="B1831" t="s">
        <v>1859</v>
      </c>
    </row>
    <row r="1832" spans="1:2">
      <c r="A1832" t="s">
        <v>6</v>
      </c>
      <c r="B1832" t="s">
        <v>1860</v>
      </c>
    </row>
    <row r="1833" spans="1:2">
      <c r="A1833" t="s">
        <v>6</v>
      </c>
      <c r="B1833" t="s">
        <v>1861</v>
      </c>
    </row>
    <row r="1834" spans="1:2">
      <c r="A1834" t="s">
        <v>8</v>
      </c>
      <c r="B1834" t="s">
        <v>1862</v>
      </c>
    </row>
    <row r="1835" spans="1:2">
      <c r="A1835" t="s">
        <v>941</v>
      </c>
      <c r="B1835" t="s">
        <v>1863</v>
      </c>
    </row>
    <row r="1836" spans="1:2">
      <c r="A1836" t="s">
        <v>6</v>
      </c>
      <c r="B1836" t="s">
        <v>1864</v>
      </c>
    </row>
    <row r="1837" spans="1:2">
      <c r="A1837" t="s">
        <v>48</v>
      </c>
      <c r="B1837" t="s">
        <v>1865</v>
      </c>
    </row>
    <row r="1838" spans="1:2">
      <c r="A1838" t="s">
        <v>137</v>
      </c>
      <c r="B1838" t="s">
        <v>1866</v>
      </c>
    </row>
    <row r="1839" spans="1:2">
      <c r="A1839" t="s">
        <v>20</v>
      </c>
      <c r="B1839" t="s">
        <v>1867</v>
      </c>
    </row>
    <row r="1840" spans="1:2">
      <c r="A1840" t="s">
        <v>77</v>
      </c>
      <c r="B1840" t="s">
        <v>1868</v>
      </c>
    </row>
    <row r="1841" spans="1:2">
      <c r="A1841" t="s">
        <v>29</v>
      </c>
      <c r="B1841" t="s">
        <v>1869</v>
      </c>
    </row>
    <row r="1842" spans="1:2">
      <c r="A1842" t="s">
        <v>18</v>
      </c>
      <c r="B1842" t="s">
        <v>1870</v>
      </c>
    </row>
    <row r="1843" spans="1:2">
      <c r="A1843" t="s">
        <v>18</v>
      </c>
      <c r="B1843" t="s">
        <v>1871</v>
      </c>
    </row>
    <row r="1844" spans="1:2">
      <c r="A1844" t="s">
        <v>6</v>
      </c>
      <c r="B1844" t="s">
        <v>1872</v>
      </c>
    </row>
    <row r="1845" spans="1:2">
      <c r="A1845" t="s">
        <v>6</v>
      </c>
      <c r="B1845" t="s">
        <v>1873</v>
      </c>
    </row>
    <row r="1846" spans="1:2">
      <c r="A1846" t="s">
        <v>6</v>
      </c>
      <c r="B1846" t="s">
        <v>1874</v>
      </c>
    </row>
    <row r="1847" spans="1:2">
      <c r="A1847" t="s">
        <v>608</v>
      </c>
      <c r="B1847" t="s">
        <v>1875</v>
      </c>
    </row>
    <row r="1848" spans="1:2">
      <c r="A1848" t="s">
        <v>56</v>
      </c>
      <c r="B1848" t="s">
        <v>1876</v>
      </c>
    </row>
    <row r="1849" spans="1:2">
      <c r="A1849" t="s">
        <v>6</v>
      </c>
      <c r="B1849" t="s">
        <v>1877</v>
      </c>
    </row>
    <row r="1850" spans="1:2">
      <c r="A1850" t="s">
        <v>6</v>
      </c>
      <c r="B1850" t="s">
        <v>1878</v>
      </c>
    </row>
    <row r="1851" spans="1:2">
      <c r="A1851" t="s">
        <v>6</v>
      </c>
      <c r="B1851" t="s">
        <v>1879</v>
      </c>
    </row>
    <row r="1852" spans="1:2">
      <c r="A1852" t="s">
        <v>6</v>
      </c>
      <c r="B1852" t="s">
        <v>1880</v>
      </c>
    </row>
    <row r="1853" spans="1:2">
      <c r="A1853" t="s">
        <v>6</v>
      </c>
      <c r="B1853" t="s">
        <v>1881</v>
      </c>
    </row>
    <row r="1854" spans="1:2">
      <c r="A1854" t="s">
        <v>18</v>
      </c>
      <c r="B1854" t="s">
        <v>1882</v>
      </c>
    </row>
    <row r="1855" spans="1:2">
      <c r="A1855" t="s">
        <v>6</v>
      </c>
      <c r="B1855" t="s">
        <v>1883</v>
      </c>
    </row>
    <row r="1856" spans="1:2">
      <c r="A1856" t="s">
        <v>48</v>
      </c>
      <c r="B1856" t="s">
        <v>1884</v>
      </c>
    </row>
    <row r="1857" spans="1:2">
      <c r="A1857" t="s">
        <v>14</v>
      </c>
      <c r="B1857" t="s">
        <v>1885</v>
      </c>
    </row>
    <row r="1858" spans="1:2">
      <c r="A1858" t="s">
        <v>6</v>
      </c>
      <c r="B1858" t="s">
        <v>1886</v>
      </c>
    </row>
    <row r="1859" spans="1:2">
      <c r="A1859" t="s">
        <v>56</v>
      </c>
      <c r="B1859" t="s">
        <v>1887</v>
      </c>
    </row>
    <row r="1860" spans="1:2">
      <c r="A1860" t="s">
        <v>6</v>
      </c>
      <c r="B1860" t="s">
        <v>1888</v>
      </c>
    </row>
    <row r="1861" spans="1:2">
      <c r="A1861" t="s">
        <v>56</v>
      </c>
      <c r="B1861" t="s">
        <v>1889</v>
      </c>
    </row>
    <row r="1862" spans="1:2">
      <c r="A1862" t="s">
        <v>33</v>
      </c>
      <c r="B1862" t="s">
        <v>1890</v>
      </c>
    </row>
    <row r="1863" spans="1:2">
      <c r="A1863" t="s">
        <v>68</v>
      </c>
      <c r="B1863" t="s">
        <v>1891</v>
      </c>
    </row>
    <row r="1864" spans="1:2">
      <c r="A1864" t="s">
        <v>8</v>
      </c>
      <c r="B1864" t="s">
        <v>1892</v>
      </c>
    </row>
    <row r="1865" spans="1:2">
      <c r="A1865" s="1">
        <v>41154</v>
      </c>
      <c r="B1865" t="s">
        <v>1893</v>
      </c>
    </row>
    <row r="1866" spans="1:2">
      <c r="A1866" t="s">
        <v>29</v>
      </c>
      <c r="B1866" t="s">
        <v>1894</v>
      </c>
    </row>
    <row r="1867" spans="1:2">
      <c r="A1867" t="s">
        <v>882</v>
      </c>
      <c r="B1867" t="s">
        <v>1895</v>
      </c>
    </row>
    <row r="1868" spans="1:2">
      <c r="A1868" t="s">
        <v>6</v>
      </c>
      <c r="B1868" t="s">
        <v>1896</v>
      </c>
    </row>
    <row r="1869" spans="1:2">
      <c r="A1869" t="s">
        <v>20</v>
      </c>
      <c r="B1869" t="s">
        <v>1897</v>
      </c>
    </row>
    <row r="1870" spans="1:2">
      <c r="A1870" t="s">
        <v>344</v>
      </c>
      <c r="B1870" t="s">
        <v>1898</v>
      </c>
    </row>
    <row r="1871" spans="1:2">
      <c r="A1871" t="s">
        <v>56</v>
      </c>
      <c r="B1871" t="s">
        <v>1899</v>
      </c>
    </row>
    <row r="1872" spans="1:2">
      <c r="A1872" t="s">
        <v>191</v>
      </c>
      <c r="B1872" t="s">
        <v>1503</v>
      </c>
    </row>
    <row r="1873" spans="1:2">
      <c r="A1873" t="s">
        <v>137</v>
      </c>
      <c r="B1873" t="s">
        <v>1900</v>
      </c>
    </row>
    <row r="1874" spans="1:2">
      <c r="A1874" t="s">
        <v>114</v>
      </c>
      <c r="B1874" t="s">
        <v>1901</v>
      </c>
    </row>
    <row r="1875" spans="1:2">
      <c r="A1875" t="s">
        <v>56</v>
      </c>
      <c r="B1875" t="s">
        <v>1902</v>
      </c>
    </row>
    <row r="1876" spans="1:2">
      <c r="A1876" t="s">
        <v>6</v>
      </c>
      <c r="B1876" t="s">
        <v>1903</v>
      </c>
    </row>
    <row r="1877" spans="1:2">
      <c r="A1877" t="s">
        <v>153</v>
      </c>
      <c r="B1877" t="s">
        <v>1904</v>
      </c>
    </row>
    <row r="1878" spans="1:2">
      <c r="A1878" t="s">
        <v>6</v>
      </c>
      <c r="B1878" t="s">
        <v>1905</v>
      </c>
    </row>
    <row r="1879" spans="1:2">
      <c r="A1879" s="1">
        <v>41159</v>
      </c>
      <c r="B1879" t="s">
        <v>1906</v>
      </c>
    </row>
    <row r="1880" spans="1:2">
      <c r="A1880" t="s">
        <v>134</v>
      </c>
      <c r="B1880" t="s">
        <v>1907</v>
      </c>
    </row>
    <row r="1881" spans="1:2">
      <c r="A1881" t="s">
        <v>46</v>
      </c>
      <c r="B1881" t="s">
        <v>1908</v>
      </c>
    </row>
    <row r="1882" spans="1:2">
      <c r="A1882" t="s">
        <v>6</v>
      </c>
      <c r="B1882" t="s">
        <v>1909</v>
      </c>
    </row>
    <row r="1883" spans="1:2">
      <c r="A1883" t="s">
        <v>56</v>
      </c>
      <c r="B1883" t="s">
        <v>1910</v>
      </c>
    </row>
    <row r="1884" spans="1:2">
      <c r="A1884" t="s">
        <v>8</v>
      </c>
      <c r="B1884" t="s">
        <v>1911</v>
      </c>
    </row>
    <row r="1885" spans="1:2">
      <c r="A1885" t="s">
        <v>6</v>
      </c>
      <c r="B1885" t="s">
        <v>1912</v>
      </c>
    </row>
    <row r="1886" spans="1:2">
      <c r="A1886" t="s">
        <v>6</v>
      </c>
      <c r="B1886" t="s">
        <v>1913</v>
      </c>
    </row>
    <row r="1887" spans="1:2">
      <c r="A1887" t="s">
        <v>6</v>
      </c>
      <c r="B1887" t="s">
        <v>1914</v>
      </c>
    </row>
    <row r="1888" spans="1:2">
      <c r="A1888" t="s">
        <v>18</v>
      </c>
      <c r="B1888" t="s">
        <v>112</v>
      </c>
    </row>
    <row r="1889" spans="1:2">
      <c r="A1889" t="s">
        <v>309</v>
      </c>
      <c r="B1889" t="s">
        <v>1915</v>
      </c>
    </row>
    <row r="1890" spans="1:2">
      <c r="A1890" t="s">
        <v>68</v>
      </c>
      <c r="B1890" t="s">
        <v>1916</v>
      </c>
    </row>
    <row r="1891" spans="1:2">
      <c r="A1891" t="s">
        <v>68</v>
      </c>
      <c r="B1891" t="s">
        <v>1917</v>
      </c>
    </row>
    <row r="1892" spans="1:2">
      <c r="A1892" t="s">
        <v>46</v>
      </c>
      <c r="B1892" t="s">
        <v>1918</v>
      </c>
    </row>
    <row r="1893" spans="1:2">
      <c r="A1893" t="s">
        <v>6</v>
      </c>
      <c r="B1893" t="s">
        <v>1919</v>
      </c>
    </row>
    <row r="1894" spans="1:2">
      <c r="A1894" t="s">
        <v>8</v>
      </c>
      <c r="B1894" t="s">
        <v>1920</v>
      </c>
    </row>
    <row r="1895" spans="1:2">
      <c r="A1895" t="s">
        <v>6</v>
      </c>
      <c r="B1895" t="s">
        <v>1921</v>
      </c>
    </row>
    <row r="1896" spans="1:2">
      <c r="A1896" t="s">
        <v>6</v>
      </c>
      <c r="B1896" t="s">
        <v>1922</v>
      </c>
    </row>
    <row r="1897" spans="1:2">
      <c r="A1897" t="s">
        <v>56</v>
      </c>
      <c r="B1897" t="s">
        <v>1923</v>
      </c>
    </row>
    <row r="1898" spans="1:2">
      <c r="A1898" t="s">
        <v>18</v>
      </c>
      <c r="B1898" t="s">
        <v>1924</v>
      </c>
    </row>
    <row r="1899" spans="1:2">
      <c r="A1899" t="s">
        <v>6</v>
      </c>
      <c r="B1899" t="s">
        <v>1925</v>
      </c>
    </row>
    <row r="1900" spans="1:2">
      <c r="A1900" t="s">
        <v>6</v>
      </c>
      <c r="B1900" t="s">
        <v>1926</v>
      </c>
    </row>
    <row r="1901" spans="1:2">
      <c r="A1901" t="s">
        <v>18</v>
      </c>
      <c r="B1901" t="s">
        <v>1927</v>
      </c>
    </row>
    <row r="1902" spans="1:2">
      <c r="A1902" t="s">
        <v>112</v>
      </c>
      <c r="B1902" t="s">
        <v>1928</v>
      </c>
    </row>
    <row r="1903" spans="1:2">
      <c r="A1903" t="s">
        <v>18</v>
      </c>
      <c r="B1903" t="s">
        <v>1929</v>
      </c>
    </row>
    <row r="1904" spans="1:2">
      <c r="A1904" t="s">
        <v>22</v>
      </c>
      <c r="B1904" t="s">
        <v>1930</v>
      </c>
    </row>
    <row r="1905" spans="1:2">
      <c r="A1905" t="s">
        <v>71</v>
      </c>
      <c r="B1905" t="s">
        <v>1931</v>
      </c>
    </row>
    <row r="1906" spans="1:2">
      <c r="A1906" t="s">
        <v>18</v>
      </c>
      <c r="B1906" t="s">
        <v>1932</v>
      </c>
    </row>
    <row r="1907" spans="1:2">
      <c r="A1907" t="s">
        <v>77</v>
      </c>
      <c r="B1907" t="s">
        <v>1933</v>
      </c>
    </row>
    <row r="1908" spans="1:2">
      <c r="A1908" t="s">
        <v>18</v>
      </c>
      <c r="B1908" t="s">
        <v>114</v>
      </c>
    </row>
    <row r="1909" spans="1:2">
      <c r="A1909" t="s">
        <v>48</v>
      </c>
      <c r="B1909" t="s">
        <v>1934</v>
      </c>
    </row>
    <row r="1910" spans="1:2">
      <c r="A1910" t="s">
        <v>329</v>
      </c>
      <c r="B1910" t="s">
        <v>1935</v>
      </c>
    </row>
    <row r="1911" spans="1:2">
      <c r="A1911" t="s">
        <v>77</v>
      </c>
      <c r="B1911" t="s">
        <v>1936</v>
      </c>
    </row>
    <row r="1912" spans="1:2">
      <c r="A1912" t="s">
        <v>107</v>
      </c>
      <c r="B1912" t="s">
        <v>1937</v>
      </c>
    </row>
    <row r="1913" spans="1:2">
      <c r="A1913" t="s">
        <v>2</v>
      </c>
      <c r="B1913" t="s">
        <v>1938</v>
      </c>
    </row>
    <row r="1914" spans="1:2">
      <c r="A1914" t="s">
        <v>6</v>
      </c>
      <c r="B1914" t="s">
        <v>1939</v>
      </c>
    </row>
    <row r="1915" spans="1:2">
      <c r="A1915" t="s">
        <v>18</v>
      </c>
      <c r="B1915" t="s">
        <v>1940</v>
      </c>
    </row>
    <row r="1916" spans="1:2">
      <c r="A1916" t="s">
        <v>6</v>
      </c>
      <c r="B1916" t="s">
        <v>1941</v>
      </c>
    </row>
    <row r="1917" spans="1:2">
      <c r="A1917" t="s">
        <v>1942</v>
      </c>
      <c r="B1917" t="s">
        <v>1943</v>
      </c>
    </row>
    <row r="1918" spans="1:2">
      <c r="A1918" t="s">
        <v>1503</v>
      </c>
      <c r="B1918" t="s">
        <v>1944</v>
      </c>
    </row>
    <row r="1919" spans="1:2">
      <c r="A1919" t="s">
        <v>6</v>
      </c>
      <c r="B1919" t="s">
        <v>1945</v>
      </c>
    </row>
    <row r="1920" spans="1:2">
      <c r="A1920" t="s">
        <v>50</v>
      </c>
      <c r="B1920" t="s">
        <v>1946</v>
      </c>
    </row>
    <row r="1921" spans="1:2">
      <c r="A1921" t="s">
        <v>48</v>
      </c>
      <c r="B1921" t="s">
        <v>1947</v>
      </c>
    </row>
    <row r="1922" spans="1:2">
      <c r="A1922" t="s">
        <v>39</v>
      </c>
      <c r="B1922" t="s">
        <v>1948</v>
      </c>
    </row>
    <row r="1923" spans="1:2">
      <c r="A1923" t="s">
        <v>18</v>
      </c>
      <c r="B1923" t="s">
        <v>1949</v>
      </c>
    </row>
    <row r="1924" spans="1:2">
      <c r="A1924" t="s">
        <v>18</v>
      </c>
      <c r="B1924" t="s">
        <v>1950</v>
      </c>
    </row>
    <row r="1925" spans="1:2">
      <c r="A1925" t="s">
        <v>154</v>
      </c>
      <c r="B1925" t="s">
        <v>1951</v>
      </c>
    </row>
    <row r="1926" spans="1:2">
      <c r="A1926" t="s">
        <v>29</v>
      </c>
      <c r="B1926" t="s">
        <v>1952</v>
      </c>
    </row>
    <row r="1927" spans="1:2">
      <c r="A1927" t="s">
        <v>18</v>
      </c>
      <c r="B1927" t="s">
        <v>1953</v>
      </c>
    </row>
    <row r="1928" spans="1:2">
      <c r="A1928" t="s">
        <v>18</v>
      </c>
      <c r="B1928" t="s">
        <v>934</v>
      </c>
    </row>
    <row r="1929" spans="1:2">
      <c r="A1929" t="s">
        <v>6</v>
      </c>
      <c r="B1929" t="s">
        <v>1954</v>
      </c>
    </row>
    <row r="1930" spans="1:2">
      <c r="A1930" t="s">
        <v>29</v>
      </c>
      <c r="B1930" t="s">
        <v>1955</v>
      </c>
    </row>
    <row r="1931" spans="1:2">
      <c r="A1931" t="s">
        <v>56</v>
      </c>
      <c r="B1931" t="s">
        <v>1956</v>
      </c>
    </row>
    <row r="1932" spans="1:2">
      <c r="A1932" t="s">
        <v>6</v>
      </c>
      <c r="B1932" t="s">
        <v>1957</v>
      </c>
    </row>
    <row r="1933" spans="1:2">
      <c r="A1933" t="s">
        <v>56</v>
      </c>
      <c r="B1933" t="s">
        <v>1958</v>
      </c>
    </row>
    <row r="1934" spans="1:2">
      <c r="A1934" t="s">
        <v>18</v>
      </c>
      <c r="B1934" t="s">
        <v>1959</v>
      </c>
    </row>
    <row r="1935" spans="1:2">
      <c r="A1935" t="s">
        <v>6</v>
      </c>
      <c r="B1935" t="s">
        <v>685</v>
      </c>
    </row>
    <row r="1936" spans="1:2">
      <c r="A1936" t="s">
        <v>758</v>
      </c>
      <c r="B1936" t="s">
        <v>1960</v>
      </c>
    </row>
    <row r="1937" spans="1:2">
      <c r="A1937" t="s">
        <v>6</v>
      </c>
      <c r="B1937" t="s">
        <v>1961</v>
      </c>
    </row>
    <row r="1938" spans="1:2">
      <c r="A1938" t="s">
        <v>758</v>
      </c>
      <c r="B1938" t="s">
        <v>1962</v>
      </c>
    </row>
    <row r="1939" spans="1:2">
      <c r="A1939" t="s">
        <v>6</v>
      </c>
      <c r="B1939" t="s">
        <v>1963</v>
      </c>
    </row>
    <row r="1940" spans="1:2">
      <c r="A1940" t="s">
        <v>112</v>
      </c>
      <c r="B1940" t="s">
        <v>1964</v>
      </c>
    </row>
    <row r="1941" spans="1:2">
      <c r="A1941" t="s">
        <v>6</v>
      </c>
      <c r="B1941" t="s">
        <v>1965</v>
      </c>
    </row>
    <row r="1942" spans="1:2">
      <c r="A1942" t="s">
        <v>83</v>
      </c>
      <c r="B1942" t="s">
        <v>1966</v>
      </c>
    </row>
    <row r="1943" spans="1:2">
      <c r="A1943" t="s">
        <v>6</v>
      </c>
      <c r="B1943" t="s">
        <v>1967</v>
      </c>
    </row>
    <row r="1944" spans="1:2">
      <c r="A1944" t="s">
        <v>288</v>
      </c>
      <c r="B1944" t="s">
        <v>129</v>
      </c>
    </row>
    <row r="1945" spans="1:2">
      <c r="A1945" t="s">
        <v>507</v>
      </c>
      <c r="B1945" t="s">
        <v>1968</v>
      </c>
    </row>
    <row r="1946" spans="1:2">
      <c r="A1946" t="s">
        <v>18</v>
      </c>
      <c r="B1946" t="s">
        <v>1969</v>
      </c>
    </row>
    <row r="1947" spans="1:2">
      <c r="A1947" t="s">
        <v>20</v>
      </c>
      <c r="B1947" t="s">
        <v>1970</v>
      </c>
    </row>
    <row r="1948" spans="1:2">
      <c r="A1948" t="s">
        <v>6</v>
      </c>
      <c r="B1948" t="s">
        <v>1971</v>
      </c>
    </row>
    <row r="1949" spans="1:2">
      <c r="A1949" t="s">
        <v>18</v>
      </c>
      <c r="B1949" t="s">
        <v>137</v>
      </c>
    </row>
    <row r="1950" spans="1:2">
      <c r="A1950" t="s">
        <v>33</v>
      </c>
      <c r="B1950" t="s">
        <v>1972</v>
      </c>
    </row>
    <row r="1951" spans="1:2">
      <c r="A1951" t="s">
        <v>39</v>
      </c>
      <c r="B1951" t="s">
        <v>1973</v>
      </c>
    </row>
    <row r="1952" spans="1:2">
      <c r="A1952" t="s">
        <v>6</v>
      </c>
      <c r="B1952" t="s">
        <v>1974</v>
      </c>
    </row>
    <row r="1953" spans="1:2">
      <c r="A1953" t="s">
        <v>68</v>
      </c>
      <c r="B1953" t="s">
        <v>1975</v>
      </c>
    </row>
    <row r="1954" spans="1:2">
      <c r="A1954" t="s">
        <v>14</v>
      </c>
      <c r="B1954" t="s">
        <v>1942</v>
      </c>
    </row>
    <row r="1955" spans="1:2">
      <c r="A1955" t="s">
        <v>288</v>
      </c>
      <c r="B1955" t="s">
        <v>1976</v>
      </c>
    </row>
    <row r="1956" spans="1:2">
      <c r="A1956" t="s">
        <v>6</v>
      </c>
      <c r="B1956" t="s">
        <v>1977</v>
      </c>
    </row>
    <row r="1957" spans="1:2">
      <c r="A1957" t="s">
        <v>6</v>
      </c>
      <c r="B1957" t="s">
        <v>1978</v>
      </c>
    </row>
    <row r="1958" spans="1:2">
      <c r="A1958" t="s">
        <v>18</v>
      </c>
      <c r="B1958" t="s">
        <v>1979</v>
      </c>
    </row>
    <row r="1959" spans="1:2">
      <c r="A1959" t="s">
        <v>6</v>
      </c>
      <c r="B1959" t="s">
        <v>1980</v>
      </c>
    </row>
    <row r="1960" spans="1:2">
      <c r="A1960" t="s">
        <v>56</v>
      </c>
      <c r="B1960" t="s">
        <v>1981</v>
      </c>
    </row>
    <row r="1961" spans="1:2">
      <c r="A1961" t="s">
        <v>56</v>
      </c>
      <c r="B1961" t="s">
        <v>1982</v>
      </c>
    </row>
    <row r="1962" spans="1:2">
      <c r="A1962" t="s">
        <v>14</v>
      </c>
      <c r="B1962" t="s">
        <v>1679</v>
      </c>
    </row>
    <row r="1963" spans="1:2">
      <c r="A1963" t="s">
        <v>8</v>
      </c>
      <c r="B1963" t="s">
        <v>1983</v>
      </c>
    </row>
    <row r="1964" spans="1:2">
      <c r="A1964" t="s">
        <v>14</v>
      </c>
      <c r="B1964" t="s">
        <v>212</v>
      </c>
    </row>
    <row r="1965" spans="1:2">
      <c r="A1965" t="s">
        <v>6</v>
      </c>
      <c r="B1965" t="s">
        <v>1984</v>
      </c>
    </row>
    <row r="1966" spans="1:2">
      <c r="A1966" t="s">
        <v>77</v>
      </c>
      <c r="B1966" t="s">
        <v>1985</v>
      </c>
    </row>
    <row r="1967" spans="1:2">
      <c r="A1967" t="s">
        <v>105</v>
      </c>
      <c r="B1967" t="s">
        <v>1986</v>
      </c>
    </row>
    <row r="1968" spans="1:2">
      <c r="A1968" t="s">
        <v>18</v>
      </c>
      <c r="B1968" t="s">
        <v>1987</v>
      </c>
    </row>
    <row r="1969" spans="1:2">
      <c r="A1969" t="s">
        <v>50</v>
      </c>
      <c r="B1969" t="s">
        <v>1988</v>
      </c>
    </row>
    <row r="1970" spans="1:2">
      <c r="A1970" t="s">
        <v>39</v>
      </c>
      <c r="B1970" t="s">
        <v>1989</v>
      </c>
    </row>
    <row r="1971" spans="1:2">
      <c r="A1971" t="s">
        <v>56</v>
      </c>
      <c r="B1971" t="s">
        <v>889</v>
      </c>
    </row>
    <row r="1972" spans="1:2">
      <c r="A1972" t="s">
        <v>68</v>
      </c>
      <c r="B1972" t="s">
        <v>1990</v>
      </c>
    </row>
    <row r="1973" spans="1:2">
      <c r="A1973" t="s">
        <v>6</v>
      </c>
      <c r="B1973" t="s">
        <v>1991</v>
      </c>
    </row>
    <row r="1974" spans="1:2">
      <c r="A1974" t="s">
        <v>12</v>
      </c>
      <c r="B1974" t="s">
        <v>1992</v>
      </c>
    </row>
    <row r="1975" spans="1:2">
      <c r="A1975" t="s">
        <v>112</v>
      </c>
      <c r="B1975" t="s">
        <v>1993</v>
      </c>
    </row>
    <row r="1976" spans="1:2">
      <c r="A1976" t="s">
        <v>18</v>
      </c>
      <c r="B1976" t="s">
        <v>1994</v>
      </c>
    </row>
    <row r="1977" spans="1:2">
      <c r="A1977" t="s">
        <v>14</v>
      </c>
      <c r="B1977" t="s">
        <v>2</v>
      </c>
    </row>
    <row r="1978" spans="1:2">
      <c r="A1978" t="s">
        <v>8</v>
      </c>
      <c r="B1978" t="s">
        <v>1995</v>
      </c>
    </row>
    <row r="1979" spans="1:2">
      <c r="A1979" t="s">
        <v>56</v>
      </c>
      <c r="B1979" t="s">
        <v>1996</v>
      </c>
    </row>
    <row r="1980" spans="1:2">
      <c r="A1980" t="s">
        <v>18</v>
      </c>
      <c r="B1980" t="s">
        <v>1997</v>
      </c>
    </row>
    <row r="1981" spans="1:2">
      <c r="A1981" t="s">
        <v>6</v>
      </c>
      <c r="B1981" t="s">
        <v>1998</v>
      </c>
    </row>
    <row r="1982" spans="1:2">
      <c r="A1982" t="s">
        <v>6</v>
      </c>
      <c r="B1982" t="s">
        <v>1999</v>
      </c>
    </row>
    <row r="1983" spans="1:2">
      <c r="A1983" t="s">
        <v>50</v>
      </c>
      <c r="B1983" t="s">
        <v>2000</v>
      </c>
    </row>
    <row r="1984" spans="1:2">
      <c r="A1984" t="s">
        <v>48</v>
      </c>
      <c r="B1984" t="s">
        <v>2001</v>
      </c>
    </row>
    <row r="1985" spans="1:2">
      <c r="A1985" t="s">
        <v>18</v>
      </c>
      <c r="B1985" t="s">
        <v>344</v>
      </c>
    </row>
    <row r="1986" spans="1:2">
      <c r="A1986" t="s">
        <v>428</v>
      </c>
      <c r="B1986" t="s">
        <v>2002</v>
      </c>
    </row>
    <row r="1987" spans="1:2">
      <c r="A1987" t="s">
        <v>1485</v>
      </c>
      <c r="B1987" t="s">
        <v>2003</v>
      </c>
    </row>
    <row r="1988" spans="1:2">
      <c r="A1988" t="s">
        <v>71</v>
      </c>
      <c r="B1988" t="s">
        <v>2004</v>
      </c>
    </row>
    <row r="1989" spans="1:2">
      <c r="A1989" t="s">
        <v>68</v>
      </c>
      <c r="B1989" t="s">
        <v>2005</v>
      </c>
    </row>
    <row r="1990" spans="1:2">
      <c r="A1990" t="s">
        <v>6</v>
      </c>
      <c r="B1990" t="s">
        <v>2006</v>
      </c>
    </row>
    <row r="1991" spans="1:2">
      <c r="A1991" t="s">
        <v>6</v>
      </c>
      <c r="B1991" t="s">
        <v>2007</v>
      </c>
    </row>
    <row r="1992" spans="1:2">
      <c r="A1992" t="s">
        <v>615</v>
      </c>
      <c r="B1992" t="s">
        <v>2008</v>
      </c>
    </row>
    <row r="1993" spans="1:2">
      <c r="A1993" t="s">
        <v>6</v>
      </c>
      <c r="B1993" t="s">
        <v>2009</v>
      </c>
    </row>
    <row r="1994" spans="1:2">
      <c r="A1994" t="s">
        <v>20</v>
      </c>
      <c r="B1994" t="s">
        <v>2010</v>
      </c>
    </row>
    <row r="1995" spans="1:2">
      <c r="A1995" t="s">
        <v>18</v>
      </c>
      <c r="B1995" t="s">
        <v>2011</v>
      </c>
    </row>
    <row r="1996" spans="1:2">
      <c r="A1996" t="s">
        <v>156</v>
      </c>
      <c r="B1996" t="s">
        <v>2012</v>
      </c>
    </row>
    <row r="1997" spans="1:2">
      <c r="A1997" t="s">
        <v>33</v>
      </c>
      <c r="B1997" t="s">
        <v>2013</v>
      </c>
    </row>
    <row r="1998" spans="1:2">
      <c r="A1998" t="s">
        <v>6</v>
      </c>
      <c r="B1998" t="s">
        <v>2014</v>
      </c>
    </row>
    <row r="1999" spans="1:2">
      <c r="A1999" t="s">
        <v>6</v>
      </c>
      <c r="B1999" t="s">
        <v>2015</v>
      </c>
    </row>
    <row r="2000" spans="1:2">
      <c r="A2000" t="s">
        <v>48</v>
      </c>
      <c r="B2000" t="s">
        <v>2016</v>
      </c>
    </row>
    <row r="2001" spans="1:2">
      <c r="A2001" t="s">
        <v>29</v>
      </c>
      <c r="B2001" t="s">
        <v>2017</v>
      </c>
    </row>
    <row r="2002" spans="1:2">
      <c r="A2002" t="s">
        <v>6</v>
      </c>
      <c r="B2002" t="s">
        <v>2018</v>
      </c>
    </row>
    <row r="2003" spans="1:2">
      <c r="A2003" t="s">
        <v>42</v>
      </c>
      <c r="B2003" t="s">
        <v>2019</v>
      </c>
    </row>
    <row r="2004" spans="1:2">
      <c r="A2004" t="s">
        <v>103</v>
      </c>
      <c r="B2004" t="s">
        <v>2020</v>
      </c>
    </row>
    <row r="2005" spans="1:2">
      <c r="A2005" t="s">
        <v>46</v>
      </c>
      <c r="B2005" t="s">
        <v>2021</v>
      </c>
    </row>
    <row r="2006" spans="1:2">
      <c r="A2006" t="s">
        <v>6</v>
      </c>
      <c r="B2006" t="s">
        <v>2022</v>
      </c>
    </row>
    <row r="2007" spans="1:2">
      <c r="A2007" t="s">
        <v>241</v>
      </c>
      <c r="B2007" t="s">
        <v>2023</v>
      </c>
    </row>
    <row r="2008" spans="1:2">
      <c r="A2008" t="s">
        <v>12</v>
      </c>
      <c r="B2008" t="s">
        <v>2024</v>
      </c>
    </row>
    <row r="2009" spans="1:2">
      <c r="A2009" t="s">
        <v>6</v>
      </c>
      <c r="B2009" t="s">
        <v>2025</v>
      </c>
    </row>
    <row r="2010" spans="1:2">
      <c r="A2010" t="s">
        <v>12</v>
      </c>
      <c r="B2010" t="s">
        <v>2026</v>
      </c>
    </row>
    <row r="2011" spans="1:2">
      <c r="A2011" t="s">
        <v>6</v>
      </c>
      <c r="B2011" t="s">
        <v>2027</v>
      </c>
    </row>
    <row r="2012" spans="1:2">
      <c r="A2012" t="s">
        <v>105</v>
      </c>
      <c r="B2012" t="s">
        <v>2028</v>
      </c>
    </row>
    <row r="2013" spans="1:2">
      <c r="A2013" t="s">
        <v>29</v>
      </c>
      <c r="B2013" t="s">
        <v>2029</v>
      </c>
    </row>
    <row r="2014" spans="1:2">
      <c r="A2014" t="s">
        <v>42</v>
      </c>
      <c r="B2014" t="s">
        <v>2030</v>
      </c>
    </row>
    <row r="2015" spans="1:2">
      <c r="A2015" t="s">
        <v>6</v>
      </c>
      <c r="B2015" t="s">
        <v>2031</v>
      </c>
    </row>
    <row r="2016" spans="1:2">
      <c r="A2016" t="s">
        <v>14</v>
      </c>
      <c r="B2016" t="s">
        <v>2032</v>
      </c>
    </row>
    <row r="2017" spans="1:2">
      <c r="A2017" t="s">
        <v>6</v>
      </c>
      <c r="B2017" t="s">
        <v>2033</v>
      </c>
    </row>
    <row r="2018" spans="1:2">
      <c r="A2018" t="s">
        <v>77</v>
      </c>
      <c r="B2018" t="s">
        <v>2034</v>
      </c>
    </row>
    <row r="2019" spans="1:2">
      <c r="A2019" t="s">
        <v>6</v>
      </c>
      <c r="B2019" t="s">
        <v>2035</v>
      </c>
    </row>
    <row r="2020" spans="1:2">
      <c r="A2020" t="s">
        <v>1177</v>
      </c>
      <c r="B2020" t="s">
        <v>107</v>
      </c>
    </row>
    <row r="2021" spans="1:2">
      <c r="A2021" t="s">
        <v>6</v>
      </c>
      <c r="B2021" t="s">
        <v>2036</v>
      </c>
    </row>
    <row r="2022" spans="1:2">
      <c r="A2022" t="s">
        <v>6</v>
      </c>
      <c r="B2022" t="s">
        <v>2037</v>
      </c>
    </row>
    <row r="2023" spans="1:2">
      <c r="A2023" t="s">
        <v>33</v>
      </c>
      <c r="B2023" t="s">
        <v>2038</v>
      </c>
    </row>
    <row r="2024" spans="1:2">
      <c r="A2024" t="s">
        <v>6</v>
      </c>
      <c r="B2024" t="s">
        <v>2039</v>
      </c>
    </row>
    <row r="2025" spans="1:2">
      <c r="A2025" t="s">
        <v>6</v>
      </c>
      <c r="B2025" t="s">
        <v>2040</v>
      </c>
    </row>
    <row r="2026" spans="1:2">
      <c r="A2026" t="s">
        <v>18</v>
      </c>
      <c r="B2026" t="s">
        <v>2041</v>
      </c>
    </row>
    <row r="2027" spans="1:2">
      <c r="A2027" t="s">
        <v>29</v>
      </c>
      <c r="B2027" t="s">
        <v>2042</v>
      </c>
    </row>
    <row r="2028" spans="1:2">
      <c r="A2028" t="s">
        <v>6</v>
      </c>
      <c r="B2028" t="s">
        <v>2043</v>
      </c>
    </row>
    <row r="2029" spans="1:2">
      <c r="A2029" t="s">
        <v>71</v>
      </c>
      <c r="B2029" t="s">
        <v>2044</v>
      </c>
    </row>
    <row r="2030" spans="1:2">
      <c r="A2030" t="s">
        <v>8</v>
      </c>
      <c r="B2030" t="s">
        <v>2045</v>
      </c>
    </row>
    <row r="2031" spans="1:2">
      <c r="A2031" t="s">
        <v>48</v>
      </c>
      <c r="B2031" t="s">
        <v>2046</v>
      </c>
    </row>
    <row r="2032" spans="1:2">
      <c r="A2032" t="s">
        <v>6</v>
      </c>
      <c r="B2032" t="s">
        <v>2047</v>
      </c>
    </row>
    <row r="2033" spans="1:2">
      <c r="A2033" t="s">
        <v>112</v>
      </c>
      <c r="B2033" t="s">
        <v>2048</v>
      </c>
    </row>
    <row r="2034" spans="1:2">
      <c r="A2034" t="s">
        <v>754</v>
      </c>
      <c r="B2034" t="s">
        <v>2049</v>
      </c>
    </row>
    <row r="2035" spans="1:2">
      <c r="A2035" t="s">
        <v>18</v>
      </c>
      <c r="B2035" t="s">
        <v>50</v>
      </c>
    </row>
    <row r="2036" spans="1:2">
      <c r="A2036" t="s">
        <v>68</v>
      </c>
      <c r="B2036" t="s">
        <v>2050</v>
      </c>
    </row>
    <row r="2037" spans="1:2">
      <c r="A2037" t="s">
        <v>53</v>
      </c>
      <c r="B2037" t="s">
        <v>2051</v>
      </c>
    </row>
    <row r="2038" spans="1:2">
      <c r="A2038" t="s">
        <v>105</v>
      </c>
      <c r="B2038" t="s">
        <v>2052</v>
      </c>
    </row>
    <row r="2039" spans="1:2">
      <c r="A2039" t="s">
        <v>56</v>
      </c>
      <c r="B2039" t="s">
        <v>2053</v>
      </c>
    </row>
    <row r="2040" spans="1:2">
      <c r="A2040" t="s">
        <v>42</v>
      </c>
      <c r="B2040" t="s">
        <v>2054</v>
      </c>
    </row>
    <row r="2041" spans="1:2">
      <c r="A2041" t="s">
        <v>628</v>
      </c>
      <c r="B2041" t="s">
        <v>2055</v>
      </c>
    </row>
    <row r="2042" spans="1:2">
      <c r="A2042" t="s">
        <v>191</v>
      </c>
      <c r="B2042" t="s">
        <v>2056</v>
      </c>
    </row>
    <row r="2043" spans="1:2">
      <c r="A2043" t="s">
        <v>399</v>
      </c>
      <c r="B2043" t="s">
        <v>2057</v>
      </c>
    </row>
    <row r="2044" spans="1:2">
      <c r="A2044" t="s">
        <v>107</v>
      </c>
      <c r="B2044" t="s">
        <v>2058</v>
      </c>
    </row>
    <row r="2045" spans="1:2">
      <c r="A2045" t="s">
        <v>6</v>
      </c>
      <c r="B2045" t="s">
        <v>2059</v>
      </c>
    </row>
    <row r="2046" spans="1:2">
      <c r="A2046" t="s">
        <v>6</v>
      </c>
      <c r="B2046" t="s">
        <v>2060</v>
      </c>
    </row>
    <row r="2047" spans="1:2">
      <c r="A2047" t="s">
        <v>154</v>
      </c>
      <c r="B2047" t="s">
        <v>2061</v>
      </c>
    </row>
    <row r="2048" spans="1:2">
      <c r="A2048" t="s">
        <v>83</v>
      </c>
      <c r="B2048" t="s">
        <v>2062</v>
      </c>
    </row>
    <row r="2049" spans="1:2">
      <c r="A2049" t="s">
        <v>68</v>
      </c>
      <c r="B2049" t="s">
        <v>2063</v>
      </c>
    </row>
    <row r="2050" spans="1:2">
      <c r="A2050" t="s">
        <v>1503</v>
      </c>
      <c r="B2050" t="s">
        <v>2064</v>
      </c>
    </row>
    <row r="2051" spans="1:2">
      <c r="A2051" t="s">
        <v>6</v>
      </c>
      <c r="B2051" t="s">
        <v>2065</v>
      </c>
    </row>
    <row r="2052" spans="1:2">
      <c r="A2052" t="s">
        <v>856</v>
      </c>
      <c r="B2052" t="s">
        <v>71</v>
      </c>
    </row>
    <row r="2053" spans="1:2">
      <c r="A2053" t="s">
        <v>137</v>
      </c>
      <c r="B2053" t="s">
        <v>2066</v>
      </c>
    </row>
    <row r="2054" spans="1:2">
      <c r="A2054" t="s">
        <v>527</v>
      </c>
      <c r="B2054" t="s">
        <v>2067</v>
      </c>
    </row>
    <row r="2055" spans="1:2">
      <c r="A2055" t="s">
        <v>18</v>
      </c>
      <c r="B2055" t="s">
        <v>2068</v>
      </c>
    </row>
    <row r="2056" spans="1:2">
      <c r="A2056" t="s">
        <v>68</v>
      </c>
      <c r="B2056" t="s">
        <v>2069</v>
      </c>
    </row>
    <row r="2057" spans="1:2">
      <c r="A2057" t="s">
        <v>6</v>
      </c>
      <c r="B2057" t="s">
        <v>2070</v>
      </c>
    </row>
    <row r="2058" spans="1:2">
      <c r="A2058" t="s">
        <v>18</v>
      </c>
      <c r="B2058" t="s">
        <v>2071</v>
      </c>
    </row>
    <row r="2059" spans="1:2">
      <c r="A2059" t="s">
        <v>134</v>
      </c>
      <c r="B2059" t="s">
        <v>2072</v>
      </c>
    </row>
    <row r="2060" spans="1:2">
      <c r="A2060" t="s">
        <v>623</v>
      </c>
      <c r="B2060" t="s">
        <v>2073</v>
      </c>
    </row>
    <row r="2061" spans="1:2">
      <c r="A2061" t="s">
        <v>112</v>
      </c>
      <c r="B2061" t="s">
        <v>2074</v>
      </c>
    </row>
    <row r="2062" spans="1:2">
      <c r="A2062" t="s">
        <v>792</v>
      </c>
      <c r="B2062" t="s">
        <v>2075</v>
      </c>
    </row>
    <row r="2063" spans="1:2">
      <c r="A2063" t="s">
        <v>39</v>
      </c>
      <c r="B2063" t="s">
        <v>2076</v>
      </c>
    </row>
    <row r="2064" spans="1:2">
      <c r="A2064" t="s">
        <v>6</v>
      </c>
      <c r="B2064" t="s">
        <v>2077</v>
      </c>
    </row>
    <row r="2065" spans="1:2">
      <c r="A2065" t="s">
        <v>91</v>
      </c>
      <c r="B2065" t="s">
        <v>2078</v>
      </c>
    </row>
    <row r="2066" spans="1:2">
      <c r="A2066" t="s">
        <v>6</v>
      </c>
      <c r="B2066" t="s">
        <v>2079</v>
      </c>
    </row>
    <row r="2067" spans="1:2">
      <c r="A2067" t="s">
        <v>214</v>
      </c>
      <c r="B2067" t="s">
        <v>2080</v>
      </c>
    </row>
    <row r="2068" spans="1:2">
      <c r="A2068" t="s">
        <v>46</v>
      </c>
      <c r="B2068" t="s">
        <v>2081</v>
      </c>
    </row>
    <row r="2069" spans="1:2">
      <c r="A2069" t="s">
        <v>250</v>
      </c>
      <c r="B2069" t="s">
        <v>2082</v>
      </c>
    </row>
    <row r="2070" spans="1:2">
      <c r="A2070" t="s">
        <v>6</v>
      </c>
      <c r="B2070" t="s">
        <v>2083</v>
      </c>
    </row>
    <row r="2071" spans="1:2">
      <c r="A2071" t="s">
        <v>6</v>
      </c>
      <c r="B2071" t="s">
        <v>2084</v>
      </c>
    </row>
    <row r="2072" spans="1:2">
      <c r="A2072" t="s">
        <v>48</v>
      </c>
      <c r="B2072" t="s">
        <v>2085</v>
      </c>
    </row>
    <row r="2073" spans="1:2">
      <c r="A2073" t="s">
        <v>129</v>
      </c>
      <c r="B2073" t="s">
        <v>1561</v>
      </c>
    </row>
    <row r="2074" spans="1:2">
      <c r="A2074" t="s">
        <v>48</v>
      </c>
      <c r="B2074" t="s">
        <v>2086</v>
      </c>
    </row>
    <row r="2075" spans="1:2">
      <c r="A2075" t="s">
        <v>250</v>
      </c>
      <c r="B2075" t="s">
        <v>2087</v>
      </c>
    </row>
    <row r="2076" spans="1:2">
      <c r="A2076" t="s">
        <v>1177</v>
      </c>
      <c r="B2076" t="s">
        <v>33</v>
      </c>
    </row>
    <row r="2077" spans="1:2">
      <c r="A2077" t="s">
        <v>6</v>
      </c>
      <c r="B2077" t="s">
        <v>2088</v>
      </c>
    </row>
    <row r="2078" spans="1:2">
      <c r="A2078" t="s">
        <v>6</v>
      </c>
      <c r="B2078" t="s">
        <v>2089</v>
      </c>
    </row>
    <row r="2079" spans="1:2">
      <c r="A2079" t="s">
        <v>1686</v>
      </c>
      <c r="B2079" t="s">
        <v>2090</v>
      </c>
    </row>
    <row r="2080" spans="1:2">
      <c r="A2080" t="s">
        <v>6</v>
      </c>
      <c r="B2080" t="s">
        <v>2091</v>
      </c>
    </row>
    <row r="2081" spans="1:2">
      <c r="A2081" t="s">
        <v>6</v>
      </c>
      <c r="B2081" t="s">
        <v>2092</v>
      </c>
    </row>
    <row r="2082" spans="1:2">
      <c r="A2082" t="s">
        <v>6</v>
      </c>
      <c r="B2082" t="s">
        <v>2093</v>
      </c>
    </row>
    <row r="2083" spans="1:2">
      <c r="A2083" t="s">
        <v>39</v>
      </c>
      <c r="B2083" t="s">
        <v>2094</v>
      </c>
    </row>
    <row r="2084" spans="1:2">
      <c r="A2084" t="s">
        <v>6</v>
      </c>
      <c r="B2084" t="s">
        <v>2095</v>
      </c>
    </row>
    <row r="2085" spans="1:2">
      <c r="A2085" t="s">
        <v>6</v>
      </c>
      <c r="B2085" t="s">
        <v>2096</v>
      </c>
    </row>
    <row r="2086" spans="1:2">
      <c r="A2086" t="s">
        <v>68</v>
      </c>
      <c r="B2086" t="s">
        <v>2097</v>
      </c>
    </row>
    <row r="2087" spans="1:2">
      <c r="A2087" t="s">
        <v>46</v>
      </c>
      <c r="B2087" t="s">
        <v>2098</v>
      </c>
    </row>
    <row r="2088" spans="1:2">
      <c r="A2088" t="s">
        <v>1679</v>
      </c>
      <c r="B2088" t="s">
        <v>2099</v>
      </c>
    </row>
    <row r="2089" spans="1:2">
      <c r="A2089" t="s">
        <v>6</v>
      </c>
      <c r="B2089" t="s">
        <v>2100</v>
      </c>
    </row>
    <row r="2090" spans="1:2">
      <c r="A2090" t="s">
        <v>12</v>
      </c>
      <c r="B2090" t="s">
        <v>2101</v>
      </c>
    </row>
    <row r="2091" spans="1:2">
      <c r="A2091" t="s">
        <v>112</v>
      </c>
      <c r="B2091" t="s">
        <v>2102</v>
      </c>
    </row>
    <row r="2092" spans="1:2">
      <c r="A2092" t="s">
        <v>453</v>
      </c>
      <c r="B2092" t="s">
        <v>2103</v>
      </c>
    </row>
    <row r="2093" spans="1:2">
      <c r="A2093" t="s">
        <v>973</v>
      </c>
      <c r="B2093" t="s">
        <v>2104</v>
      </c>
    </row>
    <row r="2094" spans="1:2">
      <c r="A2094" t="s">
        <v>83</v>
      </c>
      <c r="B2094" t="s">
        <v>2105</v>
      </c>
    </row>
    <row r="2095" spans="1:2">
      <c r="A2095" t="s">
        <v>29</v>
      </c>
      <c r="B2095" t="s">
        <v>2106</v>
      </c>
    </row>
    <row r="2096" spans="1:2">
      <c r="A2096" t="s">
        <v>6</v>
      </c>
      <c r="B2096" t="s">
        <v>2107</v>
      </c>
    </row>
    <row r="2097" spans="1:2">
      <c r="A2097" t="s">
        <v>6</v>
      </c>
      <c r="B2097" t="s">
        <v>2108</v>
      </c>
    </row>
    <row r="2098" spans="1:2">
      <c r="A2098" t="s">
        <v>48</v>
      </c>
      <c r="B2098" t="s">
        <v>2109</v>
      </c>
    </row>
    <row r="2099" spans="1:2">
      <c r="A2099" t="s">
        <v>18</v>
      </c>
      <c r="B2099" t="s">
        <v>2110</v>
      </c>
    </row>
    <row r="2100" spans="1:2">
      <c r="A2100" t="s">
        <v>6</v>
      </c>
      <c r="B2100" t="s">
        <v>2111</v>
      </c>
    </row>
    <row r="2101" spans="1:2">
      <c r="A2101" t="s">
        <v>6</v>
      </c>
      <c r="B2101" t="s">
        <v>2112</v>
      </c>
    </row>
    <row r="2102" spans="1:2">
      <c r="A2102" t="s">
        <v>6</v>
      </c>
      <c r="B2102" t="s">
        <v>2113</v>
      </c>
    </row>
    <row r="2103" spans="1:2">
      <c r="A2103" t="s">
        <v>39</v>
      </c>
      <c r="B2103" t="s">
        <v>2114</v>
      </c>
    </row>
    <row r="2104" spans="1:2">
      <c r="A2104" t="s">
        <v>6</v>
      </c>
      <c r="B2104" t="s">
        <v>2115</v>
      </c>
    </row>
    <row r="2105" spans="1:2">
      <c r="A2105" t="s">
        <v>495</v>
      </c>
      <c r="B2105" t="s">
        <v>2116</v>
      </c>
    </row>
    <row r="2106" spans="1:2">
      <c r="A2106" t="s">
        <v>107</v>
      </c>
      <c r="B2106" t="s">
        <v>2117</v>
      </c>
    </row>
    <row r="2107" spans="1:2">
      <c r="A2107" t="s">
        <v>6</v>
      </c>
      <c r="B2107" t="s">
        <v>2118</v>
      </c>
    </row>
    <row r="2108" spans="1:2">
      <c r="A2108" t="s">
        <v>29</v>
      </c>
      <c r="B2108" t="s">
        <v>2119</v>
      </c>
    </row>
    <row r="2109" spans="1:2">
      <c r="A2109" t="s">
        <v>56</v>
      </c>
      <c r="B2109" t="s">
        <v>2120</v>
      </c>
    </row>
    <row r="2110" spans="1:2">
      <c r="A2110" t="s">
        <v>22</v>
      </c>
      <c r="B2110" t="s">
        <v>2121</v>
      </c>
    </row>
    <row r="2111" spans="1:2">
      <c r="A2111" t="s">
        <v>42</v>
      </c>
      <c r="B2111" t="s">
        <v>2122</v>
      </c>
    </row>
    <row r="2112" spans="1:2">
      <c r="A2112" t="s">
        <v>114</v>
      </c>
      <c r="B2112" t="s">
        <v>2123</v>
      </c>
    </row>
    <row r="2113" spans="1:2">
      <c r="A2113" t="s">
        <v>29</v>
      </c>
      <c r="B2113" t="s">
        <v>2124</v>
      </c>
    </row>
    <row r="2114" spans="1:2">
      <c r="A2114" t="s">
        <v>103</v>
      </c>
      <c r="B2114" t="s">
        <v>2125</v>
      </c>
    </row>
    <row r="2115" spans="1:2">
      <c r="A2115" t="s">
        <v>22</v>
      </c>
      <c r="B2115" t="s">
        <v>2126</v>
      </c>
    </row>
    <row r="2116" spans="1:2">
      <c r="A2116" t="s">
        <v>6</v>
      </c>
      <c r="B2116" t="s">
        <v>2127</v>
      </c>
    </row>
    <row r="2117" spans="1:2">
      <c r="A2117" t="s">
        <v>152</v>
      </c>
      <c r="B2117" t="s">
        <v>2128</v>
      </c>
    </row>
    <row r="2118" spans="1:2">
      <c r="A2118" t="s">
        <v>8</v>
      </c>
      <c r="B2118" t="s">
        <v>2129</v>
      </c>
    </row>
    <row r="2119" spans="1:2">
      <c r="A2119" t="s">
        <v>68</v>
      </c>
      <c r="B2119" t="s">
        <v>2130</v>
      </c>
    </row>
    <row r="2120" spans="1:2">
      <c r="A2120" t="s">
        <v>48</v>
      </c>
      <c r="B2120" t="s">
        <v>2131</v>
      </c>
    </row>
    <row r="2121" spans="1:2">
      <c r="A2121" t="s">
        <v>18</v>
      </c>
      <c r="B2121" t="s">
        <v>2132</v>
      </c>
    </row>
    <row r="2122" spans="1:2">
      <c r="A2122" t="s">
        <v>223</v>
      </c>
      <c r="B2122" t="s">
        <v>2133</v>
      </c>
    </row>
    <row r="2123" spans="1:2">
      <c r="A2123" t="s">
        <v>160</v>
      </c>
      <c r="B2123" t="s">
        <v>2134</v>
      </c>
    </row>
    <row r="2124" spans="1:2">
      <c r="A2124" t="s">
        <v>39</v>
      </c>
      <c r="B2124" t="s">
        <v>2135</v>
      </c>
    </row>
    <row r="2125" spans="1:2">
      <c r="A2125" t="s">
        <v>107</v>
      </c>
      <c r="B2125" t="s">
        <v>1409</v>
      </c>
    </row>
    <row r="2126" spans="1:2">
      <c r="A2126" t="s">
        <v>77</v>
      </c>
      <c r="B2126" t="s">
        <v>2136</v>
      </c>
    </row>
    <row r="2127" spans="1:2">
      <c r="A2127" t="s">
        <v>6</v>
      </c>
      <c r="B2127" t="s">
        <v>2137</v>
      </c>
    </row>
    <row r="2128" spans="1:2">
      <c r="A2128" t="s">
        <v>107</v>
      </c>
      <c r="B2128" t="s">
        <v>2138</v>
      </c>
    </row>
    <row r="2129" spans="1:2">
      <c r="A2129" t="s">
        <v>6</v>
      </c>
      <c r="B2129" t="s">
        <v>2139</v>
      </c>
    </row>
    <row r="2130" spans="1:2">
      <c r="A2130" t="s">
        <v>33</v>
      </c>
      <c r="B2130" t="s">
        <v>527</v>
      </c>
    </row>
    <row r="2131" spans="1:2">
      <c r="A2131" t="s">
        <v>46</v>
      </c>
      <c r="B2131" t="s">
        <v>2140</v>
      </c>
    </row>
    <row r="2132" spans="1:2">
      <c r="A2132" t="s">
        <v>973</v>
      </c>
      <c r="B2132" t="s">
        <v>2141</v>
      </c>
    </row>
    <row r="2133" spans="1:2">
      <c r="A2133" t="s">
        <v>12</v>
      </c>
      <c r="B2133" t="s">
        <v>2142</v>
      </c>
    </row>
    <row r="2134" spans="1:2">
      <c r="A2134" t="s">
        <v>6</v>
      </c>
      <c r="B2134" t="s">
        <v>83</v>
      </c>
    </row>
    <row r="2135" spans="1:2">
      <c r="A2135" t="s">
        <v>6</v>
      </c>
      <c r="B2135" t="s">
        <v>2143</v>
      </c>
    </row>
    <row r="2136" spans="1:2">
      <c r="A2136" t="s">
        <v>77</v>
      </c>
      <c r="B2136" t="s">
        <v>2144</v>
      </c>
    </row>
    <row r="2137" spans="1:2">
      <c r="A2137" t="s">
        <v>22</v>
      </c>
      <c r="B2137" t="s">
        <v>1121</v>
      </c>
    </row>
    <row r="2138" spans="1:2">
      <c r="A2138" t="s">
        <v>68</v>
      </c>
      <c r="B2138" t="s">
        <v>2145</v>
      </c>
    </row>
    <row r="2139" spans="1:2">
      <c r="A2139" t="s">
        <v>50</v>
      </c>
      <c r="B2139" t="s">
        <v>2146</v>
      </c>
    </row>
    <row r="2140" spans="1:2">
      <c r="A2140" t="s">
        <v>6</v>
      </c>
      <c r="B2140" t="s">
        <v>2147</v>
      </c>
    </row>
    <row r="2141" spans="1:2">
      <c r="A2141" t="s">
        <v>8</v>
      </c>
      <c r="B2141" t="s">
        <v>2148</v>
      </c>
    </row>
    <row r="2142" spans="1:2">
      <c r="A2142" t="s">
        <v>6</v>
      </c>
      <c r="B2142" t="s">
        <v>2149</v>
      </c>
    </row>
    <row r="2143" spans="1:2">
      <c r="A2143" t="s">
        <v>42</v>
      </c>
      <c r="B2143" t="s">
        <v>2150</v>
      </c>
    </row>
    <row r="2144" spans="1:2">
      <c r="A2144" t="s">
        <v>588</v>
      </c>
      <c r="B2144" t="s">
        <v>2151</v>
      </c>
    </row>
    <row r="2145" spans="1:2">
      <c r="A2145" t="s">
        <v>6</v>
      </c>
      <c r="B2145" t="s">
        <v>2152</v>
      </c>
    </row>
    <row r="2146" spans="1:2">
      <c r="A2146" t="s">
        <v>6</v>
      </c>
      <c r="B2146" t="s">
        <v>2153</v>
      </c>
    </row>
    <row r="2147" spans="1:2">
      <c r="A2147" t="s">
        <v>18</v>
      </c>
      <c r="B2147" t="s">
        <v>2154</v>
      </c>
    </row>
    <row r="2148" spans="1:2">
      <c r="A2148" t="s">
        <v>18</v>
      </c>
      <c r="B2148" t="s">
        <v>2155</v>
      </c>
    </row>
    <row r="2149" spans="1:2">
      <c r="A2149" t="s">
        <v>14</v>
      </c>
      <c r="B2149" t="s">
        <v>2156</v>
      </c>
    </row>
    <row r="2150" spans="1:2">
      <c r="A2150" t="s">
        <v>6</v>
      </c>
      <c r="B2150" t="s">
        <v>191</v>
      </c>
    </row>
    <row r="2151" spans="1:2">
      <c r="A2151" t="s">
        <v>854</v>
      </c>
      <c r="B2151" t="s">
        <v>2157</v>
      </c>
    </row>
    <row r="2152" spans="1:2">
      <c r="A2152" t="s">
        <v>68</v>
      </c>
      <c r="B2152" t="s">
        <v>2158</v>
      </c>
    </row>
    <row r="2153" spans="1:2">
      <c r="A2153" t="s">
        <v>107</v>
      </c>
      <c r="B2153" t="s">
        <v>2159</v>
      </c>
    </row>
    <row r="2154" spans="1:2">
      <c r="A2154" t="s">
        <v>154</v>
      </c>
      <c r="B2154" t="s">
        <v>2160</v>
      </c>
    </row>
    <row r="2155" spans="1:2">
      <c r="A2155" t="s">
        <v>14</v>
      </c>
      <c r="B2155" t="s">
        <v>2161</v>
      </c>
    </row>
    <row r="2156" spans="1:2">
      <c r="A2156" t="s">
        <v>103</v>
      </c>
      <c r="B2156" t="s">
        <v>2162</v>
      </c>
    </row>
    <row r="2157" spans="1:2">
      <c r="A2157" t="s">
        <v>18</v>
      </c>
      <c r="B2157" t="s">
        <v>2163</v>
      </c>
    </row>
    <row r="2158" spans="1:2">
      <c r="A2158" t="s">
        <v>18</v>
      </c>
      <c r="B2158" t="s">
        <v>2164</v>
      </c>
    </row>
    <row r="2159" spans="1:2">
      <c r="A2159" t="s">
        <v>56</v>
      </c>
      <c r="B2159" t="s">
        <v>152</v>
      </c>
    </row>
    <row r="2160" spans="1:2">
      <c r="A2160" t="s">
        <v>42</v>
      </c>
      <c r="B2160" t="s">
        <v>2165</v>
      </c>
    </row>
    <row r="2161" spans="1:2">
      <c r="A2161" t="s">
        <v>8</v>
      </c>
      <c r="B2161" t="s">
        <v>2166</v>
      </c>
    </row>
    <row r="2162" spans="1:2">
      <c r="A2162" t="s">
        <v>1105</v>
      </c>
      <c r="B2162" t="s">
        <v>2167</v>
      </c>
    </row>
    <row r="2163" spans="1:2">
      <c r="A2163" t="s">
        <v>103</v>
      </c>
      <c r="B2163" t="s">
        <v>2168</v>
      </c>
    </row>
    <row r="2164" spans="1:2">
      <c r="A2164" t="s">
        <v>160</v>
      </c>
      <c r="B2164" t="s">
        <v>2169</v>
      </c>
    </row>
    <row r="2165" spans="1:2">
      <c r="A2165" t="s">
        <v>6</v>
      </c>
      <c r="B2165" t="s">
        <v>2170</v>
      </c>
    </row>
    <row r="2166" spans="1:2">
      <c r="A2166" t="s">
        <v>18</v>
      </c>
      <c r="B2166" t="s">
        <v>2171</v>
      </c>
    </row>
    <row r="2167" spans="1:2">
      <c r="A2167" t="s">
        <v>309</v>
      </c>
      <c r="B2167" t="s">
        <v>2172</v>
      </c>
    </row>
    <row r="2168" spans="1:2">
      <c r="A2168" t="s">
        <v>154</v>
      </c>
      <c r="B2168" t="s">
        <v>2173</v>
      </c>
    </row>
    <row r="2169" spans="1:2">
      <c r="A2169" t="s">
        <v>105</v>
      </c>
      <c r="B2169" t="s">
        <v>2174</v>
      </c>
    </row>
    <row r="2170" spans="1:2">
      <c r="A2170" t="s">
        <v>6</v>
      </c>
      <c r="B2170" t="s">
        <v>2175</v>
      </c>
    </row>
    <row r="2171" spans="1:2">
      <c r="A2171" t="s">
        <v>112</v>
      </c>
      <c r="B2171" t="s">
        <v>2176</v>
      </c>
    </row>
    <row r="2172" spans="1:2">
      <c r="A2172" t="s">
        <v>6</v>
      </c>
      <c r="B2172" t="s">
        <v>2177</v>
      </c>
    </row>
    <row r="2173" spans="1:2">
      <c r="A2173" t="s">
        <v>485</v>
      </c>
      <c r="B2173" t="s">
        <v>2178</v>
      </c>
    </row>
    <row r="2174" spans="1:2">
      <c r="A2174" t="s">
        <v>105</v>
      </c>
      <c r="B2174" t="s">
        <v>2179</v>
      </c>
    </row>
    <row r="2175" spans="1:2">
      <c r="A2175" t="s">
        <v>18</v>
      </c>
      <c r="B2175" t="s">
        <v>1132</v>
      </c>
    </row>
    <row r="2176" spans="1:2">
      <c r="A2176" t="s">
        <v>6</v>
      </c>
      <c r="B2176" t="s">
        <v>2180</v>
      </c>
    </row>
    <row r="2177" spans="1:2">
      <c r="A2177" t="s">
        <v>6</v>
      </c>
      <c r="B2177" t="s">
        <v>2181</v>
      </c>
    </row>
    <row r="2178" spans="1:2">
      <c r="A2178" t="s">
        <v>6</v>
      </c>
      <c r="B2178" t="s">
        <v>2182</v>
      </c>
    </row>
    <row r="2179" spans="1:2">
      <c r="A2179" t="s">
        <v>4</v>
      </c>
      <c r="B2179" t="s">
        <v>2183</v>
      </c>
    </row>
    <row r="2180" spans="1:2">
      <c r="A2180" t="s">
        <v>1938</v>
      </c>
      <c r="B2180" t="s">
        <v>2184</v>
      </c>
    </row>
    <row r="2181" spans="1:2">
      <c r="A2181" t="s">
        <v>112</v>
      </c>
      <c r="B2181" t="s">
        <v>2185</v>
      </c>
    </row>
    <row r="2182" spans="1:2">
      <c r="A2182" t="s">
        <v>137</v>
      </c>
      <c r="B2182" t="s">
        <v>2186</v>
      </c>
    </row>
    <row r="2183" spans="1:2">
      <c r="A2183" t="s">
        <v>103</v>
      </c>
      <c r="B2183" t="s">
        <v>2187</v>
      </c>
    </row>
    <row r="2184" spans="1:2">
      <c r="A2184" t="s">
        <v>42</v>
      </c>
      <c r="B2184" t="s">
        <v>2188</v>
      </c>
    </row>
    <row r="2185" spans="1:2">
      <c r="A2185" t="s">
        <v>68</v>
      </c>
      <c r="B2185" t="s">
        <v>2189</v>
      </c>
    </row>
    <row r="2186" spans="1:2">
      <c r="A2186" t="s">
        <v>6</v>
      </c>
      <c r="B2186" t="s">
        <v>2190</v>
      </c>
    </row>
    <row r="2187" spans="1:2">
      <c r="A2187" t="s">
        <v>46</v>
      </c>
      <c r="B2187" t="s">
        <v>2191</v>
      </c>
    </row>
    <row r="2188" spans="1:2">
      <c r="A2188" t="s">
        <v>6</v>
      </c>
      <c r="B2188" t="s">
        <v>2192</v>
      </c>
    </row>
    <row r="2189" spans="1:2">
      <c r="A2189" t="s">
        <v>18</v>
      </c>
      <c r="B2189" t="s">
        <v>2193</v>
      </c>
    </row>
    <row r="2190" spans="1:2">
      <c r="A2190" t="s">
        <v>18</v>
      </c>
      <c r="B2190" t="s">
        <v>2194</v>
      </c>
    </row>
    <row r="2191" spans="1:2">
      <c r="A2191" t="s">
        <v>56</v>
      </c>
      <c r="B2191" t="s">
        <v>2195</v>
      </c>
    </row>
    <row r="2192" spans="1:2">
      <c r="A2192" t="s">
        <v>18</v>
      </c>
      <c r="B2192" t="s">
        <v>2196</v>
      </c>
    </row>
    <row r="2193" spans="1:2">
      <c r="A2193" t="s">
        <v>8</v>
      </c>
      <c r="B2193" t="s">
        <v>2197</v>
      </c>
    </row>
    <row r="2194" spans="1:2">
      <c r="A2194" t="s">
        <v>39</v>
      </c>
      <c r="B2194" t="s">
        <v>2198</v>
      </c>
    </row>
    <row r="2195" spans="1:2">
      <c r="A2195" t="s">
        <v>56</v>
      </c>
      <c r="B2195" t="s">
        <v>12</v>
      </c>
    </row>
    <row r="2196" spans="1:2">
      <c r="A2196" t="s">
        <v>6</v>
      </c>
      <c r="B2196" t="s">
        <v>2199</v>
      </c>
    </row>
    <row r="2197" spans="1:2">
      <c r="A2197" t="s">
        <v>137</v>
      </c>
      <c r="B2197" t="s">
        <v>2200</v>
      </c>
    </row>
    <row r="2198" spans="1:2">
      <c r="A2198" t="s">
        <v>6</v>
      </c>
      <c r="B2198" t="s">
        <v>2201</v>
      </c>
    </row>
    <row r="2199" spans="1:2">
      <c r="A2199" t="s">
        <v>6</v>
      </c>
      <c r="B2199" t="s">
        <v>2202</v>
      </c>
    </row>
    <row r="2200" spans="1:2">
      <c r="A2200" t="s">
        <v>33</v>
      </c>
      <c r="B2200" t="s">
        <v>2203</v>
      </c>
    </row>
    <row r="2201" spans="1:2">
      <c r="A2201" t="s">
        <v>103</v>
      </c>
      <c r="B2201" t="s">
        <v>2204</v>
      </c>
    </row>
    <row r="2202" spans="1:2">
      <c r="A2202" t="s">
        <v>18</v>
      </c>
      <c r="B2202" t="s">
        <v>2205</v>
      </c>
    </row>
    <row r="2203" spans="1:2">
      <c r="A2203" t="s">
        <v>107</v>
      </c>
      <c r="B2203" t="s">
        <v>2206</v>
      </c>
    </row>
    <row r="2204" spans="1:2">
      <c r="A2204" t="s">
        <v>14</v>
      </c>
      <c r="B2204" t="s">
        <v>628</v>
      </c>
    </row>
    <row r="2205" spans="1:2">
      <c r="A2205" t="s">
        <v>6</v>
      </c>
      <c r="B2205" t="s">
        <v>2207</v>
      </c>
    </row>
    <row r="2206" spans="1:2">
      <c r="A2206" t="s">
        <v>134</v>
      </c>
      <c r="B2206" t="s">
        <v>2208</v>
      </c>
    </row>
    <row r="2207" spans="1:2">
      <c r="A2207" t="s">
        <v>105</v>
      </c>
      <c r="B2207" t="s">
        <v>2209</v>
      </c>
    </row>
    <row r="2208" spans="1:2">
      <c r="A2208" t="s">
        <v>68</v>
      </c>
      <c r="B2208" t="s">
        <v>2210</v>
      </c>
    </row>
    <row r="2209" spans="1:2">
      <c r="A2209" t="s">
        <v>39</v>
      </c>
      <c r="B2209" t="s">
        <v>2211</v>
      </c>
    </row>
    <row r="2210" spans="1:2">
      <c r="A2210" t="s">
        <v>6</v>
      </c>
      <c r="B2210" t="s">
        <v>2212</v>
      </c>
    </row>
    <row r="2211" spans="1:2">
      <c r="A2211" t="s">
        <v>323</v>
      </c>
      <c r="B2211" t="s">
        <v>2213</v>
      </c>
    </row>
    <row r="2212" spans="1:2">
      <c r="A2212" t="s">
        <v>46</v>
      </c>
      <c r="B2212" t="s">
        <v>2214</v>
      </c>
    </row>
    <row r="2213" spans="1:2">
      <c r="A2213" t="s">
        <v>18</v>
      </c>
      <c r="B2213" t="s">
        <v>2215</v>
      </c>
    </row>
    <row r="2214" spans="1:2">
      <c r="A2214" t="s">
        <v>6</v>
      </c>
      <c r="B2214" t="s">
        <v>2216</v>
      </c>
    </row>
    <row r="2215" spans="1:2">
      <c r="A2215" t="s">
        <v>1938</v>
      </c>
      <c r="B2215" t="s">
        <v>2217</v>
      </c>
    </row>
    <row r="2216" spans="1:2">
      <c r="A2216" t="s">
        <v>191</v>
      </c>
      <c r="B2216" t="s">
        <v>1685</v>
      </c>
    </row>
    <row r="2217" spans="1:2">
      <c r="A2217" t="s">
        <v>6</v>
      </c>
      <c r="B2217" t="s">
        <v>2218</v>
      </c>
    </row>
    <row r="2218" spans="1:2">
      <c r="A2218" t="s">
        <v>77</v>
      </c>
      <c r="B2218" t="s">
        <v>2219</v>
      </c>
    </row>
    <row r="2219" spans="1:2">
      <c r="A2219" t="s">
        <v>22</v>
      </c>
      <c r="B2219" t="s">
        <v>288</v>
      </c>
    </row>
    <row r="2220" spans="1:2">
      <c r="A2220" t="s">
        <v>42</v>
      </c>
      <c r="B2220" t="s">
        <v>2220</v>
      </c>
    </row>
    <row r="2221" spans="1:2">
      <c r="A2221" t="s">
        <v>14</v>
      </c>
      <c r="B2221" t="s">
        <v>2221</v>
      </c>
    </row>
    <row r="2222" spans="1:2">
      <c r="A2222" t="s">
        <v>6</v>
      </c>
      <c r="B2222" t="s">
        <v>1150</v>
      </c>
    </row>
    <row r="2223" spans="1:2">
      <c r="A2223" t="s">
        <v>6</v>
      </c>
      <c r="B2223" t="s">
        <v>2222</v>
      </c>
    </row>
    <row r="2224" spans="1:2">
      <c r="A2224" t="s">
        <v>6</v>
      </c>
      <c r="B2224" t="s">
        <v>2223</v>
      </c>
    </row>
    <row r="2225" spans="1:2">
      <c r="A2225" t="s">
        <v>137</v>
      </c>
      <c r="B2225" t="s">
        <v>2224</v>
      </c>
    </row>
    <row r="2226" spans="1:2">
      <c r="A2226" t="s">
        <v>48</v>
      </c>
      <c r="B2226" t="s">
        <v>2225</v>
      </c>
    </row>
    <row r="2227" spans="1:2">
      <c r="A2227" t="s">
        <v>953</v>
      </c>
      <c r="B2227" t="s">
        <v>2226</v>
      </c>
    </row>
    <row r="2228" spans="1:2">
      <c r="A2228" t="s">
        <v>50</v>
      </c>
      <c r="B2228" t="s">
        <v>2227</v>
      </c>
    </row>
    <row r="2229" spans="1:2">
      <c r="A2229" t="s">
        <v>6</v>
      </c>
      <c r="B2229" t="s">
        <v>2228</v>
      </c>
    </row>
    <row r="2230" spans="1:2">
      <c r="A2230" t="s">
        <v>35</v>
      </c>
      <c r="B2230" t="s">
        <v>2229</v>
      </c>
    </row>
    <row r="2231" spans="1:2">
      <c r="A2231" t="s">
        <v>22</v>
      </c>
      <c r="B2231" t="s">
        <v>2230</v>
      </c>
    </row>
    <row r="2232" spans="1:2">
      <c r="A2232" t="s">
        <v>679</v>
      </c>
      <c r="B2232" t="s">
        <v>2231</v>
      </c>
    </row>
    <row r="2233" spans="1:2">
      <c r="A2233" t="s">
        <v>77</v>
      </c>
      <c r="B2233" t="s">
        <v>2232</v>
      </c>
    </row>
    <row r="2234" spans="1:2">
      <c r="A2234" t="s">
        <v>50</v>
      </c>
      <c r="B2234" t="s">
        <v>2233</v>
      </c>
    </row>
    <row r="2235" spans="1:2">
      <c r="A2235" t="s">
        <v>18</v>
      </c>
      <c r="B2235" t="s">
        <v>2234</v>
      </c>
    </row>
    <row r="2236" spans="1:2">
      <c r="A2236" t="s">
        <v>1105</v>
      </c>
      <c r="B2236" t="s">
        <v>1188</v>
      </c>
    </row>
    <row r="2237" spans="1:2">
      <c r="A2237" t="s">
        <v>62</v>
      </c>
      <c r="B2237" t="s">
        <v>2235</v>
      </c>
    </row>
    <row r="2238" spans="1:2">
      <c r="A2238" t="s">
        <v>8</v>
      </c>
      <c r="B2238" t="s">
        <v>2236</v>
      </c>
    </row>
    <row r="2239" spans="1:2">
      <c r="A2239" t="s">
        <v>12</v>
      </c>
      <c r="B2239" t="s">
        <v>2237</v>
      </c>
    </row>
    <row r="2240" spans="1:2">
      <c r="A2240" t="s">
        <v>8</v>
      </c>
      <c r="B2240" t="s">
        <v>2238</v>
      </c>
    </row>
    <row r="2241" spans="1:2">
      <c r="A2241" t="s">
        <v>6</v>
      </c>
      <c r="B2241" t="s">
        <v>2239</v>
      </c>
    </row>
    <row r="2242" spans="1:2">
      <c r="A2242" t="s">
        <v>56</v>
      </c>
      <c r="B2242" t="s">
        <v>2240</v>
      </c>
    </row>
    <row r="2243" spans="1:2">
      <c r="A2243" t="s">
        <v>18</v>
      </c>
      <c r="B2243" t="s">
        <v>953</v>
      </c>
    </row>
    <row r="2244" spans="1:2">
      <c r="A2244" t="s">
        <v>18</v>
      </c>
      <c r="B2244" t="s">
        <v>2241</v>
      </c>
    </row>
    <row r="2245" spans="1:2">
      <c r="A2245" t="s">
        <v>1246</v>
      </c>
      <c r="B2245" t="s">
        <v>2242</v>
      </c>
    </row>
    <row r="2246" spans="1:2">
      <c r="A2246" t="s">
        <v>6</v>
      </c>
      <c r="B2246" t="s">
        <v>2243</v>
      </c>
    </row>
    <row r="2247" spans="1:2">
      <c r="A2247" t="s">
        <v>137</v>
      </c>
      <c r="B2247" t="s">
        <v>2244</v>
      </c>
    </row>
    <row r="2248" spans="1:2">
      <c r="A2248" t="s">
        <v>50</v>
      </c>
      <c r="B2248" t="s">
        <v>2245</v>
      </c>
    </row>
    <row r="2249" spans="1:2">
      <c r="A2249" t="s">
        <v>68</v>
      </c>
      <c r="B2249" t="s">
        <v>2246</v>
      </c>
    </row>
    <row r="2250" spans="1:2">
      <c r="A2250" t="s">
        <v>18</v>
      </c>
      <c r="B2250" t="s">
        <v>2247</v>
      </c>
    </row>
    <row r="2251" spans="1:2">
      <c r="A2251" t="s">
        <v>6</v>
      </c>
      <c r="B2251" t="s">
        <v>2248</v>
      </c>
    </row>
    <row r="2252" spans="1:2">
      <c r="A2252" t="s">
        <v>1699</v>
      </c>
      <c r="B2252" t="s">
        <v>2249</v>
      </c>
    </row>
    <row r="2253" spans="1:2">
      <c r="A2253" t="s">
        <v>6</v>
      </c>
      <c r="B2253" t="s">
        <v>2250</v>
      </c>
    </row>
    <row r="2254" spans="1:2">
      <c r="A2254" t="s">
        <v>20</v>
      </c>
      <c r="B2254" t="s">
        <v>2251</v>
      </c>
    </row>
    <row r="2255" spans="1:2">
      <c r="A2255" t="s">
        <v>6</v>
      </c>
      <c r="B2255" t="s">
        <v>2252</v>
      </c>
    </row>
    <row r="2256" spans="1:2">
      <c r="A2256" t="s">
        <v>56</v>
      </c>
      <c r="B2256" t="s">
        <v>2253</v>
      </c>
    </row>
    <row r="2257" spans="1:2">
      <c r="A2257" t="s">
        <v>6</v>
      </c>
      <c r="B2257" t="s">
        <v>2254</v>
      </c>
    </row>
    <row r="2258" spans="1:2">
      <c r="A2258" t="s">
        <v>8</v>
      </c>
      <c r="B2258" t="s">
        <v>2255</v>
      </c>
    </row>
    <row r="2259" spans="1:2">
      <c r="A2259" t="s">
        <v>48</v>
      </c>
      <c r="B2259" t="s">
        <v>2256</v>
      </c>
    </row>
    <row r="2260" spans="1:2">
      <c r="A2260" t="s">
        <v>56</v>
      </c>
      <c r="B2260" t="s">
        <v>2257</v>
      </c>
    </row>
    <row r="2261" spans="1:2">
      <c r="A2261" t="s">
        <v>83</v>
      </c>
      <c r="B2261" t="s">
        <v>2258</v>
      </c>
    </row>
    <row r="2262" spans="1:2">
      <c r="A2262" t="s">
        <v>39</v>
      </c>
      <c r="B2262" t="s">
        <v>2259</v>
      </c>
    </row>
    <row r="2263" spans="1:2">
      <c r="A2263" t="s">
        <v>6</v>
      </c>
      <c r="B2263" t="s">
        <v>2260</v>
      </c>
    </row>
    <row r="2264" spans="1:2">
      <c r="A2264" t="s">
        <v>22</v>
      </c>
      <c r="B2264" t="s">
        <v>2261</v>
      </c>
    </row>
    <row r="2265" spans="1:2">
      <c r="A2265" t="s">
        <v>6</v>
      </c>
      <c r="B2265" t="s">
        <v>2262</v>
      </c>
    </row>
    <row r="2266" spans="1:2">
      <c r="A2266" t="s">
        <v>56</v>
      </c>
      <c r="B2266" t="s">
        <v>314</v>
      </c>
    </row>
    <row r="2267" spans="1:2">
      <c r="A2267" t="s">
        <v>6</v>
      </c>
      <c r="B2267" t="s">
        <v>2263</v>
      </c>
    </row>
    <row r="2268" spans="1:2">
      <c r="A2268" t="s">
        <v>50</v>
      </c>
      <c r="B2268" t="s">
        <v>2264</v>
      </c>
    </row>
    <row r="2269" spans="1:2">
      <c r="A2269" t="s">
        <v>6</v>
      </c>
      <c r="B2269" t="s">
        <v>2265</v>
      </c>
    </row>
    <row r="2270" spans="1:2">
      <c r="A2270" t="s">
        <v>112</v>
      </c>
      <c r="B2270" t="s">
        <v>2266</v>
      </c>
    </row>
    <row r="2271" spans="1:2">
      <c r="A2271" t="s">
        <v>68</v>
      </c>
      <c r="B2271" t="s">
        <v>2267</v>
      </c>
    </row>
    <row r="2272" spans="1:2">
      <c r="A2272" t="s">
        <v>48</v>
      </c>
      <c r="B2272" t="s">
        <v>2268</v>
      </c>
    </row>
    <row r="2273" spans="1:2">
      <c r="A2273" t="s">
        <v>18</v>
      </c>
      <c r="B2273" t="s">
        <v>2269</v>
      </c>
    </row>
    <row r="2274" spans="1:2">
      <c r="A2274" t="s">
        <v>6</v>
      </c>
      <c r="B2274" t="s">
        <v>2270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V27"/>
  <sheetViews>
    <sheetView workbookViewId="0">
      <selection activeCell="FM27" sqref="FM27"/>
    </sheetView>
  </sheetViews>
  <sheetFormatPr defaultRowHeight="15"/>
  <sheetData>
    <row r="1" spans="1:256">
      <c r="A1" t="e">
        <f>IF(Ischemia_25percent_output_edgel!1:1,"AAAAAFyaXwA=",0)</f>
        <v>#VALUE!</v>
      </c>
      <c r="B1" t="e">
        <f>AND(Ischemia_25percent_output_edgel!A1,"AAAAAFyaXwE=")</f>
        <v>#VALUE!</v>
      </c>
      <c r="C1" t="e">
        <f>AND(Ischemia_25percent_output_edgel!B1,"AAAAAFyaXwI=")</f>
        <v>#VALUE!</v>
      </c>
      <c r="D1">
        <f>IF(Ischemia_25percent_output_edgel!2:2,"AAAAAFyaXwM=",0)</f>
        <v>0</v>
      </c>
      <c r="E1" t="e">
        <f>AND(Ischemia_25percent_output_edgel!A2,"AAAAAFyaXwQ=")</f>
        <v>#VALUE!</v>
      </c>
      <c r="F1" t="e">
        <f>AND(Ischemia_25percent_output_edgel!B2,"AAAAAFyaXwU=")</f>
        <v>#VALUE!</v>
      </c>
      <c r="G1">
        <f>IF(Ischemia_25percent_output_edgel!3:3,"AAAAAFyaXwY=",0)</f>
        <v>0</v>
      </c>
      <c r="H1" t="e">
        <f>AND(Ischemia_25percent_output_edgel!A3,"AAAAAFyaXwc=")</f>
        <v>#VALUE!</v>
      </c>
      <c r="I1" t="e">
        <f>AND(Ischemia_25percent_output_edgel!B3,"AAAAAFyaXwg=")</f>
        <v>#VALUE!</v>
      </c>
      <c r="J1">
        <f>IF(Ischemia_25percent_output_edgel!4:4,"AAAAAFyaXwk=",0)</f>
        <v>0</v>
      </c>
      <c r="K1" t="e">
        <f>AND(Ischemia_25percent_output_edgel!A4,"AAAAAFyaXwo=")</f>
        <v>#VALUE!</v>
      </c>
      <c r="L1" t="e">
        <f>AND(Ischemia_25percent_output_edgel!B4,"AAAAAFyaXws=")</f>
        <v>#VALUE!</v>
      </c>
      <c r="M1">
        <f>IF(Ischemia_25percent_output_edgel!5:5,"AAAAAFyaXww=",0)</f>
        <v>0</v>
      </c>
      <c r="N1" t="e">
        <f>AND(Ischemia_25percent_output_edgel!A5,"AAAAAFyaXw0=")</f>
        <v>#VALUE!</v>
      </c>
      <c r="O1" t="e">
        <f>AND(Ischemia_25percent_output_edgel!B5,"AAAAAFyaXw4=")</f>
        <v>#VALUE!</v>
      </c>
      <c r="P1">
        <f>IF(Ischemia_25percent_output_edgel!6:6,"AAAAAFyaXw8=",0)</f>
        <v>0</v>
      </c>
      <c r="Q1" t="e">
        <f>AND(Ischemia_25percent_output_edgel!A6,"AAAAAFyaXxA=")</f>
        <v>#VALUE!</v>
      </c>
      <c r="R1" t="e">
        <f>AND(Ischemia_25percent_output_edgel!B6,"AAAAAFyaXxE=")</f>
        <v>#VALUE!</v>
      </c>
      <c r="S1">
        <f>IF(Ischemia_25percent_output_edgel!7:7,"AAAAAFyaXxI=",0)</f>
        <v>0</v>
      </c>
      <c r="T1" t="e">
        <f>AND(Ischemia_25percent_output_edgel!A7,"AAAAAFyaXxM=")</f>
        <v>#VALUE!</v>
      </c>
      <c r="U1" t="e">
        <f>AND(Ischemia_25percent_output_edgel!B7,"AAAAAFyaXxQ=")</f>
        <v>#VALUE!</v>
      </c>
      <c r="V1">
        <f>IF(Ischemia_25percent_output_edgel!8:8,"AAAAAFyaXxU=",0)</f>
        <v>0</v>
      </c>
      <c r="W1" t="e">
        <f>AND(Ischemia_25percent_output_edgel!A8,"AAAAAFyaXxY=")</f>
        <v>#VALUE!</v>
      </c>
      <c r="X1" t="e">
        <f>AND(Ischemia_25percent_output_edgel!B8,"AAAAAFyaXxc=")</f>
        <v>#VALUE!</v>
      </c>
      <c r="Y1">
        <f>IF(Ischemia_25percent_output_edgel!9:9,"AAAAAFyaXxg=",0)</f>
        <v>0</v>
      </c>
      <c r="Z1" t="e">
        <f>AND(Ischemia_25percent_output_edgel!A9,"AAAAAFyaXxk=")</f>
        <v>#VALUE!</v>
      </c>
      <c r="AA1" t="e">
        <f>AND(Ischemia_25percent_output_edgel!B9,"AAAAAFyaXxo=")</f>
        <v>#VALUE!</v>
      </c>
      <c r="AB1">
        <f>IF(Ischemia_25percent_output_edgel!10:10,"AAAAAFyaXxs=",0)</f>
        <v>0</v>
      </c>
      <c r="AC1" t="e">
        <f>AND(Ischemia_25percent_output_edgel!A10,"AAAAAFyaXxw=")</f>
        <v>#VALUE!</v>
      </c>
      <c r="AD1" t="e">
        <f>AND(Ischemia_25percent_output_edgel!B10,"AAAAAFyaXx0=")</f>
        <v>#VALUE!</v>
      </c>
      <c r="AE1">
        <f>IF(Ischemia_25percent_output_edgel!11:11,"AAAAAFyaXx4=",0)</f>
        <v>0</v>
      </c>
      <c r="AF1" t="e">
        <f>AND(Ischemia_25percent_output_edgel!A11,"AAAAAFyaXx8=")</f>
        <v>#VALUE!</v>
      </c>
      <c r="AG1" t="e">
        <f>AND(Ischemia_25percent_output_edgel!B11,"AAAAAFyaXyA=")</f>
        <v>#VALUE!</v>
      </c>
      <c r="AH1">
        <f>IF(Ischemia_25percent_output_edgel!12:12,"AAAAAFyaXyE=",0)</f>
        <v>0</v>
      </c>
      <c r="AI1" t="e">
        <f>AND(Ischemia_25percent_output_edgel!A12,"AAAAAFyaXyI=")</f>
        <v>#VALUE!</v>
      </c>
      <c r="AJ1" t="e">
        <f>AND(Ischemia_25percent_output_edgel!B12,"AAAAAFyaXyM=")</f>
        <v>#VALUE!</v>
      </c>
      <c r="AK1">
        <f>IF(Ischemia_25percent_output_edgel!13:13,"AAAAAFyaXyQ=",0)</f>
        <v>0</v>
      </c>
      <c r="AL1" t="e">
        <f>AND(Ischemia_25percent_output_edgel!A13,"AAAAAFyaXyU=")</f>
        <v>#VALUE!</v>
      </c>
      <c r="AM1" t="e">
        <f>AND(Ischemia_25percent_output_edgel!B13,"AAAAAFyaXyY=")</f>
        <v>#VALUE!</v>
      </c>
      <c r="AN1">
        <f>IF(Ischemia_25percent_output_edgel!14:14,"AAAAAFyaXyc=",0)</f>
        <v>0</v>
      </c>
      <c r="AO1" t="e">
        <f>AND(Ischemia_25percent_output_edgel!A14,"AAAAAFyaXyg=")</f>
        <v>#VALUE!</v>
      </c>
      <c r="AP1" t="e">
        <f>AND(Ischemia_25percent_output_edgel!B14,"AAAAAFyaXyk=")</f>
        <v>#VALUE!</v>
      </c>
      <c r="AQ1">
        <f>IF(Ischemia_25percent_output_edgel!15:15,"AAAAAFyaXyo=",0)</f>
        <v>0</v>
      </c>
      <c r="AR1" t="e">
        <f>AND(Ischemia_25percent_output_edgel!A15,"AAAAAFyaXys=")</f>
        <v>#VALUE!</v>
      </c>
      <c r="AS1" t="e">
        <f>AND(Ischemia_25percent_output_edgel!B15,"AAAAAFyaXyw=")</f>
        <v>#VALUE!</v>
      </c>
      <c r="AT1">
        <f>IF(Ischemia_25percent_output_edgel!16:16,"AAAAAFyaXy0=",0)</f>
        <v>0</v>
      </c>
      <c r="AU1" t="e">
        <f>AND(Ischemia_25percent_output_edgel!A16,"AAAAAFyaXy4=")</f>
        <v>#VALUE!</v>
      </c>
      <c r="AV1" t="e">
        <f>AND(Ischemia_25percent_output_edgel!B16,"AAAAAFyaXy8=")</f>
        <v>#VALUE!</v>
      </c>
      <c r="AW1">
        <f>IF(Ischemia_25percent_output_edgel!17:17,"AAAAAFyaXzA=",0)</f>
        <v>0</v>
      </c>
      <c r="AX1" t="e">
        <f>AND(Ischemia_25percent_output_edgel!A17,"AAAAAFyaXzE=")</f>
        <v>#VALUE!</v>
      </c>
      <c r="AY1" t="e">
        <f>AND(Ischemia_25percent_output_edgel!B17,"AAAAAFyaXzI=")</f>
        <v>#VALUE!</v>
      </c>
      <c r="AZ1">
        <f>IF(Ischemia_25percent_output_edgel!18:18,"AAAAAFyaXzM=",0)</f>
        <v>0</v>
      </c>
      <c r="BA1" t="e">
        <f>AND(Ischemia_25percent_output_edgel!A18,"AAAAAFyaXzQ=")</f>
        <v>#VALUE!</v>
      </c>
      <c r="BB1" t="e">
        <f>AND(Ischemia_25percent_output_edgel!B18,"AAAAAFyaXzU=")</f>
        <v>#VALUE!</v>
      </c>
      <c r="BC1">
        <f>IF(Ischemia_25percent_output_edgel!19:19,"AAAAAFyaXzY=",0)</f>
        <v>0</v>
      </c>
      <c r="BD1" t="e">
        <f>AND(Ischemia_25percent_output_edgel!A19,"AAAAAFyaXzc=")</f>
        <v>#VALUE!</v>
      </c>
      <c r="BE1" t="e">
        <f>AND(Ischemia_25percent_output_edgel!B19,"AAAAAFyaXzg=")</f>
        <v>#VALUE!</v>
      </c>
      <c r="BF1">
        <f>IF(Ischemia_25percent_output_edgel!20:20,"AAAAAFyaXzk=",0)</f>
        <v>0</v>
      </c>
      <c r="BG1" t="e">
        <f>AND(Ischemia_25percent_output_edgel!A20,"AAAAAFyaXzo=")</f>
        <v>#VALUE!</v>
      </c>
      <c r="BH1" t="e">
        <f>AND(Ischemia_25percent_output_edgel!B20,"AAAAAFyaXzs=")</f>
        <v>#VALUE!</v>
      </c>
      <c r="BI1">
        <f>IF(Ischemia_25percent_output_edgel!21:21,"AAAAAFyaXzw=",0)</f>
        <v>0</v>
      </c>
      <c r="BJ1" t="e">
        <f>AND(Ischemia_25percent_output_edgel!A21,"AAAAAFyaXz0=")</f>
        <v>#VALUE!</v>
      </c>
      <c r="BK1" t="e">
        <f>AND(Ischemia_25percent_output_edgel!B21,"AAAAAFyaXz4=")</f>
        <v>#VALUE!</v>
      </c>
      <c r="BL1">
        <f>IF(Ischemia_25percent_output_edgel!22:22,"AAAAAFyaXz8=",0)</f>
        <v>0</v>
      </c>
      <c r="BM1" t="e">
        <f>AND(Ischemia_25percent_output_edgel!A22,"AAAAAFyaX0A=")</f>
        <v>#VALUE!</v>
      </c>
      <c r="BN1" t="e">
        <f>AND(Ischemia_25percent_output_edgel!B22,"AAAAAFyaX0E=")</f>
        <v>#VALUE!</v>
      </c>
      <c r="BO1">
        <f>IF(Ischemia_25percent_output_edgel!23:23,"AAAAAFyaX0I=",0)</f>
        <v>0</v>
      </c>
      <c r="BP1" t="e">
        <f>AND(Ischemia_25percent_output_edgel!A23,"AAAAAFyaX0M=")</f>
        <v>#VALUE!</v>
      </c>
      <c r="BQ1" t="e">
        <f>AND(Ischemia_25percent_output_edgel!B23,"AAAAAFyaX0Q=")</f>
        <v>#VALUE!</v>
      </c>
      <c r="BR1">
        <f>IF(Ischemia_25percent_output_edgel!24:24,"AAAAAFyaX0U=",0)</f>
        <v>0</v>
      </c>
      <c r="BS1" t="e">
        <f>AND(Ischemia_25percent_output_edgel!A24,"AAAAAFyaX0Y=")</f>
        <v>#VALUE!</v>
      </c>
      <c r="BT1" t="e">
        <f>AND(Ischemia_25percent_output_edgel!B24,"AAAAAFyaX0c=")</f>
        <v>#VALUE!</v>
      </c>
      <c r="BU1">
        <f>IF(Ischemia_25percent_output_edgel!25:25,"AAAAAFyaX0g=",0)</f>
        <v>0</v>
      </c>
      <c r="BV1" t="e">
        <f>AND(Ischemia_25percent_output_edgel!A25,"AAAAAFyaX0k=")</f>
        <v>#VALUE!</v>
      </c>
      <c r="BW1" t="e">
        <f>AND(Ischemia_25percent_output_edgel!B25,"AAAAAFyaX0o=")</f>
        <v>#VALUE!</v>
      </c>
      <c r="BX1">
        <f>IF(Ischemia_25percent_output_edgel!26:26,"AAAAAFyaX0s=",0)</f>
        <v>0</v>
      </c>
      <c r="BY1" t="e">
        <f>AND(Ischemia_25percent_output_edgel!A26,"AAAAAFyaX0w=")</f>
        <v>#VALUE!</v>
      </c>
      <c r="BZ1" t="e">
        <f>AND(Ischemia_25percent_output_edgel!B26,"AAAAAFyaX00=")</f>
        <v>#VALUE!</v>
      </c>
      <c r="CA1">
        <f>IF(Ischemia_25percent_output_edgel!27:27,"AAAAAFyaX04=",0)</f>
        <v>0</v>
      </c>
      <c r="CB1" t="e">
        <f>AND(Ischemia_25percent_output_edgel!A27,"AAAAAFyaX08=")</f>
        <v>#VALUE!</v>
      </c>
      <c r="CC1" t="e">
        <f>AND(Ischemia_25percent_output_edgel!B27,"AAAAAFyaX1A=")</f>
        <v>#VALUE!</v>
      </c>
      <c r="CD1">
        <f>IF(Ischemia_25percent_output_edgel!28:28,"AAAAAFyaX1E=",0)</f>
        <v>0</v>
      </c>
      <c r="CE1" t="e">
        <f>AND(Ischemia_25percent_output_edgel!A28,"AAAAAFyaX1I=")</f>
        <v>#VALUE!</v>
      </c>
      <c r="CF1" t="e">
        <f>AND(Ischemia_25percent_output_edgel!B28,"AAAAAFyaX1M=")</f>
        <v>#VALUE!</v>
      </c>
      <c r="CG1">
        <f>IF(Ischemia_25percent_output_edgel!29:29,"AAAAAFyaX1Q=",0)</f>
        <v>0</v>
      </c>
      <c r="CH1" t="e">
        <f>AND(Ischemia_25percent_output_edgel!A29,"AAAAAFyaX1U=")</f>
        <v>#VALUE!</v>
      </c>
      <c r="CI1" t="e">
        <f>AND(Ischemia_25percent_output_edgel!B29,"AAAAAFyaX1Y=")</f>
        <v>#VALUE!</v>
      </c>
      <c r="CJ1">
        <f>IF(Ischemia_25percent_output_edgel!30:30,"AAAAAFyaX1c=",0)</f>
        <v>0</v>
      </c>
      <c r="CK1" t="e">
        <f>AND(Ischemia_25percent_output_edgel!A30,"AAAAAFyaX1g=")</f>
        <v>#VALUE!</v>
      </c>
      <c r="CL1" t="e">
        <f>AND(Ischemia_25percent_output_edgel!B30,"AAAAAFyaX1k=")</f>
        <v>#VALUE!</v>
      </c>
      <c r="CM1">
        <f>IF(Ischemia_25percent_output_edgel!31:31,"AAAAAFyaX1o=",0)</f>
        <v>0</v>
      </c>
      <c r="CN1" t="e">
        <f>AND(Ischemia_25percent_output_edgel!A31,"AAAAAFyaX1s=")</f>
        <v>#VALUE!</v>
      </c>
      <c r="CO1" t="e">
        <f>AND(Ischemia_25percent_output_edgel!B31,"AAAAAFyaX1w=")</f>
        <v>#VALUE!</v>
      </c>
      <c r="CP1">
        <f>IF(Ischemia_25percent_output_edgel!32:32,"AAAAAFyaX10=",0)</f>
        <v>0</v>
      </c>
      <c r="CQ1" t="e">
        <f>AND(Ischemia_25percent_output_edgel!A32,"AAAAAFyaX14=")</f>
        <v>#VALUE!</v>
      </c>
      <c r="CR1" t="e">
        <f>AND(Ischemia_25percent_output_edgel!B32,"AAAAAFyaX18=")</f>
        <v>#VALUE!</v>
      </c>
      <c r="CS1">
        <f>IF(Ischemia_25percent_output_edgel!33:33,"AAAAAFyaX2A=",0)</f>
        <v>0</v>
      </c>
      <c r="CT1" t="e">
        <f>AND(Ischemia_25percent_output_edgel!A33,"AAAAAFyaX2E=")</f>
        <v>#VALUE!</v>
      </c>
      <c r="CU1" t="e">
        <f>AND(Ischemia_25percent_output_edgel!B33,"AAAAAFyaX2I=")</f>
        <v>#VALUE!</v>
      </c>
      <c r="CV1">
        <f>IF(Ischemia_25percent_output_edgel!34:34,"AAAAAFyaX2M=",0)</f>
        <v>0</v>
      </c>
      <c r="CW1" t="e">
        <f>AND(Ischemia_25percent_output_edgel!A34,"AAAAAFyaX2Q=")</f>
        <v>#VALUE!</v>
      </c>
      <c r="CX1" t="e">
        <f>AND(Ischemia_25percent_output_edgel!B34,"AAAAAFyaX2U=")</f>
        <v>#VALUE!</v>
      </c>
      <c r="CY1">
        <f>IF(Ischemia_25percent_output_edgel!35:35,"AAAAAFyaX2Y=",0)</f>
        <v>0</v>
      </c>
      <c r="CZ1" t="e">
        <f>AND(Ischemia_25percent_output_edgel!A35,"AAAAAFyaX2c=")</f>
        <v>#VALUE!</v>
      </c>
      <c r="DA1" t="e">
        <f>AND(Ischemia_25percent_output_edgel!B35,"AAAAAFyaX2g=")</f>
        <v>#VALUE!</v>
      </c>
      <c r="DB1">
        <f>IF(Ischemia_25percent_output_edgel!36:36,"AAAAAFyaX2k=",0)</f>
        <v>0</v>
      </c>
      <c r="DC1" t="e">
        <f>AND(Ischemia_25percent_output_edgel!A36,"AAAAAFyaX2o=")</f>
        <v>#VALUE!</v>
      </c>
      <c r="DD1" t="e">
        <f>AND(Ischemia_25percent_output_edgel!B36,"AAAAAFyaX2s=")</f>
        <v>#VALUE!</v>
      </c>
      <c r="DE1">
        <f>IF(Ischemia_25percent_output_edgel!37:37,"AAAAAFyaX2w=",0)</f>
        <v>0</v>
      </c>
      <c r="DF1" t="e">
        <f>AND(Ischemia_25percent_output_edgel!A37,"AAAAAFyaX20=")</f>
        <v>#VALUE!</v>
      </c>
      <c r="DG1" t="e">
        <f>AND(Ischemia_25percent_output_edgel!B37,"AAAAAFyaX24=")</f>
        <v>#VALUE!</v>
      </c>
      <c r="DH1">
        <f>IF(Ischemia_25percent_output_edgel!38:38,"AAAAAFyaX28=",0)</f>
        <v>0</v>
      </c>
      <c r="DI1" t="e">
        <f>AND(Ischemia_25percent_output_edgel!A38,"AAAAAFyaX3A=")</f>
        <v>#VALUE!</v>
      </c>
      <c r="DJ1" t="e">
        <f>AND(Ischemia_25percent_output_edgel!B38,"AAAAAFyaX3E=")</f>
        <v>#VALUE!</v>
      </c>
      <c r="DK1">
        <f>IF(Ischemia_25percent_output_edgel!39:39,"AAAAAFyaX3I=",0)</f>
        <v>0</v>
      </c>
      <c r="DL1" t="e">
        <f>AND(Ischemia_25percent_output_edgel!A39,"AAAAAFyaX3M=")</f>
        <v>#VALUE!</v>
      </c>
      <c r="DM1" t="e">
        <f>AND(Ischemia_25percent_output_edgel!B39,"AAAAAFyaX3Q=")</f>
        <v>#VALUE!</v>
      </c>
      <c r="DN1">
        <f>IF(Ischemia_25percent_output_edgel!40:40,"AAAAAFyaX3U=",0)</f>
        <v>0</v>
      </c>
      <c r="DO1" t="e">
        <f>AND(Ischemia_25percent_output_edgel!A40,"AAAAAFyaX3Y=")</f>
        <v>#VALUE!</v>
      </c>
      <c r="DP1" t="e">
        <f>AND(Ischemia_25percent_output_edgel!B40,"AAAAAFyaX3c=")</f>
        <v>#VALUE!</v>
      </c>
      <c r="DQ1">
        <f>IF(Ischemia_25percent_output_edgel!41:41,"AAAAAFyaX3g=",0)</f>
        <v>0</v>
      </c>
      <c r="DR1" t="e">
        <f>AND(Ischemia_25percent_output_edgel!A41,"AAAAAFyaX3k=")</f>
        <v>#VALUE!</v>
      </c>
      <c r="DS1" t="e">
        <f>AND(Ischemia_25percent_output_edgel!B41,"AAAAAFyaX3o=")</f>
        <v>#VALUE!</v>
      </c>
      <c r="DT1">
        <f>IF(Ischemia_25percent_output_edgel!42:42,"AAAAAFyaX3s=",0)</f>
        <v>0</v>
      </c>
      <c r="DU1" t="e">
        <f>AND(Ischemia_25percent_output_edgel!A42,"AAAAAFyaX3w=")</f>
        <v>#VALUE!</v>
      </c>
      <c r="DV1" t="e">
        <f>AND(Ischemia_25percent_output_edgel!B42,"AAAAAFyaX30=")</f>
        <v>#VALUE!</v>
      </c>
      <c r="DW1">
        <f>IF(Ischemia_25percent_output_edgel!43:43,"AAAAAFyaX34=",0)</f>
        <v>0</v>
      </c>
      <c r="DX1" t="e">
        <f>AND(Ischemia_25percent_output_edgel!A43,"AAAAAFyaX38=")</f>
        <v>#VALUE!</v>
      </c>
      <c r="DY1" t="e">
        <f>AND(Ischemia_25percent_output_edgel!B43,"AAAAAFyaX4A=")</f>
        <v>#VALUE!</v>
      </c>
      <c r="DZ1">
        <f>IF(Ischemia_25percent_output_edgel!44:44,"AAAAAFyaX4E=",0)</f>
        <v>0</v>
      </c>
      <c r="EA1" t="e">
        <f>AND(Ischemia_25percent_output_edgel!A44,"AAAAAFyaX4I=")</f>
        <v>#VALUE!</v>
      </c>
      <c r="EB1" t="e">
        <f>AND(Ischemia_25percent_output_edgel!B44,"AAAAAFyaX4M=")</f>
        <v>#VALUE!</v>
      </c>
      <c r="EC1">
        <f>IF(Ischemia_25percent_output_edgel!45:45,"AAAAAFyaX4Q=",0)</f>
        <v>0</v>
      </c>
      <c r="ED1" t="e">
        <f>AND(Ischemia_25percent_output_edgel!A45,"AAAAAFyaX4U=")</f>
        <v>#VALUE!</v>
      </c>
      <c r="EE1" t="e">
        <f>AND(Ischemia_25percent_output_edgel!B45,"AAAAAFyaX4Y=")</f>
        <v>#VALUE!</v>
      </c>
      <c r="EF1">
        <f>IF(Ischemia_25percent_output_edgel!46:46,"AAAAAFyaX4c=",0)</f>
        <v>0</v>
      </c>
      <c r="EG1" t="e">
        <f>AND(Ischemia_25percent_output_edgel!A46,"AAAAAFyaX4g=")</f>
        <v>#VALUE!</v>
      </c>
      <c r="EH1" t="e">
        <f>AND(Ischemia_25percent_output_edgel!B46,"AAAAAFyaX4k=")</f>
        <v>#VALUE!</v>
      </c>
      <c r="EI1">
        <f>IF(Ischemia_25percent_output_edgel!47:47,"AAAAAFyaX4o=",0)</f>
        <v>0</v>
      </c>
      <c r="EJ1" t="e">
        <f>AND(Ischemia_25percent_output_edgel!A47,"AAAAAFyaX4s=")</f>
        <v>#VALUE!</v>
      </c>
      <c r="EK1" t="e">
        <f>AND(Ischemia_25percent_output_edgel!B47,"AAAAAFyaX4w=")</f>
        <v>#VALUE!</v>
      </c>
      <c r="EL1">
        <f>IF(Ischemia_25percent_output_edgel!48:48,"AAAAAFyaX40=",0)</f>
        <v>0</v>
      </c>
      <c r="EM1" t="e">
        <f>AND(Ischemia_25percent_output_edgel!A48,"AAAAAFyaX44=")</f>
        <v>#VALUE!</v>
      </c>
      <c r="EN1" t="e">
        <f>AND(Ischemia_25percent_output_edgel!B48,"AAAAAFyaX48=")</f>
        <v>#VALUE!</v>
      </c>
      <c r="EO1">
        <f>IF(Ischemia_25percent_output_edgel!49:49,"AAAAAFyaX5A=",0)</f>
        <v>0</v>
      </c>
      <c r="EP1" t="e">
        <f>AND(Ischemia_25percent_output_edgel!A49,"AAAAAFyaX5E=")</f>
        <v>#VALUE!</v>
      </c>
      <c r="EQ1" t="e">
        <f>AND(Ischemia_25percent_output_edgel!B49,"AAAAAFyaX5I=")</f>
        <v>#VALUE!</v>
      </c>
      <c r="ER1">
        <f>IF(Ischemia_25percent_output_edgel!50:50,"AAAAAFyaX5M=",0)</f>
        <v>0</v>
      </c>
      <c r="ES1" t="e">
        <f>AND(Ischemia_25percent_output_edgel!A50,"AAAAAFyaX5Q=")</f>
        <v>#VALUE!</v>
      </c>
      <c r="ET1" t="e">
        <f>AND(Ischemia_25percent_output_edgel!B50,"AAAAAFyaX5U=")</f>
        <v>#VALUE!</v>
      </c>
      <c r="EU1">
        <f>IF(Ischemia_25percent_output_edgel!51:51,"AAAAAFyaX5Y=",0)</f>
        <v>0</v>
      </c>
      <c r="EV1" t="e">
        <f>AND(Ischemia_25percent_output_edgel!A51,"AAAAAFyaX5c=")</f>
        <v>#VALUE!</v>
      </c>
      <c r="EW1" t="e">
        <f>AND(Ischemia_25percent_output_edgel!B51,"AAAAAFyaX5g=")</f>
        <v>#VALUE!</v>
      </c>
      <c r="EX1">
        <f>IF(Ischemia_25percent_output_edgel!52:52,"AAAAAFyaX5k=",0)</f>
        <v>0</v>
      </c>
      <c r="EY1" t="e">
        <f>AND(Ischemia_25percent_output_edgel!A52,"AAAAAFyaX5o=")</f>
        <v>#VALUE!</v>
      </c>
      <c r="EZ1" t="e">
        <f>AND(Ischemia_25percent_output_edgel!B52,"AAAAAFyaX5s=")</f>
        <v>#VALUE!</v>
      </c>
      <c r="FA1">
        <f>IF(Ischemia_25percent_output_edgel!53:53,"AAAAAFyaX5w=",0)</f>
        <v>0</v>
      </c>
      <c r="FB1" t="e">
        <f>AND(Ischemia_25percent_output_edgel!A53,"AAAAAFyaX50=")</f>
        <v>#VALUE!</v>
      </c>
      <c r="FC1" t="e">
        <f>AND(Ischemia_25percent_output_edgel!B53,"AAAAAFyaX54=")</f>
        <v>#VALUE!</v>
      </c>
      <c r="FD1">
        <f>IF(Ischemia_25percent_output_edgel!54:54,"AAAAAFyaX58=",0)</f>
        <v>0</v>
      </c>
      <c r="FE1" t="e">
        <f>AND(Ischemia_25percent_output_edgel!A54,"AAAAAFyaX6A=")</f>
        <v>#VALUE!</v>
      </c>
      <c r="FF1" t="e">
        <f>AND(Ischemia_25percent_output_edgel!B54,"AAAAAFyaX6E=")</f>
        <v>#VALUE!</v>
      </c>
      <c r="FG1">
        <f>IF(Ischemia_25percent_output_edgel!55:55,"AAAAAFyaX6I=",0)</f>
        <v>0</v>
      </c>
      <c r="FH1" t="e">
        <f>AND(Ischemia_25percent_output_edgel!A55,"AAAAAFyaX6M=")</f>
        <v>#VALUE!</v>
      </c>
      <c r="FI1" t="e">
        <f>AND(Ischemia_25percent_output_edgel!B55,"AAAAAFyaX6Q=")</f>
        <v>#VALUE!</v>
      </c>
      <c r="FJ1">
        <f>IF(Ischemia_25percent_output_edgel!56:56,"AAAAAFyaX6U=",0)</f>
        <v>0</v>
      </c>
      <c r="FK1" t="e">
        <f>AND(Ischemia_25percent_output_edgel!A56,"AAAAAFyaX6Y=")</f>
        <v>#VALUE!</v>
      </c>
      <c r="FL1" t="e">
        <f>AND(Ischemia_25percent_output_edgel!B56,"AAAAAFyaX6c=")</f>
        <v>#VALUE!</v>
      </c>
      <c r="FM1">
        <f>IF(Ischemia_25percent_output_edgel!57:57,"AAAAAFyaX6g=",0)</f>
        <v>0</v>
      </c>
      <c r="FN1" t="e">
        <f>AND(Ischemia_25percent_output_edgel!A57,"AAAAAFyaX6k=")</f>
        <v>#VALUE!</v>
      </c>
      <c r="FO1" t="e">
        <f>AND(Ischemia_25percent_output_edgel!B57,"AAAAAFyaX6o=")</f>
        <v>#VALUE!</v>
      </c>
      <c r="FP1">
        <f>IF(Ischemia_25percent_output_edgel!58:58,"AAAAAFyaX6s=",0)</f>
        <v>0</v>
      </c>
      <c r="FQ1" t="e">
        <f>AND(Ischemia_25percent_output_edgel!A58,"AAAAAFyaX6w=")</f>
        <v>#VALUE!</v>
      </c>
      <c r="FR1" t="e">
        <f>AND(Ischemia_25percent_output_edgel!B58,"AAAAAFyaX60=")</f>
        <v>#VALUE!</v>
      </c>
      <c r="FS1">
        <f>IF(Ischemia_25percent_output_edgel!59:59,"AAAAAFyaX64=",0)</f>
        <v>0</v>
      </c>
      <c r="FT1" t="e">
        <f>AND(Ischemia_25percent_output_edgel!A59,"AAAAAFyaX68=")</f>
        <v>#VALUE!</v>
      </c>
      <c r="FU1" t="e">
        <f>AND(Ischemia_25percent_output_edgel!B59,"AAAAAFyaX7A=")</f>
        <v>#VALUE!</v>
      </c>
      <c r="FV1">
        <f>IF(Ischemia_25percent_output_edgel!60:60,"AAAAAFyaX7E=",0)</f>
        <v>0</v>
      </c>
      <c r="FW1" t="e">
        <f>AND(Ischemia_25percent_output_edgel!A60,"AAAAAFyaX7I=")</f>
        <v>#VALUE!</v>
      </c>
      <c r="FX1" t="e">
        <f>AND(Ischemia_25percent_output_edgel!B60,"AAAAAFyaX7M=")</f>
        <v>#VALUE!</v>
      </c>
      <c r="FY1">
        <f>IF(Ischemia_25percent_output_edgel!61:61,"AAAAAFyaX7Q=",0)</f>
        <v>0</v>
      </c>
      <c r="FZ1" t="e">
        <f>AND(Ischemia_25percent_output_edgel!A61,"AAAAAFyaX7U=")</f>
        <v>#VALUE!</v>
      </c>
      <c r="GA1" t="e">
        <f>AND(Ischemia_25percent_output_edgel!B61,"AAAAAFyaX7Y=")</f>
        <v>#VALUE!</v>
      </c>
      <c r="GB1">
        <f>IF(Ischemia_25percent_output_edgel!62:62,"AAAAAFyaX7c=",0)</f>
        <v>0</v>
      </c>
      <c r="GC1" t="e">
        <f>AND(Ischemia_25percent_output_edgel!A62,"AAAAAFyaX7g=")</f>
        <v>#VALUE!</v>
      </c>
      <c r="GD1" t="e">
        <f>AND(Ischemia_25percent_output_edgel!B62,"AAAAAFyaX7k=")</f>
        <v>#VALUE!</v>
      </c>
      <c r="GE1">
        <f>IF(Ischemia_25percent_output_edgel!63:63,"AAAAAFyaX7o=",0)</f>
        <v>0</v>
      </c>
      <c r="GF1" t="e">
        <f>AND(Ischemia_25percent_output_edgel!A63,"AAAAAFyaX7s=")</f>
        <v>#VALUE!</v>
      </c>
      <c r="GG1" t="e">
        <f>AND(Ischemia_25percent_output_edgel!B63,"AAAAAFyaX7w=")</f>
        <v>#VALUE!</v>
      </c>
      <c r="GH1">
        <f>IF(Ischemia_25percent_output_edgel!64:64,"AAAAAFyaX70=",0)</f>
        <v>0</v>
      </c>
      <c r="GI1" t="e">
        <f>AND(Ischemia_25percent_output_edgel!A64,"AAAAAFyaX74=")</f>
        <v>#VALUE!</v>
      </c>
      <c r="GJ1" t="e">
        <f>AND(Ischemia_25percent_output_edgel!B64,"AAAAAFyaX78=")</f>
        <v>#VALUE!</v>
      </c>
      <c r="GK1">
        <f>IF(Ischemia_25percent_output_edgel!65:65,"AAAAAFyaX8A=",0)</f>
        <v>0</v>
      </c>
      <c r="GL1" t="e">
        <f>AND(Ischemia_25percent_output_edgel!A65,"AAAAAFyaX8E=")</f>
        <v>#VALUE!</v>
      </c>
      <c r="GM1" t="e">
        <f>AND(Ischemia_25percent_output_edgel!B65,"AAAAAFyaX8I=")</f>
        <v>#VALUE!</v>
      </c>
      <c r="GN1">
        <f>IF(Ischemia_25percent_output_edgel!66:66,"AAAAAFyaX8M=",0)</f>
        <v>0</v>
      </c>
      <c r="GO1" t="e">
        <f>AND(Ischemia_25percent_output_edgel!A66,"AAAAAFyaX8Q=")</f>
        <v>#VALUE!</v>
      </c>
      <c r="GP1" t="e">
        <f>AND(Ischemia_25percent_output_edgel!B66,"AAAAAFyaX8U=")</f>
        <v>#VALUE!</v>
      </c>
      <c r="GQ1">
        <f>IF(Ischemia_25percent_output_edgel!67:67,"AAAAAFyaX8Y=",0)</f>
        <v>0</v>
      </c>
      <c r="GR1" t="e">
        <f>AND(Ischemia_25percent_output_edgel!A67,"AAAAAFyaX8c=")</f>
        <v>#VALUE!</v>
      </c>
      <c r="GS1" t="e">
        <f>AND(Ischemia_25percent_output_edgel!B67,"AAAAAFyaX8g=")</f>
        <v>#VALUE!</v>
      </c>
      <c r="GT1">
        <f>IF(Ischemia_25percent_output_edgel!68:68,"AAAAAFyaX8k=",0)</f>
        <v>0</v>
      </c>
      <c r="GU1" t="e">
        <f>AND(Ischemia_25percent_output_edgel!A68,"AAAAAFyaX8o=")</f>
        <v>#VALUE!</v>
      </c>
      <c r="GV1" t="e">
        <f>AND(Ischemia_25percent_output_edgel!B68,"AAAAAFyaX8s=")</f>
        <v>#VALUE!</v>
      </c>
      <c r="GW1">
        <f>IF(Ischemia_25percent_output_edgel!69:69,"AAAAAFyaX8w=",0)</f>
        <v>0</v>
      </c>
      <c r="GX1" t="e">
        <f>AND(Ischemia_25percent_output_edgel!A69,"AAAAAFyaX80=")</f>
        <v>#VALUE!</v>
      </c>
      <c r="GY1" t="e">
        <f>AND(Ischemia_25percent_output_edgel!B69,"AAAAAFyaX84=")</f>
        <v>#VALUE!</v>
      </c>
      <c r="GZ1">
        <f>IF(Ischemia_25percent_output_edgel!70:70,"AAAAAFyaX88=",0)</f>
        <v>0</v>
      </c>
      <c r="HA1" t="e">
        <f>AND(Ischemia_25percent_output_edgel!A70,"AAAAAFyaX9A=")</f>
        <v>#VALUE!</v>
      </c>
      <c r="HB1" t="e">
        <f>AND(Ischemia_25percent_output_edgel!B70,"AAAAAFyaX9E=")</f>
        <v>#VALUE!</v>
      </c>
      <c r="HC1">
        <f>IF(Ischemia_25percent_output_edgel!71:71,"AAAAAFyaX9I=",0)</f>
        <v>0</v>
      </c>
      <c r="HD1" t="e">
        <f>AND(Ischemia_25percent_output_edgel!A71,"AAAAAFyaX9M=")</f>
        <v>#VALUE!</v>
      </c>
      <c r="HE1" t="e">
        <f>AND(Ischemia_25percent_output_edgel!B71,"AAAAAFyaX9Q=")</f>
        <v>#VALUE!</v>
      </c>
      <c r="HF1">
        <f>IF(Ischemia_25percent_output_edgel!72:72,"AAAAAFyaX9U=",0)</f>
        <v>0</v>
      </c>
      <c r="HG1" t="e">
        <f>AND(Ischemia_25percent_output_edgel!A72,"AAAAAFyaX9Y=")</f>
        <v>#VALUE!</v>
      </c>
      <c r="HH1" t="e">
        <f>AND(Ischemia_25percent_output_edgel!B72,"AAAAAFyaX9c=")</f>
        <v>#VALUE!</v>
      </c>
      <c r="HI1">
        <f>IF(Ischemia_25percent_output_edgel!73:73,"AAAAAFyaX9g=",0)</f>
        <v>0</v>
      </c>
      <c r="HJ1" t="e">
        <f>AND(Ischemia_25percent_output_edgel!A73,"AAAAAFyaX9k=")</f>
        <v>#VALUE!</v>
      </c>
      <c r="HK1" t="e">
        <f>AND(Ischemia_25percent_output_edgel!B73,"AAAAAFyaX9o=")</f>
        <v>#VALUE!</v>
      </c>
      <c r="HL1">
        <f>IF(Ischemia_25percent_output_edgel!74:74,"AAAAAFyaX9s=",0)</f>
        <v>0</v>
      </c>
      <c r="HM1" t="e">
        <f>AND(Ischemia_25percent_output_edgel!A74,"AAAAAFyaX9w=")</f>
        <v>#VALUE!</v>
      </c>
      <c r="HN1" t="e">
        <f>AND(Ischemia_25percent_output_edgel!B74,"AAAAAFyaX90=")</f>
        <v>#VALUE!</v>
      </c>
      <c r="HO1">
        <f>IF(Ischemia_25percent_output_edgel!75:75,"AAAAAFyaX94=",0)</f>
        <v>0</v>
      </c>
      <c r="HP1" t="e">
        <f>AND(Ischemia_25percent_output_edgel!A75,"AAAAAFyaX98=")</f>
        <v>#VALUE!</v>
      </c>
      <c r="HQ1" t="e">
        <f>AND(Ischemia_25percent_output_edgel!B75,"AAAAAFyaX+A=")</f>
        <v>#VALUE!</v>
      </c>
      <c r="HR1">
        <f>IF(Ischemia_25percent_output_edgel!76:76,"AAAAAFyaX+E=",0)</f>
        <v>0</v>
      </c>
      <c r="HS1" t="e">
        <f>AND(Ischemia_25percent_output_edgel!A76,"AAAAAFyaX+I=")</f>
        <v>#VALUE!</v>
      </c>
      <c r="HT1" t="e">
        <f>AND(Ischemia_25percent_output_edgel!B76,"AAAAAFyaX+M=")</f>
        <v>#VALUE!</v>
      </c>
      <c r="HU1">
        <f>IF(Ischemia_25percent_output_edgel!77:77,"AAAAAFyaX+Q=",0)</f>
        <v>0</v>
      </c>
      <c r="HV1" t="e">
        <f>AND(Ischemia_25percent_output_edgel!A77,"AAAAAFyaX+U=")</f>
        <v>#VALUE!</v>
      </c>
      <c r="HW1" t="e">
        <f>AND(Ischemia_25percent_output_edgel!B77,"AAAAAFyaX+Y=")</f>
        <v>#VALUE!</v>
      </c>
      <c r="HX1">
        <f>IF(Ischemia_25percent_output_edgel!78:78,"AAAAAFyaX+c=",0)</f>
        <v>0</v>
      </c>
      <c r="HY1" t="e">
        <f>AND(Ischemia_25percent_output_edgel!A78,"AAAAAFyaX+g=")</f>
        <v>#VALUE!</v>
      </c>
      <c r="HZ1" t="e">
        <f>AND(Ischemia_25percent_output_edgel!B78,"AAAAAFyaX+k=")</f>
        <v>#VALUE!</v>
      </c>
      <c r="IA1">
        <f>IF(Ischemia_25percent_output_edgel!79:79,"AAAAAFyaX+o=",0)</f>
        <v>0</v>
      </c>
      <c r="IB1" t="e">
        <f>AND(Ischemia_25percent_output_edgel!A79,"AAAAAFyaX+s=")</f>
        <v>#VALUE!</v>
      </c>
      <c r="IC1" t="e">
        <f>AND(Ischemia_25percent_output_edgel!B79,"AAAAAFyaX+w=")</f>
        <v>#VALUE!</v>
      </c>
      <c r="ID1">
        <f>IF(Ischemia_25percent_output_edgel!80:80,"AAAAAFyaX+0=",0)</f>
        <v>0</v>
      </c>
      <c r="IE1" t="e">
        <f>AND(Ischemia_25percent_output_edgel!A80,"AAAAAFyaX+4=")</f>
        <v>#VALUE!</v>
      </c>
      <c r="IF1" t="e">
        <f>AND(Ischemia_25percent_output_edgel!B80,"AAAAAFyaX+8=")</f>
        <v>#VALUE!</v>
      </c>
      <c r="IG1">
        <f>IF(Ischemia_25percent_output_edgel!81:81,"AAAAAFyaX/A=",0)</f>
        <v>0</v>
      </c>
      <c r="IH1" t="e">
        <f>AND(Ischemia_25percent_output_edgel!A81,"AAAAAFyaX/E=")</f>
        <v>#VALUE!</v>
      </c>
      <c r="II1" t="e">
        <f>AND(Ischemia_25percent_output_edgel!B81,"AAAAAFyaX/I=")</f>
        <v>#VALUE!</v>
      </c>
      <c r="IJ1">
        <f>IF(Ischemia_25percent_output_edgel!82:82,"AAAAAFyaX/M=",0)</f>
        <v>0</v>
      </c>
      <c r="IK1" t="e">
        <f>AND(Ischemia_25percent_output_edgel!A82,"AAAAAFyaX/Q=")</f>
        <v>#VALUE!</v>
      </c>
      <c r="IL1" t="e">
        <f>AND(Ischemia_25percent_output_edgel!B82,"AAAAAFyaX/U=")</f>
        <v>#VALUE!</v>
      </c>
      <c r="IM1">
        <f>IF(Ischemia_25percent_output_edgel!83:83,"AAAAAFyaX/Y=",0)</f>
        <v>0</v>
      </c>
      <c r="IN1" t="e">
        <f>AND(Ischemia_25percent_output_edgel!A83,"AAAAAFyaX/c=")</f>
        <v>#VALUE!</v>
      </c>
      <c r="IO1" t="e">
        <f>AND(Ischemia_25percent_output_edgel!B83,"AAAAAFyaX/g=")</f>
        <v>#VALUE!</v>
      </c>
      <c r="IP1">
        <f>IF(Ischemia_25percent_output_edgel!84:84,"AAAAAFyaX/k=",0)</f>
        <v>0</v>
      </c>
      <c r="IQ1" t="e">
        <f>AND(Ischemia_25percent_output_edgel!A84,"AAAAAFyaX/o=")</f>
        <v>#VALUE!</v>
      </c>
      <c r="IR1" t="e">
        <f>AND(Ischemia_25percent_output_edgel!B84,"AAAAAFyaX/s=")</f>
        <v>#VALUE!</v>
      </c>
      <c r="IS1">
        <f>IF(Ischemia_25percent_output_edgel!85:85,"AAAAAFyaX/w=",0)</f>
        <v>0</v>
      </c>
      <c r="IT1" t="e">
        <f>AND(Ischemia_25percent_output_edgel!A85,"AAAAAFyaX/0=")</f>
        <v>#VALUE!</v>
      </c>
      <c r="IU1" t="e">
        <f>AND(Ischemia_25percent_output_edgel!B85,"AAAAAFyaX/4=")</f>
        <v>#VALUE!</v>
      </c>
      <c r="IV1">
        <f>IF(Ischemia_25percent_output_edgel!86:86,"AAAAAFyaX/8=",0)</f>
        <v>0</v>
      </c>
    </row>
    <row r="2" spans="1:256">
      <c r="A2" t="e">
        <f>AND(Ischemia_25percent_output_edgel!A86,"AAAAAHuduwA=")</f>
        <v>#VALUE!</v>
      </c>
      <c r="B2" t="e">
        <f>AND(Ischemia_25percent_output_edgel!B86,"AAAAAHuduwE=")</f>
        <v>#VALUE!</v>
      </c>
      <c r="C2">
        <f>IF(Ischemia_25percent_output_edgel!87:87,"AAAAAHuduwI=",0)</f>
        <v>0</v>
      </c>
      <c r="D2" t="e">
        <f>AND(Ischemia_25percent_output_edgel!A87,"AAAAAHuduwM=")</f>
        <v>#VALUE!</v>
      </c>
      <c r="E2" t="e">
        <f>AND(Ischemia_25percent_output_edgel!B87,"AAAAAHuduwQ=")</f>
        <v>#VALUE!</v>
      </c>
      <c r="F2">
        <f>IF(Ischemia_25percent_output_edgel!88:88,"AAAAAHuduwU=",0)</f>
        <v>0</v>
      </c>
      <c r="G2" t="e">
        <f>AND(Ischemia_25percent_output_edgel!A88,"AAAAAHuduwY=")</f>
        <v>#VALUE!</v>
      </c>
      <c r="H2" t="e">
        <f>AND(Ischemia_25percent_output_edgel!B88,"AAAAAHuduwc=")</f>
        <v>#VALUE!</v>
      </c>
      <c r="I2">
        <f>IF(Ischemia_25percent_output_edgel!89:89,"AAAAAHuduwg=",0)</f>
        <v>0</v>
      </c>
      <c r="J2" t="e">
        <f>AND(Ischemia_25percent_output_edgel!A89,"AAAAAHuduwk=")</f>
        <v>#VALUE!</v>
      </c>
      <c r="K2" t="e">
        <f>AND(Ischemia_25percent_output_edgel!B89,"AAAAAHuduwo=")</f>
        <v>#VALUE!</v>
      </c>
      <c r="L2">
        <f>IF(Ischemia_25percent_output_edgel!90:90,"AAAAAHuduws=",0)</f>
        <v>0</v>
      </c>
      <c r="M2" t="e">
        <f>AND(Ischemia_25percent_output_edgel!A90,"AAAAAHuduww=")</f>
        <v>#VALUE!</v>
      </c>
      <c r="N2" t="e">
        <f>AND(Ischemia_25percent_output_edgel!B90,"AAAAAHuduw0=")</f>
        <v>#VALUE!</v>
      </c>
      <c r="O2">
        <f>IF(Ischemia_25percent_output_edgel!91:91,"AAAAAHuduw4=",0)</f>
        <v>0</v>
      </c>
      <c r="P2" t="e">
        <f>AND(Ischemia_25percent_output_edgel!A91,"AAAAAHuduw8=")</f>
        <v>#VALUE!</v>
      </c>
      <c r="Q2" t="e">
        <f>AND(Ischemia_25percent_output_edgel!B91,"AAAAAHuduxA=")</f>
        <v>#VALUE!</v>
      </c>
      <c r="R2">
        <f>IF(Ischemia_25percent_output_edgel!92:92,"AAAAAHuduxE=",0)</f>
        <v>0</v>
      </c>
      <c r="S2" t="e">
        <f>AND(Ischemia_25percent_output_edgel!A92,"AAAAAHuduxI=")</f>
        <v>#VALUE!</v>
      </c>
      <c r="T2" t="e">
        <f>AND(Ischemia_25percent_output_edgel!B92,"AAAAAHuduxM=")</f>
        <v>#VALUE!</v>
      </c>
      <c r="U2">
        <f>IF(Ischemia_25percent_output_edgel!93:93,"AAAAAHuduxQ=",0)</f>
        <v>0</v>
      </c>
      <c r="V2" t="e">
        <f>AND(Ischemia_25percent_output_edgel!A93,"AAAAAHuduxU=")</f>
        <v>#VALUE!</v>
      </c>
      <c r="W2" t="e">
        <f>AND(Ischemia_25percent_output_edgel!B93,"AAAAAHuduxY=")</f>
        <v>#VALUE!</v>
      </c>
      <c r="X2">
        <f>IF(Ischemia_25percent_output_edgel!94:94,"AAAAAHuduxc=",0)</f>
        <v>0</v>
      </c>
      <c r="Y2" t="e">
        <f>AND(Ischemia_25percent_output_edgel!A94,"AAAAAHuduxg=")</f>
        <v>#VALUE!</v>
      </c>
      <c r="Z2" t="e">
        <f>AND(Ischemia_25percent_output_edgel!B94,"AAAAAHuduxk=")</f>
        <v>#VALUE!</v>
      </c>
      <c r="AA2">
        <f>IF(Ischemia_25percent_output_edgel!95:95,"AAAAAHuduxo=",0)</f>
        <v>0</v>
      </c>
      <c r="AB2" t="e">
        <f>AND(Ischemia_25percent_output_edgel!A95,"AAAAAHuduxs=")</f>
        <v>#VALUE!</v>
      </c>
      <c r="AC2" t="e">
        <f>AND(Ischemia_25percent_output_edgel!B95,"AAAAAHuduxw=")</f>
        <v>#VALUE!</v>
      </c>
      <c r="AD2">
        <f>IF(Ischemia_25percent_output_edgel!96:96,"AAAAAHudux0=",0)</f>
        <v>0</v>
      </c>
      <c r="AE2" t="e">
        <f>AND(Ischemia_25percent_output_edgel!A96,"AAAAAHudux4=")</f>
        <v>#VALUE!</v>
      </c>
      <c r="AF2" t="e">
        <f>AND(Ischemia_25percent_output_edgel!B96,"AAAAAHudux8=")</f>
        <v>#VALUE!</v>
      </c>
      <c r="AG2">
        <f>IF(Ischemia_25percent_output_edgel!97:97,"AAAAAHuduyA=",0)</f>
        <v>0</v>
      </c>
      <c r="AH2" t="e">
        <f>AND(Ischemia_25percent_output_edgel!A97,"AAAAAHuduyE=")</f>
        <v>#VALUE!</v>
      </c>
      <c r="AI2" t="e">
        <f>AND(Ischemia_25percent_output_edgel!B97,"AAAAAHuduyI=")</f>
        <v>#VALUE!</v>
      </c>
      <c r="AJ2">
        <f>IF(Ischemia_25percent_output_edgel!98:98,"AAAAAHuduyM=",0)</f>
        <v>0</v>
      </c>
      <c r="AK2" t="e">
        <f>AND(Ischemia_25percent_output_edgel!A98,"AAAAAHuduyQ=")</f>
        <v>#VALUE!</v>
      </c>
      <c r="AL2" t="e">
        <f>AND(Ischemia_25percent_output_edgel!B98,"AAAAAHuduyU=")</f>
        <v>#VALUE!</v>
      </c>
      <c r="AM2">
        <f>IF(Ischemia_25percent_output_edgel!99:99,"AAAAAHuduyY=",0)</f>
        <v>0</v>
      </c>
      <c r="AN2" t="e">
        <f>AND(Ischemia_25percent_output_edgel!A99,"AAAAAHuduyc=")</f>
        <v>#VALUE!</v>
      </c>
      <c r="AO2" t="e">
        <f>AND(Ischemia_25percent_output_edgel!B99,"AAAAAHuduyg=")</f>
        <v>#VALUE!</v>
      </c>
      <c r="AP2">
        <f>IF(Ischemia_25percent_output_edgel!100:100,"AAAAAHuduyk=",0)</f>
        <v>0</v>
      </c>
      <c r="AQ2" t="e">
        <f>AND(Ischemia_25percent_output_edgel!A100,"AAAAAHuduyo=")</f>
        <v>#VALUE!</v>
      </c>
      <c r="AR2" t="e">
        <f>AND(Ischemia_25percent_output_edgel!B100,"AAAAAHuduys=")</f>
        <v>#VALUE!</v>
      </c>
      <c r="AS2">
        <f>IF(Ischemia_25percent_output_edgel!101:101,"AAAAAHuduyw=",0)</f>
        <v>0</v>
      </c>
      <c r="AT2" t="e">
        <f>AND(Ischemia_25percent_output_edgel!A101,"AAAAAHuduy0=")</f>
        <v>#VALUE!</v>
      </c>
      <c r="AU2" t="e">
        <f>AND(Ischemia_25percent_output_edgel!B101,"AAAAAHuduy4=")</f>
        <v>#VALUE!</v>
      </c>
      <c r="AV2">
        <f>IF(Ischemia_25percent_output_edgel!102:102,"AAAAAHuduy8=",0)</f>
        <v>0</v>
      </c>
      <c r="AW2" t="e">
        <f>AND(Ischemia_25percent_output_edgel!A102,"AAAAAHuduzA=")</f>
        <v>#VALUE!</v>
      </c>
      <c r="AX2" t="e">
        <f>AND(Ischemia_25percent_output_edgel!B102,"AAAAAHuduzE=")</f>
        <v>#VALUE!</v>
      </c>
      <c r="AY2">
        <f>IF(Ischemia_25percent_output_edgel!103:103,"AAAAAHuduzI=",0)</f>
        <v>0</v>
      </c>
      <c r="AZ2" t="e">
        <f>AND(Ischemia_25percent_output_edgel!A103,"AAAAAHuduzM=")</f>
        <v>#VALUE!</v>
      </c>
      <c r="BA2" t="e">
        <f>AND(Ischemia_25percent_output_edgel!B103,"AAAAAHuduzQ=")</f>
        <v>#VALUE!</v>
      </c>
      <c r="BB2">
        <f>IF(Ischemia_25percent_output_edgel!104:104,"AAAAAHuduzU=",0)</f>
        <v>0</v>
      </c>
      <c r="BC2" t="e">
        <f>AND(Ischemia_25percent_output_edgel!A104,"AAAAAHuduzY=")</f>
        <v>#VALUE!</v>
      </c>
      <c r="BD2" t="e">
        <f>AND(Ischemia_25percent_output_edgel!B104,"AAAAAHuduzc=")</f>
        <v>#VALUE!</v>
      </c>
      <c r="BE2">
        <f>IF(Ischemia_25percent_output_edgel!105:105,"AAAAAHuduzg=",0)</f>
        <v>0</v>
      </c>
      <c r="BF2" t="e">
        <f>AND(Ischemia_25percent_output_edgel!A105,"AAAAAHuduzk=")</f>
        <v>#VALUE!</v>
      </c>
      <c r="BG2" t="e">
        <f>AND(Ischemia_25percent_output_edgel!B105,"AAAAAHuduzo=")</f>
        <v>#VALUE!</v>
      </c>
      <c r="BH2">
        <f>IF(Ischemia_25percent_output_edgel!106:106,"AAAAAHuduzs=",0)</f>
        <v>0</v>
      </c>
      <c r="BI2" t="e">
        <f>AND(Ischemia_25percent_output_edgel!A106,"AAAAAHuduzw=")</f>
        <v>#VALUE!</v>
      </c>
      <c r="BJ2" t="e">
        <f>AND(Ischemia_25percent_output_edgel!B106,"AAAAAHuduz0=")</f>
        <v>#VALUE!</v>
      </c>
      <c r="BK2">
        <f>IF(Ischemia_25percent_output_edgel!107:107,"AAAAAHuduz4=",0)</f>
        <v>0</v>
      </c>
      <c r="BL2" t="e">
        <f>AND(Ischemia_25percent_output_edgel!A107,"AAAAAHuduz8=")</f>
        <v>#VALUE!</v>
      </c>
      <c r="BM2" t="e">
        <f>AND(Ischemia_25percent_output_edgel!B107,"AAAAAHudu0A=")</f>
        <v>#VALUE!</v>
      </c>
      <c r="BN2">
        <f>IF(Ischemia_25percent_output_edgel!108:108,"AAAAAHudu0E=",0)</f>
        <v>0</v>
      </c>
      <c r="BO2" t="e">
        <f>AND(Ischemia_25percent_output_edgel!A108,"AAAAAHudu0I=")</f>
        <v>#VALUE!</v>
      </c>
      <c r="BP2" t="e">
        <f>AND(Ischemia_25percent_output_edgel!B108,"AAAAAHudu0M=")</f>
        <v>#VALUE!</v>
      </c>
      <c r="BQ2">
        <f>IF(Ischemia_25percent_output_edgel!109:109,"AAAAAHudu0Q=",0)</f>
        <v>0</v>
      </c>
      <c r="BR2" t="e">
        <f>AND(Ischemia_25percent_output_edgel!A109,"AAAAAHudu0U=")</f>
        <v>#VALUE!</v>
      </c>
      <c r="BS2" t="e">
        <f>AND(Ischemia_25percent_output_edgel!B109,"AAAAAHudu0Y=")</f>
        <v>#VALUE!</v>
      </c>
      <c r="BT2">
        <f>IF(Ischemia_25percent_output_edgel!110:110,"AAAAAHudu0c=",0)</f>
        <v>0</v>
      </c>
      <c r="BU2" t="e">
        <f>AND(Ischemia_25percent_output_edgel!A110,"AAAAAHudu0g=")</f>
        <v>#VALUE!</v>
      </c>
      <c r="BV2" t="e">
        <f>AND(Ischemia_25percent_output_edgel!B110,"AAAAAHudu0k=")</f>
        <v>#VALUE!</v>
      </c>
      <c r="BW2">
        <f>IF(Ischemia_25percent_output_edgel!111:111,"AAAAAHudu0o=",0)</f>
        <v>0</v>
      </c>
      <c r="BX2" t="e">
        <f>AND(Ischemia_25percent_output_edgel!A111,"AAAAAHudu0s=")</f>
        <v>#VALUE!</v>
      </c>
      <c r="BY2" t="e">
        <f>AND(Ischemia_25percent_output_edgel!B111,"AAAAAHudu0w=")</f>
        <v>#VALUE!</v>
      </c>
      <c r="BZ2">
        <f>IF(Ischemia_25percent_output_edgel!112:112,"AAAAAHudu00=",0)</f>
        <v>0</v>
      </c>
      <c r="CA2" t="e">
        <f>AND(Ischemia_25percent_output_edgel!A112,"AAAAAHudu04=")</f>
        <v>#VALUE!</v>
      </c>
      <c r="CB2" t="e">
        <f>AND(Ischemia_25percent_output_edgel!B112,"AAAAAHudu08=")</f>
        <v>#VALUE!</v>
      </c>
      <c r="CC2">
        <f>IF(Ischemia_25percent_output_edgel!113:113,"AAAAAHudu1A=",0)</f>
        <v>0</v>
      </c>
      <c r="CD2" t="e">
        <f>AND(Ischemia_25percent_output_edgel!A113,"AAAAAHudu1E=")</f>
        <v>#VALUE!</v>
      </c>
      <c r="CE2" t="e">
        <f>AND(Ischemia_25percent_output_edgel!B113,"AAAAAHudu1I=")</f>
        <v>#VALUE!</v>
      </c>
      <c r="CF2">
        <f>IF(Ischemia_25percent_output_edgel!114:114,"AAAAAHudu1M=",0)</f>
        <v>0</v>
      </c>
      <c r="CG2" t="e">
        <f>AND(Ischemia_25percent_output_edgel!A114,"AAAAAHudu1Q=")</f>
        <v>#VALUE!</v>
      </c>
      <c r="CH2" t="e">
        <f>AND(Ischemia_25percent_output_edgel!B114,"AAAAAHudu1U=")</f>
        <v>#VALUE!</v>
      </c>
      <c r="CI2">
        <f>IF(Ischemia_25percent_output_edgel!115:115,"AAAAAHudu1Y=",0)</f>
        <v>0</v>
      </c>
      <c r="CJ2" t="e">
        <f>AND(Ischemia_25percent_output_edgel!A115,"AAAAAHudu1c=")</f>
        <v>#VALUE!</v>
      </c>
      <c r="CK2" t="e">
        <f>AND(Ischemia_25percent_output_edgel!B115,"AAAAAHudu1g=")</f>
        <v>#VALUE!</v>
      </c>
      <c r="CL2">
        <f>IF(Ischemia_25percent_output_edgel!116:116,"AAAAAHudu1k=",0)</f>
        <v>0</v>
      </c>
      <c r="CM2" t="e">
        <f>AND(Ischemia_25percent_output_edgel!A116,"AAAAAHudu1o=")</f>
        <v>#VALUE!</v>
      </c>
      <c r="CN2" t="e">
        <f>AND(Ischemia_25percent_output_edgel!B116,"AAAAAHudu1s=")</f>
        <v>#VALUE!</v>
      </c>
      <c r="CO2">
        <f>IF(Ischemia_25percent_output_edgel!117:117,"AAAAAHudu1w=",0)</f>
        <v>0</v>
      </c>
      <c r="CP2" t="e">
        <f>AND(Ischemia_25percent_output_edgel!A117,"AAAAAHudu10=")</f>
        <v>#VALUE!</v>
      </c>
      <c r="CQ2" t="e">
        <f>AND(Ischemia_25percent_output_edgel!B117,"AAAAAHudu14=")</f>
        <v>#VALUE!</v>
      </c>
      <c r="CR2">
        <f>IF(Ischemia_25percent_output_edgel!118:118,"AAAAAHudu18=",0)</f>
        <v>0</v>
      </c>
      <c r="CS2" t="e">
        <f>AND(Ischemia_25percent_output_edgel!A118,"AAAAAHudu2A=")</f>
        <v>#VALUE!</v>
      </c>
      <c r="CT2" t="e">
        <f>AND(Ischemia_25percent_output_edgel!B118,"AAAAAHudu2E=")</f>
        <v>#VALUE!</v>
      </c>
      <c r="CU2">
        <f>IF(Ischemia_25percent_output_edgel!119:119,"AAAAAHudu2I=",0)</f>
        <v>0</v>
      </c>
      <c r="CV2" t="e">
        <f>AND(Ischemia_25percent_output_edgel!A119,"AAAAAHudu2M=")</f>
        <v>#VALUE!</v>
      </c>
      <c r="CW2" t="e">
        <f>AND(Ischemia_25percent_output_edgel!B119,"AAAAAHudu2Q=")</f>
        <v>#VALUE!</v>
      </c>
      <c r="CX2">
        <f>IF(Ischemia_25percent_output_edgel!120:120,"AAAAAHudu2U=",0)</f>
        <v>0</v>
      </c>
      <c r="CY2" t="e">
        <f>AND(Ischemia_25percent_output_edgel!A120,"AAAAAHudu2Y=")</f>
        <v>#VALUE!</v>
      </c>
      <c r="CZ2" t="e">
        <f>AND(Ischemia_25percent_output_edgel!B120,"AAAAAHudu2c=")</f>
        <v>#VALUE!</v>
      </c>
      <c r="DA2">
        <f>IF(Ischemia_25percent_output_edgel!121:121,"AAAAAHudu2g=",0)</f>
        <v>0</v>
      </c>
      <c r="DB2" t="e">
        <f>AND(Ischemia_25percent_output_edgel!A121,"AAAAAHudu2k=")</f>
        <v>#VALUE!</v>
      </c>
      <c r="DC2" t="e">
        <f>AND(Ischemia_25percent_output_edgel!B121,"AAAAAHudu2o=")</f>
        <v>#VALUE!</v>
      </c>
      <c r="DD2">
        <f>IF(Ischemia_25percent_output_edgel!122:122,"AAAAAHudu2s=",0)</f>
        <v>0</v>
      </c>
      <c r="DE2" t="e">
        <f>AND(Ischemia_25percent_output_edgel!A122,"AAAAAHudu2w=")</f>
        <v>#VALUE!</v>
      </c>
      <c r="DF2" t="e">
        <f>AND(Ischemia_25percent_output_edgel!B122,"AAAAAHudu20=")</f>
        <v>#VALUE!</v>
      </c>
      <c r="DG2">
        <f>IF(Ischemia_25percent_output_edgel!123:123,"AAAAAHudu24=",0)</f>
        <v>0</v>
      </c>
      <c r="DH2" t="e">
        <f>AND(Ischemia_25percent_output_edgel!A123,"AAAAAHudu28=")</f>
        <v>#VALUE!</v>
      </c>
      <c r="DI2" t="e">
        <f>AND(Ischemia_25percent_output_edgel!B123,"AAAAAHudu3A=")</f>
        <v>#VALUE!</v>
      </c>
      <c r="DJ2">
        <f>IF(Ischemia_25percent_output_edgel!124:124,"AAAAAHudu3E=",0)</f>
        <v>0</v>
      </c>
      <c r="DK2" t="e">
        <f>AND(Ischemia_25percent_output_edgel!A124,"AAAAAHudu3I=")</f>
        <v>#VALUE!</v>
      </c>
      <c r="DL2" t="e">
        <f>AND(Ischemia_25percent_output_edgel!B124,"AAAAAHudu3M=")</f>
        <v>#VALUE!</v>
      </c>
      <c r="DM2">
        <f>IF(Ischemia_25percent_output_edgel!125:125,"AAAAAHudu3Q=",0)</f>
        <v>0</v>
      </c>
      <c r="DN2" t="e">
        <f>AND(Ischemia_25percent_output_edgel!A125,"AAAAAHudu3U=")</f>
        <v>#VALUE!</v>
      </c>
      <c r="DO2" t="e">
        <f>AND(Ischemia_25percent_output_edgel!B125,"AAAAAHudu3Y=")</f>
        <v>#VALUE!</v>
      </c>
      <c r="DP2">
        <f>IF(Ischemia_25percent_output_edgel!126:126,"AAAAAHudu3c=",0)</f>
        <v>0</v>
      </c>
      <c r="DQ2" t="e">
        <f>AND(Ischemia_25percent_output_edgel!A126,"AAAAAHudu3g=")</f>
        <v>#VALUE!</v>
      </c>
      <c r="DR2" t="e">
        <f>AND(Ischemia_25percent_output_edgel!B126,"AAAAAHudu3k=")</f>
        <v>#VALUE!</v>
      </c>
      <c r="DS2">
        <f>IF(Ischemia_25percent_output_edgel!127:127,"AAAAAHudu3o=",0)</f>
        <v>0</v>
      </c>
      <c r="DT2" t="e">
        <f>AND(Ischemia_25percent_output_edgel!A127,"AAAAAHudu3s=")</f>
        <v>#VALUE!</v>
      </c>
      <c r="DU2" t="e">
        <f>AND(Ischemia_25percent_output_edgel!B127,"AAAAAHudu3w=")</f>
        <v>#VALUE!</v>
      </c>
      <c r="DV2">
        <f>IF(Ischemia_25percent_output_edgel!128:128,"AAAAAHudu30=",0)</f>
        <v>0</v>
      </c>
      <c r="DW2" t="e">
        <f>AND(Ischemia_25percent_output_edgel!A128,"AAAAAHudu34=")</f>
        <v>#VALUE!</v>
      </c>
      <c r="DX2" t="e">
        <f>AND(Ischemia_25percent_output_edgel!B128,"AAAAAHudu38=")</f>
        <v>#VALUE!</v>
      </c>
      <c r="DY2">
        <f>IF(Ischemia_25percent_output_edgel!129:129,"AAAAAHudu4A=",0)</f>
        <v>0</v>
      </c>
      <c r="DZ2" t="e">
        <f>AND(Ischemia_25percent_output_edgel!A129,"AAAAAHudu4E=")</f>
        <v>#VALUE!</v>
      </c>
      <c r="EA2" t="e">
        <f>AND(Ischemia_25percent_output_edgel!B129,"AAAAAHudu4I=")</f>
        <v>#VALUE!</v>
      </c>
      <c r="EB2">
        <f>IF(Ischemia_25percent_output_edgel!130:130,"AAAAAHudu4M=",0)</f>
        <v>0</v>
      </c>
      <c r="EC2" t="e">
        <f>AND(Ischemia_25percent_output_edgel!A130,"AAAAAHudu4Q=")</f>
        <v>#VALUE!</v>
      </c>
      <c r="ED2" t="e">
        <f>AND(Ischemia_25percent_output_edgel!B130,"AAAAAHudu4U=")</f>
        <v>#VALUE!</v>
      </c>
      <c r="EE2">
        <f>IF(Ischemia_25percent_output_edgel!131:131,"AAAAAHudu4Y=",0)</f>
        <v>0</v>
      </c>
      <c r="EF2" t="e">
        <f>AND(Ischemia_25percent_output_edgel!A131,"AAAAAHudu4c=")</f>
        <v>#VALUE!</v>
      </c>
      <c r="EG2" t="e">
        <f>AND(Ischemia_25percent_output_edgel!B131,"AAAAAHudu4g=")</f>
        <v>#VALUE!</v>
      </c>
      <c r="EH2">
        <f>IF(Ischemia_25percent_output_edgel!132:132,"AAAAAHudu4k=",0)</f>
        <v>0</v>
      </c>
      <c r="EI2" t="e">
        <f>AND(Ischemia_25percent_output_edgel!A132,"AAAAAHudu4o=")</f>
        <v>#VALUE!</v>
      </c>
      <c r="EJ2" t="e">
        <f>AND(Ischemia_25percent_output_edgel!B132,"AAAAAHudu4s=")</f>
        <v>#VALUE!</v>
      </c>
      <c r="EK2">
        <f>IF(Ischemia_25percent_output_edgel!133:133,"AAAAAHudu4w=",0)</f>
        <v>0</v>
      </c>
      <c r="EL2" t="e">
        <f>AND(Ischemia_25percent_output_edgel!A133,"AAAAAHudu40=")</f>
        <v>#VALUE!</v>
      </c>
      <c r="EM2" t="e">
        <f>AND(Ischemia_25percent_output_edgel!B133,"AAAAAHudu44=")</f>
        <v>#VALUE!</v>
      </c>
      <c r="EN2">
        <f>IF(Ischemia_25percent_output_edgel!134:134,"AAAAAHudu48=",0)</f>
        <v>0</v>
      </c>
      <c r="EO2" t="e">
        <f>AND(Ischemia_25percent_output_edgel!A134,"AAAAAHudu5A=")</f>
        <v>#VALUE!</v>
      </c>
      <c r="EP2" t="e">
        <f>AND(Ischemia_25percent_output_edgel!B134,"AAAAAHudu5E=")</f>
        <v>#VALUE!</v>
      </c>
      <c r="EQ2">
        <f>IF(Ischemia_25percent_output_edgel!135:135,"AAAAAHudu5I=",0)</f>
        <v>0</v>
      </c>
      <c r="ER2" t="e">
        <f>AND(Ischemia_25percent_output_edgel!A135,"AAAAAHudu5M=")</f>
        <v>#VALUE!</v>
      </c>
      <c r="ES2" t="e">
        <f>AND(Ischemia_25percent_output_edgel!B135,"AAAAAHudu5Q=")</f>
        <v>#VALUE!</v>
      </c>
      <c r="ET2">
        <f>IF(Ischemia_25percent_output_edgel!136:136,"AAAAAHudu5U=",0)</f>
        <v>0</v>
      </c>
      <c r="EU2" t="e">
        <f>AND(Ischemia_25percent_output_edgel!A136,"AAAAAHudu5Y=")</f>
        <v>#VALUE!</v>
      </c>
      <c r="EV2" t="e">
        <f>AND(Ischemia_25percent_output_edgel!B136,"AAAAAHudu5c=")</f>
        <v>#VALUE!</v>
      </c>
      <c r="EW2">
        <f>IF(Ischemia_25percent_output_edgel!137:137,"AAAAAHudu5g=",0)</f>
        <v>0</v>
      </c>
      <c r="EX2" t="e">
        <f>AND(Ischemia_25percent_output_edgel!A137,"AAAAAHudu5k=")</f>
        <v>#VALUE!</v>
      </c>
      <c r="EY2" t="e">
        <f>AND(Ischemia_25percent_output_edgel!B137,"AAAAAHudu5o=")</f>
        <v>#VALUE!</v>
      </c>
      <c r="EZ2">
        <f>IF(Ischemia_25percent_output_edgel!138:138,"AAAAAHudu5s=",0)</f>
        <v>0</v>
      </c>
      <c r="FA2" t="e">
        <f>AND(Ischemia_25percent_output_edgel!A138,"AAAAAHudu5w=")</f>
        <v>#VALUE!</v>
      </c>
      <c r="FB2" t="e">
        <f>AND(Ischemia_25percent_output_edgel!B138,"AAAAAHudu50=")</f>
        <v>#VALUE!</v>
      </c>
      <c r="FC2">
        <f>IF(Ischemia_25percent_output_edgel!139:139,"AAAAAHudu54=",0)</f>
        <v>0</v>
      </c>
      <c r="FD2" t="e">
        <f>AND(Ischemia_25percent_output_edgel!A139,"AAAAAHudu58=")</f>
        <v>#VALUE!</v>
      </c>
      <c r="FE2" t="e">
        <f>AND(Ischemia_25percent_output_edgel!B139,"AAAAAHudu6A=")</f>
        <v>#VALUE!</v>
      </c>
      <c r="FF2">
        <f>IF(Ischemia_25percent_output_edgel!140:140,"AAAAAHudu6E=",0)</f>
        <v>0</v>
      </c>
      <c r="FG2" t="e">
        <f>AND(Ischemia_25percent_output_edgel!A140,"AAAAAHudu6I=")</f>
        <v>#VALUE!</v>
      </c>
      <c r="FH2" t="e">
        <f>AND(Ischemia_25percent_output_edgel!B140,"AAAAAHudu6M=")</f>
        <v>#VALUE!</v>
      </c>
      <c r="FI2">
        <f>IF(Ischemia_25percent_output_edgel!141:141,"AAAAAHudu6Q=",0)</f>
        <v>0</v>
      </c>
      <c r="FJ2" t="e">
        <f>AND(Ischemia_25percent_output_edgel!A141,"AAAAAHudu6U=")</f>
        <v>#VALUE!</v>
      </c>
      <c r="FK2" t="e">
        <f>AND(Ischemia_25percent_output_edgel!B141,"AAAAAHudu6Y=")</f>
        <v>#VALUE!</v>
      </c>
      <c r="FL2">
        <f>IF(Ischemia_25percent_output_edgel!142:142,"AAAAAHudu6c=",0)</f>
        <v>0</v>
      </c>
      <c r="FM2" t="e">
        <f>AND(Ischemia_25percent_output_edgel!A142,"AAAAAHudu6g=")</f>
        <v>#VALUE!</v>
      </c>
      <c r="FN2" t="e">
        <f>AND(Ischemia_25percent_output_edgel!B142,"AAAAAHudu6k=")</f>
        <v>#VALUE!</v>
      </c>
      <c r="FO2">
        <f>IF(Ischemia_25percent_output_edgel!143:143,"AAAAAHudu6o=",0)</f>
        <v>0</v>
      </c>
      <c r="FP2" t="e">
        <f>AND(Ischemia_25percent_output_edgel!A143,"AAAAAHudu6s=")</f>
        <v>#VALUE!</v>
      </c>
      <c r="FQ2" t="e">
        <f>AND(Ischemia_25percent_output_edgel!B143,"AAAAAHudu6w=")</f>
        <v>#VALUE!</v>
      </c>
      <c r="FR2">
        <f>IF(Ischemia_25percent_output_edgel!144:144,"AAAAAHudu60=",0)</f>
        <v>0</v>
      </c>
      <c r="FS2" t="e">
        <f>AND(Ischemia_25percent_output_edgel!A144,"AAAAAHudu64=")</f>
        <v>#VALUE!</v>
      </c>
      <c r="FT2" t="e">
        <f>AND(Ischemia_25percent_output_edgel!B144,"AAAAAHudu68=")</f>
        <v>#VALUE!</v>
      </c>
      <c r="FU2">
        <f>IF(Ischemia_25percent_output_edgel!145:145,"AAAAAHudu7A=",0)</f>
        <v>0</v>
      </c>
      <c r="FV2" t="e">
        <f>AND(Ischemia_25percent_output_edgel!A145,"AAAAAHudu7E=")</f>
        <v>#VALUE!</v>
      </c>
      <c r="FW2" t="e">
        <f>AND(Ischemia_25percent_output_edgel!B145,"AAAAAHudu7I=")</f>
        <v>#VALUE!</v>
      </c>
      <c r="FX2">
        <f>IF(Ischemia_25percent_output_edgel!146:146,"AAAAAHudu7M=",0)</f>
        <v>0</v>
      </c>
      <c r="FY2" t="e">
        <f>AND(Ischemia_25percent_output_edgel!A146,"AAAAAHudu7Q=")</f>
        <v>#VALUE!</v>
      </c>
      <c r="FZ2" t="e">
        <f>AND(Ischemia_25percent_output_edgel!B146,"AAAAAHudu7U=")</f>
        <v>#VALUE!</v>
      </c>
      <c r="GA2">
        <f>IF(Ischemia_25percent_output_edgel!147:147,"AAAAAHudu7Y=",0)</f>
        <v>0</v>
      </c>
      <c r="GB2" t="e">
        <f>AND(Ischemia_25percent_output_edgel!A147,"AAAAAHudu7c=")</f>
        <v>#VALUE!</v>
      </c>
      <c r="GC2" t="e">
        <f>AND(Ischemia_25percent_output_edgel!B147,"AAAAAHudu7g=")</f>
        <v>#VALUE!</v>
      </c>
      <c r="GD2">
        <f>IF(Ischemia_25percent_output_edgel!148:148,"AAAAAHudu7k=",0)</f>
        <v>0</v>
      </c>
      <c r="GE2" t="e">
        <f>AND(Ischemia_25percent_output_edgel!A148,"AAAAAHudu7o=")</f>
        <v>#VALUE!</v>
      </c>
      <c r="GF2" t="e">
        <f>AND(Ischemia_25percent_output_edgel!B148,"AAAAAHudu7s=")</f>
        <v>#VALUE!</v>
      </c>
      <c r="GG2">
        <f>IF(Ischemia_25percent_output_edgel!149:149,"AAAAAHudu7w=",0)</f>
        <v>0</v>
      </c>
      <c r="GH2" t="e">
        <f>AND(Ischemia_25percent_output_edgel!A149,"AAAAAHudu70=")</f>
        <v>#VALUE!</v>
      </c>
      <c r="GI2" t="e">
        <f>AND(Ischemia_25percent_output_edgel!B149,"AAAAAHudu74=")</f>
        <v>#VALUE!</v>
      </c>
      <c r="GJ2">
        <f>IF(Ischemia_25percent_output_edgel!150:150,"AAAAAHudu78=",0)</f>
        <v>0</v>
      </c>
      <c r="GK2" t="e">
        <f>AND(Ischemia_25percent_output_edgel!A150,"AAAAAHudu8A=")</f>
        <v>#VALUE!</v>
      </c>
      <c r="GL2" t="e">
        <f>AND(Ischemia_25percent_output_edgel!B150,"AAAAAHudu8E=")</f>
        <v>#VALUE!</v>
      </c>
      <c r="GM2">
        <f>IF(Ischemia_25percent_output_edgel!151:151,"AAAAAHudu8I=",0)</f>
        <v>0</v>
      </c>
      <c r="GN2" t="e">
        <f>AND(Ischemia_25percent_output_edgel!A151,"AAAAAHudu8M=")</f>
        <v>#VALUE!</v>
      </c>
      <c r="GO2" t="e">
        <f>AND(Ischemia_25percent_output_edgel!B151,"AAAAAHudu8Q=")</f>
        <v>#VALUE!</v>
      </c>
      <c r="GP2">
        <f>IF(Ischemia_25percent_output_edgel!152:152,"AAAAAHudu8U=",0)</f>
        <v>0</v>
      </c>
      <c r="GQ2" t="e">
        <f>AND(Ischemia_25percent_output_edgel!A152,"AAAAAHudu8Y=")</f>
        <v>#VALUE!</v>
      </c>
      <c r="GR2" t="e">
        <f>AND(Ischemia_25percent_output_edgel!B152,"AAAAAHudu8c=")</f>
        <v>#VALUE!</v>
      </c>
      <c r="GS2">
        <f>IF(Ischemia_25percent_output_edgel!153:153,"AAAAAHudu8g=",0)</f>
        <v>0</v>
      </c>
      <c r="GT2" t="e">
        <f>AND(Ischemia_25percent_output_edgel!A153,"AAAAAHudu8k=")</f>
        <v>#VALUE!</v>
      </c>
      <c r="GU2" t="e">
        <f>AND(Ischemia_25percent_output_edgel!B153,"AAAAAHudu8o=")</f>
        <v>#VALUE!</v>
      </c>
      <c r="GV2">
        <f>IF(Ischemia_25percent_output_edgel!154:154,"AAAAAHudu8s=",0)</f>
        <v>0</v>
      </c>
      <c r="GW2" t="e">
        <f>AND(Ischemia_25percent_output_edgel!A154,"AAAAAHudu8w=")</f>
        <v>#VALUE!</v>
      </c>
      <c r="GX2" t="e">
        <f>AND(Ischemia_25percent_output_edgel!B154,"AAAAAHudu80=")</f>
        <v>#VALUE!</v>
      </c>
      <c r="GY2">
        <f>IF(Ischemia_25percent_output_edgel!155:155,"AAAAAHudu84=",0)</f>
        <v>0</v>
      </c>
      <c r="GZ2" t="e">
        <f>AND(Ischemia_25percent_output_edgel!A155,"AAAAAHudu88=")</f>
        <v>#VALUE!</v>
      </c>
      <c r="HA2" t="e">
        <f>AND(Ischemia_25percent_output_edgel!B155,"AAAAAHudu9A=")</f>
        <v>#VALUE!</v>
      </c>
      <c r="HB2">
        <f>IF(Ischemia_25percent_output_edgel!156:156,"AAAAAHudu9E=",0)</f>
        <v>0</v>
      </c>
      <c r="HC2" t="e">
        <f>AND(Ischemia_25percent_output_edgel!A156,"AAAAAHudu9I=")</f>
        <v>#VALUE!</v>
      </c>
      <c r="HD2" t="e">
        <f>AND(Ischemia_25percent_output_edgel!B156,"AAAAAHudu9M=")</f>
        <v>#VALUE!</v>
      </c>
      <c r="HE2">
        <f>IF(Ischemia_25percent_output_edgel!157:157,"AAAAAHudu9Q=",0)</f>
        <v>0</v>
      </c>
      <c r="HF2" t="e">
        <f>AND(Ischemia_25percent_output_edgel!A157,"AAAAAHudu9U=")</f>
        <v>#VALUE!</v>
      </c>
      <c r="HG2" t="e">
        <f>AND(Ischemia_25percent_output_edgel!B157,"AAAAAHudu9Y=")</f>
        <v>#VALUE!</v>
      </c>
      <c r="HH2">
        <f>IF(Ischemia_25percent_output_edgel!158:158,"AAAAAHudu9c=",0)</f>
        <v>0</v>
      </c>
      <c r="HI2" t="e">
        <f>AND(Ischemia_25percent_output_edgel!A158,"AAAAAHudu9g=")</f>
        <v>#VALUE!</v>
      </c>
      <c r="HJ2" t="e">
        <f>AND(Ischemia_25percent_output_edgel!B158,"AAAAAHudu9k=")</f>
        <v>#VALUE!</v>
      </c>
      <c r="HK2">
        <f>IF(Ischemia_25percent_output_edgel!159:159,"AAAAAHudu9o=",0)</f>
        <v>0</v>
      </c>
      <c r="HL2" t="e">
        <f>AND(Ischemia_25percent_output_edgel!A159,"AAAAAHudu9s=")</f>
        <v>#VALUE!</v>
      </c>
      <c r="HM2" t="e">
        <f>AND(Ischemia_25percent_output_edgel!B159,"AAAAAHudu9w=")</f>
        <v>#VALUE!</v>
      </c>
      <c r="HN2">
        <f>IF(Ischemia_25percent_output_edgel!160:160,"AAAAAHudu90=",0)</f>
        <v>0</v>
      </c>
      <c r="HO2" t="e">
        <f>AND(Ischemia_25percent_output_edgel!A160,"AAAAAHudu94=")</f>
        <v>#VALUE!</v>
      </c>
      <c r="HP2" t="e">
        <f>AND(Ischemia_25percent_output_edgel!B160,"AAAAAHudu98=")</f>
        <v>#VALUE!</v>
      </c>
      <c r="HQ2">
        <f>IF(Ischemia_25percent_output_edgel!161:161,"AAAAAHudu+A=",0)</f>
        <v>0</v>
      </c>
      <c r="HR2" t="e">
        <f>AND(Ischemia_25percent_output_edgel!A161,"AAAAAHudu+E=")</f>
        <v>#VALUE!</v>
      </c>
      <c r="HS2" t="e">
        <f>AND(Ischemia_25percent_output_edgel!B161,"AAAAAHudu+I=")</f>
        <v>#VALUE!</v>
      </c>
      <c r="HT2">
        <f>IF(Ischemia_25percent_output_edgel!162:162,"AAAAAHudu+M=",0)</f>
        <v>0</v>
      </c>
      <c r="HU2" t="e">
        <f>AND(Ischemia_25percent_output_edgel!A162,"AAAAAHudu+Q=")</f>
        <v>#VALUE!</v>
      </c>
      <c r="HV2" t="e">
        <f>AND(Ischemia_25percent_output_edgel!B162,"AAAAAHudu+U=")</f>
        <v>#VALUE!</v>
      </c>
      <c r="HW2">
        <f>IF(Ischemia_25percent_output_edgel!163:163,"AAAAAHudu+Y=",0)</f>
        <v>0</v>
      </c>
      <c r="HX2" t="e">
        <f>AND(Ischemia_25percent_output_edgel!A163,"AAAAAHudu+c=")</f>
        <v>#VALUE!</v>
      </c>
      <c r="HY2" t="e">
        <f>AND(Ischemia_25percent_output_edgel!B163,"AAAAAHudu+g=")</f>
        <v>#VALUE!</v>
      </c>
      <c r="HZ2">
        <f>IF(Ischemia_25percent_output_edgel!164:164,"AAAAAHudu+k=",0)</f>
        <v>0</v>
      </c>
      <c r="IA2" t="e">
        <f>AND(Ischemia_25percent_output_edgel!A164,"AAAAAHudu+o=")</f>
        <v>#VALUE!</v>
      </c>
      <c r="IB2" t="e">
        <f>AND(Ischemia_25percent_output_edgel!B164,"AAAAAHudu+s=")</f>
        <v>#VALUE!</v>
      </c>
      <c r="IC2">
        <f>IF(Ischemia_25percent_output_edgel!165:165,"AAAAAHudu+w=",0)</f>
        <v>0</v>
      </c>
      <c r="ID2" t="e">
        <f>AND(Ischemia_25percent_output_edgel!A165,"AAAAAHudu+0=")</f>
        <v>#VALUE!</v>
      </c>
      <c r="IE2" t="e">
        <f>AND(Ischemia_25percent_output_edgel!B165,"AAAAAHudu+4=")</f>
        <v>#VALUE!</v>
      </c>
      <c r="IF2">
        <f>IF(Ischemia_25percent_output_edgel!166:166,"AAAAAHudu+8=",0)</f>
        <v>0</v>
      </c>
      <c r="IG2" t="e">
        <f>AND(Ischemia_25percent_output_edgel!A166,"AAAAAHudu/A=")</f>
        <v>#VALUE!</v>
      </c>
      <c r="IH2" t="e">
        <f>AND(Ischemia_25percent_output_edgel!B166,"AAAAAHudu/E=")</f>
        <v>#VALUE!</v>
      </c>
      <c r="II2">
        <f>IF(Ischemia_25percent_output_edgel!167:167,"AAAAAHudu/I=",0)</f>
        <v>0</v>
      </c>
      <c r="IJ2" t="e">
        <f>AND(Ischemia_25percent_output_edgel!A167,"AAAAAHudu/M=")</f>
        <v>#VALUE!</v>
      </c>
      <c r="IK2" t="e">
        <f>AND(Ischemia_25percent_output_edgel!B167,"AAAAAHudu/Q=")</f>
        <v>#VALUE!</v>
      </c>
      <c r="IL2">
        <f>IF(Ischemia_25percent_output_edgel!168:168,"AAAAAHudu/U=",0)</f>
        <v>0</v>
      </c>
      <c r="IM2" t="e">
        <f>AND(Ischemia_25percent_output_edgel!A168,"AAAAAHudu/Y=")</f>
        <v>#VALUE!</v>
      </c>
      <c r="IN2" t="e">
        <f>AND(Ischemia_25percent_output_edgel!B168,"AAAAAHudu/c=")</f>
        <v>#VALUE!</v>
      </c>
      <c r="IO2">
        <f>IF(Ischemia_25percent_output_edgel!169:169,"AAAAAHudu/g=",0)</f>
        <v>0</v>
      </c>
      <c r="IP2" t="e">
        <f>AND(Ischemia_25percent_output_edgel!A169,"AAAAAHudu/k=")</f>
        <v>#VALUE!</v>
      </c>
      <c r="IQ2" t="e">
        <f>AND(Ischemia_25percent_output_edgel!B169,"AAAAAHudu/o=")</f>
        <v>#VALUE!</v>
      </c>
      <c r="IR2">
        <f>IF(Ischemia_25percent_output_edgel!170:170,"AAAAAHudu/s=",0)</f>
        <v>0</v>
      </c>
      <c r="IS2" t="e">
        <f>AND(Ischemia_25percent_output_edgel!A170,"AAAAAHudu/w=")</f>
        <v>#VALUE!</v>
      </c>
      <c r="IT2" t="e">
        <f>AND(Ischemia_25percent_output_edgel!B170,"AAAAAHudu/0=")</f>
        <v>#VALUE!</v>
      </c>
      <c r="IU2">
        <f>IF(Ischemia_25percent_output_edgel!171:171,"AAAAAHudu/4=",0)</f>
        <v>0</v>
      </c>
      <c r="IV2" t="e">
        <f>AND(Ischemia_25percent_output_edgel!A171,"AAAAAHudu/8=")</f>
        <v>#VALUE!</v>
      </c>
    </row>
    <row r="3" spans="1:256">
      <c r="A3" t="e">
        <f>AND(Ischemia_25percent_output_edgel!B171,"AAAAAGX+/gA=")</f>
        <v>#VALUE!</v>
      </c>
      <c r="B3" t="e">
        <f>IF(Ischemia_25percent_output_edgel!172:172,"AAAAAGX+/gE=",0)</f>
        <v>#VALUE!</v>
      </c>
      <c r="C3" t="e">
        <f>AND(Ischemia_25percent_output_edgel!A172,"AAAAAGX+/gI=")</f>
        <v>#VALUE!</v>
      </c>
      <c r="D3" t="e">
        <f>AND(Ischemia_25percent_output_edgel!B172,"AAAAAGX+/gM=")</f>
        <v>#VALUE!</v>
      </c>
      <c r="E3">
        <f>IF(Ischemia_25percent_output_edgel!173:173,"AAAAAGX+/gQ=",0)</f>
        <v>0</v>
      </c>
      <c r="F3" t="e">
        <f>AND(Ischemia_25percent_output_edgel!A173,"AAAAAGX+/gU=")</f>
        <v>#VALUE!</v>
      </c>
      <c r="G3" t="e">
        <f>AND(Ischemia_25percent_output_edgel!B173,"AAAAAGX+/gY=")</f>
        <v>#VALUE!</v>
      </c>
      <c r="H3">
        <f>IF(Ischemia_25percent_output_edgel!174:174,"AAAAAGX+/gc=",0)</f>
        <v>0</v>
      </c>
      <c r="I3" t="e">
        <f>AND(Ischemia_25percent_output_edgel!A174,"AAAAAGX+/gg=")</f>
        <v>#VALUE!</v>
      </c>
      <c r="J3" t="e">
        <f>AND(Ischemia_25percent_output_edgel!B174,"AAAAAGX+/gk=")</f>
        <v>#VALUE!</v>
      </c>
      <c r="K3">
        <f>IF(Ischemia_25percent_output_edgel!175:175,"AAAAAGX+/go=",0)</f>
        <v>0</v>
      </c>
      <c r="L3" t="e">
        <f>AND(Ischemia_25percent_output_edgel!A175,"AAAAAGX+/gs=")</f>
        <v>#VALUE!</v>
      </c>
      <c r="M3" t="e">
        <f>AND(Ischemia_25percent_output_edgel!B175,"AAAAAGX+/gw=")</f>
        <v>#VALUE!</v>
      </c>
      <c r="N3">
        <f>IF(Ischemia_25percent_output_edgel!176:176,"AAAAAGX+/g0=",0)</f>
        <v>0</v>
      </c>
      <c r="O3" t="e">
        <f>AND(Ischemia_25percent_output_edgel!A176,"AAAAAGX+/g4=")</f>
        <v>#VALUE!</v>
      </c>
      <c r="P3" t="e">
        <f>AND(Ischemia_25percent_output_edgel!B176,"AAAAAGX+/g8=")</f>
        <v>#VALUE!</v>
      </c>
      <c r="Q3">
        <f>IF(Ischemia_25percent_output_edgel!177:177,"AAAAAGX+/hA=",0)</f>
        <v>0</v>
      </c>
      <c r="R3" t="e">
        <f>AND(Ischemia_25percent_output_edgel!A177,"AAAAAGX+/hE=")</f>
        <v>#VALUE!</v>
      </c>
      <c r="S3" t="e">
        <f>AND(Ischemia_25percent_output_edgel!B177,"AAAAAGX+/hI=")</f>
        <v>#VALUE!</v>
      </c>
      <c r="T3">
        <f>IF(Ischemia_25percent_output_edgel!178:178,"AAAAAGX+/hM=",0)</f>
        <v>0</v>
      </c>
      <c r="U3" t="e">
        <f>AND(Ischemia_25percent_output_edgel!A178,"AAAAAGX+/hQ=")</f>
        <v>#VALUE!</v>
      </c>
      <c r="V3" t="e">
        <f>AND(Ischemia_25percent_output_edgel!B178,"AAAAAGX+/hU=")</f>
        <v>#VALUE!</v>
      </c>
      <c r="W3">
        <f>IF(Ischemia_25percent_output_edgel!179:179,"AAAAAGX+/hY=",0)</f>
        <v>0</v>
      </c>
      <c r="X3" t="e">
        <f>AND(Ischemia_25percent_output_edgel!A179,"AAAAAGX+/hc=")</f>
        <v>#VALUE!</v>
      </c>
      <c r="Y3" t="e">
        <f>AND(Ischemia_25percent_output_edgel!B179,"AAAAAGX+/hg=")</f>
        <v>#VALUE!</v>
      </c>
      <c r="Z3">
        <f>IF(Ischemia_25percent_output_edgel!180:180,"AAAAAGX+/hk=",0)</f>
        <v>0</v>
      </c>
      <c r="AA3" t="e">
        <f>AND(Ischemia_25percent_output_edgel!A180,"AAAAAGX+/ho=")</f>
        <v>#VALUE!</v>
      </c>
      <c r="AB3" t="e">
        <f>AND(Ischemia_25percent_output_edgel!B180,"AAAAAGX+/hs=")</f>
        <v>#VALUE!</v>
      </c>
      <c r="AC3">
        <f>IF(Ischemia_25percent_output_edgel!181:181,"AAAAAGX+/hw=",0)</f>
        <v>0</v>
      </c>
      <c r="AD3" t="e">
        <f>AND(Ischemia_25percent_output_edgel!A181,"AAAAAGX+/h0=")</f>
        <v>#VALUE!</v>
      </c>
      <c r="AE3" t="e">
        <f>AND(Ischemia_25percent_output_edgel!B181,"AAAAAGX+/h4=")</f>
        <v>#VALUE!</v>
      </c>
      <c r="AF3">
        <f>IF(Ischemia_25percent_output_edgel!182:182,"AAAAAGX+/h8=",0)</f>
        <v>0</v>
      </c>
      <c r="AG3" t="e">
        <f>AND(Ischemia_25percent_output_edgel!A182,"AAAAAGX+/iA=")</f>
        <v>#VALUE!</v>
      </c>
      <c r="AH3" t="e">
        <f>AND(Ischemia_25percent_output_edgel!B182,"AAAAAGX+/iE=")</f>
        <v>#VALUE!</v>
      </c>
      <c r="AI3">
        <f>IF(Ischemia_25percent_output_edgel!183:183,"AAAAAGX+/iI=",0)</f>
        <v>0</v>
      </c>
      <c r="AJ3" t="e">
        <f>AND(Ischemia_25percent_output_edgel!A183,"AAAAAGX+/iM=")</f>
        <v>#VALUE!</v>
      </c>
      <c r="AK3" t="e">
        <f>AND(Ischemia_25percent_output_edgel!B183,"AAAAAGX+/iQ=")</f>
        <v>#VALUE!</v>
      </c>
      <c r="AL3">
        <f>IF(Ischemia_25percent_output_edgel!184:184,"AAAAAGX+/iU=",0)</f>
        <v>0</v>
      </c>
      <c r="AM3" t="e">
        <f>AND(Ischemia_25percent_output_edgel!A184,"AAAAAGX+/iY=")</f>
        <v>#VALUE!</v>
      </c>
      <c r="AN3" t="e">
        <f>AND(Ischemia_25percent_output_edgel!B184,"AAAAAGX+/ic=")</f>
        <v>#VALUE!</v>
      </c>
      <c r="AO3">
        <f>IF(Ischemia_25percent_output_edgel!185:185,"AAAAAGX+/ig=",0)</f>
        <v>0</v>
      </c>
      <c r="AP3" t="e">
        <f>AND(Ischemia_25percent_output_edgel!A185,"AAAAAGX+/ik=")</f>
        <v>#VALUE!</v>
      </c>
      <c r="AQ3" t="e">
        <f>AND(Ischemia_25percent_output_edgel!B185,"AAAAAGX+/io=")</f>
        <v>#VALUE!</v>
      </c>
      <c r="AR3">
        <f>IF(Ischemia_25percent_output_edgel!186:186,"AAAAAGX+/is=",0)</f>
        <v>0</v>
      </c>
      <c r="AS3" t="e">
        <f>AND(Ischemia_25percent_output_edgel!A186,"AAAAAGX+/iw=")</f>
        <v>#VALUE!</v>
      </c>
      <c r="AT3" t="e">
        <f>AND(Ischemia_25percent_output_edgel!B186,"AAAAAGX+/i0=")</f>
        <v>#VALUE!</v>
      </c>
      <c r="AU3">
        <f>IF(Ischemia_25percent_output_edgel!187:187,"AAAAAGX+/i4=",0)</f>
        <v>0</v>
      </c>
      <c r="AV3" t="e">
        <f>AND(Ischemia_25percent_output_edgel!A187,"AAAAAGX+/i8=")</f>
        <v>#VALUE!</v>
      </c>
      <c r="AW3" t="e">
        <f>AND(Ischemia_25percent_output_edgel!B187,"AAAAAGX+/jA=")</f>
        <v>#VALUE!</v>
      </c>
      <c r="AX3">
        <f>IF(Ischemia_25percent_output_edgel!188:188,"AAAAAGX+/jE=",0)</f>
        <v>0</v>
      </c>
      <c r="AY3" t="e">
        <f>AND(Ischemia_25percent_output_edgel!A188,"AAAAAGX+/jI=")</f>
        <v>#VALUE!</v>
      </c>
      <c r="AZ3" t="e">
        <f>AND(Ischemia_25percent_output_edgel!B188,"AAAAAGX+/jM=")</f>
        <v>#VALUE!</v>
      </c>
      <c r="BA3">
        <f>IF(Ischemia_25percent_output_edgel!189:189,"AAAAAGX+/jQ=",0)</f>
        <v>0</v>
      </c>
      <c r="BB3" t="e">
        <f>AND(Ischemia_25percent_output_edgel!A189,"AAAAAGX+/jU=")</f>
        <v>#VALUE!</v>
      </c>
      <c r="BC3" t="e">
        <f>AND(Ischemia_25percent_output_edgel!B189,"AAAAAGX+/jY=")</f>
        <v>#VALUE!</v>
      </c>
      <c r="BD3">
        <f>IF(Ischemia_25percent_output_edgel!190:190,"AAAAAGX+/jc=",0)</f>
        <v>0</v>
      </c>
      <c r="BE3" t="e">
        <f>AND(Ischemia_25percent_output_edgel!A190,"AAAAAGX+/jg=")</f>
        <v>#VALUE!</v>
      </c>
      <c r="BF3" t="e">
        <f>AND(Ischemia_25percent_output_edgel!B190,"AAAAAGX+/jk=")</f>
        <v>#VALUE!</v>
      </c>
      <c r="BG3">
        <f>IF(Ischemia_25percent_output_edgel!191:191,"AAAAAGX+/jo=",0)</f>
        <v>0</v>
      </c>
      <c r="BH3" t="e">
        <f>AND(Ischemia_25percent_output_edgel!A191,"AAAAAGX+/js=")</f>
        <v>#VALUE!</v>
      </c>
      <c r="BI3" t="e">
        <f>AND(Ischemia_25percent_output_edgel!B191,"AAAAAGX+/jw=")</f>
        <v>#VALUE!</v>
      </c>
      <c r="BJ3">
        <f>IF(Ischemia_25percent_output_edgel!192:192,"AAAAAGX+/j0=",0)</f>
        <v>0</v>
      </c>
      <c r="BK3" t="e">
        <f>AND(Ischemia_25percent_output_edgel!A192,"AAAAAGX+/j4=")</f>
        <v>#VALUE!</v>
      </c>
      <c r="BL3" t="e">
        <f>AND(Ischemia_25percent_output_edgel!B192,"AAAAAGX+/j8=")</f>
        <v>#VALUE!</v>
      </c>
      <c r="BM3">
        <f>IF(Ischemia_25percent_output_edgel!193:193,"AAAAAGX+/kA=",0)</f>
        <v>0</v>
      </c>
      <c r="BN3" t="e">
        <f>AND(Ischemia_25percent_output_edgel!A193,"AAAAAGX+/kE=")</f>
        <v>#VALUE!</v>
      </c>
      <c r="BO3" t="e">
        <f>AND(Ischemia_25percent_output_edgel!B193,"AAAAAGX+/kI=")</f>
        <v>#VALUE!</v>
      </c>
      <c r="BP3">
        <f>IF(Ischemia_25percent_output_edgel!194:194,"AAAAAGX+/kM=",0)</f>
        <v>0</v>
      </c>
      <c r="BQ3" t="e">
        <f>AND(Ischemia_25percent_output_edgel!A194,"AAAAAGX+/kQ=")</f>
        <v>#VALUE!</v>
      </c>
      <c r="BR3" t="e">
        <f>AND(Ischemia_25percent_output_edgel!B194,"AAAAAGX+/kU=")</f>
        <v>#VALUE!</v>
      </c>
      <c r="BS3">
        <f>IF(Ischemia_25percent_output_edgel!195:195,"AAAAAGX+/kY=",0)</f>
        <v>0</v>
      </c>
      <c r="BT3" t="e">
        <f>AND(Ischemia_25percent_output_edgel!A195,"AAAAAGX+/kc=")</f>
        <v>#VALUE!</v>
      </c>
      <c r="BU3" t="e">
        <f>AND(Ischemia_25percent_output_edgel!B195,"AAAAAGX+/kg=")</f>
        <v>#VALUE!</v>
      </c>
      <c r="BV3">
        <f>IF(Ischemia_25percent_output_edgel!196:196,"AAAAAGX+/kk=",0)</f>
        <v>0</v>
      </c>
      <c r="BW3" t="e">
        <f>AND(Ischemia_25percent_output_edgel!A196,"AAAAAGX+/ko=")</f>
        <v>#VALUE!</v>
      </c>
      <c r="BX3" t="e">
        <f>AND(Ischemia_25percent_output_edgel!B196,"AAAAAGX+/ks=")</f>
        <v>#VALUE!</v>
      </c>
      <c r="BY3">
        <f>IF(Ischemia_25percent_output_edgel!197:197,"AAAAAGX+/kw=",0)</f>
        <v>0</v>
      </c>
      <c r="BZ3" t="e">
        <f>AND(Ischemia_25percent_output_edgel!A197,"AAAAAGX+/k0=")</f>
        <v>#VALUE!</v>
      </c>
      <c r="CA3" t="e">
        <f>AND(Ischemia_25percent_output_edgel!B197,"AAAAAGX+/k4=")</f>
        <v>#VALUE!</v>
      </c>
      <c r="CB3">
        <f>IF(Ischemia_25percent_output_edgel!198:198,"AAAAAGX+/k8=",0)</f>
        <v>0</v>
      </c>
      <c r="CC3" t="e">
        <f>AND(Ischemia_25percent_output_edgel!A198,"AAAAAGX+/lA=")</f>
        <v>#VALUE!</v>
      </c>
      <c r="CD3" t="e">
        <f>AND(Ischemia_25percent_output_edgel!B198,"AAAAAGX+/lE=")</f>
        <v>#VALUE!</v>
      </c>
      <c r="CE3">
        <f>IF(Ischemia_25percent_output_edgel!199:199,"AAAAAGX+/lI=",0)</f>
        <v>0</v>
      </c>
      <c r="CF3" t="e">
        <f>AND(Ischemia_25percent_output_edgel!A199,"AAAAAGX+/lM=")</f>
        <v>#VALUE!</v>
      </c>
      <c r="CG3" t="e">
        <f>AND(Ischemia_25percent_output_edgel!B199,"AAAAAGX+/lQ=")</f>
        <v>#VALUE!</v>
      </c>
      <c r="CH3">
        <f>IF(Ischemia_25percent_output_edgel!200:200,"AAAAAGX+/lU=",0)</f>
        <v>0</v>
      </c>
      <c r="CI3" t="e">
        <f>AND(Ischemia_25percent_output_edgel!A200,"AAAAAGX+/lY=")</f>
        <v>#VALUE!</v>
      </c>
      <c r="CJ3" t="e">
        <f>AND(Ischemia_25percent_output_edgel!B200,"AAAAAGX+/lc=")</f>
        <v>#VALUE!</v>
      </c>
      <c r="CK3">
        <f>IF(Ischemia_25percent_output_edgel!201:201,"AAAAAGX+/lg=",0)</f>
        <v>0</v>
      </c>
      <c r="CL3" t="e">
        <f>AND(Ischemia_25percent_output_edgel!A201,"AAAAAGX+/lk=")</f>
        <v>#VALUE!</v>
      </c>
      <c r="CM3" t="e">
        <f>AND(Ischemia_25percent_output_edgel!B201,"AAAAAGX+/lo=")</f>
        <v>#VALUE!</v>
      </c>
      <c r="CN3">
        <f>IF(Ischemia_25percent_output_edgel!202:202,"AAAAAGX+/ls=",0)</f>
        <v>0</v>
      </c>
      <c r="CO3" t="e">
        <f>AND(Ischemia_25percent_output_edgel!A202,"AAAAAGX+/lw=")</f>
        <v>#VALUE!</v>
      </c>
      <c r="CP3" t="e">
        <f>AND(Ischemia_25percent_output_edgel!B202,"AAAAAGX+/l0=")</f>
        <v>#VALUE!</v>
      </c>
      <c r="CQ3">
        <f>IF(Ischemia_25percent_output_edgel!203:203,"AAAAAGX+/l4=",0)</f>
        <v>0</v>
      </c>
      <c r="CR3" t="e">
        <f>AND(Ischemia_25percent_output_edgel!A203,"AAAAAGX+/l8=")</f>
        <v>#VALUE!</v>
      </c>
      <c r="CS3" t="e">
        <f>AND(Ischemia_25percent_output_edgel!B203,"AAAAAGX+/mA=")</f>
        <v>#VALUE!</v>
      </c>
      <c r="CT3">
        <f>IF(Ischemia_25percent_output_edgel!204:204,"AAAAAGX+/mE=",0)</f>
        <v>0</v>
      </c>
      <c r="CU3" t="e">
        <f>AND(Ischemia_25percent_output_edgel!A204,"AAAAAGX+/mI=")</f>
        <v>#VALUE!</v>
      </c>
      <c r="CV3" t="e">
        <f>AND(Ischemia_25percent_output_edgel!B204,"AAAAAGX+/mM=")</f>
        <v>#VALUE!</v>
      </c>
      <c r="CW3">
        <f>IF(Ischemia_25percent_output_edgel!205:205,"AAAAAGX+/mQ=",0)</f>
        <v>0</v>
      </c>
      <c r="CX3" t="e">
        <f>AND(Ischemia_25percent_output_edgel!A205,"AAAAAGX+/mU=")</f>
        <v>#VALUE!</v>
      </c>
      <c r="CY3" t="e">
        <f>AND(Ischemia_25percent_output_edgel!B205,"AAAAAGX+/mY=")</f>
        <v>#VALUE!</v>
      </c>
      <c r="CZ3">
        <f>IF(Ischemia_25percent_output_edgel!206:206,"AAAAAGX+/mc=",0)</f>
        <v>0</v>
      </c>
      <c r="DA3" t="e">
        <f>AND(Ischemia_25percent_output_edgel!A206,"AAAAAGX+/mg=")</f>
        <v>#VALUE!</v>
      </c>
      <c r="DB3" t="e">
        <f>AND(Ischemia_25percent_output_edgel!B206,"AAAAAGX+/mk=")</f>
        <v>#VALUE!</v>
      </c>
      <c r="DC3">
        <f>IF(Ischemia_25percent_output_edgel!207:207,"AAAAAGX+/mo=",0)</f>
        <v>0</v>
      </c>
      <c r="DD3" t="e">
        <f>AND(Ischemia_25percent_output_edgel!A207,"AAAAAGX+/ms=")</f>
        <v>#VALUE!</v>
      </c>
      <c r="DE3" t="e">
        <f>AND(Ischemia_25percent_output_edgel!B207,"AAAAAGX+/mw=")</f>
        <v>#VALUE!</v>
      </c>
      <c r="DF3">
        <f>IF(Ischemia_25percent_output_edgel!208:208,"AAAAAGX+/m0=",0)</f>
        <v>0</v>
      </c>
      <c r="DG3" t="e">
        <f>AND(Ischemia_25percent_output_edgel!A208,"AAAAAGX+/m4=")</f>
        <v>#VALUE!</v>
      </c>
      <c r="DH3" t="e">
        <f>AND(Ischemia_25percent_output_edgel!B208,"AAAAAGX+/m8=")</f>
        <v>#VALUE!</v>
      </c>
      <c r="DI3">
        <f>IF(Ischemia_25percent_output_edgel!209:209,"AAAAAGX+/nA=",0)</f>
        <v>0</v>
      </c>
      <c r="DJ3" t="e">
        <f>AND(Ischemia_25percent_output_edgel!A209,"AAAAAGX+/nE=")</f>
        <v>#VALUE!</v>
      </c>
      <c r="DK3" t="e">
        <f>AND(Ischemia_25percent_output_edgel!B209,"AAAAAGX+/nI=")</f>
        <v>#VALUE!</v>
      </c>
      <c r="DL3">
        <f>IF(Ischemia_25percent_output_edgel!210:210,"AAAAAGX+/nM=",0)</f>
        <v>0</v>
      </c>
      <c r="DM3" t="e">
        <f>AND(Ischemia_25percent_output_edgel!A210,"AAAAAGX+/nQ=")</f>
        <v>#VALUE!</v>
      </c>
      <c r="DN3" t="e">
        <f>AND(Ischemia_25percent_output_edgel!B210,"AAAAAGX+/nU=")</f>
        <v>#VALUE!</v>
      </c>
      <c r="DO3">
        <f>IF(Ischemia_25percent_output_edgel!211:211,"AAAAAGX+/nY=",0)</f>
        <v>0</v>
      </c>
      <c r="DP3" t="e">
        <f>AND(Ischemia_25percent_output_edgel!A211,"AAAAAGX+/nc=")</f>
        <v>#VALUE!</v>
      </c>
      <c r="DQ3" t="e">
        <f>AND(Ischemia_25percent_output_edgel!B211,"AAAAAGX+/ng=")</f>
        <v>#VALUE!</v>
      </c>
      <c r="DR3">
        <f>IF(Ischemia_25percent_output_edgel!212:212,"AAAAAGX+/nk=",0)</f>
        <v>0</v>
      </c>
      <c r="DS3" t="e">
        <f>AND(Ischemia_25percent_output_edgel!A212,"AAAAAGX+/no=")</f>
        <v>#VALUE!</v>
      </c>
      <c r="DT3" t="e">
        <f>AND(Ischemia_25percent_output_edgel!B212,"AAAAAGX+/ns=")</f>
        <v>#VALUE!</v>
      </c>
      <c r="DU3">
        <f>IF(Ischemia_25percent_output_edgel!213:213,"AAAAAGX+/nw=",0)</f>
        <v>0</v>
      </c>
      <c r="DV3" t="e">
        <f>AND(Ischemia_25percent_output_edgel!A213,"AAAAAGX+/n0=")</f>
        <v>#VALUE!</v>
      </c>
      <c r="DW3" t="e">
        <f>AND(Ischemia_25percent_output_edgel!B213,"AAAAAGX+/n4=")</f>
        <v>#VALUE!</v>
      </c>
      <c r="DX3">
        <f>IF(Ischemia_25percent_output_edgel!214:214,"AAAAAGX+/n8=",0)</f>
        <v>0</v>
      </c>
      <c r="DY3" t="e">
        <f>AND(Ischemia_25percent_output_edgel!A214,"AAAAAGX+/oA=")</f>
        <v>#VALUE!</v>
      </c>
      <c r="DZ3" t="e">
        <f>AND(Ischemia_25percent_output_edgel!B214,"AAAAAGX+/oE=")</f>
        <v>#VALUE!</v>
      </c>
      <c r="EA3">
        <f>IF(Ischemia_25percent_output_edgel!215:215,"AAAAAGX+/oI=",0)</f>
        <v>0</v>
      </c>
      <c r="EB3" t="e">
        <f>AND(Ischemia_25percent_output_edgel!A215,"AAAAAGX+/oM=")</f>
        <v>#VALUE!</v>
      </c>
      <c r="EC3" t="e">
        <f>AND(Ischemia_25percent_output_edgel!B215,"AAAAAGX+/oQ=")</f>
        <v>#VALUE!</v>
      </c>
      <c r="ED3">
        <f>IF(Ischemia_25percent_output_edgel!216:216,"AAAAAGX+/oU=",0)</f>
        <v>0</v>
      </c>
      <c r="EE3" t="e">
        <f>AND(Ischemia_25percent_output_edgel!A216,"AAAAAGX+/oY=")</f>
        <v>#VALUE!</v>
      </c>
      <c r="EF3" t="e">
        <f>AND(Ischemia_25percent_output_edgel!B216,"AAAAAGX+/oc=")</f>
        <v>#VALUE!</v>
      </c>
      <c r="EG3">
        <f>IF(Ischemia_25percent_output_edgel!217:217,"AAAAAGX+/og=",0)</f>
        <v>0</v>
      </c>
      <c r="EH3" t="e">
        <f>AND(Ischemia_25percent_output_edgel!A217,"AAAAAGX+/ok=")</f>
        <v>#VALUE!</v>
      </c>
      <c r="EI3" t="e">
        <f>AND(Ischemia_25percent_output_edgel!B217,"AAAAAGX+/oo=")</f>
        <v>#VALUE!</v>
      </c>
      <c r="EJ3">
        <f>IF(Ischemia_25percent_output_edgel!218:218,"AAAAAGX+/os=",0)</f>
        <v>0</v>
      </c>
      <c r="EK3" t="e">
        <f>AND(Ischemia_25percent_output_edgel!A218,"AAAAAGX+/ow=")</f>
        <v>#VALUE!</v>
      </c>
      <c r="EL3" t="e">
        <f>AND(Ischemia_25percent_output_edgel!B218,"AAAAAGX+/o0=")</f>
        <v>#VALUE!</v>
      </c>
      <c r="EM3">
        <f>IF(Ischemia_25percent_output_edgel!219:219,"AAAAAGX+/o4=",0)</f>
        <v>0</v>
      </c>
      <c r="EN3" t="e">
        <f>AND(Ischemia_25percent_output_edgel!A219,"AAAAAGX+/o8=")</f>
        <v>#VALUE!</v>
      </c>
      <c r="EO3" t="e">
        <f>AND(Ischemia_25percent_output_edgel!B219,"AAAAAGX+/pA=")</f>
        <v>#VALUE!</v>
      </c>
      <c r="EP3">
        <f>IF(Ischemia_25percent_output_edgel!220:220,"AAAAAGX+/pE=",0)</f>
        <v>0</v>
      </c>
      <c r="EQ3" t="e">
        <f>AND(Ischemia_25percent_output_edgel!A220,"AAAAAGX+/pI=")</f>
        <v>#VALUE!</v>
      </c>
      <c r="ER3" t="e">
        <f>AND(Ischemia_25percent_output_edgel!B220,"AAAAAGX+/pM=")</f>
        <v>#VALUE!</v>
      </c>
      <c r="ES3">
        <f>IF(Ischemia_25percent_output_edgel!221:221,"AAAAAGX+/pQ=",0)</f>
        <v>0</v>
      </c>
      <c r="ET3" t="e">
        <f>AND(Ischemia_25percent_output_edgel!A221,"AAAAAGX+/pU=")</f>
        <v>#VALUE!</v>
      </c>
      <c r="EU3" t="e">
        <f>AND(Ischemia_25percent_output_edgel!B221,"AAAAAGX+/pY=")</f>
        <v>#VALUE!</v>
      </c>
      <c r="EV3">
        <f>IF(Ischemia_25percent_output_edgel!222:222,"AAAAAGX+/pc=",0)</f>
        <v>0</v>
      </c>
      <c r="EW3" t="e">
        <f>AND(Ischemia_25percent_output_edgel!A222,"AAAAAGX+/pg=")</f>
        <v>#VALUE!</v>
      </c>
      <c r="EX3" t="e">
        <f>AND(Ischemia_25percent_output_edgel!B222,"AAAAAGX+/pk=")</f>
        <v>#VALUE!</v>
      </c>
      <c r="EY3">
        <f>IF(Ischemia_25percent_output_edgel!223:223,"AAAAAGX+/po=",0)</f>
        <v>0</v>
      </c>
      <c r="EZ3" t="e">
        <f>AND(Ischemia_25percent_output_edgel!A223,"AAAAAGX+/ps=")</f>
        <v>#VALUE!</v>
      </c>
      <c r="FA3" t="e">
        <f>AND(Ischemia_25percent_output_edgel!B223,"AAAAAGX+/pw=")</f>
        <v>#VALUE!</v>
      </c>
      <c r="FB3">
        <f>IF(Ischemia_25percent_output_edgel!224:224,"AAAAAGX+/p0=",0)</f>
        <v>0</v>
      </c>
      <c r="FC3" t="e">
        <f>AND(Ischemia_25percent_output_edgel!A224,"AAAAAGX+/p4=")</f>
        <v>#VALUE!</v>
      </c>
      <c r="FD3" t="e">
        <f>AND(Ischemia_25percent_output_edgel!B224,"AAAAAGX+/p8=")</f>
        <v>#VALUE!</v>
      </c>
      <c r="FE3">
        <f>IF(Ischemia_25percent_output_edgel!225:225,"AAAAAGX+/qA=",0)</f>
        <v>0</v>
      </c>
      <c r="FF3" t="e">
        <f>AND(Ischemia_25percent_output_edgel!A225,"AAAAAGX+/qE=")</f>
        <v>#VALUE!</v>
      </c>
      <c r="FG3" t="e">
        <f>AND(Ischemia_25percent_output_edgel!B225,"AAAAAGX+/qI=")</f>
        <v>#VALUE!</v>
      </c>
      <c r="FH3">
        <f>IF(Ischemia_25percent_output_edgel!226:226,"AAAAAGX+/qM=",0)</f>
        <v>0</v>
      </c>
      <c r="FI3" t="e">
        <f>AND(Ischemia_25percent_output_edgel!A226,"AAAAAGX+/qQ=")</f>
        <v>#VALUE!</v>
      </c>
      <c r="FJ3" t="e">
        <f>AND(Ischemia_25percent_output_edgel!B226,"AAAAAGX+/qU=")</f>
        <v>#VALUE!</v>
      </c>
      <c r="FK3">
        <f>IF(Ischemia_25percent_output_edgel!227:227,"AAAAAGX+/qY=",0)</f>
        <v>0</v>
      </c>
      <c r="FL3" t="e">
        <f>AND(Ischemia_25percent_output_edgel!A227,"AAAAAGX+/qc=")</f>
        <v>#VALUE!</v>
      </c>
      <c r="FM3" t="e">
        <f>AND(Ischemia_25percent_output_edgel!B227,"AAAAAGX+/qg=")</f>
        <v>#VALUE!</v>
      </c>
      <c r="FN3">
        <f>IF(Ischemia_25percent_output_edgel!228:228,"AAAAAGX+/qk=",0)</f>
        <v>0</v>
      </c>
      <c r="FO3" t="e">
        <f>AND(Ischemia_25percent_output_edgel!A228,"AAAAAGX+/qo=")</f>
        <v>#VALUE!</v>
      </c>
      <c r="FP3" t="e">
        <f>AND(Ischemia_25percent_output_edgel!B228,"AAAAAGX+/qs=")</f>
        <v>#VALUE!</v>
      </c>
      <c r="FQ3">
        <f>IF(Ischemia_25percent_output_edgel!229:229,"AAAAAGX+/qw=",0)</f>
        <v>0</v>
      </c>
      <c r="FR3" t="e">
        <f>AND(Ischemia_25percent_output_edgel!A229,"AAAAAGX+/q0=")</f>
        <v>#VALUE!</v>
      </c>
      <c r="FS3" t="e">
        <f>AND(Ischemia_25percent_output_edgel!B229,"AAAAAGX+/q4=")</f>
        <v>#VALUE!</v>
      </c>
      <c r="FT3">
        <f>IF(Ischemia_25percent_output_edgel!230:230,"AAAAAGX+/q8=",0)</f>
        <v>0</v>
      </c>
      <c r="FU3" t="e">
        <f>AND(Ischemia_25percent_output_edgel!A230,"AAAAAGX+/rA=")</f>
        <v>#VALUE!</v>
      </c>
      <c r="FV3" t="e">
        <f>AND(Ischemia_25percent_output_edgel!B230,"AAAAAGX+/rE=")</f>
        <v>#VALUE!</v>
      </c>
      <c r="FW3">
        <f>IF(Ischemia_25percent_output_edgel!231:231,"AAAAAGX+/rI=",0)</f>
        <v>0</v>
      </c>
      <c r="FX3" t="e">
        <f>AND(Ischemia_25percent_output_edgel!A231,"AAAAAGX+/rM=")</f>
        <v>#VALUE!</v>
      </c>
      <c r="FY3" t="e">
        <f>AND(Ischemia_25percent_output_edgel!B231,"AAAAAGX+/rQ=")</f>
        <v>#VALUE!</v>
      </c>
      <c r="FZ3">
        <f>IF(Ischemia_25percent_output_edgel!232:232,"AAAAAGX+/rU=",0)</f>
        <v>0</v>
      </c>
      <c r="GA3" t="e">
        <f>AND(Ischemia_25percent_output_edgel!A232,"AAAAAGX+/rY=")</f>
        <v>#VALUE!</v>
      </c>
      <c r="GB3" t="e">
        <f>AND(Ischemia_25percent_output_edgel!B232,"AAAAAGX+/rc=")</f>
        <v>#VALUE!</v>
      </c>
      <c r="GC3">
        <f>IF(Ischemia_25percent_output_edgel!233:233,"AAAAAGX+/rg=",0)</f>
        <v>0</v>
      </c>
      <c r="GD3" t="e">
        <f>AND(Ischemia_25percent_output_edgel!A233,"AAAAAGX+/rk=")</f>
        <v>#VALUE!</v>
      </c>
      <c r="GE3" t="e">
        <f>AND(Ischemia_25percent_output_edgel!B233,"AAAAAGX+/ro=")</f>
        <v>#VALUE!</v>
      </c>
      <c r="GF3">
        <f>IF(Ischemia_25percent_output_edgel!234:234,"AAAAAGX+/rs=",0)</f>
        <v>0</v>
      </c>
      <c r="GG3" t="e">
        <f>AND(Ischemia_25percent_output_edgel!A234,"AAAAAGX+/rw=")</f>
        <v>#VALUE!</v>
      </c>
      <c r="GH3" t="e">
        <f>AND(Ischemia_25percent_output_edgel!B234,"AAAAAGX+/r0=")</f>
        <v>#VALUE!</v>
      </c>
      <c r="GI3">
        <f>IF(Ischemia_25percent_output_edgel!235:235,"AAAAAGX+/r4=",0)</f>
        <v>0</v>
      </c>
      <c r="GJ3" t="e">
        <f>AND(Ischemia_25percent_output_edgel!A235,"AAAAAGX+/r8=")</f>
        <v>#VALUE!</v>
      </c>
      <c r="GK3" t="e">
        <f>AND(Ischemia_25percent_output_edgel!B235,"AAAAAGX+/sA=")</f>
        <v>#VALUE!</v>
      </c>
      <c r="GL3">
        <f>IF(Ischemia_25percent_output_edgel!236:236,"AAAAAGX+/sE=",0)</f>
        <v>0</v>
      </c>
      <c r="GM3" t="e">
        <f>AND(Ischemia_25percent_output_edgel!A236,"AAAAAGX+/sI=")</f>
        <v>#VALUE!</v>
      </c>
      <c r="GN3" t="e">
        <f>AND(Ischemia_25percent_output_edgel!B236,"AAAAAGX+/sM=")</f>
        <v>#VALUE!</v>
      </c>
      <c r="GO3">
        <f>IF(Ischemia_25percent_output_edgel!237:237,"AAAAAGX+/sQ=",0)</f>
        <v>0</v>
      </c>
      <c r="GP3" t="e">
        <f>AND(Ischemia_25percent_output_edgel!A237,"AAAAAGX+/sU=")</f>
        <v>#VALUE!</v>
      </c>
      <c r="GQ3" t="e">
        <f>AND(Ischemia_25percent_output_edgel!B237,"AAAAAGX+/sY=")</f>
        <v>#VALUE!</v>
      </c>
      <c r="GR3">
        <f>IF(Ischemia_25percent_output_edgel!238:238,"AAAAAGX+/sc=",0)</f>
        <v>0</v>
      </c>
      <c r="GS3" t="e">
        <f>AND(Ischemia_25percent_output_edgel!A238,"AAAAAGX+/sg=")</f>
        <v>#VALUE!</v>
      </c>
      <c r="GT3" t="e">
        <f>AND(Ischemia_25percent_output_edgel!B238,"AAAAAGX+/sk=")</f>
        <v>#VALUE!</v>
      </c>
      <c r="GU3">
        <f>IF(Ischemia_25percent_output_edgel!239:239,"AAAAAGX+/so=",0)</f>
        <v>0</v>
      </c>
      <c r="GV3" t="e">
        <f>AND(Ischemia_25percent_output_edgel!A239,"AAAAAGX+/ss=")</f>
        <v>#VALUE!</v>
      </c>
      <c r="GW3" t="e">
        <f>AND(Ischemia_25percent_output_edgel!B239,"AAAAAGX+/sw=")</f>
        <v>#VALUE!</v>
      </c>
      <c r="GX3">
        <f>IF(Ischemia_25percent_output_edgel!240:240,"AAAAAGX+/s0=",0)</f>
        <v>0</v>
      </c>
      <c r="GY3" t="e">
        <f>AND(Ischemia_25percent_output_edgel!A240,"AAAAAGX+/s4=")</f>
        <v>#VALUE!</v>
      </c>
      <c r="GZ3" t="e">
        <f>AND(Ischemia_25percent_output_edgel!B240,"AAAAAGX+/s8=")</f>
        <v>#VALUE!</v>
      </c>
      <c r="HA3">
        <f>IF(Ischemia_25percent_output_edgel!241:241,"AAAAAGX+/tA=",0)</f>
        <v>0</v>
      </c>
      <c r="HB3" t="e">
        <f>AND(Ischemia_25percent_output_edgel!A241,"AAAAAGX+/tE=")</f>
        <v>#VALUE!</v>
      </c>
      <c r="HC3" t="e">
        <f>AND(Ischemia_25percent_output_edgel!B241,"AAAAAGX+/tI=")</f>
        <v>#VALUE!</v>
      </c>
      <c r="HD3">
        <f>IF(Ischemia_25percent_output_edgel!242:242,"AAAAAGX+/tM=",0)</f>
        <v>0</v>
      </c>
      <c r="HE3" t="e">
        <f>AND(Ischemia_25percent_output_edgel!A242,"AAAAAGX+/tQ=")</f>
        <v>#VALUE!</v>
      </c>
      <c r="HF3" t="e">
        <f>AND(Ischemia_25percent_output_edgel!B242,"AAAAAGX+/tU=")</f>
        <v>#VALUE!</v>
      </c>
      <c r="HG3">
        <f>IF(Ischemia_25percent_output_edgel!243:243,"AAAAAGX+/tY=",0)</f>
        <v>0</v>
      </c>
      <c r="HH3" t="e">
        <f>AND(Ischemia_25percent_output_edgel!A243,"AAAAAGX+/tc=")</f>
        <v>#VALUE!</v>
      </c>
      <c r="HI3" t="e">
        <f>AND(Ischemia_25percent_output_edgel!B243,"AAAAAGX+/tg=")</f>
        <v>#VALUE!</v>
      </c>
      <c r="HJ3">
        <f>IF(Ischemia_25percent_output_edgel!244:244,"AAAAAGX+/tk=",0)</f>
        <v>0</v>
      </c>
      <c r="HK3" t="e">
        <f>AND(Ischemia_25percent_output_edgel!A244,"AAAAAGX+/to=")</f>
        <v>#VALUE!</v>
      </c>
      <c r="HL3" t="e">
        <f>AND(Ischemia_25percent_output_edgel!B244,"AAAAAGX+/ts=")</f>
        <v>#VALUE!</v>
      </c>
      <c r="HM3">
        <f>IF(Ischemia_25percent_output_edgel!245:245,"AAAAAGX+/tw=",0)</f>
        <v>0</v>
      </c>
      <c r="HN3" t="e">
        <f>AND(Ischemia_25percent_output_edgel!A245,"AAAAAGX+/t0=")</f>
        <v>#VALUE!</v>
      </c>
      <c r="HO3" t="e">
        <f>AND(Ischemia_25percent_output_edgel!B245,"AAAAAGX+/t4=")</f>
        <v>#VALUE!</v>
      </c>
      <c r="HP3">
        <f>IF(Ischemia_25percent_output_edgel!246:246,"AAAAAGX+/t8=",0)</f>
        <v>0</v>
      </c>
      <c r="HQ3" t="e">
        <f>AND(Ischemia_25percent_output_edgel!A246,"AAAAAGX+/uA=")</f>
        <v>#VALUE!</v>
      </c>
      <c r="HR3" t="e">
        <f>AND(Ischemia_25percent_output_edgel!B246,"AAAAAGX+/uE=")</f>
        <v>#VALUE!</v>
      </c>
      <c r="HS3">
        <f>IF(Ischemia_25percent_output_edgel!247:247,"AAAAAGX+/uI=",0)</f>
        <v>0</v>
      </c>
      <c r="HT3" t="e">
        <f>AND(Ischemia_25percent_output_edgel!A247,"AAAAAGX+/uM=")</f>
        <v>#VALUE!</v>
      </c>
      <c r="HU3" t="e">
        <f>AND(Ischemia_25percent_output_edgel!B247,"AAAAAGX+/uQ=")</f>
        <v>#VALUE!</v>
      </c>
      <c r="HV3">
        <f>IF(Ischemia_25percent_output_edgel!248:248,"AAAAAGX+/uU=",0)</f>
        <v>0</v>
      </c>
      <c r="HW3" t="e">
        <f>AND(Ischemia_25percent_output_edgel!A248,"AAAAAGX+/uY=")</f>
        <v>#VALUE!</v>
      </c>
      <c r="HX3" t="e">
        <f>AND(Ischemia_25percent_output_edgel!B248,"AAAAAGX+/uc=")</f>
        <v>#VALUE!</v>
      </c>
      <c r="HY3">
        <f>IF(Ischemia_25percent_output_edgel!249:249,"AAAAAGX+/ug=",0)</f>
        <v>0</v>
      </c>
      <c r="HZ3" t="e">
        <f>AND(Ischemia_25percent_output_edgel!A249,"AAAAAGX+/uk=")</f>
        <v>#VALUE!</v>
      </c>
      <c r="IA3" t="e">
        <f>AND(Ischemia_25percent_output_edgel!B249,"AAAAAGX+/uo=")</f>
        <v>#VALUE!</v>
      </c>
      <c r="IB3">
        <f>IF(Ischemia_25percent_output_edgel!250:250,"AAAAAGX+/us=",0)</f>
        <v>0</v>
      </c>
      <c r="IC3" t="e">
        <f>AND(Ischemia_25percent_output_edgel!A250,"AAAAAGX+/uw=")</f>
        <v>#VALUE!</v>
      </c>
      <c r="ID3" t="e">
        <f>AND(Ischemia_25percent_output_edgel!B250,"AAAAAGX+/u0=")</f>
        <v>#VALUE!</v>
      </c>
      <c r="IE3">
        <f>IF(Ischemia_25percent_output_edgel!251:251,"AAAAAGX+/u4=",0)</f>
        <v>0</v>
      </c>
      <c r="IF3" t="e">
        <f>AND(Ischemia_25percent_output_edgel!A251,"AAAAAGX+/u8=")</f>
        <v>#VALUE!</v>
      </c>
      <c r="IG3" t="e">
        <f>AND(Ischemia_25percent_output_edgel!B251,"AAAAAGX+/vA=")</f>
        <v>#VALUE!</v>
      </c>
      <c r="IH3">
        <f>IF(Ischemia_25percent_output_edgel!252:252,"AAAAAGX+/vE=",0)</f>
        <v>0</v>
      </c>
      <c r="II3" t="e">
        <f>AND(Ischemia_25percent_output_edgel!A252,"AAAAAGX+/vI=")</f>
        <v>#VALUE!</v>
      </c>
      <c r="IJ3" t="e">
        <f>AND(Ischemia_25percent_output_edgel!B252,"AAAAAGX+/vM=")</f>
        <v>#VALUE!</v>
      </c>
      <c r="IK3">
        <f>IF(Ischemia_25percent_output_edgel!253:253,"AAAAAGX+/vQ=",0)</f>
        <v>0</v>
      </c>
      <c r="IL3" t="e">
        <f>AND(Ischemia_25percent_output_edgel!A253,"AAAAAGX+/vU=")</f>
        <v>#VALUE!</v>
      </c>
      <c r="IM3" t="e">
        <f>AND(Ischemia_25percent_output_edgel!B253,"AAAAAGX+/vY=")</f>
        <v>#VALUE!</v>
      </c>
      <c r="IN3">
        <f>IF(Ischemia_25percent_output_edgel!254:254,"AAAAAGX+/vc=",0)</f>
        <v>0</v>
      </c>
      <c r="IO3" t="e">
        <f>AND(Ischemia_25percent_output_edgel!A254,"AAAAAGX+/vg=")</f>
        <v>#VALUE!</v>
      </c>
      <c r="IP3" t="e">
        <f>AND(Ischemia_25percent_output_edgel!B254,"AAAAAGX+/vk=")</f>
        <v>#VALUE!</v>
      </c>
      <c r="IQ3">
        <f>IF(Ischemia_25percent_output_edgel!255:255,"AAAAAGX+/vo=",0)</f>
        <v>0</v>
      </c>
      <c r="IR3" t="e">
        <f>AND(Ischemia_25percent_output_edgel!A255,"AAAAAGX+/vs=")</f>
        <v>#VALUE!</v>
      </c>
      <c r="IS3" t="e">
        <f>AND(Ischemia_25percent_output_edgel!B255,"AAAAAGX+/vw=")</f>
        <v>#VALUE!</v>
      </c>
      <c r="IT3">
        <f>IF(Ischemia_25percent_output_edgel!256:256,"AAAAAGX+/v0=",0)</f>
        <v>0</v>
      </c>
      <c r="IU3" t="e">
        <f>AND(Ischemia_25percent_output_edgel!A256,"AAAAAGX+/v4=")</f>
        <v>#VALUE!</v>
      </c>
      <c r="IV3" t="e">
        <f>AND(Ischemia_25percent_output_edgel!B256,"AAAAAGX+/v8=")</f>
        <v>#VALUE!</v>
      </c>
    </row>
    <row r="4" spans="1:256">
      <c r="A4" t="e">
        <f>IF(Ischemia_25percent_output_edgel!257:257,"AAAAAF9v+gA=",0)</f>
        <v>#VALUE!</v>
      </c>
      <c r="B4" t="e">
        <f>AND(Ischemia_25percent_output_edgel!A257,"AAAAAF9v+gE=")</f>
        <v>#VALUE!</v>
      </c>
      <c r="C4" t="e">
        <f>AND(Ischemia_25percent_output_edgel!B257,"AAAAAF9v+gI=")</f>
        <v>#VALUE!</v>
      </c>
      <c r="D4">
        <f>IF(Ischemia_25percent_output_edgel!258:258,"AAAAAF9v+gM=",0)</f>
        <v>0</v>
      </c>
      <c r="E4" t="e">
        <f>AND(Ischemia_25percent_output_edgel!A258,"AAAAAF9v+gQ=")</f>
        <v>#VALUE!</v>
      </c>
      <c r="F4" t="e">
        <f>AND(Ischemia_25percent_output_edgel!B258,"AAAAAF9v+gU=")</f>
        <v>#VALUE!</v>
      </c>
      <c r="G4">
        <f>IF(Ischemia_25percent_output_edgel!259:259,"AAAAAF9v+gY=",0)</f>
        <v>0</v>
      </c>
      <c r="H4" t="e">
        <f>AND(Ischemia_25percent_output_edgel!A259,"AAAAAF9v+gc=")</f>
        <v>#VALUE!</v>
      </c>
      <c r="I4" t="e">
        <f>AND(Ischemia_25percent_output_edgel!B259,"AAAAAF9v+gg=")</f>
        <v>#VALUE!</v>
      </c>
      <c r="J4">
        <f>IF(Ischemia_25percent_output_edgel!260:260,"AAAAAF9v+gk=",0)</f>
        <v>0</v>
      </c>
      <c r="K4" t="e">
        <f>AND(Ischemia_25percent_output_edgel!A260,"AAAAAF9v+go=")</f>
        <v>#VALUE!</v>
      </c>
      <c r="L4" t="e">
        <f>AND(Ischemia_25percent_output_edgel!B260,"AAAAAF9v+gs=")</f>
        <v>#VALUE!</v>
      </c>
      <c r="M4">
        <f>IF(Ischemia_25percent_output_edgel!261:261,"AAAAAF9v+gw=",0)</f>
        <v>0</v>
      </c>
      <c r="N4" t="e">
        <f>AND(Ischemia_25percent_output_edgel!A261,"AAAAAF9v+g0=")</f>
        <v>#VALUE!</v>
      </c>
      <c r="O4" t="e">
        <f>AND(Ischemia_25percent_output_edgel!B261,"AAAAAF9v+g4=")</f>
        <v>#VALUE!</v>
      </c>
      <c r="P4">
        <f>IF(Ischemia_25percent_output_edgel!262:262,"AAAAAF9v+g8=",0)</f>
        <v>0</v>
      </c>
      <c r="Q4" t="e">
        <f>AND(Ischemia_25percent_output_edgel!A262,"AAAAAF9v+hA=")</f>
        <v>#VALUE!</v>
      </c>
      <c r="R4" t="e">
        <f>AND(Ischemia_25percent_output_edgel!B262,"AAAAAF9v+hE=")</f>
        <v>#VALUE!</v>
      </c>
      <c r="S4">
        <f>IF(Ischemia_25percent_output_edgel!263:263,"AAAAAF9v+hI=",0)</f>
        <v>0</v>
      </c>
      <c r="T4" t="e">
        <f>AND(Ischemia_25percent_output_edgel!A263,"AAAAAF9v+hM=")</f>
        <v>#VALUE!</v>
      </c>
      <c r="U4" t="e">
        <f>AND(Ischemia_25percent_output_edgel!B263,"AAAAAF9v+hQ=")</f>
        <v>#VALUE!</v>
      </c>
      <c r="V4">
        <f>IF(Ischemia_25percent_output_edgel!264:264,"AAAAAF9v+hU=",0)</f>
        <v>0</v>
      </c>
      <c r="W4" t="e">
        <f>AND(Ischemia_25percent_output_edgel!A264,"AAAAAF9v+hY=")</f>
        <v>#VALUE!</v>
      </c>
      <c r="X4" t="e">
        <f>AND(Ischemia_25percent_output_edgel!B264,"AAAAAF9v+hc=")</f>
        <v>#VALUE!</v>
      </c>
      <c r="Y4">
        <f>IF(Ischemia_25percent_output_edgel!265:265,"AAAAAF9v+hg=",0)</f>
        <v>0</v>
      </c>
      <c r="Z4" t="e">
        <f>AND(Ischemia_25percent_output_edgel!A265,"AAAAAF9v+hk=")</f>
        <v>#VALUE!</v>
      </c>
      <c r="AA4" t="e">
        <f>AND(Ischemia_25percent_output_edgel!B265,"AAAAAF9v+ho=")</f>
        <v>#VALUE!</v>
      </c>
      <c r="AB4">
        <f>IF(Ischemia_25percent_output_edgel!266:266,"AAAAAF9v+hs=",0)</f>
        <v>0</v>
      </c>
      <c r="AC4" t="e">
        <f>AND(Ischemia_25percent_output_edgel!A266,"AAAAAF9v+hw=")</f>
        <v>#VALUE!</v>
      </c>
      <c r="AD4" t="e">
        <f>AND(Ischemia_25percent_output_edgel!B266,"AAAAAF9v+h0=")</f>
        <v>#VALUE!</v>
      </c>
      <c r="AE4">
        <f>IF(Ischemia_25percent_output_edgel!267:267,"AAAAAF9v+h4=",0)</f>
        <v>0</v>
      </c>
      <c r="AF4" t="e">
        <f>AND(Ischemia_25percent_output_edgel!A267,"AAAAAF9v+h8=")</f>
        <v>#VALUE!</v>
      </c>
      <c r="AG4" t="e">
        <f>AND(Ischemia_25percent_output_edgel!B267,"AAAAAF9v+iA=")</f>
        <v>#VALUE!</v>
      </c>
      <c r="AH4">
        <f>IF(Ischemia_25percent_output_edgel!268:268,"AAAAAF9v+iE=",0)</f>
        <v>0</v>
      </c>
      <c r="AI4" t="e">
        <f>AND(Ischemia_25percent_output_edgel!A268,"AAAAAF9v+iI=")</f>
        <v>#VALUE!</v>
      </c>
      <c r="AJ4" t="e">
        <f>AND(Ischemia_25percent_output_edgel!B268,"AAAAAF9v+iM=")</f>
        <v>#VALUE!</v>
      </c>
      <c r="AK4">
        <f>IF(Ischemia_25percent_output_edgel!269:269,"AAAAAF9v+iQ=",0)</f>
        <v>0</v>
      </c>
      <c r="AL4" t="e">
        <f>AND(Ischemia_25percent_output_edgel!A269,"AAAAAF9v+iU=")</f>
        <v>#VALUE!</v>
      </c>
      <c r="AM4" t="e">
        <f>AND(Ischemia_25percent_output_edgel!B269,"AAAAAF9v+iY=")</f>
        <v>#VALUE!</v>
      </c>
      <c r="AN4">
        <f>IF(Ischemia_25percent_output_edgel!270:270,"AAAAAF9v+ic=",0)</f>
        <v>0</v>
      </c>
      <c r="AO4" t="e">
        <f>AND(Ischemia_25percent_output_edgel!A270,"AAAAAF9v+ig=")</f>
        <v>#VALUE!</v>
      </c>
      <c r="AP4" t="e">
        <f>AND(Ischemia_25percent_output_edgel!B270,"AAAAAF9v+ik=")</f>
        <v>#VALUE!</v>
      </c>
      <c r="AQ4">
        <f>IF(Ischemia_25percent_output_edgel!271:271,"AAAAAF9v+io=",0)</f>
        <v>0</v>
      </c>
      <c r="AR4" t="e">
        <f>AND(Ischemia_25percent_output_edgel!A271,"AAAAAF9v+is=")</f>
        <v>#VALUE!</v>
      </c>
      <c r="AS4" t="e">
        <f>AND(Ischemia_25percent_output_edgel!B271,"AAAAAF9v+iw=")</f>
        <v>#VALUE!</v>
      </c>
      <c r="AT4">
        <f>IF(Ischemia_25percent_output_edgel!272:272,"AAAAAF9v+i0=",0)</f>
        <v>0</v>
      </c>
      <c r="AU4" t="e">
        <f>AND(Ischemia_25percent_output_edgel!A272,"AAAAAF9v+i4=")</f>
        <v>#VALUE!</v>
      </c>
      <c r="AV4" t="e">
        <f>AND(Ischemia_25percent_output_edgel!B272,"AAAAAF9v+i8=")</f>
        <v>#VALUE!</v>
      </c>
      <c r="AW4">
        <f>IF(Ischemia_25percent_output_edgel!273:273,"AAAAAF9v+jA=",0)</f>
        <v>0</v>
      </c>
      <c r="AX4" t="e">
        <f>AND(Ischemia_25percent_output_edgel!A273,"AAAAAF9v+jE=")</f>
        <v>#VALUE!</v>
      </c>
      <c r="AY4" t="e">
        <f>AND(Ischemia_25percent_output_edgel!B273,"AAAAAF9v+jI=")</f>
        <v>#VALUE!</v>
      </c>
      <c r="AZ4">
        <f>IF(Ischemia_25percent_output_edgel!274:274,"AAAAAF9v+jM=",0)</f>
        <v>0</v>
      </c>
      <c r="BA4" t="e">
        <f>AND(Ischemia_25percent_output_edgel!A274,"AAAAAF9v+jQ=")</f>
        <v>#VALUE!</v>
      </c>
      <c r="BB4" t="e">
        <f>AND(Ischemia_25percent_output_edgel!B274,"AAAAAF9v+jU=")</f>
        <v>#VALUE!</v>
      </c>
      <c r="BC4">
        <f>IF(Ischemia_25percent_output_edgel!275:275,"AAAAAF9v+jY=",0)</f>
        <v>0</v>
      </c>
      <c r="BD4" t="e">
        <f>AND(Ischemia_25percent_output_edgel!A275,"AAAAAF9v+jc=")</f>
        <v>#VALUE!</v>
      </c>
      <c r="BE4" t="e">
        <f>AND(Ischemia_25percent_output_edgel!B275,"AAAAAF9v+jg=")</f>
        <v>#VALUE!</v>
      </c>
      <c r="BF4">
        <f>IF(Ischemia_25percent_output_edgel!276:276,"AAAAAF9v+jk=",0)</f>
        <v>0</v>
      </c>
      <c r="BG4" t="e">
        <f>AND(Ischemia_25percent_output_edgel!A276,"AAAAAF9v+jo=")</f>
        <v>#VALUE!</v>
      </c>
      <c r="BH4" t="e">
        <f>AND(Ischemia_25percent_output_edgel!B276,"AAAAAF9v+js=")</f>
        <v>#VALUE!</v>
      </c>
      <c r="BI4">
        <f>IF(Ischemia_25percent_output_edgel!277:277,"AAAAAF9v+jw=",0)</f>
        <v>0</v>
      </c>
      <c r="BJ4" t="e">
        <f>AND(Ischemia_25percent_output_edgel!A277,"AAAAAF9v+j0=")</f>
        <v>#VALUE!</v>
      </c>
      <c r="BK4" t="e">
        <f>AND(Ischemia_25percent_output_edgel!B277,"AAAAAF9v+j4=")</f>
        <v>#VALUE!</v>
      </c>
      <c r="BL4">
        <f>IF(Ischemia_25percent_output_edgel!278:278,"AAAAAF9v+j8=",0)</f>
        <v>0</v>
      </c>
      <c r="BM4" t="e">
        <f>AND(Ischemia_25percent_output_edgel!A278,"AAAAAF9v+kA=")</f>
        <v>#VALUE!</v>
      </c>
      <c r="BN4" t="e">
        <f>AND(Ischemia_25percent_output_edgel!B278,"AAAAAF9v+kE=")</f>
        <v>#VALUE!</v>
      </c>
      <c r="BO4">
        <f>IF(Ischemia_25percent_output_edgel!279:279,"AAAAAF9v+kI=",0)</f>
        <v>0</v>
      </c>
      <c r="BP4" t="e">
        <f>AND(Ischemia_25percent_output_edgel!A279,"AAAAAF9v+kM=")</f>
        <v>#VALUE!</v>
      </c>
      <c r="BQ4" t="e">
        <f>AND(Ischemia_25percent_output_edgel!B279,"AAAAAF9v+kQ=")</f>
        <v>#VALUE!</v>
      </c>
      <c r="BR4">
        <f>IF(Ischemia_25percent_output_edgel!280:280,"AAAAAF9v+kU=",0)</f>
        <v>0</v>
      </c>
      <c r="BS4" t="e">
        <f>AND(Ischemia_25percent_output_edgel!A280,"AAAAAF9v+kY=")</f>
        <v>#VALUE!</v>
      </c>
      <c r="BT4" t="e">
        <f>AND(Ischemia_25percent_output_edgel!B280,"AAAAAF9v+kc=")</f>
        <v>#VALUE!</v>
      </c>
      <c r="BU4">
        <f>IF(Ischemia_25percent_output_edgel!281:281,"AAAAAF9v+kg=",0)</f>
        <v>0</v>
      </c>
      <c r="BV4" t="e">
        <f>AND(Ischemia_25percent_output_edgel!A281,"AAAAAF9v+kk=")</f>
        <v>#VALUE!</v>
      </c>
      <c r="BW4" t="e">
        <f>AND(Ischemia_25percent_output_edgel!B281,"AAAAAF9v+ko=")</f>
        <v>#VALUE!</v>
      </c>
      <c r="BX4">
        <f>IF(Ischemia_25percent_output_edgel!282:282,"AAAAAF9v+ks=",0)</f>
        <v>0</v>
      </c>
      <c r="BY4" t="e">
        <f>AND(Ischemia_25percent_output_edgel!A282,"AAAAAF9v+kw=")</f>
        <v>#VALUE!</v>
      </c>
      <c r="BZ4" t="e">
        <f>AND(Ischemia_25percent_output_edgel!B282,"AAAAAF9v+k0=")</f>
        <v>#VALUE!</v>
      </c>
      <c r="CA4">
        <f>IF(Ischemia_25percent_output_edgel!283:283,"AAAAAF9v+k4=",0)</f>
        <v>0</v>
      </c>
      <c r="CB4" t="e">
        <f>AND(Ischemia_25percent_output_edgel!A283,"AAAAAF9v+k8=")</f>
        <v>#VALUE!</v>
      </c>
      <c r="CC4" t="e">
        <f>AND(Ischemia_25percent_output_edgel!B283,"AAAAAF9v+lA=")</f>
        <v>#VALUE!</v>
      </c>
      <c r="CD4">
        <f>IF(Ischemia_25percent_output_edgel!284:284,"AAAAAF9v+lE=",0)</f>
        <v>0</v>
      </c>
      <c r="CE4" t="e">
        <f>AND(Ischemia_25percent_output_edgel!A284,"AAAAAF9v+lI=")</f>
        <v>#VALUE!</v>
      </c>
      <c r="CF4" t="e">
        <f>AND(Ischemia_25percent_output_edgel!B284,"AAAAAF9v+lM=")</f>
        <v>#VALUE!</v>
      </c>
      <c r="CG4">
        <f>IF(Ischemia_25percent_output_edgel!285:285,"AAAAAF9v+lQ=",0)</f>
        <v>0</v>
      </c>
      <c r="CH4" t="e">
        <f>AND(Ischemia_25percent_output_edgel!A285,"AAAAAF9v+lU=")</f>
        <v>#VALUE!</v>
      </c>
      <c r="CI4" t="e">
        <f>AND(Ischemia_25percent_output_edgel!B285,"AAAAAF9v+lY=")</f>
        <v>#VALUE!</v>
      </c>
      <c r="CJ4">
        <f>IF(Ischemia_25percent_output_edgel!286:286,"AAAAAF9v+lc=",0)</f>
        <v>0</v>
      </c>
      <c r="CK4" t="e">
        <f>AND(Ischemia_25percent_output_edgel!A286,"AAAAAF9v+lg=")</f>
        <v>#VALUE!</v>
      </c>
      <c r="CL4" t="e">
        <f>AND(Ischemia_25percent_output_edgel!B286,"AAAAAF9v+lk=")</f>
        <v>#VALUE!</v>
      </c>
      <c r="CM4">
        <f>IF(Ischemia_25percent_output_edgel!287:287,"AAAAAF9v+lo=",0)</f>
        <v>0</v>
      </c>
      <c r="CN4" t="e">
        <f>AND(Ischemia_25percent_output_edgel!A287,"AAAAAF9v+ls=")</f>
        <v>#VALUE!</v>
      </c>
      <c r="CO4" t="e">
        <f>AND(Ischemia_25percent_output_edgel!B287,"AAAAAF9v+lw=")</f>
        <v>#VALUE!</v>
      </c>
      <c r="CP4">
        <f>IF(Ischemia_25percent_output_edgel!288:288,"AAAAAF9v+l0=",0)</f>
        <v>0</v>
      </c>
      <c r="CQ4" t="e">
        <f>AND(Ischemia_25percent_output_edgel!A288,"AAAAAF9v+l4=")</f>
        <v>#VALUE!</v>
      </c>
      <c r="CR4" t="e">
        <f>AND(Ischemia_25percent_output_edgel!B288,"AAAAAF9v+l8=")</f>
        <v>#VALUE!</v>
      </c>
      <c r="CS4">
        <f>IF(Ischemia_25percent_output_edgel!289:289,"AAAAAF9v+mA=",0)</f>
        <v>0</v>
      </c>
      <c r="CT4" t="e">
        <f>AND(Ischemia_25percent_output_edgel!A289,"AAAAAF9v+mE=")</f>
        <v>#VALUE!</v>
      </c>
      <c r="CU4" t="e">
        <f>AND(Ischemia_25percent_output_edgel!B289,"AAAAAF9v+mI=")</f>
        <v>#VALUE!</v>
      </c>
      <c r="CV4">
        <f>IF(Ischemia_25percent_output_edgel!290:290,"AAAAAF9v+mM=",0)</f>
        <v>0</v>
      </c>
      <c r="CW4" t="e">
        <f>AND(Ischemia_25percent_output_edgel!A290,"AAAAAF9v+mQ=")</f>
        <v>#VALUE!</v>
      </c>
      <c r="CX4" t="e">
        <f>AND(Ischemia_25percent_output_edgel!B290,"AAAAAF9v+mU=")</f>
        <v>#VALUE!</v>
      </c>
      <c r="CY4">
        <f>IF(Ischemia_25percent_output_edgel!291:291,"AAAAAF9v+mY=",0)</f>
        <v>0</v>
      </c>
      <c r="CZ4" t="e">
        <f>AND(Ischemia_25percent_output_edgel!A291,"AAAAAF9v+mc=")</f>
        <v>#VALUE!</v>
      </c>
      <c r="DA4" t="e">
        <f>AND(Ischemia_25percent_output_edgel!B291,"AAAAAF9v+mg=")</f>
        <v>#VALUE!</v>
      </c>
      <c r="DB4">
        <f>IF(Ischemia_25percent_output_edgel!292:292,"AAAAAF9v+mk=",0)</f>
        <v>0</v>
      </c>
      <c r="DC4" t="e">
        <f>AND(Ischemia_25percent_output_edgel!A292,"AAAAAF9v+mo=")</f>
        <v>#VALUE!</v>
      </c>
      <c r="DD4" t="e">
        <f>AND(Ischemia_25percent_output_edgel!B292,"AAAAAF9v+ms=")</f>
        <v>#VALUE!</v>
      </c>
      <c r="DE4">
        <f>IF(Ischemia_25percent_output_edgel!293:293,"AAAAAF9v+mw=",0)</f>
        <v>0</v>
      </c>
      <c r="DF4" t="e">
        <f>AND(Ischemia_25percent_output_edgel!A293,"AAAAAF9v+m0=")</f>
        <v>#VALUE!</v>
      </c>
      <c r="DG4" t="e">
        <f>AND(Ischemia_25percent_output_edgel!B293,"AAAAAF9v+m4=")</f>
        <v>#VALUE!</v>
      </c>
      <c r="DH4">
        <f>IF(Ischemia_25percent_output_edgel!294:294,"AAAAAF9v+m8=",0)</f>
        <v>0</v>
      </c>
      <c r="DI4" t="e">
        <f>AND(Ischemia_25percent_output_edgel!A294,"AAAAAF9v+nA=")</f>
        <v>#VALUE!</v>
      </c>
      <c r="DJ4" t="e">
        <f>AND(Ischemia_25percent_output_edgel!B294,"AAAAAF9v+nE=")</f>
        <v>#VALUE!</v>
      </c>
      <c r="DK4">
        <f>IF(Ischemia_25percent_output_edgel!295:295,"AAAAAF9v+nI=",0)</f>
        <v>0</v>
      </c>
      <c r="DL4" t="e">
        <f>AND(Ischemia_25percent_output_edgel!A295,"AAAAAF9v+nM=")</f>
        <v>#VALUE!</v>
      </c>
      <c r="DM4" t="e">
        <f>AND(Ischemia_25percent_output_edgel!B295,"AAAAAF9v+nQ=")</f>
        <v>#VALUE!</v>
      </c>
      <c r="DN4">
        <f>IF(Ischemia_25percent_output_edgel!296:296,"AAAAAF9v+nU=",0)</f>
        <v>0</v>
      </c>
      <c r="DO4" t="e">
        <f>AND(Ischemia_25percent_output_edgel!A296,"AAAAAF9v+nY=")</f>
        <v>#VALUE!</v>
      </c>
      <c r="DP4" t="e">
        <f>AND(Ischemia_25percent_output_edgel!B296,"AAAAAF9v+nc=")</f>
        <v>#VALUE!</v>
      </c>
      <c r="DQ4">
        <f>IF(Ischemia_25percent_output_edgel!297:297,"AAAAAF9v+ng=",0)</f>
        <v>0</v>
      </c>
      <c r="DR4" t="e">
        <f>AND(Ischemia_25percent_output_edgel!A297,"AAAAAF9v+nk=")</f>
        <v>#VALUE!</v>
      </c>
      <c r="DS4" t="e">
        <f>AND(Ischemia_25percent_output_edgel!B297,"AAAAAF9v+no=")</f>
        <v>#VALUE!</v>
      </c>
      <c r="DT4">
        <f>IF(Ischemia_25percent_output_edgel!298:298,"AAAAAF9v+ns=",0)</f>
        <v>0</v>
      </c>
      <c r="DU4" t="e">
        <f>AND(Ischemia_25percent_output_edgel!A298,"AAAAAF9v+nw=")</f>
        <v>#VALUE!</v>
      </c>
      <c r="DV4" t="e">
        <f>AND(Ischemia_25percent_output_edgel!B298,"AAAAAF9v+n0=")</f>
        <v>#VALUE!</v>
      </c>
      <c r="DW4">
        <f>IF(Ischemia_25percent_output_edgel!299:299,"AAAAAF9v+n4=",0)</f>
        <v>0</v>
      </c>
      <c r="DX4" t="e">
        <f>AND(Ischemia_25percent_output_edgel!A299,"AAAAAF9v+n8=")</f>
        <v>#VALUE!</v>
      </c>
      <c r="DY4" t="e">
        <f>AND(Ischemia_25percent_output_edgel!B299,"AAAAAF9v+oA=")</f>
        <v>#VALUE!</v>
      </c>
      <c r="DZ4">
        <f>IF(Ischemia_25percent_output_edgel!300:300,"AAAAAF9v+oE=",0)</f>
        <v>0</v>
      </c>
      <c r="EA4" t="e">
        <f>AND(Ischemia_25percent_output_edgel!A300,"AAAAAF9v+oI=")</f>
        <v>#VALUE!</v>
      </c>
      <c r="EB4" t="e">
        <f>AND(Ischemia_25percent_output_edgel!B300,"AAAAAF9v+oM=")</f>
        <v>#VALUE!</v>
      </c>
      <c r="EC4">
        <f>IF(Ischemia_25percent_output_edgel!301:301,"AAAAAF9v+oQ=",0)</f>
        <v>0</v>
      </c>
      <c r="ED4" t="e">
        <f>AND(Ischemia_25percent_output_edgel!A301,"AAAAAF9v+oU=")</f>
        <v>#VALUE!</v>
      </c>
      <c r="EE4" t="e">
        <f>AND(Ischemia_25percent_output_edgel!B301,"AAAAAF9v+oY=")</f>
        <v>#VALUE!</v>
      </c>
      <c r="EF4">
        <f>IF(Ischemia_25percent_output_edgel!302:302,"AAAAAF9v+oc=",0)</f>
        <v>0</v>
      </c>
      <c r="EG4" t="e">
        <f>AND(Ischemia_25percent_output_edgel!A302,"AAAAAF9v+og=")</f>
        <v>#VALUE!</v>
      </c>
      <c r="EH4" t="e">
        <f>AND(Ischemia_25percent_output_edgel!B302,"AAAAAF9v+ok=")</f>
        <v>#VALUE!</v>
      </c>
      <c r="EI4">
        <f>IF(Ischemia_25percent_output_edgel!303:303,"AAAAAF9v+oo=",0)</f>
        <v>0</v>
      </c>
      <c r="EJ4" t="e">
        <f>AND(Ischemia_25percent_output_edgel!A303,"AAAAAF9v+os=")</f>
        <v>#VALUE!</v>
      </c>
      <c r="EK4" t="e">
        <f>AND(Ischemia_25percent_output_edgel!B303,"AAAAAF9v+ow=")</f>
        <v>#VALUE!</v>
      </c>
      <c r="EL4">
        <f>IF(Ischemia_25percent_output_edgel!304:304,"AAAAAF9v+o0=",0)</f>
        <v>0</v>
      </c>
      <c r="EM4" t="e">
        <f>AND(Ischemia_25percent_output_edgel!A304,"AAAAAF9v+o4=")</f>
        <v>#VALUE!</v>
      </c>
      <c r="EN4" t="e">
        <f>AND(Ischemia_25percent_output_edgel!B304,"AAAAAF9v+o8=")</f>
        <v>#VALUE!</v>
      </c>
      <c r="EO4">
        <f>IF(Ischemia_25percent_output_edgel!305:305,"AAAAAF9v+pA=",0)</f>
        <v>0</v>
      </c>
      <c r="EP4" t="e">
        <f>AND(Ischemia_25percent_output_edgel!A305,"AAAAAF9v+pE=")</f>
        <v>#VALUE!</v>
      </c>
      <c r="EQ4" t="e">
        <f>AND(Ischemia_25percent_output_edgel!B305,"AAAAAF9v+pI=")</f>
        <v>#VALUE!</v>
      </c>
      <c r="ER4">
        <f>IF(Ischemia_25percent_output_edgel!306:306,"AAAAAF9v+pM=",0)</f>
        <v>0</v>
      </c>
      <c r="ES4" t="e">
        <f>AND(Ischemia_25percent_output_edgel!A306,"AAAAAF9v+pQ=")</f>
        <v>#VALUE!</v>
      </c>
      <c r="ET4" t="e">
        <f>AND(Ischemia_25percent_output_edgel!B306,"AAAAAF9v+pU=")</f>
        <v>#VALUE!</v>
      </c>
      <c r="EU4">
        <f>IF(Ischemia_25percent_output_edgel!307:307,"AAAAAF9v+pY=",0)</f>
        <v>0</v>
      </c>
      <c r="EV4" t="e">
        <f>AND(Ischemia_25percent_output_edgel!A307,"AAAAAF9v+pc=")</f>
        <v>#VALUE!</v>
      </c>
      <c r="EW4" t="e">
        <f>AND(Ischemia_25percent_output_edgel!B307,"AAAAAF9v+pg=")</f>
        <v>#VALUE!</v>
      </c>
      <c r="EX4">
        <f>IF(Ischemia_25percent_output_edgel!308:308,"AAAAAF9v+pk=",0)</f>
        <v>0</v>
      </c>
      <c r="EY4" t="e">
        <f>AND(Ischemia_25percent_output_edgel!A308,"AAAAAF9v+po=")</f>
        <v>#VALUE!</v>
      </c>
      <c r="EZ4" t="e">
        <f>AND(Ischemia_25percent_output_edgel!B308,"AAAAAF9v+ps=")</f>
        <v>#VALUE!</v>
      </c>
      <c r="FA4">
        <f>IF(Ischemia_25percent_output_edgel!309:309,"AAAAAF9v+pw=",0)</f>
        <v>0</v>
      </c>
      <c r="FB4" t="e">
        <f>AND(Ischemia_25percent_output_edgel!A309,"AAAAAF9v+p0=")</f>
        <v>#VALUE!</v>
      </c>
      <c r="FC4" t="e">
        <f>AND(Ischemia_25percent_output_edgel!B309,"AAAAAF9v+p4=")</f>
        <v>#VALUE!</v>
      </c>
      <c r="FD4">
        <f>IF(Ischemia_25percent_output_edgel!310:310,"AAAAAF9v+p8=",0)</f>
        <v>0</v>
      </c>
      <c r="FE4" t="e">
        <f>AND(Ischemia_25percent_output_edgel!A310,"AAAAAF9v+qA=")</f>
        <v>#VALUE!</v>
      </c>
      <c r="FF4" t="e">
        <f>AND(Ischemia_25percent_output_edgel!B310,"AAAAAF9v+qE=")</f>
        <v>#VALUE!</v>
      </c>
      <c r="FG4">
        <f>IF(Ischemia_25percent_output_edgel!311:311,"AAAAAF9v+qI=",0)</f>
        <v>0</v>
      </c>
      <c r="FH4" t="e">
        <f>AND(Ischemia_25percent_output_edgel!A311,"AAAAAF9v+qM=")</f>
        <v>#VALUE!</v>
      </c>
      <c r="FI4" t="e">
        <f>AND(Ischemia_25percent_output_edgel!B311,"AAAAAF9v+qQ=")</f>
        <v>#VALUE!</v>
      </c>
      <c r="FJ4">
        <f>IF(Ischemia_25percent_output_edgel!312:312,"AAAAAF9v+qU=",0)</f>
        <v>0</v>
      </c>
      <c r="FK4" t="e">
        <f>AND(Ischemia_25percent_output_edgel!A312,"AAAAAF9v+qY=")</f>
        <v>#VALUE!</v>
      </c>
      <c r="FL4" t="e">
        <f>AND(Ischemia_25percent_output_edgel!B312,"AAAAAF9v+qc=")</f>
        <v>#VALUE!</v>
      </c>
      <c r="FM4">
        <f>IF(Ischemia_25percent_output_edgel!313:313,"AAAAAF9v+qg=",0)</f>
        <v>0</v>
      </c>
      <c r="FN4" t="e">
        <f>AND(Ischemia_25percent_output_edgel!A313,"AAAAAF9v+qk=")</f>
        <v>#VALUE!</v>
      </c>
      <c r="FO4" t="e">
        <f>AND(Ischemia_25percent_output_edgel!B313,"AAAAAF9v+qo=")</f>
        <v>#VALUE!</v>
      </c>
      <c r="FP4">
        <f>IF(Ischemia_25percent_output_edgel!314:314,"AAAAAF9v+qs=",0)</f>
        <v>0</v>
      </c>
      <c r="FQ4" t="e">
        <f>AND(Ischemia_25percent_output_edgel!A314,"AAAAAF9v+qw=")</f>
        <v>#VALUE!</v>
      </c>
      <c r="FR4" t="e">
        <f>AND(Ischemia_25percent_output_edgel!B314,"AAAAAF9v+q0=")</f>
        <v>#VALUE!</v>
      </c>
      <c r="FS4">
        <f>IF(Ischemia_25percent_output_edgel!315:315,"AAAAAF9v+q4=",0)</f>
        <v>0</v>
      </c>
      <c r="FT4" t="e">
        <f>AND(Ischemia_25percent_output_edgel!A315,"AAAAAF9v+q8=")</f>
        <v>#VALUE!</v>
      </c>
      <c r="FU4" t="e">
        <f>AND(Ischemia_25percent_output_edgel!B315,"AAAAAF9v+rA=")</f>
        <v>#VALUE!</v>
      </c>
      <c r="FV4">
        <f>IF(Ischemia_25percent_output_edgel!316:316,"AAAAAF9v+rE=",0)</f>
        <v>0</v>
      </c>
      <c r="FW4" t="e">
        <f>AND(Ischemia_25percent_output_edgel!A316,"AAAAAF9v+rI=")</f>
        <v>#VALUE!</v>
      </c>
      <c r="FX4" t="e">
        <f>AND(Ischemia_25percent_output_edgel!B316,"AAAAAF9v+rM=")</f>
        <v>#VALUE!</v>
      </c>
      <c r="FY4">
        <f>IF(Ischemia_25percent_output_edgel!317:317,"AAAAAF9v+rQ=",0)</f>
        <v>0</v>
      </c>
      <c r="FZ4" t="e">
        <f>AND(Ischemia_25percent_output_edgel!A317,"AAAAAF9v+rU=")</f>
        <v>#VALUE!</v>
      </c>
      <c r="GA4" t="e">
        <f>AND(Ischemia_25percent_output_edgel!B317,"AAAAAF9v+rY=")</f>
        <v>#VALUE!</v>
      </c>
      <c r="GB4">
        <f>IF(Ischemia_25percent_output_edgel!318:318,"AAAAAF9v+rc=",0)</f>
        <v>0</v>
      </c>
      <c r="GC4" t="e">
        <f>AND(Ischemia_25percent_output_edgel!A318,"AAAAAF9v+rg=")</f>
        <v>#VALUE!</v>
      </c>
      <c r="GD4" t="e">
        <f>AND(Ischemia_25percent_output_edgel!B318,"AAAAAF9v+rk=")</f>
        <v>#VALUE!</v>
      </c>
      <c r="GE4">
        <f>IF(Ischemia_25percent_output_edgel!319:319,"AAAAAF9v+ro=",0)</f>
        <v>0</v>
      </c>
      <c r="GF4" t="e">
        <f>AND(Ischemia_25percent_output_edgel!A319,"AAAAAF9v+rs=")</f>
        <v>#VALUE!</v>
      </c>
      <c r="GG4" t="e">
        <f>AND(Ischemia_25percent_output_edgel!B319,"AAAAAF9v+rw=")</f>
        <v>#VALUE!</v>
      </c>
      <c r="GH4">
        <f>IF(Ischemia_25percent_output_edgel!320:320,"AAAAAF9v+r0=",0)</f>
        <v>0</v>
      </c>
      <c r="GI4" t="e">
        <f>AND(Ischemia_25percent_output_edgel!A320,"AAAAAF9v+r4=")</f>
        <v>#VALUE!</v>
      </c>
      <c r="GJ4" t="e">
        <f>AND(Ischemia_25percent_output_edgel!B320,"AAAAAF9v+r8=")</f>
        <v>#VALUE!</v>
      </c>
      <c r="GK4">
        <f>IF(Ischemia_25percent_output_edgel!321:321,"AAAAAF9v+sA=",0)</f>
        <v>0</v>
      </c>
      <c r="GL4" t="e">
        <f>AND(Ischemia_25percent_output_edgel!A321,"AAAAAF9v+sE=")</f>
        <v>#VALUE!</v>
      </c>
      <c r="GM4" t="e">
        <f>AND(Ischemia_25percent_output_edgel!B321,"AAAAAF9v+sI=")</f>
        <v>#VALUE!</v>
      </c>
      <c r="GN4">
        <f>IF(Ischemia_25percent_output_edgel!322:322,"AAAAAF9v+sM=",0)</f>
        <v>0</v>
      </c>
      <c r="GO4" t="e">
        <f>AND(Ischemia_25percent_output_edgel!A322,"AAAAAF9v+sQ=")</f>
        <v>#VALUE!</v>
      </c>
      <c r="GP4" t="e">
        <f>AND(Ischemia_25percent_output_edgel!B322,"AAAAAF9v+sU=")</f>
        <v>#VALUE!</v>
      </c>
      <c r="GQ4">
        <f>IF(Ischemia_25percent_output_edgel!323:323,"AAAAAF9v+sY=",0)</f>
        <v>0</v>
      </c>
      <c r="GR4" t="e">
        <f>AND(Ischemia_25percent_output_edgel!A323,"AAAAAF9v+sc=")</f>
        <v>#VALUE!</v>
      </c>
      <c r="GS4" t="e">
        <f>AND(Ischemia_25percent_output_edgel!B323,"AAAAAF9v+sg=")</f>
        <v>#VALUE!</v>
      </c>
      <c r="GT4">
        <f>IF(Ischemia_25percent_output_edgel!324:324,"AAAAAF9v+sk=",0)</f>
        <v>0</v>
      </c>
      <c r="GU4" t="e">
        <f>AND(Ischemia_25percent_output_edgel!A324,"AAAAAF9v+so=")</f>
        <v>#VALUE!</v>
      </c>
      <c r="GV4" t="e">
        <f>AND(Ischemia_25percent_output_edgel!B324,"AAAAAF9v+ss=")</f>
        <v>#VALUE!</v>
      </c>
      <c r="GW4">
        <f>IF(Ischemia_25percent_output_edgel!325:325,"AAAAAF9v+sw=",0)</f>
        <v>0</v>
      </c>
      <c r="GX4" t="e">
        <f>AND(Ischemia_25percent_output_edgel!A325,"AAAAAF9v+s0=")</f>
        <v>#VALUE!</v>
      </c>
      <c r="GY4" t="e">
        <f>AND(Ischemia_25percent_output_edgel!B325,"AAAAAF9v+s4=")</f>
        <v>#VALUE!</v>
      </c>
      <c r="GZ4">
        <f>IF(Ischemia_25percent_output_edgel!326:326,"AAAAAF9v+s8=",0)</f>
        <v>0</v>
      </c>
      <c r="HA4" t="e">
        <f>AND(Ischemia_25percent_output_edgel!A326,"AAAAAF9v+tA=")</f>
        <v>#VALUE!</v>
      </c>
      <c r="HB4" t="e">
        <f>AND(Ischemia_25percent_output_edgel!B326,"AAAAAF9v+tE=")</f>
        <v>#VALUE!</v>
      </c>
      <c r="HC4">
        <f>IF(Ischemia_25percent_output_edgel!327:327,"AAAAAF9v+tI=",0)</f>
        <v>0</v>
      </c>
      <c r="HD4" t="e">
        <f>AND(Ischemia_25percent_output_edgel!A327,"AAAAAF9v+tM=")</f>
        <v>#VALUE!</v>
      </c>
      <c r="HE4" t="e">
        <f>AND(Ischemia_25percent_output_edgel!B327,"AAAAAF9v+tQ=")</f>
        <v>#VALUE!</v>
      </c>
      <c r="HF4">
        <f>IF(Ischemia_25percent_output_edgel!328:328,"AAAAAF9v+tU=",0)</f>
        <v>0</v>
      </c>
      <c r="HG4" t="e">
        <f>AND(Ischemia_25percent_output_edgel!A328,"AAAAAF9v+tY=")</f>
        <v>#VALUE!</v>
      </c>
      <c r="HH4" t="e">
        <f>AND(Ischemia_25percent_output_edgel!B328,"AAAAAF9v+tc=")</f>
        <v>#VALUE!</v>
      </c>
      <c r="HI4">
        <f>IF(Ischemia_25percent_output_edgel!329:329,"AAAAAF9v+tg=",0)</f>
        <v>0</v>
      </c>
      <c r="HJ4" t="e">
        <f>AND(Ischemia_25percent_output_edgel!A329,"AAAAAF9v+tk=")</f>
        <v>#VALUE!</v>
      </c>
      <c r="HK4" t="e">
        <f>AND(Ischemia_25percent_output_edgel!B329,"AAAAAF9v+to=")</f>
        <v>#VALUE!</v>
      </c>
      <c r="HL4">
        <f>IF(Ischemia_25percent_output_edgel!330:330,"AAAAAF9v+ts=",0)</f>
        <v>0</v>
      </c>
      <c r="HM4" t="e">
        <f>AND(Ischemia_25percent_output_edgel!A330,"AAAAAF9v+tw=")</f>
        <v>#VALUE!</v>
      </c>
      <c r="HN4" t="e">
        <f>AND(Ischemia_25percent_output_edgel!B330,"AAAAAF9v+t0=")</f>
        <v>#VALUE!</v>
      </c>
      <c r="HO4">
        <f>IF(Ischemia_25percent_output_edgel!331:331,"AAAAAF9v+t4=",0)</f>
        <v>0</v>
      </c>
      <c r="HP4" t="e">
        <f>AND(Ischemia_25percent_output_edgel!A331,"AAAAAF9v+t8=")</f>
        <v>#VALUE!</v>
      </c>
      <c r="HQ4" t="e">
        <f>AND(Ischemia_25percent_output_edgel!B331,"AAAAAF9v+uA=")</f>
        <v>#VALUE!</v>
      </c>
      <c r="HR4">
        <f>IF(Ischemia_25percent_output_edgel!332:332,"AAAAAF9v+uE=",0)</f>
        <v>0</v>
      </c>
      <c r="HS4" t="e">
        <f>AND(Ischemia_25percent_output_edgel!A332,"AAAAAF9v+uI=")</f>
        <v>#VALUE!</v>
      </c>
      <c r="HT4" t="e">
        <f>AND(Ischemia_25percent_output_edgel!B332,"AAAAAF9v+uM=")</f>
        <v>#VALUE!</v>
      </c>
      <c r="HU4">
        <f>IF(Ischemia_25percent_output_edgel!333:333,"AAAAAF9v+uQ=",0)</f>
        <v>0</v>
      </c>
      <c r="HV4" t="e">
        <f>AND(Ischemia_25percent_output_edgel!A333,"AAAAAF9v+uU=")</f>
        <v>#VALUE!</v>
      </c>
      <c r="HW4" t="e">
        <f>AND(Ischemia_25percent_output_edgel!B333,"AAAAAF9v+uY=")</f>
        <v>#VALUE!</v>
      </c>
      <c r="HX4">
        <f>IF(Ischemia_25percent_output_edgel!334:334,"AAAAAF9v+uc=",0)</f>
        <v>0</v>
      </c>
      <c r="HY4" t="e">
        <f>AND(Ischemia_25percent_output_edgel!A334,"AAAAAF9v+ug=")</f>
        <v>#VALUE!</v>
      </c>
      <c r="HZ4" t="e">
        <f>AND(Ischemia_25percent_output_edgel!B334,"AAAAAF9v+uk=")</f>
        <v>#VALUE!</v>
      </c>
      <c r="IA4">
        <f>IF(Ischemia_25percent_output_edgel!335:335,"AAAAAF9v+uo=",0)</f>
        <v>0</v>
      </c>
      <c r="IB4" t="e">
        <f>AND(Ischemia_25percent_output_edgel!A335,"AAAAAF9v+us=")</f>
        <v>#VALUE!</v>
      </c>
      <c r="IC4" t="e">
        <f>AND(Ischemia_25percent_output_edgel!B335,"AAAAAF9v+uw=")</f>
        <v>#VALUE!</v>
      </c>
      <c r="ID4">
        <f>IF(Ischemia_25percent_output_edgel!336:336,"AAAAAF9v+u0=",0)</f>
        <v>0</v>
      </c>
      <c r="IE4" t="e">
        <f>AND(Ischemia_25percent_output_edgel!A336,"AAAAAF9v+u4=")</f>
        <v>#VALUE!</v>
      </c>
      <c r="IF4" t="e">
        <f>AND(Ischemia_25percent_output_edgel!B336,"AAAAAF9v+u8=")</f>
        <v>#VALUE!</v>
      </c>
      <c r="IG4">
        <f>IF(Ischemia_25percent_output_edgel!337:337,"AAAAAF9v+vA=",0)</f>
        <v>0</v>
      </c>
      <c r="IH4" t="e">
        <f>AND(Ischemia_25percent_output_edgel!A337,"AAAAAF9v+vE=")</f>
        <v>#VALUE!</v>
      </c>
      <c r="II4" t="e">
        <f>AND(Ischemia_25percent_output_edgel!B337,"AAAAAF9v+vI=")</f>
        <v>#VALUE!</v>
      </c>
      <c r="IJ4">
        <f>IF(Ischemia_25percent_output_edgel!338:338,"AAAAAF9v+vM=",0)</f>
        <v>0</v>
      </c>
      <c r="IK4" t="e">
        <f>AND(Ischemia_25percent_output_edgel!A338,"AAAAAF9v+vQ=")</f>
        <v>#VALUE!</v>
      </c>
      <c r="IL4" t="e">
        <f>AND(Ischemia_25percent_output_edgel!B338,"AAAAAF9v+vU=")</f>
        <v>#VALUE!</v>
      </c>
      <c r="IM4">
        <f>IF(Ischemia_25percent_output_edgel!339:339,"AAAAAF9v+vY=",0)</f>
        <v>0</v>
      </c>
      <c r="IN4" t="e">
        <f>AND(Ischemia_25percent_output_edgel!A339,"AAAAAF9v+vc=")</f>
        <v>#VALUE!</v>
      </c>
      <c r="IO4" t="e">
        <f>AND(Ischemia_25percent_output_edgel!B339,"AAAAAF9v+vg=")</f>
        <v>#VALUE!</v>
      </c>
      <c r="IP4">
        <f>IF(Ischemia_25percent_output_edgel!340:340,"AAAAAF9v+vk=",0)</f>
        <v>0</v>
      </c>
      <c r="IQ4" t="e">
        <f>AND(Ischemia_25percent_output_edgel!A340,"AAAAAF9v+vo=")</f>
        <v>#VALUE!</v>
      </c>
      <c r="IR4" t="e">
        <f>AND(Ischemia_25percent_output_edgel!B340,"AAAAAF9v+vs=")</f>
        <v>#VALUE!</v>
      </c>
      <c r="IS4">
        <f>IF(Ischemia_25percent_output_edgel!341:341,"AAAAAF9v+vw=",0)</f>
        <v>0</v>
      </c>
      <c r="IT4" t="e">
        <f>AND(Ischemia_25percent_output_edgel!A341,"AAAAAF9v+v0=")</f>
        <v>#VALUE!</v>
      </c>
      <c r="IU4" t="e">
        <f>AND(Ischemia_25percent_output_edgel!B341,"AAAAAF9v+v4=")</f>
        <v>#VALUE!</v>
      </c>
      <c r="IV4">
        <f>IF(Ischemia_25percent_output_edgel!342:342,"AAAAAF9v+v8=",0)</f>
        <v>0</v>
      </c>
    </row>
    <row r="5" spans="1:256">
      <c r="A5" t="e">
        <f>AND(Ischemia_25percent_output_edgel!A342,"AAAAAHdXfQA=")</f>
        <v>#VALUE!</v>
      </c>
      <c r="B5" t="e">
        <f>AND(Ischemia_25percent_output_edgel!B342,"AAAAAHdXfQE=")</f>
        <v>#VALUE!</v>
      </c>
      <c r="C5">
        <f>IF(Ischemia_25percent_output_edgel!343:343,"AAAAAHdXfQI=",0)</f>
        <v>0</v>
      </c>
      <c r="D5" t="e">
        <f>AND(Ischemia_25percent_output_edgel!A343,"AAAAAHdXfQM=")</f>
        <v>#VALUE!</v>
      </c>
      <c r="E5" t="e">
        <f>AND(Ischemia_25percent_output_edgel!B343,"AAAAAHdXfQQ=")</f>
        <v>#VALUE!</v>
      </c>
      <c r="F5">
        <f>IF(Ischemia_25percent_output_edgel!344:344,"AAAAAHdXfQU=",0)</f>
        <v>0</v>
      </c>
      <c r="G5" t="e">
        <f>AND(Ischemia_25percent_output_edgel!A344,"AAAAAHdXfQY=")</f>
        <v>#VALUE!</v>
      </c>
      <c r="H5" t="e">
        <f>AND(Ischemia_25percent_output_edgel!B344,"AAAAAHdXfQc=")</f>
        <v>#VALUE!</v>
      </c>
      <c r="I5">
        <f>IF(Ischemia_25percent_output_edgel!345:345,"AAAAAHdXfQg=",0)</f>
        <v>0</v>
      </c>
      <c r="J5" t="e">
        <f>AND(Ischemia_25percent_output_edgel!A345,"AAAAAHdXfQk=")</f>
        <v>#VALUE!</v>
      </c>
      <c r="K5" t="e">
        <f>AND(Ischemia_25percent_output_edgel!B345,"AAAAAHdXfQo=")</f>
        <v>#VALUE!</v>
      </c>
      <c r="L5">
        <f>IF(Ischemia_25percent_output_edgel!346:346,"AAAAAHdXfQs=",0)</f>
        <v>0</v>
      </c>
      <c r="M5" t="e">
        <f>AND(Ischemia_25percent_output_edgel!A346,"AAAAAHdXfQw=")</f>
        <v>#VALUE!</v>
      </c>
      <c r="N5" t="e">
        <f>AND(Ischemia_25percent_output_edgel!B346,"AAAAAHdXfQ0=")</f>
        <v>#VALUE!</v>
      </c>
      <c r="O5">
        <f>IF(Ischemia_25percent_output_edgel!347:347,"AAAAAHdXfQ4=",0)</f>
        <v>0</v>
      </c>
      <c r="P5" t="e">
        <f>AND(Ischemia_25percent_output_edgel!A347,"AAAAAHdXfQ8=")</f>
        <v>#VALUE!</v>
      </c>
      <c r="Q5" t="e">
        <f>AND(Ischemia_25percent_output_edgel!B347,"AAAAAHdXfRA=")</f>
        <v>#VALUE!</v>
      </c>
      <c r="R5">
        <f>IF(Ischemia_25percent_output_edgel!348:348,"AAAAAHdXfRE=",0)</f>
        <v>0</v>
      </c>
      <c r="S5" t="e">
        <f>AND(Ischemia_25percent_output_edgel!A348,"AAAAAHdXfRI=")</f>
        <v>#VALUE!</v>
      </c>
      <c r="T5" t="e">
        <f>AND(Ischemia_25percent_output_edgel!B348,"AAAAAHdXfRM=")</f>
        <v>#VALUE!</v>
      </c>
      <c r="U5">
        <f>IF(Ischemia_25percent_output_edgel!349:349,"AAAAAHdXfRQ=",0)</f>
        <v>0</v>
      </c>
      <c r="V5" t="e">
        <f>AND(Ischemia_25percent_output_edgel!A349,"AAAAAHdXfRU=")</f>
        <v>#VALUE!</v>
      </c>
      <c r="W5" t="e">
        <f>AND(Ischemia_25percent_output_edgel!B349,"AAAAAHdXfRY=")</f>
        <v>#VALUE!</v>
      </c>
      <c r="X5">
        <f>IF(Ischemia_25percent_output_edgel!350:350,"AAAAAHdXfRc=",0)</f>
        <v>0</v>
      </c>
      <c r="Y5" t="e">
        <f>AND(Ischemia_25percent_output_edgel!A350,"AAAAAHdXfRg=")</f>
        <v>#VALUE!</v>
      </c>
      <c r="Z5" t="e">
        <f>AND(Ischemia_25percent_output_edgel!B350,"AAAAAHdXfRk=")</f>
        <v>#VALUE!</v>
      </c>
      <c r="AA5">
        <f>IF(Ischemia_25percent_output_edgel!351:351,"AAAAAHdXfRo=",0)</f>
        <v>0</v>
      </c>
      <c r="AB5" t="e">
        <f>AND(Ischemia_25percent_output_edgel!A351,"AAAAAHdXfRs=")</f>
        <v>#VALUE!</v>
      </c>
      <c r="AC5" t="e">
        <f>AND(Ischemia_25percent_output_edgel!B351,"AAAAAHdXfRw=")</f>
        <v>#VALUE!</v>
      </c>
      <c r="AD5">
        <f>IF(Ischemia_25percent_output_edgel!352:352,"AAAAAHdXfR0=",0)</f>
        <v>0</v>
      </c>
      <c r="AE5" t="e">
        <f>AND(Ischemia_25percent_output_edgel!A352,"AAAAAHdXfR4=")</f>
        <v>#VALUE!</v>
      </c>
      <c r="AF5" t="e">
        <f>AND(Ischemia_25percent_output_edgel!B352,"AAAAAHdXfR8=")</f>
        <v>#VALUE!</v>
      </c>
      <c r="AG5">
        <f>IF(Ischemia_25percent_output_edgel!353:353,"AAAAAHdXfSA=",0)</f>
        <v>0</v>
      </c>
      <c r="AH5" t="e">
        <f>AND(Ischemia_25percent_output_edgel!A353,"AAAAAHdXfSE=")</f>
        <v>#VALUE!</v>
      </c>
      <c r="AI5" t="e">
        <f>AND(Ischemia_25percent_output_edgel!B353,"AAAAAHdXfSI=")</f>
        <v>#VALUE!</v>
      </c>
      <c r="AJ5">
        <f>IF(Ischemia_25percent_output_edgel!354:354,"AAAAAHdXfSM=",0)</f>
        <v>0</v>
      </c>
      <c r="AK5" t="e">
        <f>AND(Ischemia_25percent_output_edgel!A354,"AAAAAHdXfSQ=")</f>
        <v>#VALUE!</v>
      </c>
      <c r="AL5" t="e">
        <f>AND(Ischemia_25percent_output_edgel!B354,"AAAAAHdXfSU=")</f>
        <v>#VALUE!</v>
      </c>
      <c r="AM5">
        <f>IF(Ischemia_25percent_output_edgel!355:355,"AAAAAHdXfSY=",0)</f>
        <v>0</v>
      </c>
      <c r="AN5" t="e">
        <f>AND(Ischemia_25percent_output_edgel!A355,"AAAAAHdXfSc=")</f>
        <v>#VALUE!</v>
      </c>
      <c r="AO5" t="e">
        <f>AND(Ischemia_25percent_output_edgel!B355,"AAAAAHdXfSg=")</f>
        <v>#VALUE!</v>
      </c>
      <c r="AP5">
        <f>IF(Ischemia_25percent_output_edgel!356:356,"AAAAAHdXfSk=",0)</f>
        <v>0</v>
      </c>
      <c r="AQ5" t="e">
        <f>AND(Ischemia_25percent_output_edgel!A356,"AAAAAHdXfSo=")</f>
        <v>#VALUE!</v>
      </c>
      <c r="AR5" t="e">
        <f>AND(Ischemia_25percent_output_edgel!B356,"AAAAAHdXfSs=")</f>
        <v>#VALUE!</v>
      </c>
      <c r="AS5">
        <f>IF(Ischemia_25percent_output_edgel!357:357,"AAAAAHdXfSw=",0)</f>
        <v>0</v>
      </c>
      <c r="AT5" t="e">
        <f>AND(Ischemia_25percent_output_edgel!A357,"AAAAAHdXfS0=")</f>
        <v>#VALUE!</v>
      </c>
      <c r="AU5" t="e">
        <f>AND(Ischemia_25percent_output_edgel!B357,"AAAAAHdXfS4=")</f>
        <v>#VALUE!</v>
      </c>
      <c r="AV5">
        <f>IF(Ischemia_25percent_output_edgel!358:358,"AAAAAHdXfS8=",0)</f>
        <v>0</v>
      </c>
      <c r="AW5" t="e">
        <f>AND(Ischemia_25percent_output_edgel!A358,"AAAAAHdXfTA=")</f>
        <v>#VALUE!</v>
      </c>
      <c r="AX5" t="e">
        <f>AND(Ischemia_25percent_output_edgel!B358,"AAAAAHdXfTE=")</f>
        <v>#VALUE!</v>
      </c>
      <c r="AY5">
        <f>IF(Ischemia_25percent_output_edgel!359:359,"AAAAAHdXfTI=",0)</f>
        <v>0</v>
      </c>
      <c r="AZ5" t="e">
        <f>AND(Ischemia_25percent_output_edgel!A359,"AAAAAHdXfTM=")</f>
        <v>#VALUE!</v>
      </c>
      <c r="BA5" t="e">
        <f>AND(Ischemia_25percent_output_edgel!B359,"AAAAAHdXfTQ=")</f>
        <v>#VALUE!</v>
      </c>
      <c r="BB5">
        <f>IF(Ischemia_25percent_output_edgel!360:360,"AAAAAHdXfTU=",0)</f>
        <v>0</v>
      </c>
      <c r="BC5" t="e">
        <f>AND(Ischemia_25percent_output_edgel!A360,"AAAAAHdXfTY=")</f>
        <v>#VALUE!</v>
      </c>
      <c r="BD5" t="e">
        <f>AND(Ischemia_25percent_output_edgel!B360,"AAAAAHdXfTc=")</f>
        <v>#VALUE!</v>
      </c>
      <c r="BE5">
        <f>IF(Ischemia_25percent_output_edgel!361:361,"AAAAAHdXfTg=",0)</f>
        <v>0</v>
      </c>
      <c r="BF5" t="e">
        <f>AND(Ischemia_25percent_output_edgel!A361,"AAAAAHdXfTk=")</f>
        <v>#VALUE!</v>
      </c>
      <c r="BG5" t="e">
        <f>AND(Ischemia_25percent_output_edgel!B361,"AAAAAHdXfTo=")</f>
        <v>#VALUE!</v>
      </c>
      <c r="BH5">
        <f>IF(Ischemia_25percent_output_edgel!362:362,"AAAAAHdXfTs=",0)</f>
        <v>0</v>
      </c>
      <c r="BI5" t="e">
        <f>AND(Ischemia_25percent_output_edgel!A362,"AAAAAHdXfTw=")</f>
        <v>#VALUE!</v>
      </c>
      <c r="BJ5" t="e">
        <f>AND(Ischemia_25percent_output_edgel!B362,"AAAAAHdXfT0=")</f>
        <v>#VALUE!</v>
      </c>
      <c r="BK5">
        <f>IF(Ischemia_25percent_output_edgel!363:363,"AAAAAHdXfT4=",0)</f>
        <v>0</v>
      </c>
      <c r="BL5" t="e">
        <f>AND(Ischemia_25percent_output_edgel!A363,"AAAAAHdXfT8=")</f>
        <v>#VALUE!</v>
      </c>
      <c r="BM5" t="e">
        <f>AND(Ischemia_25percent_output_edgel!B363,"AAAAAHdXfUA=")</f>
        <v>#VALUE!</v>
      </c>
      <c r="BN5">
        <f>IF(Ischemia_25percent_output_edgel!364:364,"AAAAAHdXfUE=",0)</f>
        <v>0</v>
      </c>
      <c r="BO5" t="e">
        <f>AND(Ischemia_25percent_output_edgel!A364,"AAAAAHdXfUI=")</f>
        <v>#VALUE!</v>
      </c>
      <c r="BP5" t="e">
        <f>AND(Ischemia_25percent_output_edgel!B364,"AAAAAHdXfUM=")</f>
        <v>#VALUE!</v>
      </c>
      <c r="BQ5">
        <f>IF(Ischemia_25percent_output_edgel!365:365,"AAAAAHdXfUQ=",0)</f>
        <v>0</v>
      </c>
      <c r="BR5" t="e">
        <f>AND(Ischemia_25percent_output_edgel!A365,"AAAAAHdXfUU=")</f>
        <v>#VALUE!</v>
      </c>
      <c r="BS5" t="e">
        <f>AND(Ischemia_25percent_output_edgel!B365,"AAAAAHdXfUY=")</f>
        <v>#VALUE!</v>
      </c>
      <c r="BT5">
        <f>IF(Ischemia_25percent_output_edgel!366:366,"AAAAAHdXfUc=",0)</f>
        <v>0</v>
      </c>
      <c r="BU5" t="e">
        <f>AND(Ischemia_25percent_output_edgel!A366,"AAAAAHdXfUg=")</f>
        <v>#VALUE!</v>
      </c>
      <c r="BV5" t="e">
        <f>AND(Ischemia_25percent_output_edgel!B366,"AAAAAHdXfUk=")</f>
        <v>#VALUE!</v>
      </c>
      <c r="BW5">
        <f>IF(Ischemia_25percent_output_edgel!367:367,"AAAAAHdXfUo=",0)</f>
        <v>0</v>
      </c>
      <c r="BX5" t="e">
        <f>AND(Ischemia_25percent_output_edgel!A367,"AAAAAHdXfUs=")</f>
        <v>#VALUE!</v>
      </c>
      <c r="BY5" t="e">
        <f>AND(Ischemia_25percent_output_edgel!B367,"AAAAAHdXfUw=")</f>
        <v>#VALUE!</v>
      </c>
      <c r="BZ5">
        <f>IF(Ischemia_25percent_output_edgel!368:368,"AAAAAHdXfU0=",0)</f>
        <v>0</v>
      </c>
      <c r="CA5" t="e">
        <f>AND(Ischemia_25percent_output_edgel!A368,"AAAAAHdXfU4=")</f>
        <v>#VALUE!</v>
      </c>
      <c r="CB5" t="e">
        <f>AND(Ischemia_25percent_output_edgel!B368,"AAAAAHdXfU8=")</f>
        <v>#VALUE!</v>
      </c>
      <c r="CC5">
        <f>IF(Ischemia_25percent_output_edgel!369:369,"AAAAAHdXfVA=",0)</f>
        <v>0</v>
      </c>
      <c r="CD5" t="e">
        <f>AND(Ischemia_25percent_output_edgel!A369,"AAAAAHdXfVE=")</f>
        <v>#VALUE!</v>
      </c>
      <c r="CE5" t="e">
        <f>AND(Ischemia_25percent_output_edgel!B369,"AAAAAHdXfVI=")</f>
        <v>#VALUE!</v>
      </c>
      <c r="CF5">
        <f>IF(Ischemia_25percent_output_edgel!370:370,"AAAAAHdXfVM=",0)</f>
        <v>0</v>
      </c>
      <c r="CG5" t="e">
        <f>AND(Ischemia_25percent_output_edgel!A370,"AAAAAHdXfVQ=")</f>
        <v>#VALUE!</v>
      </c>
      <c r="CH5" t="e">
        <f>AND(Ischemia_25percent_output_edgel!B370,"AAAAAHdXfVU=")</f>
        <v>#VALUE!</v>
      </c>
      <c r="CI5">
        <f>IF(Ischemia_25percent_output_edgel!371:371,"AAAAAHdXfVY=",0)</f>
        <v>0</v>
      </c>
      <c r="CJ5" t="e">
        <f>AND(Ischemia_25percent_output_edgel!A371,"AAAAAHdXfVc=")</f>
        <v>#VALUE!</v>
      </c>
      <c r="CK5" t="e">
        <f>AND(Ischemia_25percent_output_edgel!B371,"AAAAAHdXfVg=")</f>
        <v>#VALUE!</v>
      </c>
      <c r="CL5">
        <f>IF(Ischemia_25percent_output_edgel!372:372,"AAAAAHdXfVk=",0)</f>
        <v>0</v>
      </c>
      <c r="CM5" t="e">
        <f>AND(Ischemia_25percent_output_edgel!A372,"AAAAAHdXfVo=")</f>
        <v>#VALUE!</v>
      </c>
      <c r="CN5" t="e">
        <f>AND(Ischemia_25percent_output_edgel!B372,"AAAAAHdXfVs=")</f>
        <v>#VALUE!</v>
      </c>
      <c r="CO5">
        <f>IF(Ischemia_25percent_output_edgel!373:373,"AAAAAHdXfVw=",0)</f>
        <v>0</v>
      </c>
      <c r="CP5" t="e">
        <f>AND(Ischemia_25percent_output_edgel!A373,"AAAAAHdXfV0=")</f>
        <v>#VALUE!</v>
      </c>
      <c r="CQ5" t="e">
        <f>AND(Ischemia_25percent_output_edgel!B373,"AAAAAHdXfV4=")</f>
        <v>#VALUE!</v>
      </c>
      <c r="CR5">
        <f>IF(Ischemia_25percent_output_edgel!374:374,"AAAAAHdXfV8=",0)</f>
        <v>0</v>
      </c>
      <c r="CS5" t="e">
        <f>AND(Ischemia_25percent_output_edgel!A374,"AAAAAHdXfWA=")</f>
        <v>#VALUE!</v>
      </c>
      <c r="CT5" t="e">
        <f>AND(Ischemia_25percent_output_edgel!B374,"AAAAAHdXfWE=")</f>
        <v>#VALUE!</v>
      </c>
      <c r="CU5">
        <f>IF(Ischemia_25percent_output_edgel!375:375,"AAAAAHdXfWI=",0)</f>
        <v>0</v>
      </c>
      <c r="CV5" t="e">
        <f>AND(Ischemia_25percent_output_edgel!A375,"AAAAAHdXfWM=")</f>
        <v>#VALUE!</v>
      </c>
      <c r="CW5" t="e">
        <f>AND(Ischemia_25percent_output_edgel!B375,"AAAAAHdXfWQ=")</f>
        <v>#VALUE!</v>
      </c>
      <c r="CX5">
        <f>IF(Ischemia_25percent_output_edgel!376:376,"AAAAAHdXfWU=",0)</f>
        <v>0</v>
      </c>
      <c r="CY5" t="e">
        <f>AND(Ischemia_25percent_output_edgel!A376,"AAAAAHdXfWY=")</f>
        <v>#VALUE!</v>
      </c>
      <c r="CZ5" t="e">
        <f>AND(Ischemia_25percent_output_edgel!B376,"AAAAAHdXfWc=")</f>
        <v>#VALUE!</v>
      </c>
      <c r="DA5">
        <f>IF(Ischemia_25percent_output_edgel!377:377,"AAAAAHdXfWg=",0)</f>
        <v>0</v>
      </c>
      <c r="DB5" t="e">
        <f>AND(Ischemia_25percent_output_edgel!A377,"AAAAAHdXfWk=")</f>
        <v>#VALUE!</v>
      </c>
      <c r="DC5" t="e">
        <f>AND(Ischemia_25percent_output_edgel!B377,"AAAAAHdXfWo=")</f>
        <v>#VALUE!</v>
      </c>
      <c r="DD5">
        <f>IF(Ischemia_25percent_output_edgel!378:378,"AAAAAHdXfWs=",0)</f>
        <v>0</v>
      </c>
      <c r="DE5" t="e">
        <f>AND(Ischemia_25percent_output_edgel!A378,"AAAAAHdXfWw=")</f>
        <v>#VALUE!</v>
      </c>
      <c r="DF5" t="e">
        <f>AND(Ischemia_25percent_output_edgel!B378,"AAAAAHdXfW0=")</f>
        <v>#VALUE!</v>
      </c>
      <c r="DG5">
        <f>IF(Ischemia_25percent_output_edgel!379:379,"AAAAAHdXfW4=",0)</f>
        <v>0</v>
      </c>
      <c r="DH5" t="e">
        <f>AND(Ischemia_25percent_output_edgel!A379,"AAAAAHdXfW8=")</f>
        <v>#VALUE!</v>
      </c>
      <c r="DI5" t="e">
        <f>AND(Ischemia_25percent_output_edgel!B379,"AAAAAHdXfXA=")</f>
        <v>#VALUE!</v>
      </c>
      <c r="DJ5">
        <f>IF(Ischemia_25percent_output_edgel!380:380,"AAAAAHdXfXE=",0)</f>
        <v>0</v>
      </c>
      <c r="DK5" t="e">
        <f>AND(Ischemia_25percent_output_edgel!A380,"AAAAAHdXfXI=")</f>
        <v>#VALUE!</v>
      </c>
      <c r="DL5" t="e">
        <f>AND(Ischemia_25percent_output_edgel!B380,"AAAAAHdXfXM=")</f>
        <v>#VALUE!</v>
      </c>
      <c r="DM5">
        <f>IF(Ischemia_25percent_output_edgel!381:381,"AAAAAHdXfXQ=",0)</f>
        <v>0</v>
      </c>
      <c r="DN5" t="e">
        <f>AND(Ischemia_25percent_output_edgel!A381,"AAAAAHdXfXU=")</f>
        <v>#VALUE!</v>
      </c>
      <c r="DO5" t="e">
        <f>AND(Ischemia_25percent_output_edgel!B381,"AAAAAHdXfXY=")</f>
        <v>#VALUE!</v>
      </c>
      <c r="DP5">
        <f>IF(Ischemia_25percent_output_edgel!382:382,"AAAAAHdXfXc=",0)</f>
        <v>0</v>
      </c>
      <c r="DQ5" t="e">
        <f>AND(Ischemia_25percent_output_edgel!A382,"AAAAAHdXfXg=")</f>
        <v>#VALUE!</v>
      </c>
      <c r="DR5" t="e">
        <f>AND(Ischemia_25percent_output_edgel!B382,"AAAAAHdXfXk=")</f>
        <v>#VALUE!</v>
      </c>
      <c r="DS5">
        <f>IF(Ischemia_25percent_output_edgel!383:383,"AAAAAHdXfXo=",0)</f>
        <v>0</v>
      </c>
      <c r="DT5" t="e">
        <f>AND(Ischemia_25percent_output_edgel!A383,"AAAAAHdXfXs=")</f>
        <v>#VALUE!</v>
      </c>
      <c r="DU5" t="e">
        <f>AND(Ischemia_25percent_output_edgel!B383,"AAAAAHdXfXw=")</f>
        <v>#VALUE!</v>
      </c>
      <c r="DV5">
        <f>IF(Ischemia_25percent_output_edgel!384:384,"AAAAAHdXfX0=",0)</f>
        <v>0</v>
      </c>
      <c r="DW5" t="e">
        <f>AND(Ischemia_25percent_output_edgel!A384,"AAAAAHdXfX4=")</f>
        <v>#VALUE!</v>
      </c>
      <c r="DX5" t="e">
        <f>AND(Ischemia_25percent_output_edgel!B384,"AAAAAHdXfX8=")</f>
        <v>#VALUE!</v>
      </c>
      <c r="DY5">
        <f>IF(Ischemia_25percent_output_edgel!385:385,"AAAAAHdXfYA=",0)</f>
        <v>0</v>
      </c>
      <c r="DZ5" t="e">
        <f>AND(Ischemia_25percent_output_edgel!A385,"AAAAAHdXfYE=")</f>
        <v>#VALUE!</v>
      </c>
      <c r="EA5" t="e">
        <f>AND(Ischemia_25percent_output_edgel!B385,"AAAAAHdXfYI=")</f>
        <v>#VALUE!</v>
      </c>
      <c r="EB5">
        <f>IF(Ischemia_25percent_output_edgel!386:386,"AAAAAHdXfYM=",0)</f>
        <v>0</v>
      </c>
      <c r="EC5" t="e">
        <f>AND(Ischemia_25percent_output_edgel!A386,"AAAAAHdXfYQ=")</f>
        <v>#VALUE!</v>
      </c>
      <c r="ED5" t="e">
        <f>AND(Ischemia_25percent_output_edgel!B386,"AAAAAHdXfYU=")</f>
        <v>#VALUE!</v>
      </c>
      <c r="EE5">
        <f>IF(Ischemia_25percent_output_edgel!387:387,"AAAAAHdXfYY=",0)</f>
        <v>0</v>
      </c>
      <c r="EF5" t="e">
        <f>AND(Ischemia_25percent_output_edgel!A387,"AAAAAHdXfYc=")</f>
        <v>#VALUE!</v>
      </c>
      <c r="EG5" t="e">
        <f>AND(Ischemia_25percent_output_edgel!B387,"AAAAAHdXfYg=")</f>
        <v>#VALUE!</v>
      </c>
      <c r="EH5">
        <f>IF(Ischemia_25percent_output_edgel!388:388,"AAAAAHdXfYk=",0)</f>
        <v>0</v>
      </c>
      <c r="EI5" t="e">
        <f>AND(Ischemia_25percent_output_edgel!A388,"AAAAAHdXfYo=")</f>
        <v>#VALUE!</v>
      </c>
      <c r="EJ5" t="e">
        <f>AND(Ischemia_25percent_output_edgel!B388,"AAAAAHdXfYs=")</f>
        <v>#VALUE!</v>
      </c>
      <c r="EK5">
        <f>IF(Ischemia_25percent_output_edgel!389:389,"AAAAAHdXfYw=",0)</f>
        <v>0</v>
      </c>
      <c r="EL5" t="e">
        <f>AND(Ischemia_25percent_output_edgel!A389,"AAAAAHdXfY0=")</f>
        <v>#VALUE!</v>
      </c>
      <c r="EM5" t="e">
        <f>AND(Ischemia_25percent_output_edgel!B389,"AAAAAHdXfY4=")</f>
        <v>#VALUE!</v>
      </c>
      <c r="EN5">
        <f>IF(Ischemia_25percent_output_edgel!390:390,"AAAAAHdXfY8=",0)</f>
        <v>0</v>
      </c>
      <c r="EO5" t="e">
        <f>AND(Ischemia_25percent_output_edgel!A390,"AAAAAHdXfZA=")</f>
        <v>#VALUE!</v>
      </c>
      <c r="EP5" t="e">
        <f>AND(Ischemia_25percent_output_edgel!B390,"AAAAAHdXfZE=")</f>
        <v>#VALUE!</v>
      </c>
      <c r="EQ5">
        <f>IF(Ischemia_25percent_output_edgel!391:391,"AAAAAHdXfZI=",0)</f>
        <v>0</v>
      </c>
      <c r="ER5" t="e">
        <f>AND(Ischemia_25percent_output_edgel!A391,"AAAAAHdXfZM=")</f>
        <v>#VALUE!</v>
      </c>
      <c r="ES5" t="e">
        <f>AND(Ischemia_25percent_output_edgel!B391,"AAAAAHdXfZQ=")</f>
        <v>#VALUE!</v>
      </c>
      <c r="ET5">
        <f>IF(Ischemia_25percent_output_edgel!392:392,"AAAAAHdXfZU=",0)</f>
        <v>0</v>
      </c>
      <c r="EU5" t="e">
        <f>AND(Ischemia_25percent_output_edgel!A392,"AAAAAHdXfZY=")</f>
        <v>#VALUE!</v>
      </c>
      <c r="EV5" t="e">
        <f>AND(Ischemia_25percent_output_edgel!B392,"AAAAAHdXfZc=")</f>
        <v>#VALUE!</v>
      </c>
      <c r="EW5">
        <f>IF(Ischemia_25percent_output_edgel!393:393,"AAAAAHdXfZg=",0)</f>
        <v>0</v>
      </c>
      <c r="EX5" t="e">
        <f>AND(Ischemia_25percent_output_edgel!A393,"AAAAAHdXfZk=")</f>
        <v>#VALUE!</v>
      </c>
      <c r="EY5" t="e">
        <f>AND(Ischemia_25percent_output_edgel!B393,"AAAAAHdXfZo=")</f>
        <v>#VALUE!</v>
      </c>
      <c r="EZ5">
        <f>IF(Ischemia_25percent_output_edgel!394:394,"AAAAAHdXfZs=",0)</f>
        <v>0</v>
      </c>
      <c r="FA5" t="e">
        <f>AND(Ischemia_25percent_output_edgel!A394,"AAAAAHdXfZw=")</f>
        <v>#VALUE!</v>
      </c>
      <c r="FB5" t="e">
        <f>AND(Ischemia_25percent_output_edgel!B394,"AAAAAHdXfZ0=")</f>
        <v>#VALUE!</v>
      </c>
      <c r="FC5">
        <f>IF(Ischemia_25percent_output_edgel!395:395,"AAAAAHdXfZ4=",0)</f>
        <v>0</v>
      </c>
      <c r="FD5" t="e">
        <f>AND(Ischemia_25percent_output_edgel!A395,"AAAAAHdXfZ8=")</f>
        <v>#VALUE!</v>
      </c>
      <c r="FE5" t="e">
        <f>AND(Ischemia_25percent_output_edgel!B395,"AAAAAHdXfaA=")</f>
        <v>#VALUE!</v>
      </c>
      <c r="FF5">
        <f>IF(Ischemia_25percent_output_edgel!396:396,"AAAAAHdXfaE=",0)</f>
        <v>0</v>
      </c>
      <c r="FG5" t="e">
        <f>AND(Ischemia_25percent_output_edgel!A396,"AAAAAHdXfaI=")</f>
        <v>#VALUE!</v>
      </c>
      <c r="FH5" t="e">
        <f>AND(Ischemia_25percent_output_edgel!B396,"AAAAAHdXfaM=")</f>
        <v>#VALUE!</v>
      </c>
      <c r="FI5">
        <f>IF(Ischemia_25percent_output_edgel!397:397,"AAAAAHdXfaQ=",0)</f>
        <v>0</v>
      </c>
      <c r="FJ5" t="e">
        <f>AND(Ischemia_25percent_output_edgel!A397,"AAAAAHdXfaU=")</f>
        <v>#VALUE!</v>
      </c>
      <c r="FK5" t="e">
        <f>AND(Ischemia_25percent_output_edgel!B397,"AAAAAHdXfaY=")</f>
        <v>#VALUE!</v>
      </c>
      <c r="FL5">
        <f>IF(Ischemia_25percent_output_edgel!398:398,"AAAAAHdXfac=",0)</f>
        <v>0</v>
      </c>
      <c r="FM5" t="e">
        <f>AND(Ischemia_25percent_output_edgel!A398,"AAAAAHdXfag=")</f>
        <v>#VALUE!</v>
      </c>
      <c r="FN5" t="e">
        <f>AND(Ischemia_25percent_output_edgel!B398,"AAAAAHdXfak=")</f>
        <v>#VALUE!</v>
      </c>
      <c r="FO5">
        <f>IF(Ischemia_25percent_output_edgel!399:399,"AAAAAHdXfao=",0)</f>
        <v>0</v>
      </c>
      <c r="FP5" t="e">
        <f>AND(Ischemia_25percent_output_edgel!A399,"AAAAAHdXfas=")</f>
        <v>#VALUE!</v>
      </c>
      <c r="FQ5" t="e">
        <f>AND(Ischemia_25percent_output_edgel!B399,"AAAAAHdXfaw=")</f>
        <v>#VALUE!</v>
      </c>
      <c r="FR5">
        <f>IF(Ischemia_25percent_output_edgel!400:400,"AAAAAHdXfa0=",0)</f>
        <v>0</v>
      </c>
      <c r="FS5" t="e">
        <f>AND(Ischemia_25percent_output_edgel!A400,"AAAAAHdXfa4=")</f>
        <v>#VALUE!</v>
      </c>
      <c r="FT5" t="e">
        <f>AND(Ischemia_25percent_output_edgel!B400,"AAAAAHdXfa8=")</f>
        <v>#VALUE!</v>
      </c>
      <c r="FU5">
        <f>IF(Ischemia_25percent_output_edgel!401:401,"AAAAAHdXfbA=",0)</f>
        <v>0</v>
      </c>
      <c r="FV5" t="e">
        <f>AND(Ischemia_25percent_output_edgel!A401,"AAAAAHdXfbE=")</f>
        <v>#VALUE!</v>
      </c>
      <c r="FW5" t="e">
        <f>AND(Ischemia_25percent_output_edgel!B401,"AAAAAHdXfbI=")</f>
        <v>#VALUE!</v>
      </c>
      <c r="FX5">
        <f>IF(Ischemia_25percent_output_edgel!402:402,"AAAAAHdXfbM=",0)</f>
        <v>0</v>
      </c>
      <c r="FY5" t="e">
        <f>AND(Ischemia_25percent_output_edgel!A402,"AAAAAHdXfbQ=")</f>
        <v>#VALUE!</v>
      </c>
      <c r="FZ5" t="e">
        <f>AND(Ischemia_25percent_output_edgel!B402,"AAAAAHdXfbU=")</f>
        <v>#VALUE!</v>
      </c>
      <c r="GA5">
        <f>IF(Ischemia_25percent_output_edgel!403:403,"AAAAAHdXfbY=",0)</f>
        <v>0</v>
      </c>
      <c r="GB5" t="e">
        <f>AND(Ischemia_25percent_output_edgel!A403,"AAAAAHdXfbc=")</f>
        <v>#VALUE!</v>
      </c>
      <c r="GC5" t="e">
        <f>AND(Ischemia_25percent_output_edgel!B403,"AAAAAHdXfbg=")</f>
        <v>#VALUE!</v>
      </c>
      <c r="GD5">
        <f>IF(Ischemia_25percent_output_edgel!404:404,"AAAAAHdXfbk=",0)</f>
        <v>0</v>
      </c>
      <c r="GE5" t="e">
        <f>AND(Ischemia_25percent_output_edgel!A404,"AAAAAHdXfbo=")</f>
        <v>#VALUE!</v>
      </c>
      <c r="GF5" t="e">
        <f>AND(Ischemia_25percent_output_edgel!B404,"AAAAAHdXfbs=")</f>
        <v>#VALUE!</v>
      </c>
      <c r="GG5">
        <f>IF(Ischemia_25percent_output_edgel!405:405,"AAAAAHdXfbw=",0)</f>
        <v>0</v>
      </c>
      <c r="GH5" t="e">
        <f>AND(Ischemia_25percent_output_edgel!A405,"AAAAAHdXfb0=")</f>
        <v>#VALUE!</v>
      </c>
      <c r="GI5" t="e">
        <f>AND(Ischemia_25percent_output_edgel!B405,"AAAAAHdXfb4=")</f>
        <v>#VALUE!</v>
      </c>
      <c r="GJ5">
        <f>IF(Ischemia_25percent_output_edgel!406:406,"AAAAAHdXfb8=",0)</f>
        <v>0</v>
      </c>
      <c r="GK5" t="e">
        <f>AND(Ischemia_25percent_output_edgel!A406,"AAAAAHdXfcA=")</f>
        <v>#VALUE!</v>
      </c>
      <c r="GL5" t="e">
        <f>AND(Ischemia_25percent_output_edgel!B406,"AAAAAHdXfcE=")</f>
        <v>#VALUE!</v>
      </c>
      <c r="GM5">
        <f>IF(Ischemia_25percent_output_edgel!407:407,"AAAAAHdXfcI=",0)</f>
        <v>0</v>
      </c>
      <c r="GN5" t="e">
        <f>AND(Ischemia_25percent_output_edgel!A407,"AAAAAHdXfcM=")</f>
        <v>#VALUE!</v>
      </c>
      <c r="GO5" t="e">
        <f>AND(Ischemia_25percent_output_edgel!B407,"AAAAAHdXfcQ=")</f>
        <v>#VALUE!</v>
      </c>
      <c r="GP5">
        <f>IF(Ischemia_25percent_output_edgel!408:408,"AAAAAHdXfcU=",0)</f>
        <v>0</v>
      </c>
      <c r="GQ5" t="e">
        <f>AND(Ischemia_25percent_output_edgel!A408,"AAAAAHdXfcY=")</f>
        <v>#VALUE!</v>
      </c>
      <c r="GR5" t="e">
        <f>AND(Ischemia_25percent_output_edgel!B408,"AAAAAHdXfcc=")</f>
        <v>#VALUE!</v>
      </c>
      <c r="GS5">
        <f>IF(Ischemia_25percent_output_edgel!409:409,"AAAAAHdXfcg=",0)</f>
        <v>0</v>
      </c>
      <c r="GT5" t="e">
        <f>AND(Ischemia_25percent_output_edgel!A409,"AAAAAHdXfck=")</f>
        <v>#VALUE!</v>
      </c>
      <c r="GU5" t="e">
        <f>AND(Ischemia_25percent_output_edgel!B409,"AAAAAHdXfco=")</f>
        <v>#VALUE!</v>
      </c>
      <c r="GV5">
        <f>IF(Ischemia_25percent_output_edgel!410:410,"AAAAAHdXfcs=",0)</f>
        <v>0</v>
      </c>
      <c r="GW5" t="e">
        <f>AND(Ischemia_25percent_output_edgel!A410,"AAAAAHdXfcw=")</f>
        <v>#VALUE!</v>
      </c>
      <c r="GX5" t="e">
        <f>AND(Ischemia_25percent_output_edgel!B410,"AAAAAHdXfc0=")</f>
        <v>#VALUE!</v>
      </c>
      <c r="GY5">
        <f>IF(Ischemia_25percent_output_edgel!411:411,"AAAAAHdXfc4=",0)</f>
        <v>0</v>
      </c>
      <c r="GZ5" t="e">
        <f>AND(Ischemia_25percent_output_edgel!A411,"AAAAAHdXfc8=")</f>
        <v>#VALUE!</v>
      </c>
      <c r="HA5" t="e">
        <f>AND(Ischemia_25percent_output_edgel!B411,"AAAAAHdXfdA=")</f>
        <v>#VALUE!</v>
      </c>
      <c r="HB5">
        <f>IF(Ischemia_25percent_output_edgel!412:412,"AAAAAHdXfdE=",0)</f>
        <v>0</v>
      </c>
      <c r="HC5" t="e">
        <f>AND(Ischemia_25percent_output_edgel!A412,"AAAAAHdXfdI=")</f>
        <v>#VALUE!</v>
      </c>
      <c r="HD5" t="e">
        <f>AND(Ischemia_25percent_output_edgel!B412,"AAAAAHdXfdM=")</f>
        <v>#VALUE!</v>
      </c>
      <c r="HE5">
        <f>IF(Ischemia_25percent_output_edgel!413:413,"AAAAAHdXfdQ=",0)</f>
        <v>0</v>
      </c>
      <c r="HF5" t="e">
        <f>AND(Ischemia_25percent_output_edgel!A413,"AAAAAHdXfdU=")</f>
        <v>#VALUE!</v>
      </c>
      <c r="HG5" t="e">
        <f>AND(Ischemia_25percent_output_edgel!B413,"AAAAAHdXfdY=")</f>
        <v>#VALUE!</v>
      </c>
      <c r="HH5">
        <f>IF(Ischemia_25percent_output_edgel!414:414,"AAAAAHdXfdc=",0)</f>
        <v>0</v>
      </c>
      <c r="HI5" t="e">
        <f>AND(Ischemia_25percent_output_edgel!A414,"AAAAAHdXfdg=")</f>
        <v>#VALUE!</v>
      </c>
      <c r="HJ5" t="e">
        <f>AND(Ischemia_25percent_output_edgel!B414,"AAAAAHdXfdk=")</f>
        <v>#VALUE!</v>
      </c>
      <c r="HK5">
        <f>IF(Ischemia_25percent_output_edgel!415:415,"AAAAAHdXfdo=",0)</f>
        <v>0</v>
      </c>
      <c r="HL5" t="e">
        <f>AND(Ischemia_25percent_output_edgel!A415,"AAAAAHdXfds=")</f>
        <v>#VALUE!</v>
      </c>
      <c r="HM5" t="e">
        <f>AND(Ischemia_25percent_output_edgel!B415,"AAAAAHdXfdw=")</f>
        <v>#VALUE!</v>
      </c>
      <c r="HN5">
        <f>IF(Ischemia_25percent_output_edgel!416:416,"AAAAAHdXfd0=",0)</f>
        <v>0</v>
      </c>
      <c r="HO5" t="e">
        <f>AND(Ischemia_25percent_output_edgel!A416,"AAAAAHdXfd4=")</f>
        <v>#VALUE!</v>
      </c>
      <c r="HP5" t="e">
        <f>AND(Ischemia_25percent_output_edgel!B416,"AAAAAHdXfd8=")</f>
        <v>#VALUE!</v>
      </c>
      <c r="HQ5">
        <f>IF(Ischemia_25percent_output_edgel!417:417,"AAAAAHdXfeA=",0)</f>
        <v>0</v>
      </c>
      <c r="HR5" t="e">
        <f>AND(Ischemia_25percent_output_edgel!A417,"AAAAAHdXfeE=")</f>
        <v>#VALUE!</v>
      </c>
      <c r="HS5" t="e">
        <f>AND(Ischemia_25percent_output_edgel!B417,"AAAAAHdXfeI=")</f>
        <v>#VALUE!</v>
      </c>
      <c r="HT5">
        <f>IF(Ischemia_25percent_output_edgel!418:418,"AAAAAHdXfeM=",0)</f>
        <v>0</v>
      </c>
      <c r="HU5" t="e">
        <f>AND(Ischemia_25percent_output_edgel!A418,"AAAAAHdXfeQ=")</f>
        <v>#VALUE!</v>
      </c>
      <c r="HV5" t="e">
        <f>AND(Ischemia_25percent_output_edgel!B418,"AAAAAHdXfeU=")</f>
        <v>#VALUE!</v>
      </c>
      <c r="HW5">
        <f>IF(Ischemia_25percent_output_edgel!419:419,"AAAAAHdXfeY=",0)</f>
        <v>0</v>
      </c>
      <c r="HX5" t="e">
        <f>AND(Ischemia_25percent_output_edgel!A419,"AAAAAHdXfec=")</f>
        <v>#VALUE!</v>
      </c>
      <c r="HY5" t="e">
        <f>AND(Ischemia_25percent_output_edgel!B419,"AAAAAHdXfeg=")</f>
        <v>#VALUE!</v>
      </c>
      <c r="HZ5">
        <f>IF(Ischemia_25percent_output_edgel!420:420,"AAAAAHdXfek=",0)</f>
        <v>0</v>
      </c>
      <c r="IA5" t="e">
        <f>AND(Ischemia_25percent_output_edgel!A420,"AAAAAHdXfeo=")</f>
        <v>#VALUE!</v>
      </c>
      <c r="IB5" t="e">
        <f>AND(Ischemia_25percent_output_edgel!B420,"AAAAAHdXfes=")</f>
        <v>#VALUE!</v>
      </c>
      <c r="IC5">
        <f>IF(Ischemia_25percent_output_edgel!421:421,"AAAAAHdXfew=",0)</f>
        <v>0</v>
      </c>
      <c r="ID5" t="e">
        <f>AND(Ischemia_25percent_output_edgel!A421,"AAAAAHdXfe0=")</f>
        <v>#VALUE!</v>
      </c>
      <c r="IE5" t="e">
        <f>AND(Ischemia_25percent_output_edgel!B421,"AAAAAHdXfe4=")</f>
        <v>#VALUE!</v>
      </c>
      <c r="IF5">
        <f>IF(Ischemia_25percent_output_edgel!422:422,"AAAAAHdXfe8=",0)</f>
        <v>0</v>
      </c>
      <c r="IG5" t="e">
        <f>AND(Ischemia_25percent_output_edgel!A422,"AAAAAHdXffA=")</f>
        <v>#VALUE!</v>
      </c>
      <c r="IH5" t="e">
        <f>AND(Ischemia_25percent_output_edgel!B422,"AAAAAHdXffE=")</f>
        <v>#VALUE!</v>
      </c>
      <c r="II5">
        <f>IF(Ischemia_25percent_output_edgel!423:423,"AAAAAHdXffI=",0)</f>
        <v>0</v>
      </c>
      <c r="IJ5" t="e">
        <f>AND(Ischemia_25percent_output_edgel!A423,"AAAAAHdXffM=")</f>
        <v>#VALUE!</v>
      </c>
      <c r="IK5" t="e">
        <f>AND(Ischemia_25percent_output_edgel!B423,"AAAAAHdXffQ=")</f>
        <v>#VALUE!</v>
      </c>
      <c r="IL5">
        <f>IF(Ischemia_25percent_output_edgel!424:424,"AAAAAHdXffU=",0)</f>
        <v>0</v>
      </c>
      <c r="IM5" t="e">
        <f>AND(Ischemia_25percent_output_edgel!A424,"AAAAAHdXffY=")</f>
        <v>#VALUE!</v>
      </c>
      <c r="IN5" t="e">
        <f>AND(Ischemia_25percent_output_edgel!B424,"AAAAAHdXffc=")</f>
        <v>#VALUE!</v>
      </c>
      <c r="IO5">
        <f>IF(Ischemia_25percent_output_edgel!425:425,"AAAAAHdXffg=",0)</f>
        <v>0</v>
      </c>
      <c r="IP5" t="e">
        <f>AND(Ischemia_25percent_output_edgel!A425,"AAAAAHdXffk=")</f>
        <v>#VALUE!</v>
      </c>
      <c r="IQ5" t="e">
        <f>AND(Ischemia_25percent_output_edgel!B425,"AAAAAHdXffo=")</f>
        <v>#VALUE!</v>
      </c>
      <c r="IR5">
        <f>IF(Ischemia_25percent_output_edgel!426:426,"AAAAAHdXffs=",0)</f>
        <v>0</v>
      </c>
      <c r="IS5" t="e">
        <f>AND(Ischemia_25percent_output_edgel!A426,"AAAAAHdXffw=")</f>
        <v>#VALUE!</v>
      </c>
      <c r="IT5" t="e">
        <f>AND(Ischemia_25percent_output_edgel!B426,"AAAAAHdXff0=")</f>
        <v>#VALUE!</v>
      </c>
      <c r="IU5">
        <f>IF(Ischemia_25percent_output_edgel!427:427,"AAAAAHdXff4=",0)</f>
        <v>0</v>
      </c>
      <c r="IV5" t="e">
        <f>AND(Ischemia_25percent_output_edgel!A427,"AAAAAHdXff8=")</f>
        <v>#VALUE!</v>
      </c>
    </row>
    <row r="6" spans="1:256">
      <c r="A6" t="e">
        <f>AND(Ischemia_25percent_output_edgel!B427,"AAAAAHuv2QA=")</f>
        <v>#VALUE!</v>
      </c>
      <c r="B6" t="e">
        <f>IF(Ischemia_25percent_output_edgel!428:428,"AAAAAHuv2QE=",0)</f>
        <v>#VALUE!</v>
      </c>
      <c r="C6" t="e">
        <f>AND(Ischemia_25percent_output_edgel!A428,"AAAAAHuv2QI=")</f>
        <v>#VALUE!</v>
      </c>
      <c r="D6" t="e">
        <f>AND(Ischemia_25percent_output_edgel!B428,"AAAAAHuv2QM=")</f>
        <v>#VALUE!</v>
      </c>
      <c r="E6">
        <f>IF(Ischemia_25percent_output_edgel!429:429,"AAAAAHuv2QQ=",0)</f>
        <v>0</v>
      </c>
      <c r="F6" t="e">
        <f>AND(Ischemia_25percent_output_edgel!A429,"AAAAAHuv2QU=")</f>
        <v>#VALUE!</v>
      </c>
      <c r="G6" t="e">
        <f>AND(Ischemia_25percent_output_edgel!B429,"AAAAAHuv2QY=")</f>
        <v>#VALUE!</v>
      </c>
      <c r="H6">
        <f>IF(Ischemia_25percent_output_edgel!430:430,"AAAAAHuv2Qc=",0)</f>
        <v>0</v>
      </c>
      <c r="I6" t="e">
        <f>AND(Ischemia_25percent_output_edgel!A430,"AAAAAHuv2Qg=")</f>
        <v>#VALUE!</v>
      </c>
      <c r="J6" t="e">
        <f>AND(Ischemia_25percent_output_edgel!B430,"AAAAAHuv2Qk=")</f>
        <v>#VALUE!</v>
      </c>
      <c r="K6">
        <f>IF(Ischemia_25percent_output_edgel!431:431,"AAAAAHuv2Qo=",0)</f>
        <v>0</v>
      </c>
      <c r="L6" t="e">
        <f>AND(Ischemia_25percent_output_edgel!A431,"AAAAAHuv2Qs=")</f>
        <v>#VALUE!</v>
      </c>
      <c r="M6" t="e">
        <f>AND(Ischemia_25percent_output_edgel!B431,"AAAAAHuv2Qw=")</f>
        <v>#VALUE!</v>
      </c>
      <c r="N6">
        <f>IF(Ischemia_25percent_output_edgel!432:432,"AAAAAHuv2Q0=",0)</f>
        <v>0</v>
      </c>
      <c r="O6" t="e">
        <f>AND(Ischemia_25percent_output_edgel!A432,"AAAAAHuv2Q4=")</f>
        <v>#VALUE!</v>
      </c>
      <c r="P6" t="e">
        <f>AND(Ischemia_25percent_output_edgel!B432,"AAAAAHuv2Q8=")</f>
        <v>#VALUE!</v>
      </c>
      <c r="Q6">
        <f>IF(Ischemia_25percent_output_edgel!433:433,"AAAAAHuv2RA=",0)</f>
        <v>0</v>
      </c>
      <c r="R6" t="e">
        <f>AND(Ischemia_25percent_output_edgel!A433,"AAAAAHuv2RE=")</f>
        <v>#VALUE!</v>
      </c>
      <c r="S6" t="e">
        <f>AND(Ischemia_25percent_output_edgel!B433,"AAAAAHuv2RI=")</f>
        <v>#VALUE!</v>
      </c>
      <c r="T6">
        <f>IF(Ischemia_25percent_output_edgel!434:434,"AAAAAHuv2RM=",0)</f>
        <v>0</v>
      </c>
      <c r="U6" t="e">
        <f>AND(Ischemia_25percent_output_edgel!A434,"AAAAAHuv2RQ=")</f>
        <v>#VALUE!</v>
      </c>
      <c r="V6" t="e">
        <f>AND(Ischemia_25percent_output_edgel!B434,"AAAAAHuv2RU=")</f>
        <v>#VALUE!</v>
      </c>
      <c r="W6">
        <f>IF(Ischemia_25percent_output_edgel!435:435,"AAAAAHuv2RY=",0)</f>
        <v>0</v>
      </c>
      <c r="X6" t="e">
        <f>AND(Ischemia_25percent_output_edgel!A435,"AAAAAHuv2Rc=")</f>
        <v>#VALUE!</v>
      </c>
      <c r="Y6" t="e">
        <f>AND(Ischemia_25percent_output_edgel!B435,"AAAAAHuv2Rg=")</f>
        <v>#VALUE!</v>
      </c>
      <c r="Z6">
        <f>IF(Ischemia_25percent_output_edgel!436:436,"AAAAAHuv2Rk=",0)</f>
        <v>0</v>
      </c>
      <c r="AA6" t="e">
        <f>AND(Ischemia_25percent_output_edgel!A436,"AAAAAHuv2Ro=")</f>
        <v>#VALUE!</v>
      </c>
      <c r="AB6" t="e">
        <f>AND(Ischemia_25percent_output_edgel!B436,"AAAAAHuv2Rs=")</f>
        <v>#VALUE!</v>
      </c>
      <c r="AC6">
        <f>IF(Ischemia_25percent_output_edgel!437:437,"AAAAAHuv2Rw=",0)</f>
        <v>0</v>
      </c>
      <c r="AD6" t="e">
        <f>AND(Ischemia_25percent_output_edgel!A437,"AAAAAHuv2R0=")</f>
        <v>#VALUE!</v>
      </c>
      <c r="AE6" t="e">
        <f>AND(Ischemia_25percent_output_edgel!B437,"AAAAAHuv2R4=")</f>
        <v>#VALUE!</v>
      </c>
      <c r="AF6">
        <f>IF(Ischemia_25percent_output_edgel!438:438,"AAAAAHuv2R8=",0)</f>
        <v>0</v>
      </c>
      <c r="AG6" t="e">
        <f>AND(Ischemia_25percent_output_edgel!A438,"AAAAAHuv2SA=")</f>
        <v>#VALUE!</v>
      </c>
      <c r="AH6" t="e">
        <f>AND(Ischemia_25percent_output_edgel!B438,"AAAAAHuv2SE=")</f>
        <v>#VALUE!</v>
      </c>
      <c r="AI6">
        <f>IF(Ischemia_25percent_output_edgel!439:439,"AAAAAHuv2SI=",0)</f>
        <v>0</v>
      </c>
      <c r="AJ6" t="e">
        <f>AND(Ischemia_25percent_output_edgel!A439,"AAAAAHuv2SM=")</f>
        <v>#VALUE!</v>
      </c>
      <c r="AK6" t="e">
        <f>AND(Ischemia_25percent_output_edgel!B439,"AAAAAHuv2SQ=")</f>
        <v>#VALUE!</v>
      </c>
      <c r="AL6">
        <f>IF(Ischemia_25percent_output_edgel!440:440,"AAAAAHuv2SU=",0)</f>
        <v>0</v>
      </c>
      <c r="AM6" t="e">
        <f>AND(Ischemia_25percent_output_edgel!A440,"AAAAAHuv2SY=")</f>
        <v>#VALUE!</v>
      </c>
      <c r="AN6" t="e">
        <f>AND(Ischemia_25percent_output_edgel!B440,"AAAAAHuv2Sc=")</f>
        <v>#VALUE!</v>
      </c>
      <c r="AO6">
        <f>IF(Ischemia_25percent_output_edgel!441:441,"AAAAAHuv2Sg=",0)</f>
        <v>0</v>
      </c>
      <c r="AP6" t="e">
        <f>AND(Ischemia_25percent_output_edgel!A441,"AAAAAHuv2Sk=")</f>
        <v>#VALUE!</v>
      </c>
      <c r="AQ6" t="e">
        <f>AND(Ischemia_25percent_output_edgel!B441,"AAAAAHuv2So=")</f>
        <v>#VALUE!</v>
      </c>
      <c r="AR6">
        <f>IF(Ischemia_25percent_output_edgel!442:442,"AAAAAHuv2Ss=",0)</f>
        <v>0</v>
      </c>
      <c r="AS6" t="e">
        <f>AND(Ischemia_25percent_output_edgel!A442,"AAAAAHuv2Sw=")</f>
        <v>#VALUE!</v>
      </c>
      <c r="AT6" t="e">
        <f>AND(Ischemia_25percent_output_edgel!B442,"AAAAAHuv2S0=")</f>
        <v>#VALUE!</v>
      </c>
      <c r="AU6">
        <f>IF(Ischemia_25percent_output_edgel!443:443,"AAAAAHuv2S4=",0)</f>
        <v>0</v>
      </c>
      <c r="AV6" t="e">
        <f>AND(Ischemia_25percent_output_edgel!A443,"AAAAAHuv2S8=")</f>
        <v>#VALUE!</v>
      </c>
      <c r="AW6" t="e">
        <f>AND(Ischemia_25percent_output_edgel!B443,"AAAAAHuv2TA=")</f>
        <v>#VALUE!</v>
      </c>
      <c r="AX6">
        <f>IF(Ischemia_25percent_output_edgel!444:444,"AAAAAHuv2TE=",0)</f>
        <v>0</v>
      </c>
      <c r="AY6" t="e">
        <f>AND(Ischemia_25percent_output_edgel!A444,"AAAAAHuv2TI=")</f>
        <v>#VALUE!</v>
      </c>
      <c r="AZ6" t="e">
        <f>AND(Ischemia_25percent_output_edgel!B444,"AAAAAHuv2TM=")</f>
        <v>#VALUE!</v>
      </c>
      <c r="BA6">
        <f>IF(Ischemia_25percent_output_edgel!445:445,"AAAAAHuv2TQ=",0)</f>
        <v>0</v>
      </c>
      <c r="BB6" t="e">
        <f>AND(Ischemia_25percent_output_edgel!A445,"AAAAAHuv2TU=")</f>
        <v>#VALUE!</v>
      </c>
      <c r="BC6" t="e">
        <f>AND(Ischemia_25percent_output_edgel!B445,"AAAAAHuv2TY=")</f>
        <v>#VALUE!</v>
      </c>
      <c r="BD6">
        <f>IF(Ischemia_25percent_output_edgel!446:446,"AAAAAHuv2Tc=",0)</f>
        <v>0</v>
      </c>
      <c r="BE6" t="e">
        <f>AND(Ischemia_25percent_output_edgel!A446,"AAAAAHuv2Tg=")</f>
        <v>#VALUE!</v>
      </c>
      <c r="BF6" t="e">
        <f>AND(Ischemia_25percent_output_edgel!B446,"AAAAAHuv2Tk=")</f>
        <v>#VALUE!</v>
      </c>
      <c r="BG6">
        <f>IF(Ischemia_25percent_output_edgel!447:447,"AAAAAHuv2To=",0)</f>
        <v>0</v>
      </c>
      <c r="BH6" t="e">
        <f>AND(Ischemia_25percent_output_edgel!A447,"AAAAAHuv2Ts=")</f>
        <v>#VALUE!</v>
      </c>
      <c r="BI6" t="e">
        <f>AND(Ischemia_25percent_output_edgel!B447,"AAAAAHuv2Tw=")</f>
        <v>#VALUE!</v>
      </c>
      <c r="BJ6">
        <f>IF(Ischemia_25percent_output_edgel!448:448,"AAAAAHuv2T0=",0)</f>
        <v>0</v>
      </c>
      <c r="BK6" t="e">
        <f>AND(Ischemia_25percent_output_edgel!A448,"AAAAAHuv2T4=")</f>
        <v>#VALUE!</v>
      </c>
      <c r="BL6" t="e">
        <f>AND(Ischemia_25percent_output_edgel!B448,"AAAAAHuv2T8=")</f>
        <v>#VALUE!</v>
      </c>
      <c r="BM6">
        <f>IF(Ischemia_25percent_output_edgel!449:449,"AAAAAHuv2UA=",0)</f>
        <v>0</v>
      </c>
      <c r="BN6" t="e">
        <f>AND(Ischemia_25percent_output_edgel!A449,"AAAAAHuv2UE=")</f>
        <v>#VALUE!</v>
      </c>
      <c r="BO6" t="e">
        <f>AND(Ischemia_25percent_output_edgel!B449,"AAAAAHuv2UI=")</f>
        <v>#VALUE!</v>
      </c>
      <c r="BP6">
        <f>IF(Ischemia_25percent_output_edgel!450:450,"AAAAAHuv2UM=",0)</f>
        <v>0</v>
      </c>
      <c r="BQ6" t="e">
        <f>AND(Ischemia_25percent_output_edgel!A450,"AAAAAHuv2UQ=")</f>
        <v>#VALUE!</v>
      </c>
      <c r="BR6" t="e">
        <f>AND(Ischemia_25percent_output_edgel!B450,"AAAAAHuv2UU=")</f>
        <v>#VALUE!</v>
      </c>
      <c r="BS6">
        <f>IF(Ischemia_25percent_output_edgel!451:451,"AAAAAHuv2UY=",0)</f>
        <v>0</v>
      </c>
      <c r="BT6" t="e">
        <f>AND(Ischemia_25percent_output_edgel!A451,"AAAAAHuv2Uc=")</f>
        <v>#VALUE!</v>
      </c>
      <c r="BU6" t="e">
        <f>AND(Ischemia_25percent_output_edgel!B451,"AAAAAHuv2Ug=")</f>
        <v>#VALUE!</v>
      </c>
      <c r="BV6">
        <f>IF(Ischemia_25percent_output_edgel!452:452,"AAAAAHuv2Uk=",0)</f>
        <v>0</v>
      </c>
      <c r="BW6" t="e">
        <f>AND(Ischemia_25percent_output_edgel!A452,"AAAAAHuv2Uo=")</f>
        <v>#VALUE!</v>
      </c>
      <c r="BX6" t="e">
        <f>AND(Ischemia_25percent_output_edgel!B452,"AAAAAHuv2Us=")</f>
        <v>#VALUE!</v>
      </c>
      <c r="BY6">
        <f>IF(Ischemia_25percent_output_edgel!453:453,"AAAAAHuv2Uw=",0)</f>
        <v>0</v>
      </c>
      <c r="BZ6" t="e">
        <f>AND(Ischemia_25percent_output_edgel!A453,"AAAAAHuv2U0=")</f>
        <v>#VALUE!</v>
      </c>
      <c r="CA6" t="e">
        <f>AND(Ischemia_25percent_output_edgel!B453,"AAAAAHuv2U4=")</f>
        <v>#VALUE!</v>
      </c>
      <c r="CB6">
        <f>IF(Ischemia_25percent_output_edgel!454:454,"AAAAAHuv2U8=",0)</f>
        <v>0</v>
      </c>
      <c r="CC6" t="e">
        <f>AND(Ischemia_25percent_output_edgel!A454,"AAAAAHuv2VA=")</f>
        <v>#VALUE!</v>
      </c>
      <c r="CD6" t="e">
        <f>AND(Ischemia_25percent_output_edgel!B454,"AAAAAHuv2VE=")</f>
        <v>#VALUE!</v>
      </c>
      <c r="CE6">
        <f>IF(Ischemia_25percent_output_edgel!455:455,"AAAAAHuv2VI=",0)</f>
        <v>0</v>
      </c>
      <c r="CF6" t="e">
        <f>AND(Ischemia_25percent_output_edgel!A455,"AAAAAHuv2VM=")</f>
        <v>#VALUE!</v>
      </c>
      <c r="CG6" t="e">
        <f>AND(Ischemia_25percent_output_edgel!B455,"AAAAAHuv2VQ=")</f>
        <v>#VALUE!</v>
      </c>
      <c r="CH6">
        <f>IF(Ischemia_25percent_output_edgel!456:456,"AAAAAHuv2VU=",0)</f>
        <v>0</v>
      </c>
      <c r="CI6" t="e">
        <f>AND(Ischemia_25percent_output_edgel!A456,"AAAAAHuv2VY=")</f>
        <v>#VALUE!</v>
      </c>
      <c r="CJ6" t="e">
        <f>AND(Ischemia_25percent_output_edgel!B456,"AAAAAHuv2Vc=")</f>
        <v>#VALUE!</v>
      </c>
      <c r="CK6">
        <f>IF(Ischemia_25percent_output_edgel!457:457,"AAAAAHuv2Vg=",0)</f>
        <v>0</v>
      </c>
      <c r="CL6" t="e">
        <f>AND(Ischemia_25percent_output_edgel!A457,"AAAAAHuv2Vk=")</f>
        <v>#VALUE!</v>
      </c>
      <c r="CM6" t="e">
        <f>AND(Ischemia_25percent_output_edgel!B457,"AAAAAHuv2Vo=")</f>
        <v>#VALUE!</v>
      </c>
      <c r="CN6">
        <f>IF(Ischemia_25percent_output_edgel!458:458,"AAAAAHuv2Vs=",0)</f>
        <v>0</v>
      </c>
      <c r="CO6" t="e">
        <f>AND(Ischemia_25percent_output_edgel!A458,"AAAAAHuv2Vw=")</f>
        <v>#VALUE!</v>
      </c>
      <c r="CP6" t="e">
        <f>AND(Ischemia_25percent_output_edgel!B458,"AAAAAHuv2V0=")</f>
        <v>#VALUE!</v>
      </c>
      <c r="CQ6">
        <f>IF(Ischemia_25percent_output_edgel!459:459,"AAAAAHuv2V4=",0)</f>
        <v>0</v>
      </c>
      <c r="CR6" t="e">
        <f>AND(Ischemia_25percent_output_edgel!A459,"AAAAAHuv2V8=")</f>
        <v>#VALUE!</v>
      </c>
      <c r="CS6" t="e">
        <f>AND(Ischemia_25percent_output_edgel!B459,"AAAAAHuv2WA=")</f>
        <v>#VALUE!</v>
      </c>
      <c r="CT6">
        <f>IF(Ischemia_25percent_output_edgel!460:460,"AAAAAHuv2WE=",0)</f>
        <v>0</v>
      </c>
      <c r="CU6" t="e">
        <f>AND(Ischemia_25percent_output_edgel!A460,"AAAAAHuv2WI=")</f>
        <v>#VALUE!</v>
      </c>
      <c r="CV6" t="e">
        <f>AND(Ischemia_25percent_output_edgel!B460,"AAAAAHuv2WM=")</f>
        <v>#VALUE!</v>
      </c>
      <c r="CW6">
        <f>IF(Ischemia_25percent_output_edgel!461:461,"AAAAAHuv2WQ=",0)</f>
        <v>0</v>
      </c>
      <c r="CX6" t="e">
        <f>AND(Ischemia_25percent_output_edgel!A461,"AAAAAHuv2WU=")</f>
        <v>#VALUE!</v>
      </c>
      <c r="CY6" t="e">
        <f>AND(Ischemia_25percent_output_edgel!B461,"AAAAAHuv2WY=")</f>
        <v>#VALUE!</v>
      </c>
      <c r="CZ6">
        <f>IF(Ischemia_25percent_output_edgel!462:462,"AAAAAHuv2Wc=",0)</f>
        <v>0</v>
      </c>
      <c r="DA6" t="e">
        <f>AND(Ischemia_25percent_output_edgel!A462,"AAAAAHuv2Wg=")</f>
        <v>#VALUE!</v>
      </c>
      <c r="DB6" t="e">
        <f>AND(Ischemia_25percent_output_edgel!B462,"AAAAAHuv2Wk=")</f>
        <v>#VALUE!</v>
      </c>
      <c r="DC6">
        <f>IF(Ischemia_25percent_output_edgel!463:463,"AAAAAHuv2Wo=",0)</f>
        <v>0</v>
      </c>
      <c r="DD6" t="e">
        <f>AND(Ischemia_25percent_output_edgel!A463,"AAAAAHuv2Ws=")</f>
        <v>#VALUE!</v>
      </c>
      <c r="DE6" t="e">
        <f>AND(Ischemia_25percent_output_edgel!B463,"AAAAAHuv2Ww=")</f>
        <v>#VALUE!</v>
      </c>
      <c r="DF6">
        <f>IF(Ischemia_25percent_output_edgel!464:464,"AAAAAHuv2W0=",0)</f>
        <v>0</v>
      </c>
      <c r="DG6" t="e">
        <f>AND(Ischemia_25percent_output_edgel!A464,"AAAAAHuv2W4=")</f>
        <v>#VALUE!</v>
      </c>
      <c r="DH6" t="e">
        <f>AND(Ischemia_25percent_output_edgel!B464,"AAAAAHuv2W8=")</f>
        <v>#VALUE!</v>
      </c>
      <c r="DI6">
        <f>IF(Ischemia_25percent_output_edgel!465:465,"AAAAAHuv2XA=",0)</f>
        <v>0</v>
      </c>
      <c r="DJ6" t="e">
        <f>AND(Ischemia_25percent_output_edgel!A465,"AAAAAHuv2XE=")</f>
        <v>#VALUE!</v>
      </c>
      <c r="DK6" t="e">
        <f>AND(Ischemia_25percent_output_edgel!B465,"AAAAAHuv2XI=")</f>
        <v>#VALUE!</v>
      </c>
      <c r="DL6">
        <f>IF(Ischemia_25percent_output_edgel!466:466,"AAAAAHuv2XM=",0)</f>
        <v>0</v>
      </c>
      <c r="DM6" t="e">
        <f>AND(Ischemia_25percent_output_edgel!A466,"AAAAAHuv2XQ=")</f>
        <v>#VALUE!</v>
      </c>
      <c r="DN6" t="e">
        <f>AND(Ischemia_25percent_output_edgel!B466,"AAAAAHuv2XU=")</f>
        <v>#VALUE!</v>
      </c>
      <c r="DO6">
        <f>IF(Ischemia_25percent_output_edgel!467:467,"AAAAAHuv2XY=",0)</f>
        <v>0</v>
      </c>
      <c r="DP6" t="e">
        <f>AND(Ischemia_25percent_output_edgel!A467,"AAAAAHuv2Xc=")</f>
        <v>#VALUE!</v>
      </c>
      <c r="DQ6" t="e">
        <f>AND(Ischemia_25percent_output_edgel!B467,"AAAAAHuv2Xg=")</f>
        <v>#VALUE!</v>
      </c>
      <c r="DR6">
        <f>IF(Ischemia_25percent_output_edgel!468:468,"AAAAAHuv2Xk=",0)</f>
        <v>0</v>
      </c>
      <c r="DS6" t="e">
        <f>AND(Ischemia_25percent_output_edgel!A468,"AAAAAHuv2Xo=")</f>
        <v>#VALUE!</v>
      </c>
      <c r="DT6" t="e">
        <f>AND(Ischemia_25percent_output_edgel!B468,"AAAAAHuv2Xs=")</f>
        <v>#VALUE!</v>
      </c>
      <c r="DU6">
        <f>IF(Ischemia_25percent_output_edgel!469:469,"AAAAAHuv2Xw=",0)</f>
        <v>0</v>
      </c>
      <c r="DV6" t="e">
        <f>AND(Ischemia_25percent_output_edgel!A469,"AAAAAHuv2X0=")</f>
        <v>#VALUE!</v>
      </c>
      <c r="DW6" t="e">
        <f>AND(Ischemia_25percent_output_edgel!B469,"AAAAAHuv2X4=")</f>
        <v>#VALUE!</v>
      </c>
      <c r="DX6">
        <f>IF(Ischemia_25percent_output_edgel!470:470,"AAAAAHuv2X8=",0)</f>
        <v>0</v>
      </c>
      <c r="DY6" t="e">
        <f>AND(Ischemia_25percent_output_edgel!A470,"AAAAAHuv2YA=")</f>
        <v>#VALUE!</v>
      </c>
      <c r="DZ6" t="e">
        <f>AND(Ischemia_25percent_output_edgel!B470,"AAAAAHuv2YE=")</f>
        <v>#VALUE!</v>
      </c>
      <c r="EA6">
        <f>IF(Ischemia_25percent_output_edgel!471:471,"AAAAAHuv2YI=",0)</f>
        <v>0</v>
      </c>
      <c r="EB6" t="e">
        <f>AND(Ischemia_25percent_output_edgel!A471,"AAAAAHuv2YM=")</f>
        <v>#VALUE!</v>
      </c>
      <c r="EC6" t="e">
        <f>AND(Ischemia_25percent_output_edgel!B471,"AAAAAHuv2YQ=")</f>
        <v>#VALUE!</v>
      </c>
      <c r="ED6">
        <f>IF(Ischemia_25percent_output_edgel!472:472,"AAAAAHuv2YU=",0)</f>
        <v>0</v>
      </c>
      <c r="EE6" t="e">
        <f>AND(Ischemia_25percent_output_edgel!A472,"AAAAAHuv2YY=")</f>
        <v>#VALUE!</v>
      </c>
      <c r="EF6" t="e">
        <f>AND(Ischemia_25percent_output_edgel!B472,"AAAAAHuv2Yc=")</f>
        <v>#VALUE!</v>
      </c>
      <c r="EG6">
        <f>IF(Ischemia_25percent_output_edgel!473:473,"AAAAAHuv2Yg=",0)</f>
        <v>0</v>
      </c>
      <c r="EH6" t="e">
        <f>AND(Ischemia_25percent_output_edgel!A473,"AAAAAHuv2Yk=")</f>
        <v>#VALUE!</v>
      </c>
      <c r="EI6" t="e">
        <f>AND(Ischemia_25percent_output_edgel!B473,"AAAAAHuv2Yo=")</f>
        <v>#VALUE!</v>
      </c>
      <c r="EJ6">
        <f>IF(Ischemia_25percent_output_edgel!474:474,"AAAAAHuv2Ys=",0)</f>
        <v>0</v>
      </c>
      <c r="EK6" t="e">
        <f>AND(Ischemia_25percent_output_edgel!A474,"AAAAAHuv2Yw=")</f>
        <v>#VALUE!</v>
      </c>
      <c r="EL6" t="e">
        <f>AND(Ischemia_25percent_output_edgel!B474,"AAAAAHuv2Y0=")</f>
        <v>#VALUE!</v>
      </c>
      <c r="EM6">
        <f>IF(Ischemia_25percent_output_edgel!475:475,"AAAAAHuv2Y4=",0)</f>
        <v>0</v>
      </c>
      <c r="EN6" t="e">
        <f>AND(Ischemia_25percent_output_edgel!A475,"AAAAAHuv2Y8=")</f>
        <v>#VALUE!</v>
      </c>
      <c r="EO6" t="e">
        <f>AND(Ischemia_25percent_output_edgel!B475,"AAAAAHuv2ZA=")</f>
        <v>#VALUE!</v>
      </c>
      <c r="EP6">
        <f>IF(Ischemia_25percent_output_edgel!476:476,"AAAAAHuv2ZE=",0)</f>
        <v>0</v>
      </c>
      <c r="EQ6" t="e">
        <f>AND(Ischemia_25percent_output_edgel!A476,"AAAAAHuv2ZI=")</f>
        <v>#VALUE!</v>
      </c>
      <c r="ER6" t="e">
        <f>AND(Ischemia_25percent_output_edgel!B476,"AAAAAHuv2ZM=")</f>
        <v>#VALUE!</v>
      </c>
      <c r="ES6">
        <f>IF(Ischemia_25percent_output_edgel!477:477,"AAAAAHuv2ZQ=",0)</f>
        <v>0</v>
      </c>
      <c r="ET6" t="e">
        <f>AND(Ischemia_25percent_output_edgel!A477,"AAAAAHuv2ZU=")</f>
        <v>#VALUE!</v>
      </c>
      <c r="EU6" t="e">
        <f>AND(Ischemia_25percent_output_edgel!B477,"AAAAAHuv2ZY=")</f>
        <v>#VALUE!</v>
      </c>
      <c r="EV6">
        <f>IF(Ischemia_25percent_output_edgel!478:478,"AAAAAHuv2Zc=",0)</f>
        <v>0</v>
      </c>
      <c r="EW6" t="e">
        <f>AND(Ischemia_25percent_output_edgel!A478,"AAAAAHuv2Zg=")</f>
        <v>#VALUE!</v>
      </c>
      <c r="EX6" t="e">
        <f>AND(Ischemia_25percent_output_edgel!B478,"AAAAAHuv2Zk=")</f>
        <v>#VALUE!</v>
      </c>
      <c r="EY6">
        <f>IF(Ischemia_25percent_output_edgel!479:479,"AAAAAHuv2Zo=",0)</f>
        <v>0</v>
      </c>
      <c r="EZ6" t="e">
        <f>AND(Ischemia_25percent_output_edgel!A479,"AAAAAHuv2Zs=")</f>
        <v>#VALUE!</v>
      </c>
      <c r="FA6" t="e">
        <f>AND(Ischemia_25percent_output_edgel!B479,"AAAAAHuv2Zw=")</f>
        <v>#VALUE!</v>
      </c>
      <c r="FB6">
        <f>IF(Ischemia_25percent_output_edgel!480:480,"AAAAAHuv2Z0=",0)</f>
        <v>0</v>
      </c>
      <c r="FC6" t="e">
        <f>AND(Ischemia_25percent_output_edgel!A480,"AAAAAHuv2Z4=")</f>
        <v>#VALUE!</v>
      </c>
      <c r="FD6" t="e">
        <f>AND(Ischemia_25percent_output_edgel!B480,"AAAAAHuv2Z8=")</f>
        <v>#VALUE!</v>
      </c>
      <c r="FE6">
        <f>IF(Ischemia_25percent_output_edgel!481:481,"AAAAAHuv2aA=",0)</f>
        <v>0</v>
      </c>
      <c r="FF6" t="e">
        <f>AND(Ischemia_25percent_output_edgel!A481,"AAAAAHuv2aE=")</f>
        <v>#VALUE!</v>
      </c>
      <c r="FG6" t="e">
        <f>AND(Ischemia_25percent_output_edgel!B481,"AAAAAHuv2aI=")</f>
        <v>#VALUE!</v>
      </c>
      <c r="FH6">
        <f>IF(Ischemia_25percent_output_edgel!482:482,"AAAAAHuv2aM=",0)</f>
        <v>0</v>
      </c>
      <c r="FI6" t="e">
        <f>AND(Ischemia_25percent_output_edgel!A482,"AAAAAHuv2aQ=")</f>
        <v>#VALUE!</v>
      </c>
      <c r="FJ6" t="e">
        <f>AND(Ischemia_25percent_output_edgel!B482,"AAAAAHuv2aU=")</f>
        <v>#VALUE!</v>
      </c>
      <c r="FK6">
        <f>IF(Ischemia_25percent_output_edgel!483:483,"AAAAAHuv2aY=",0)</f>
        <v>0</v>
      </c>
      <c r="FL6" t="e">
        <f>AND(Ischemia_25percent_output_edgel!A483,"AAAAAHuv2ac=")</f>
        <v>#VALUE!</v>
      </c>
      <c r="FM6" t="e">
        <f>AND(Ischemia_25percent_output_edgel!B483,"AAAAAHuv2ag=")</f>
        <v>#VALUE!</v>
      </c>
      <c r="FN6">
        <f>IF(Ischemia_25percent_output_edgel!484:484,"AAAAAHuv2ak=",0)</f>
        <v>0</v>
      </c>
      <c r="FO6" t="e">
        <f>AND(Ischemia_25percent_output_edgel!A484,"AAAAAHuv2ao=")</f>
        <v>#VALUE!</v>
      </c>
      <c r="FP6" t="e">
        <f>AND(Ischemia_25percent_output_edgel!B484,"AAAAAHuv2as=")</f>
        <v>#VALUE!</v>
      </c>
      <c r="FQ6">
        <f>IF(Ischemia_25percent_output_edgel!485:485,"AAAAAHuv2aw=",0)</f>
        <v>0</v>
      </c>
      <c r="FR6" t="e">
        <f>AND(Ischemia_25percent_output_edgel!A485,"AAAAAHuv2a0=")</f>
        <v>#VALUE!</v>
      </c>
      <c r="FS6" t="e">
        <f>AND(Ischemia_25percent_output_edgel!B485,"AAAAAHuv2a4=")</f>
        <v>#VALUE!</v>
      </c>
      <c r="FT6">
        <f>IF(Ischemia_25percent_output_edgel!486:486,"AAAAAHuv2a8=",0)</f>
        <v>0</v>
      </c>
      <c r="FU6" t="e">
        <f>AND(Ischemia_25percent_output_edgel!A486,"AAAAAHuv2bA=")</f>
        <v>#VALUE!</v>
      </c>
      <c r="FV6" t="e">
        <f>AND(Ischemia_25percent_output_edgel!B486,"AAAAAHuv2bE=")</f>
        <v>#VALUE!</v>
      </c>
      <c r="FW6">
        <f>IF(Ischemia_25percent_output_edgel!487:487,"AAAAAHuv2bI=",0)</f>
        <v>0</v>
      </c>
      <c r="FX6" t="e">
        <f>AND(Ischemia_25percent_output_edgel!A487,"AAAAAHuv2bM=")</f>
        <v>#VALUE!</v>
      </c>
      <c r="FY6" t="e">
        <f>AND(Ischemia_25percent_output_edgel!B487,"AAAAAHuv2bQ=")</f>
        <v>#VALUE!</v>
      </c>
      <c r="FZ6">
        <f>IF(Ischemia_25percent_output_edgel!488:488,"AAAAAHuv2bU=",0)</f>
        <v>0</v>
      </c>
      <c r="GA6" t="e">
        <f>AND(Ischemia_25percent_output_edgel!A488,"AAAAAHuv2bY=")</f>
        <v>#VALUE!</v>
      </c>
      <c r="GB6" t="e">
        <f>AND(Ischemia_25percent_output_edgel!B488,"AAAAAHuv2bc=")</f>
        <v>#VALUE!</v>
      </c>
      <c r="GC6">
        <f>IF(Ischemia_25percent_output_edgel!489:489,"AAAAAHuv2bg=",0)</f>
        <v>0</v>
      </c>
      <c r="GD6" t="e">
        <f>AND(Ischemia_25percent_output_edgel!A489,"AAAAAHuv2bk=")</f>
        <v>#VALUE!</v>
      </c>
      <c r="GE6" t="e">
        <f>AND(Ischemia_25percent_output_edgel!B489,"AAAAAHuv2bo=")</f>
        <v>#VALUE!</v>
      </c>
      <c r="GF6">
        <f>IF(Ischemia_25percent_output_edgel!490:490,"AAAAAHuv2bs=",0)</f>
        <v>0</v>
      </c>
      <c r="GG6" t="e">
        <f>AND(Ischemia_25percent_output_edgel!A490,"AAAAAHuv2bw=")</f>
        <v>#VALUE!</v>
      </c>
      <c r="GH6" t="e">
        <f>AND(Ischemia_25percent_output_edgel!B490,"AAAAAHuv2b0=")</f>
        <v>#VALUE!</v>
      </c>
      <c r="GI6">
        <f>IF(Ischemia_25percent_output_edgel!491:491,"AAAAAHuv2b4=",0)</f>
        <v>0</v>
      </c>
      <c r="GJ6" t="e">
        <f>AND(Ischemia_25percent_output_edgel!A491,"AAAAAHuv2b8=")</f>
        <v>#VALUE!</v>
      </c>
      <c r="GK6" t="e">
        <f>AND(Ischemia_25percent_output_edgel!B491,"AAAAAHuv2cA=")</f>
        <v>#VALUE!</v>
      </c>
      <c r="GL6">
        <f>IF(Ischemia_25percent_output_edgel!492:492,"AAAAAHuv2cE=",0)</f>
        <v>0</v>
      </c>
      <c r="GM6" t="e">
        <f>AND(Ischemia_25percent_output_edgel!A492,"AAAAAHuv2cI=")</f>
        <v>#VALUE!</v>
      </c>
      <c r="GN6" t="e">
        <f>AND(Ischemia_25percent_output_edgel!B492,"AAAAAHuv2cM=")</f>
        <v>#VALUE!</v>
      </c>
      <c r="GO6">
        <f>IF(Ischemia_25percent_output_edgel!493:493,"AAAAAHuv2cQ=",0)</f>
        <v>0</v>
      </c>
      <c r="GP6" t="e">
        <f>AND(Ischemia_25percent_output_edgel!A493,"AAAAAHuv2cU=")</f>
        <v>#VALUE!</v>
      </c>
      <c r="GQ6" t="e">
        <f>AND(Ischemia_25percent_output_edgel!B493,"AAAAAHuv2cY=")</f>
        <v>#VALUE!</v>
      </c>
      <c r="GR6">
        <f>IF(Ischemia_25percent_output_edgel!494:494,"AAAAAHuv2cc=",0)</f>
        <v>0</v>
      </c>
      <c r="GS6" t="e">
        <f>AND(Ischemia_25percent_output_edgel!A494,"AAAAAHuv2cg=")</f>
        <v>#VALUE!</v>
      </c>
      <c r="GT6" t="e">
        <f>AND(Ischemia_25percent_output_edgel!B494,"AAAAAHuv2ck=")</f>
        <v>#VALUE!</v>
      </c>
      <c r="GU6">
        <f>IF(Ischemia_25percent_output_edgel!495:495,"AAAAAHuv2co=",0)</f>
        <v>0</v>
      </c>
      <c r="GV6" t="e">
        <f>AND(Ischemia_25percent_output_edgel!A495,"AAAAAHuv2cs=")</f>
        <v>#VALUE!</v>
      </c>
      <c r="GW6" t="e">
        <f>AND(Ischemia_25percent_output_edgel!B495,"AAAAAHuv2cw=")</f>
        <v>#VALUE!</v>
      </c>
      <c r="GX6">
        <f>IF(Ischemia_25percent_output_edgel!496:496,"AAAAAHuv2c0=",0)</f>
        <v>0</v>
      </c>
      <c r="GY6" t="e">
        <f>AND(Ischemia_25percent_output_edgel!A496,"AAAAAHuv2c4=")</f>
        <v>#VALUE!</v>
      </c>
      <c r="GZ6" t="e">
        <f>AND(Ischemia_25percent_output_edgel!B496,"AAAAAHuv2c8=")</f>
        <v>#VALUE!</v>
      </c>
      <c r="HA6">
        <f>IF(Ischemia_25percent_output_edgel!497:497,"AAAAAHuv2dA=",0)</f>
        <v>0</v>
      </c>
      <c r="HB6" t="e">
        <f>AND(Ischemia_25percent_output_edgel!A497,"AAAAAHuv2dE=")</f>
        <v>#VALUE!</v>
      </c>
      <c r="HC6" t="e">
        <f>AND(Ischemia_25percent_output_edgel!B497,"AAAAAHuv2dI=")</f>
        <v>#VALUE!</v>
      </c>
      <c r="HD6">
        <f>IF(Ischemia_25percent_output_edgel!498:498,"AAAAAHuv2dM=",0)</f>
        <v>0</v>
      </c>
      <c r="HE6" t="e">
        <f>AND(Ischemia_25percent_output_edgel!A498,"AAAAAHuv2dQ=")</f>
        <v>#VALUE!</v>
      </c>
      <c r="HF6" t="e">
        <f>AND(Ischemia_25percent_output_edgel!B498,"AAAAAHuv2dU=")</f>
        <v>#VALUE!</v>
      </c>
      <c r="HG6">
        <f>IF(Ischemia_25percent_output_edgel!499:499,"AAAAAHuv2dY=",0)</f>
        <v>0</v>
      </c>
      <c r="HH6" t="e">
        <f>AND(Ischemia_25percent_output_edgel!A499,"AAAAAHuv2dc=")</f>
        <v>#VALUE!</v>
      </c>
      <c r="HI6" t="e">
        <f>AND(Ischemia_25percent_output_edgel!B499,"AAAAAHuv2dg=")</f>
        <v>#VALUE!</v>
      </c>
      <c r="HJ6">
        <f>IF(Ischemia_25percent_output_edgel!500:500,"AAAAAHuv2dk=",0)</f>
        <v>0</v>
      </c>
      <c r="HK6" t="e">
        <f>AND(Ischemia_25percent_output_edgel!A500,"AAAAAHuv2do=")</f>
        <v>#VALUE!</v>
      </c>
      <c r="HL6" t="e">
        <f>AND(Ischemia_25percent_output_edgel!B500,"AAAAAHuv2ds=")</f>
        <v>#VALUE!</v>
      </c>
      <c r="HM6">
        <f>IF(Ischemia_25percent_output_edgel!501:501,"AAAAAHuv2dw=",0)</f>
        <v>0</v>
      </c>
      <c r="HN6" t="e">
        <f>AND(Ischemia_25percent_output_edgel!A501,"AAAAAHuv2d0=")</f>
        <v>#VALUE!</v>
      </c>
      <c r="HO6" t="e">
        <f>AND(Ischemia_25percent_output_edgel!B501,"AAAAAHuv2d4=")</f>
        <v>#VALUE!</v>
      </c>
      <c r="HP6">
        <f>IF(Ischemia_25percent_output_edgel!502:502,"AAAAAHuv2d8=",0)</f>
        <v>0</v>
      </c>
      <c r="HQ6" t="e">
        <f>AND(Ischemia_25percent_output_edgel!A502,"AAAAAHuv2eA=")</f>
        <v>#VALUE!</v>
      </c>
      <c r="HR6" t="e">
        <f>AND(Ischemia_25percent_output_edgel!B502,"AAAAAHuv2eE=")</f>
        <v>#VALUE!</v>
      </c>
      <c r="HS6">
        <f>IF(Ischemia_25percent_output_edgel!503:503,"AAAAAHuv2eI=",0)</f>
        <v>0</v>
      </c>
      <c r="HT6" t="e">
        <f>AND(Ischemia_25percent_output_edgel!A503,"AAAAAHuv2eM=")</f>
        <v>#VALUE!</v>
      </c>
      <c r="HU6" t="e">
        <f>AND(Ischemia_25percent_output_edgel!B503,"AAAAAHuv2eQ=")</f>
        <v>#VALUE!</v>
      </c>
      <c r="HV6">
        <f>IF(Ischemia_25percent_output_edgel!504:504,"AAAAAHuv2eU=",0)</f>
        <v>0</v>
      </c>
      <c r="HW6" t="e">
        <f>AND(Ischemia_25percent_output_edgel!A504,"AAAAAHuv2eY=")</f>
        <v>#VALUE!</v>
      </c>
      <c r="HX6" t="e">
        <f>AND(Ischemia_25percent_output_edgel!B504,"AAAAAHuv2ec=")</f>
        <v>#VALUE!</v>
      </c>
      <c r="HY6">
        <f>IF(Ischemia_25percent_output_edgel!505:505,"AAAAAHuv2eg=",0)</f>
        <v>0</v>
      </c>
      <c r="HZ6" t="e">
        <f>AND(Ischemia_25percent_output_edgel!A505,"AAAAAHuv2ek=")</f>
        <v>#VALUE!</v>
      </c>
      <c r="IA6" t="e">
        <f>AND(Ischemia_25percent_output_edgel!B505,"AAAAAHuv2eo=")</f>
        <v>#VALUE!</v>
      </c>
      <c r="IB6">
        <f>IF(Ischemia_25percent_output_edgel!506:506,"AAAAAHuv2es=",0)</f>
        <v>0</v>
      </c>
      <c r="IC6" t="e">
        <f>AND(Ischemia_25percent_output_edgel!A506,"AAAAAHuv2ew=")</f>
        <v>#VALUE!</v>
      </c>
      <c r="ID6" t="e">
        <f>AND(Ischemia_25percent_output_edgel!B506,"AAAAAHuv2e0=")</f>
        <v>#VALUE!</v>
      </c>
      <c r="IE6">
        <f>IF(Ischemia_25percent_output_edgel!507:507,"AAAAAHuv2e4=",0)</f>
        <v>0</v>
      </c>
      <c r="IF6" t="e">
        <f>AND(Ischemia_25percent_output_edgel!A507,"AAAAAHuv2e8=")</f>
        <v>#VALUE!</v>
      </c>
      <c r="IG6" t="e">
        <f>AND(Ischemia_25percent_output_edgel!B507,"AAAAAHuv2fA=")</f>
        <v>#VALUE!</v>
      </c>
      <c r="IH6">
        <f>IF(Ischemia_25percent_output_edgel!508:508,"AAAAAHuv2fE=",0)</f>
        <v>0</v>
      </c>
      <c r="II6" t="e">
        <f>AND(Ischemia_25percent_output_edgel!A508,"AAAAAHuv2fI=")</f>
        <v>#VALUE!</v>
      </c>
      <c r="IJ6" t="e">
        <f>AND(Ischemia_25percent_output_edgel!B508,"AAAAAHuv2fM=")</f>
        <v>#VALUE!</v>
      </c>
      <c r="IK6">
        <f>IF(Ischemia_25percent_output_edgel!509:509,"AAAAAHuv2fQ=",0)</f>
        <v>0</v>
      </c>
      <c r="IL6" t="e">
        <f>AND(Ischemia_25percent_output_edgel!A509,"AAAAAHuv2fU=")</f>
        <v>#VALUE!</v>
      </c>
      <c r="IM6" t="e">
        <f>AND(Ischemia_25percent_output_edgel!B509,"AAAAAHuv2fY=")</f>
        <v>#VALUE!</v>
      </c>
      <c r="IN6">
        <f>IF(Ischemia_25percent_output_edgel!510:510,"AAAAAHuv2fc=",0)</f>
        <v>0</v>
      </c>
      <c r="IO6" t="e">
        <f>AND(Ischemia_25percent_output_edgel!A510,"AAAAAHuv2fg=")</f>
        <v>#VALUE!</v>
      </c>
      <c r="IP6" t="e">
        <f>AND(Ischemia_25percent_output_edgel!B510,"AAAAAHuv2fk=")</f>
        <v>#VALUE!</v>
      </c>
      <c r="IQ6">
        <f>IF(Ischemia_25percent_output_edgel!511:511,"AAAAAHuv2fo=",0)</f>
        <v>0</v>
      </c>
      <c r="IR6" t="e">
        <f>AND(Ischemia_25percent_output_edgel!A511,"AAAAAHuv2fs=")</f>
        <v>#VALUE!</v>
      </c>
      <c r="IS6" t="e">
        <f>AND(Ischemia_25percent_output_edgel!B511,"AAAAAHuv2fw=")</f>
        <v>#VALUE!</v>
      </c>
      <c r="IT6">
        <f>IF(Ischemia_25percent_output_edgel!512:512,"AAAAAHuv2f0=",0)</f>
        <v>0</v>
      </c>
      <c r="IU6" t="e">
        <f>AND(Ischemia_25percent_output_edgel!A512,"AAAAAHuv2f4=")</f>
        <v>#VALUE!</v>
      </c>
      <c r="IV6" t="e">
        <f>AND(Ischemia_25percent_output_edgel!B512,"AAAAAHuv2f8=")</f>
        <v>#VALUE!</v>
      </c>
    </row>
    <row r="7" spans="1:256">
      <c r="A7" t="e">
        <f>IF(Ischemia_25percent_output_edgel!513:513,"AAAAAH//bgA=",0)</f>
        <v>#VALUE!</v>
      </c>
      <c r="B7" t="e">
        <f>AND(Ischemia_25percent_output_edgel!A513,"AAAAAH//bgE=")</f>
        <v>#VALUE!</v>
      </c>
      <c r="C7" t="e">
        <f>AND(Ischemia_25percent_output_edgel!B513,"AAAAAH//bgI=")</f>
        <v>#VALUE!</v>
      </c>
      <c r="D7">
        <f>IF(Ischemia_25percent_output_edgel!514:514,"AAAAAH//bgM=",0)</f>
        <v>0</v>
      </c>
      <c r="E7" t="e">
        <f>AND(Ischemia_25percent_output_edgel!A514,"AAAAAH//bgQ=")</f>
        <v>#VALUE!</v>
      </c>
      <c r="F7" t="e">
        <f>AND(Ischemia_25percent_output_edgel!B514,"AAAAAH//bgU=")</f>
        <v>#VALUE!</v>
      </c>
      <c r="G7">
        <f>IF(Ischemia_25percent_output_edgel!515:515,"AAAAAH//bgY=",0)</f>
        <v>0</v>
      </c>
      <c r="H7" t="e">
        <f>AND(Ischemia_25percent_output_edgel!A515,"AAAAAH//bgc=")</f>
        <v>#VALUE!</v>
      </c>
      <c r="I7" t="e">
        <f>AND(Ischemia_25percent_output_edgel!B515,"AAAAAH//bgg=")</f>
        <v>#VALUE!</v>
      </c>
      <c r="J7">
        <f>IF(Ischemia_25percent_output_edgel!516:516,"AAAAAH//bgk=",0)</f>
        <v>0</v>
      </c>
      <c r="K7" t="e">
        <f>AND(Ischemia_25percent_output_edgel!A516,"AAAAAH//bgo=")</f>
        <v>#VALUE!</v>
      </c>
      <c r="L7" t="e">
        <f>AND(Ischemia_25percent_output_edgel!B516,"AAAAAH//bgs=")</f>
        <v>#VALUE!</v>
      </c>
      <c r="M7">
        <f>IF(Ischemia_25percent_output_edgel!517:517,"AAAAAH//bgw=",0)</f>
        <v>0</v>
      </c>
      <c r="N7" t="e">
        <f>AND(Ischemia_25percent_output_edgel!A517,"AAAAAH//bg0=")</f>
        <v>#VALUE!</v>
      </c>
      <c r="O7" t="e">
        <f>AND(Ischemia_25percent_output_edgel!B517,"AAAAAH//bg4=")</f>
        <v>#VALUE!</v>
      </c>
      <c r="P7">
        <f>IF(Ischemia_25percent_output_edgel!518:518,"AAAAAH//bg8=",0)</f>
        <v>0</v>
      </c>
      <c r="Q7" t="e">
        <f>AND(Ischemia_25percent_output_edgel!A518,"AAAAAH//bhA=")</f>
        <v>#VALUE!</v>
      </c>
      <c r="R7" t="e">
        <f>AND(Ischemia_25percent_output_edgel!B518,"AAAAAH//bhE=")</f>
        <v>#VALUE!</v>
      </c>
      <c r="S7">
        <f>IF(Ischemia_25percent_output_edgel!519:519,"AAAAAH//bhI=",0)</f>
        <v>0</v>
      </c>
      <c r="T7" t="e">
        <f>AND(Ischemia_25percent_output_edgel!A519,"AAAAAH//bhM=")</f>
        <v>#VALUE!</v>
      </c>
      <c r="U7" t="e">
        <f>AND(Ischemia_25percent_output_edgel!B519,"AAAAAH//bhQ=")</f>
        <v>#VALUE!</v>
      </c>
      <c r="V7">
        <f>IF(Ischemia_25percent_output_edgel!520:520,"AAAAAH//bhU=",0)</f>
        <v>0</v>
      </c>
      <c r="W7" t="e">
        <f>AND(Ischemia_25percent_output_edgel!A520,"AAAAAH//bhY=")</f>
        <v>#VALUE!</v>
      </c>
      <c r="X7" t="e">
        <f>AND(Ischemia_25percent_output_edgel!B520,"AAAAAH//bhc=")</f>
        <v>#VALUE!</v>
      </c>
      <c r="Y7">
        <f>IF(Ischemia_25percent_output_edgel!521:521,"AAAAAH//bhg=",0)</f>
        <v>0</v>
      </c>
      <c r="Z7" t="e">
        <f>AND(Ischemia_25percent_output_edgel!A521,"AAAAAH//bhk=")</f>
        <v>#VALUE!</v>
      </c>
      <c r="AA7" t="e">
        <f>AND(Ischemia_25percent_output_edgel!B521,"AAAAAH//bho=")</f>
        <v>#VALUE!</v>
      </c>
      <c r="AB7">
        <f>IF(Ischemia_25percent_output_edgel!522:522,"AAAAAH//bhs=",0)</f>
        <v>0</v>
      </c>
      <c r="AC7" t="e">
        <f>AND(Ischemia_25percent_output_edgel!A522,"AAAAAH//bhw=")</f>
        <v>#VALUE!</v>
      </c>
      <c r="AD7" t="e">
        <f>AND(Ischemia_25percent_output_edgel!B522,"AAAAAH//bh0=")</f>
        <v>#VALUE!</v>
      </c>
      <c r="AE7">
        <f>IF(Ischemia_25percent_output_edgel!523:523,"AAAAAH//bh4=",0)</f>
        <v>0</v>
      </c>
      <c r="AF7" t="e">
        <f>AND(Ischemia_25percent_output_edgel!A523,"AAAAAH//bh8=")</f>
        <v>#VALUE!</v>
      </c>
      <c r="AG7" t="e">
        <f>AND(Ischemia_25percent_output_edgel!B523,"AAAAAH//biA=")</f>
        <v>#VALUE!</v>
      </c>
      <c r="AH7">
        <f>IF(Ischemia_25percent_output_edgel!524:524,"AAAAAH//biE=",0)</f>
        <v>0</v>
      </c>
      <c r="AI7" t="e">
        <f>AND(Ischemia_25percent_output_edgel!A524,"AAAAAH//biI=")</f>
        <v>#VALUE!</v>
      </c>
      <c r="AJ7" t="e">
        <f>AND(Ischemia_25percent_output_edgel!B524,"AAAAAH//biM=")</f>
        <v>#VALUE!</v>
      </c>
      <c r="AK7">
        <f>IF(Ischemia_25percent_output_edgel!525:525,"AAAAAH//biQ=",0)</f>
        <v>0</v>
      </c>
      <c r="AL7" t="e">
        <f>AND(Ischemia_25percent_output_edgel!A525,"AAAAAH//biU=")</f>
        <v>#VALUE!</v>
      </c>
      <c r="AM7" t="e">
        <f>AND(Ischemia_25percent_output_edgel!B525,"AAAAAH//biY=")</f>
        <v>#VALUE!</v>
      </c>
      <c r="AN7">
        <f>IF(Ischemia_25percent_output_edgel!526:526,"AAAAAH//bic=",0)</f>
        <v>0</v>
      </c>
      <c r="AO7" t="e">
        <f>AND(Ischemia_25percent_output_edgel!A526,"AAAAAH//big=")</f>
        <v>#VALUE!</v>
      </c>
      <c r="AP7" t="e">
        <f>AND(Ischemia_25percent_output_edgel!B526,"AAAAAH//bik=")</f>
        <v>#VALUE!</v>
      </c>
      <c r="AQ7">
        <f>IF(Ischemia_25percent_output_edgel!527:527,"AAAAAH//bio=",0)</f>
        <v>0</v>
      </c>
      <c r="AR7" t="e">
        <f>AND(Ischemia_25percent_output_edgel!A527,"AAAAAH//bis=")</f>
        <v>#VALUE!</v>
      </c>
      <c r="AS7" t="e">
        <f>AND(Ischemia_25percent_output_edgel!B527,"AAAAAH//biw=")</f>
        <v>#VALUE!</v>
      </c>
      <c r="AT7">
        <f>IF(Ischemia_25percent_output_edgel!528:528,"AAAAAH//bi0=",0)</f>
        <v>0</v>
      </c>
      <c r="AU7" t="e">
        <f>AND(Ischemia_25percent_output_edgel!A528,"AAAAAH//bi4=")</f>
        <v>#VALUE!</v>
      </c>
      <c r="AV7" t="e">
        <f>AND(Ischemia_25percent_output_edgel!B528,"AAAAAH//bi8=")</f>
        <v>#VALUE!</v>
      </c>
      <c r="AW7">
        <f>IF(Ischemia_25percent_output_edgel!529:529,"AAAAAH//bjA=",0)</f>
        <v>0</v>
      </c>
      <c r="AX7" t="e">
        <f>AND(Ischemia_25percent_output_edgel!A529,"AAAAAH//bjE=")</f>
        <v>#VALUE!</v>
      </c>
      <c r="AY7" t="e">
        <f>AND(Ischemia_25percent_output_edgel!B529,"AAAAAH//bjI=")</f>
        <v>#VALUE!</v>
      </c>
      <c r="AZ7">
        <f>IF(Ischemia_25percent_output_edgel!530:530,"AAAAAH//bjM=",0)</f>
        <v>0</v>
      </c>
      <c r="BA7" t="e">
        <f>AND(Ischemia_25percent_output_edgel!A530,"AAAAAH//bjQ=")</f>
        <v>#VALUE!</v>
      </c>
      <c r="BB7" t="e">
        <f>AND(Ischemia_25percent_output_edgel!B530,"AAAAAH//bjU=")</f>
        <v>#VALUE!</v>
      </c>
      <c r="BC7">
        <f>IF(Ischemia_25percent_output_edgel!531:531,"AAAAAH//bjY=",0)</f>
        <v>0</v>
      </c>
      <c r="BD7" t="e">
        <f>AND(Ischemia_25percent_output_edgel!A531,"AAAAAH//bjc=")</f>
        <v>#VALUE!</v>
      </c>
      <c r="BE7" t="e">
        <f>AND(Ischemia_25percent_output_edgel!B531,"AAAAAH//bjg=")</f>
        <v>#VALUE!</v>
      </c>
      <c r="BF7">
        <f>IF(Ischemia_25percent_output_edgel!532:532,"AAAAAH//bjk=",0)</f>
        <v>0</v>
      </c>
      <c r="BG7" t="e">
        <f>AND(Ischemia_25percent_output_edgel!A532,"AAAAAH//bjo=")</f>
        <v>#VALUE!</v>
      </c>
      <c r="BH7" t="e">
        <f>AND(Ischemia_25percent_output_edgel!B532,"AAAAAH//bjs=")</f>
        <v>#VALUE!</v>
      </c>
      <c r="BI7">
        <f>IF(Ischemia_25percent_output_edgel!533:533,"AAAAAH//bjw=",0)</f>
        <v>0</v>
      </c>
      <c r="BJ7" t="e">
        <f>AND(Ischemia_25percent_output_edgel!A533,"AAAAAH//bj0=")</f>
        <v>#VALUE!</v>
      </c>
      <c r="BK7" t="e">
        <f>AND(Ischemia_25percent_output_edgel!B533,"AAAAAH//bj4=")</f>
        <v>#VALUE!</v>
      </c>
      <c r="BL7">
        <f>IF(Ischemia_25percent_output_edgel!534:534,"AAAAAH//bj8=",0)</f>
        <v>0</v>
      </c>
      <c r="BM7" t="e">
        <f>AND(Ischemia_25percent_output_edgel!A534,"AAAAAH//bkA=")</f>
        <v>#VALUE!</v>
      </c>
      <c r="BN7" t="e">
        <f>AND(Ischemia_25percent_output_edgel!B534,"AAAAAH//bkE=")</f>
        <v>#VALUE!</v>
      </c>
      <c r="BO7">
        <f>IF(Ischemia_25percent_output_edgel!535:535,"AAAAAH//bkI=",0)</f>
        <v>0</v>
      </c>
      <c r="BP7" t="e">
        <f>AND(Ischemia_25percent_output_edgel!A535,"AAAAAH//bkM=")</f>
        <v>#VALUE!</v>
      </c>
      <c r="BQ7" t="e">
        <f>AND(Ischemia_25percent_output_edgel!B535,"AAAAAH//bkQ=")</f>
        <v>#VALUE!</v>
      </c>
      <c r="BR7">
        <f>IF(Ischemia_25percent_output_edgel!536:536,"AAAAAH//bkU=",0)</f>
        <v>0</v>
      </c>
      <c r="BS7" t="e">
        <f>AND(Ischemia_25percent_output_edgel!A536,"AAAAAH//bkY=")</f>
        <v>#VALUE!</v>
      </c>
      <c r="BT7" t="e">
        <f>AND(Ischemia_25percent_output_edgel!B536,"AAAAAH//bkc=")</f>
        <v>#VALUE!</v>
      </c>
      <c r="BU7">
        <f>IF(Ischemia_25percent_output_edgel!537:537,"AAAAAH//bkg=",0)</f>
        <v>0</v>
      </c>
      <c r="BV7" t="e">
        <f>AND(Ischemia_25percent_output_edgel!A537,"AAAAAH//bkk=")</f>
        <v>#VALUE!</v>
      </c>
      <c r="BW7" t="e">
        <f>AND(Ischemia_25percent_output_edgel!B537,"AAAAAH//bko=")</f>
        <v>#VALUE!</v>
      </c>
      <c r="BX7">
        <f>IF(Ischemia_25percent_output_edgel!538:538,"AAAAAH//bks=",0)</f>
        <v>0</v>
      </c>
      <c r="BY7" t="e">
        <f>AND(Ischemia_25percent_output_edgel!A538,"AAAAAH//bkw=")</f>
        <v>#VALUE!</v>
      </c>
      <c r="BZ7" t="e">
        <f>AND(Ischemia_25percent_output_edgel!B538,"AAAAAH//bk0=")</f>
        <v>#VALUE!</v>
      </c>
      <c r="CA7">
        <f>IF(Ischemia_25percent_output_edgel!539:539,"AAAAAH//bk4=",0)</f>
        <v>0</v>
      </c>
      <c r="CB7" t="e">
        <f>AND(Ischemia_25percent_output_edgel!A539,"AAAAAH//bk8=")</f>
        <v>#VALUE!</v>
      </c>
      <c r="CC7" t="e">
        <f>AND(Ischemia_25percent_output_edgel!B539,"AAAAAH//blA=")</f>
        <v>#VALUE!</v>
      </c>
      <c r="CD7">
        <f>IF(Ischemia_25percent_output_edgel!540:540,"AAAAAH//blE=",0)</f>
        <v>0</v>
      </c>
      <c r="CE7" t="e">
        <f>AND(Ischemia_25percent_output_edgel!A540,"AAAAAH//blI=")</f>
        <v>#VALUE!</v>
      </c>
      <c r="CF7" t="e">
        <f>AND(Ischemia_25percent_output_edgel!B540,"AAAAAH//blM=")</f>
        <v>#VALUE!</v>
      </c>
      <c r="CG7">
        <f>IF(Ischemia_25percent_output_edgel!541:541,"AAAAAH//blQ=",0)</f>
        <v>0</v>
      </c>
      <c r="CH7" t="e">
        <f>AND(Ischemia_25percent_output_edgel!A541,"AAAAAH//blU=")</f>
        <v>#VALUE!</v>
      </c>
      <c r="CI7" t="e">
        <f>AND(Ischemia_25percent_output_edgel!B541,"AAAAAH//blY=")</f>
        <v>#VALUE!</v>
      </c>
      <c r="CJ7">
        <f>IF(Ischemia_25percent_output_edgel!542:542,"AAAAAH//blc=",0)</f>
        <v>0</v>
      </c>
      <c r="CK7" t="e">
        <f>AND(Ischemia_25percent_output_edgel!A542,"AAAAAH//blg=")</f>
        <v>#VALUE!</v>
      </c>
      <c r="CL7" t="e">
        <f>AND(Ischemia_25percent_output_edgel!B542,"AAAAAH//blk=")</f>
        <v>#VALUE!</v>
      </c>
      <c r="CM7">
        <f>IF(Ischemia_25percent_output_edgel!543:543,"AAAAAH//blo=",0)</f>
        <v>0</v>
      </c>
      <c r="CN7" t="e">
        <f>AND(Ischemia_25percent_output_edgel!A543,"AAAAAH//bls=")</f>
        <v>#VALUE!</v>
      </c>
      <c r="CO7" t="e">
        <f>AND(Ischemia_25percent_output_edgel!B543,"AAAAAH//blw=")</f>
        <v>#VALUE!</v>
      </c>
      <c r="CP7">
        <f>IF(Ischemia_25percent_output_edgel!544:544,"AAAAAH//bl0=",0)</f>
        <v>0</v>
      </c>
      <c r="CQ7" t="e">
        <f>AND(Ischemia_25percent_output_edgel!A544,"AAAAAH//bl4=")</f>
        <v>#VALUE!</v>
      </c>
      <c r="CR7" t="e">
        <f>AND(Ischemia_25percent_output_edgel!B544,"AAAAAH//bl8=")</f>
        <v>#VALUE!</v>
      </c>
      <c r="CS7">
        <f>IF(Ischemia_25percent_output_edgel!545:545,"AAAAAH//bmA=",0)</f>
        <v>0</v>
      </c>
      <c r="CT7" t="e">
        <f>AND(Ischemia_25percent_output_edgel!A545,"AAAAAH//bmE=")</f>
        <v>#VALUE!</v>
      </c>
      <c r="CU7" t="e">
        <f>AND(Ischemia_25percent_output_edgel!B545,"AAAAAH//bmI=")</f>
        <v>#VALUE!</v>
      </c>
      <c r="CV7">
        <f>IF(Ischemia_25percent_output_edgel!546:546,"AAAAAH//bmM=",0)</f>
        <v>0</v>
      </c>
      <c r="CW7" t="e">
        <f>AND(Ischemia_25percent_output_edgel!A546,"AAAAAH//bmQ=")</f>
        <v>#VALUE!</v>
      </c>
      <c r="CX7" t="e">
        <f>AND(Ischemia_25percent_output_edgel!B546,"AAAAAH//bmU=")</f>
        <v>#VALUE!</v>
      </c>
      <c r="CY7">
        <f>IF(Ischemia_25percent_output_edgel!547:547,"AAAAAH//bmY=",0)</f>
        <v>0</v>
      </c>
      <c r="CZ7" t="e">
        <f>AND(Ischemia_25percent_output_edgel!A547,"AAAAAH//bmc=")</f>
        <v>#VALUE!</v>
      </c>
      <c r="DA7" t="e">
        <f>AND(Ischemia_25percent_output_edgel!B547,"AAAAAH//bmg=")</f>
        <v>#VALUE!</v>
      </c>
      <c r="DB7">
        <f>IF(Ischemia_25percent_output_edgel!548:548,"AAAAAH//bmk=",0)</f>
        <v>0</v>
      </c>
      <c r="DC7" t="e">
        <f>AND(Ischemia_25percent_output_edgel!A548,"AAAAAH//bmo=")</f>
        <v>#VALUE!</v>
      </c>
      <c r="DD7" t="e">
        <f>AND(Ischemia_25percent_output_edgel!B548,"AAAAAH//bms=")</f>
        <v>#VALUE!</v>
      </c>
      <c r="DE7">
        <f>IF(Ischemia_25percent_output_edgel!549:549,"AAAAAH//bmw=",0)</f>
        <v>0</v>
      </c>
      <c r="DF7" t="e">
        <f>AND(Ischemia_25percent_output_edgel!A549,"AAAAAH//bm0=")</f>
        <v>#VALUE!</v>
      </c>
      <c r="DG7" t="e">
        <f>AND(Ischemia_25percent_output_edgel!B549,"AAAAAH//bm4=")</f>
        <v>#VALUE!</v>
      </c>
      <c r="DH7">
        <f>IF(Ischemia_25percent_output_edgel!550:550,"AAAAAH//bm8=",0)</f>
        <v>0</v>
      </c>
      <c r="DI7" t="e">
        <f>AND(Ischemia_25percent_output_edgel!A550,"AAAAAH//bnA=")</f>
        <v>#VALUE!</v>
      </c>
      <c r="DJ7" t="e">
        <f>AND(Ischemia_25percent_output_edgel!B550,"AAAAAH//bnE=")</f>
        <v>#VALUE!</v>
      </c>
      <c r="DK7">
        <f>IF(Ischemia_25percent_output_edgel!551:551,"AAAAAH//bnI=",0)</f>
        <v>0</v>
      </c>
      <c r="DL7" t="e">
        <f>AND(Ischemia_25percent_output_edgel!A551,"AAAAAH//bnM=")</f>
        <v>#VALUE!</v>
      </c>
      <c r="DM7" t="e">
        <f>AND(Ischemia_25percent_output_edgel!B551,"AAAAAH//bnQ=")</f>
        <v>#VALUE!</v>
      </c>
      <c r="DN7">
        <f>IF(Ischemia_25percent_output_edgel!552:552,"AAAAAH//bnU=",0)</f>
        <v>0</v>
      </c>
      <c r="DO7" t="e">
        <f>AND(Ischemia_25percent_output_edgel!A552,"AAAAAH//bnY=")</f>
        <v>#VALUE!</v>
      </c>
      <c r="DP7" t="e">
        <f>AND(Ischemia_25percent_output_edgel!B552,"AAAAAH//bnc=")</f>
        <v>#VALUE!</v>
      </c>
      <c r="DQ7">
        <f>IF(Ischemia_25percent_output_edgel!553:553,"AAAAAH//bng=",0)</f>
        <v>0</v>
      </c>
      <c r="DR7" t="e">
        <f>AND(Ischemia_25percent_output_edgel!A553,"AAAAAH//bnk=")</f>
        <v>#VALUE!</v>
      </c>
      <c r="DS7" t="e">
        <f>AND(Ischemia_25percent_output_edgel!B553,"AAAAAH//bno=")</f>
        <v>#VALUE!</v>
      </c>
      <c r="DT7">
        <f>IF(Ischemia_25percent_output_edgel!554:554,"AAAAAH//bns=",0)</f>
        <v>0</v>
      </c>
      <c r="DU7" t="e">
        <f>AND(Ischemia_25percent_output_edgel!A554,"AAAAAH//bnw=")</f>
        <v>#VALUE!</v>
      </c>
      <c r="DV7" t="e">
        <f>AND(Ischemia_25percent_output_edgel!B554,"AAAAAH//bn0=")</f>
        <v>#VALUE!</v>
      </c>
      <c r="DW7">
        <f>IF(Ischemia_25percent_output_edgel!555:555,"AAAAAH//bn4=",0)</f>
        <v>0</v>
      </c>
      <c r="DX7" t="e">
        <f>AND(Ischemia_25percent_output_edgel!A555,"AAAAAH//bn8=")</f>
        <v>#VALUE!</v>
      </c>
      <c r="DY7" t="e">
        <f>AND(Ischemia_25percent_output_edgel!B555,"AAAAAH//boA=")</f>
        <v>#VALUE!</v>
      </c>
      <c r="DZ7">
        <f>IF(Ischemia_25percent_output_edgel!556:556,"AAAAAH//boE=",0)</f>
        <v>0</v>
      </c>
      <c r="EA7" t="e">
        <f>AND(Ischemia_25percent_output_edgel!A556,"AAAAAH//boI=")</f>
        <v>#VALUE!</v>
      </c>
      <c r="EB7" t="e">
        <f>AND(Ischemia_25percent_output_edgel!B556,"AAAAAH//boM=")</f>
        <v>#VALUE!</v>
      </c>
      <c r="EC7">
        <f>IF(Ischemia_25percent_output_edgel!557:557,"AAAAAH//boQ=",0)</f>
        <v>0</v>
      </c>
      <c r="ED7" t="e">
        <f>AND(Ischemia_25percent_output_edgel!A557,"AAAAAH//boU=")</f>
        <v>#VALUE!</v>
      </c>
      <c r="EE7" t="e">
        <f>AND(Ischemia_25percent_output_edgel!B557,"AAAAAH//boY=")</f>
        <v>#VALUE!</v>
      </c>
      <c r="EF7">
        <f>IF(Ischemia_25percent_output_edgel!558:558,"AAAAAH//boc=",0)</f>
        <v>0</v>
      </c>
      <c r="EG7" t="e">
        <f>AND(Ischemia_25percent_output_edgel!A558,"AAAAAH//bog=")</f>
        <v>#VALUE!</v>
      </c>
      <c r="EH7" t="e">
        <f>AND(Ischemia_25percent_output_edgel!B558,"AAAAAH//bok=")</f>
        <v>#VALUE!</v>
      </c>
      <c r="EI7">
        <f>IF(Ischemia_25percent_output_edgel!559:559,"AAAAAH//boo=",0)</f>
        <v>0</v>
      </c>
      <c r="EJ7" t="e">
        <f>AND(Ischemia_25percent_output_edgel!A559,"AAAAAH//bos=")</f>
        <v>#VALUE!</v>
      </c>
      <c r="EK7" t="e">
        <f>AND(Ischemia_25percent_output_edgel!B559,"AAAAAH//bow=")</f>
        <v>#VALUE!</v>
      </c>
      <c r="EL7">
        <f>IF(Ischemia_25percent_output_edgel!560:560,"AAAAAH//bo0=",0)</f>
        <v>0</v>
      </c>
      <c r="EM7" t="e">
        <f>AND(Ischemia_25percent_output_edgel!A560,"AAAAAH//bo4=")</f>
        <v>#VALUE!</v>
      </c>
      <c r="EN7" t="e">
        <f>AND(Ischemia_25percent_output_edgel!B560,"AAAAAH//bo8=")</f>
        <v>#VALUE!</v>
      </c>
      <c r="EO7">
        <f>IF(Ischemia_25percent_output_edgel!561:561,"AAAAAH//bpA=",0)</f>
        <v>0</v>
      </c>
      <c r="EP7" t="e">
        <f>AND(Ischemia_25percent_output_edgel!A561,"AAAAAH//bpE=")</f>
        <v>#VALUE!</v>
      </c>
      <c r="EQ7" t="e">
        <f>AND(Ischemia_25percent_output_edgel!B561,"AAAAAH//bpI=")</f>
        <v>#VALUE!</v>
      </c>
      <c r="ER7">
        <f>IF(Ischemia_25percent_output_edgel!562:562,"AAAAAH//bpM=",0)</f>
        <v>0</v>
      </c>
      <c r="ES7" t="e">
        <f>AND(Ischemia_25percent_output_edgel!A562,"AAAAAH//bpQ=")</f>
        <v>#VALUE!</v>
      </c>
      <c r="ET7" t="e">
        <f>AND(Ischemia_25percent_output_edgel!B562,"AAAAAH//bpU=")</f>
        <v>#VALUE!</v>
      </c>
      <c r="EU7">
        <f>IF(Ischemia_25percent_output_edgel!563:563,"AAAAAH//bpY=",0)</f>
        <v>0</v>
      </c>
      <c r="EV7" t="e">
        <f>AND(Ischemia_25percent_output_edgel!A563,"AAAAAH//bpc=")</f>
        <v>#VALUE!</v>
      </c>
      <c r="EW7" t="e">
        <f>AND(Ischemia_25percent_output_edgel!B563,"AAAAAH//bpg=")</f>
        <v>#VALUE!</v>
      </c>
      <c r="EX7">
        <f>IF(Ischemia_25percent_output_edgel!564:564,"AAAAAH//bpk=",0)</f>
        <v>0</v>
      </c>
      <c r="EY7" t="e">
        <f>AND(Ischemia_25percent_output_edgel!A564,"AAAAAH//bpo=")</f>
        <v>#VALUE!</v>
      </c>
      <c r="EZ7" t="e">
        <f>AND(Ischemia_25percent_output_edgel!B564,"AAAAAH//bps=")</f>
        <v>#VALUE!</v>
      </c>
      <c r="FA7">
        <f>IF(Ischemia_25percent_output_edgel!565:565,"AAAAAH//bpw=",0)</f>
        <v>0</v>
      </c>
      <c r="FB7" t="e">
        <f>AND(Ischemia_25percent_output_edgel!A565,"AAAAAH//bp0=")</f>
        <v>#VALUE!</v>
      </c>
      <c r="FC7" t="e">
        <f>AND(Ischemia_25percent_output_edgel!B565,"AAAAAH//bp4=")</f>
        <v>#VALUE!</v>
      </c>
      <c r="FD7">
        <f>IF(Ischemia_25percent_output_edgel!566:566,"AAAAAH//bp8=",0)</f>
        <v>0</v>
      </c>
      <c r="FE7" t="e">
        <f>AND(Ischemia_25percent_output_edgel!A566,"AAAAAH//bqA=")</f>
        <v>#VALUE!</v>
      </c>
      <c r="FF7" t="e">
        <f>AND(Ischemia_25percent_output_edgel!B566,"AAAAAH//bqE=")</f>
        <v>#VALUE!</v>
      </c>
      <c r="FG7">
        <f>IF(Ischemia_25percent_output_edgel!567:567,"AAAAAH//bqI=",0)</f>
        <v>0</v>
      </c>
      <c r="FH7" t="e">
        <f>AND(Ischemia_25percent_output_edgel!A567,"AAAAAH//bqM=")</f>
        <v>#VALUE!</v>
      </c>
      <c r="FI7" t="e">
        <f>AND(Ischemia_25percent_output_edgel!B567,"AAAAAH//bqQ=")</f>
        <v>#VALUE!</v>
      </c>
      <c r="FJ7">
        <f>IF(Ischemia_25percent_output_edgel!568:568,"AAAAAH//bqU=",0)</f>
        <v>0</v>
      </c>
      <c r="FK7" t="e">
        <f>AND(Ischemia_25percent_output_edgel!A568,"AAAAAH//bqY=")</f>
        <v>#VALUE!</v>
      </c>
      <c r="FL7" t="e">
        <f>AND(Ischemia_25percent_output_edgel!B568,"AAAAAH//bqc=")</f>
        <v>#VALUE!</v>
      </c>
      <c r="FM7">
        <f>IF(Ischemia_25percent_output_edgel!569:569,"AAAAAH//bqg=",0)</f>
        <v>0</v>
      </c>
      <c r="FN7" t="e">
        <f>AND(Ischemia_25percent_output_edgel!A569,"AAAAAH//bqk=")</f>
        <v>#VALUE!</v>
      </c>
      <c r="FO7" t="e">
        <f>AND(Ischemia_25percent_output_edgel!B569,"AAAAAH//bqo=")</f>
        <v>#VALUE!</v>
      </c>
      <c r="FP7">
        <f>IF(Ischemia_25percent_output_edgel!570:570,"AAAAAH//bqs=",0)</f>
        <v>0</v>
      </c>
      <c r="FQ7" t="e">
        <f>AND(Ischemia_25percent_output_edgel!A570,"AAAAAH//bqw=")</f>
        <v>#VALUE!</v>
      </c>
      <c r="FR7" t="e">
        <f>AND(Ischemia_25percent_output_edgel!B570,"AAAAAH//bq0=")</f>
        <v>#VALUE!</v>
      </c>
      <c r="FS7">
        <f>IF(Ischemia_25percent_output_edgel!571:571,"AAAAAH//bq4=",0)</f>
        <v>0</v>
      </c>
      <c r="FT7" t="e">
        <f>AND(Ischemia_25percent_output_edgel!A571,"AAAAAH//bq8=")</f>
        <v>#VALUE!</v>
      </c>
      <c r="FU7" t="e">
        <f>AND(Ischemia_25percent_output_edgel!B571,"AAAAAH//brA=")</f>
        <v>#VALUE!</v>
      </c>
      <c r="FV7">
        <f>IF(Ischemia_25percent_output_edgel!572:572,"AAAAAH//brE=",0)</f>
        <v>0</v>
      </c>
      <c r="FW7" t="e">
        <f>AND(Ischemia_25percent_output_edgel!A572,"AAAAAH//brI=")</f>
        <v>#VALUE!</v>
      </c>
      <c r="FX7" t="e">
        <f>AND(Ischemia_25percent_output_edgel!B572,"AAAAAH//brM=")</f>
        <v>#VALUE!</v>
      </c>
      <c r="FY7">
        <f>IF(Ischemia_25percent_output_edgel!573:573,"AAAAAH//brQ=",0)</f>
        <v>0</v>
      </c>
      <c r="FZ7" t="e">
        <f>AND(Ischemia_25percent_output_edgel!A573,"AAAAAH//brU=")</f>
        <v>#VALUE!</v>
      </c>
      <c r="GA7" t="e">
        <f>AND(Ischemia_25percent_output_edgel!B573,"AAAAAH//brY=")</f>
        <v>#VALUE!</v>
      </c>
      <c r="GB7">
        <f>IF(Ischemia_25percent_output_edgel!574:574,"AAAAAH//brc=",0)</f>
        <v>0</v>
      </c>
      <c r="GC7" t="e">
        <f>AND(Ischemia_25percent_output_edgel!A574,"AAAAAH//brg=")</f>
        <v>#VALUE!</v>
      </c>
      <c r="GD7" t="e">
        <f>AND(Ischemia_25percent_output_edgel!B574,"AAAAAH//brk=")</f>
        <v>#VALUE!</v>
      </c>
      <c r="GE7">
        <f>IF(Ischemia_25percent_output_edgel!575:575,"AAAAAH//bro=",0)</f>
        <v>0</v>
      </c>
      <c r="GF7" t="e">
        <f>AND(Ischemia_25percent_output_edgel!A575,"AAAAAH//brs=")</f>
        <v>#VALUE!</v>
      </c>
      <c r="GG7" t="e">
        <f>AND(Ischemia_25percent_output_edgel!B575,"AAAAAH//brw=")</f>
        <v>#VALUE!</v>
      </c>
      <c r="GH7">
        <f>IF(Ischemia_25percent_output_edgel!576:576,"AAAAAH//br0=",0)</f>
        <v>0</v>
      </c>
      <c r="GI7" t="e">
        <f>AND(Ischemia_25percent_output_edgel!A576,"AAAAAH//br4=")</f>
        <v>#VALUE!</v>
      </c>
      <c r="GJ7" t="e">
        <f>AND(Ischemia_25percent_output_edgel!B576,"AAAAAH//br8=")</f>
        <v>#VALUE!</v>
      </c>
      <c r="GK7">
        <f>IF(Ischemia_25percent_output_edgel!577:577,"AAAAAH//bsA=",0)</f>
        <v>0</v>
      </c>
      <c r="GL7" t="e">
        <f>AND(Ischemia_25percent_output_edgel!A577,"AAAAAH//bsE=")</f>
        <v>#VALUE!</v>
      </c>
      <c r="GM7" t="e">
        <f>AND(Ischemia_25percent_output_edgel!B577,"AAAAAH//bsI=")</f>
        <v>#VALUE!</v>
      </c>
      <c r="GN7">
        <f>IF(Ischemia_25percent_output_edgel!578:578,"AAAAAH//bsM=",0)</f>
        <v>0</v>
      </c>
      <c r="GO7" t="e">
        <f>AND(Ischemia_25percent_output_edgel!A578,"AAAAAH//bsQ=")</f>
        <v>#VALUE!</v>
      </c>
      <c r="GP7" t="e">
        <f>AND(Ischemia_25percent_output_edgel!B578,"AAAAAH//bsU=")</f>
        <v>#VALUE!</v>
      </c>
      <c r="GQ7">
        <f>IF(Ischemia_25percent_output_edgel!579:579,"AAAAAH//bsY=",0)</f>
        <v>0</v>
      </c>
      <c r="GR7" t="e">
        <f>AND(Ischemia_25percent_output_edgel!A579,"AAAAAH//bsc=")</f>
        <v>#VALUE!</v>
      </c>
      <c r="GS7" t="e">
        <f>AND(Ischemia_25percent_output_edgel!B579,"AAAAAH//bsg=")</f>
        <v>#VALUE!</v>
      </c>
      <c r="GT7">
        <f>IF(Ischemia_25percent_output_edgel!580:580,"AAAAAH//bsk=",0)</f>
        <v>0</v>
      </c>
      <c r="GU7" t="e">
        <f>AND(Ischemia_25percent_output_edgel!A580,"AAAAAH//bso=")</f>
        <v>#VALUE!</v>
      </c>
      <c r="GV7" t="e">
        <f>AND(Ischemia_25percent_output_edgel!B580,"AAAAAH//bss=")</f>
        <v>#VALUE!</v>
      </c>
      <c r="GW7">
        <f>IF(Ischemia_25percent_output_edgel!581:581,"AAAAAH//bsw=",0)</f>
        <v>0</v>
      </c>
      <c r="GX7" t="e">
        <f>AND(Ischemia_25percent_output_edgel!A581,"AAAAAH//bs0=")</f>
        <v>#VALUE!</v>
      </c>
      <c r="GY7" t="e">
        <f>AND(Ischemia_25percent_output_edgel!B581,"AAAAAH//bs4=")</f>
        <v>#VALUE!</v>
      </c>
      <c r="GZ7">
        <f>IF(Ischemia_25percent_output_edgel!582:582,"AAAAAH//bs8=",0)</f>
        <v>0</v>
      </c>
      <c r="HA7" t="e">
        <f>AND(Ischemia_25percent_output_edgel!A582,"AAAAAH//btA=")</f>
        <v>#VALUE!</v>
      </c>
      <c r="HB7" t="e">
        <f>AND(Ischemia_25percent_output_edgel!B582,"AAAAAH//btE=")</f>
        <v>#VALUE!</v>
      </c>
      <c r="HC7">
        <f>IF(Ischemia_25percent_output_edgel!583:583,"AAAAAH//btI=",0)</f>
        <v>0</v>
      </c>
      <c r="HD7" t="e">
        <f>AND(Ischemia_25percent_output_edgel!A583,"AAAAAH//btM=")</f>
        <v>#VALUE!</v>
      </c>
      <c r="HE7" t="e">
        <f>AND(Ischemia_25percent_output_edgel!B583,"AAAAAH//btQ=")</f>
        <v>#VALUE!</v>
      </c>
      <c r="HF7">
        <f>IF(Ischemia_25percent_output_edgel!584:584,"AAAAAH//btU=",0)</f>
        <v>0</v>
      </c>
      <c r="HG7" t="e">
        <f>AND(Ischemia_25percent_output_edgel!A584,"AAAAAH//btY=")</f>
        <v>#VALUE!</v>
      </c>
      <c r="HH7" t="e">
        <f>AND(Ischemia_25percent_output_edgel!B584,"AAAAAH//btc=")</f>
        <v>#VALUE!</v>
      </c>
      <c r="HI7">
        <f>IF(Ischemia_25percent_output_edgel!585:585,"AAAAAH//btg=",0)</f>
        <v>0</v>
      </c>
      <c r="HJ7" t="e">
        <f>AND(Ischemia_25percent_output_edgel!A585,"AAAAAH//btk=")</f>
        <v>#VALUE!</v>
      </c>
      <c r="HK7" t="e">
        <f>AND(Ischemia_25percent_output_edgel!B585,"AAAAAH//bto=")</f>
        <v>#VALUE!</v>
      </c>
      <c r="HL7">
        <f>IF(Ischemia_25percent_output_edgel!586:586,"AAAAAH//bts=",0)</f>
        <v>0</v>
      </c>
      <c r="HM7" t="e">
        <f>AND(Ischemia_25percent_output_edgel!A586,"AAAAAH//btw=")</f>
        <v>#VALUE!</v>
      </c>
      <c r="HN7" t="e">
        <f>AND(Ischemia_25percent_output_edgel!B586,"AAAAAH//bt0=")</f>
        <v>#VALUE!</v>
      </c>
      <c r="HO7">
        <f>IF(Ischemia_25percent_output_edgel!587:587,"AAAAAH//bt4=",0)</f>
        <v>0</v>
      </c>
      <c r="HP7" t="e">
        <f>AND(Ischemia_25percent_output_edgel!A587,"AAAAAH//bt8=")</f>
        <v>#VALUE!</v>
      </c>
      <c r="HQ7" t="e">
        <f>AND(Ischemia_25percent_output_edgel!B587,"AAAAAH//buA=")</f>
        <v>#VALUE!</v>
      </c>
      <c r="HR7">
        <f>IF(Ischemia_25percent_output_edgel!588:588,"AAAAAH//buE=",0)</f>
        <v>0</v>
      </c>
      <c r="HS7" t="e">
        <f>AND(Ischemia_25percent_output_edgel!A588,"AAAAAH//buI=")</f>
        <v>#VALUE!</v>
      </c>
      <c r="HT7" t="e">
        <f>AND(Ischemia_25percent_output_edgel!B588,"AAAAAH//buM=")</f>
        <v>#VALUE!</v>
      </c>
      <c r="HU7">
        <f>IF(Ischemia_25percent_output_edgel!589:589,"AAAAAH//buQ=",0)</f>
        <v>0</v>
      </c>
      <c r="HV7" t="e">
        <f>AND(Ischemia_25percent_output_edgel!A589,"AAAAAH//buU=")</f>
        <v>#VALUE!</v>
      </c>
      <c r="HW7" t="e">
        <f>AND(Ischemia_25percent_output_edgel!B589,"AAAAAH//buY=")</f>
        <v>#VALUE!</v>
      </c>
      <c r="HX7">
        <f>IF(Ischemia_25percent_output_edgel!590:590,"AAAAAH//buc=",0)</f>
        <v>0</v>
      </c>
      <c r="HY7" t="e">
        <f>AND(Ischemia_25percent_output_edgel!A590,"AAAAAH//bug=")</f>
        <v>#VALUE!</v>
      </c>
      <c r="HZ7" t="e">
        <f>AND(Ischemia_25percent_output_edgel!B590,"AAAAAH//buk=")</f>
        <v>#VALUE!</v>
      </c>
      <c r="IA7">
        <f>IF(Ischemia_25percent_output_edgel!591:591,"AAAAAH//buo=",0)</f>
        <v>0</v>
      </c>
      <c r="IB7" t="e">
        <f>AND(Ischemia_25percent_output_edgel!A591,"AAAAAH//bus=")</f>
        <v>#VALUE!</v>
      </c>
      <c r="IC7" t="e">
        <f>AND(Ischemia_25percent_output_edgel!B591,"AAAAAH//buw=")</f>
        <v>#VALUE!</v>
      </c>
      <c r="ID7">
        <f>IF(Ischemia_25percent_output_edgel!592:592,"AAAAAH//bu0=",0)</f>
        <v>0</v>
      </c>
      <c r="IE7" t="e">
        <f>AND(Ischemia_25percent_output_edgel!A592,"AAAAAH//bu4=")</f>
        <v>#VALUE!</v>
      </c>
      <c r="IF7" t="e">
        <f>AND(Ischemia_25percent_output_edgel!B592,"AAAAAH//bu8=")</f>
        <v>#VALUE!</v>
      </c>
      <c r="IG7">
        <f>IF(Ischemia_25percent_output_edgel!593:593,"AAAAAH//bvA=",0)</f>
        <v>0</v>
      </c>
      <c r="IH7" t="e">
        <f>AND(Ischemia_25percent_output_edgel!A593,"AAAAAH//bvE=")</f>
        <v>#VALUE!</v>
      </c>
      <c r="II7" t="e">
        <f>AND(Ischemia_25percent_output_edgel!B593,"AAAAAH//bvI=")</f>
        <v>#VALUE!</v>
      </c>
      <c r="IJ7">
        <f>IF(Ischemia_25percent_output_edgel!594:594,"AAAAAH//bvM=",0)</f>
        <v>0</v>
      </c>
      <c r="IK7" t="e">
        <f>AND(Ischemia_25percent_output_edgel!A594,"AAAAAH//bvQ=")</f>
        <v>#VALUE!</v>
      </c>
      <c r="IL7" t="e">
        <f>AND(Ischemia_25percent_output_edgel!B594,"AAAAAH//bvU=")</f>
        <v>#VALUE!</v>
      </c>
      <c r="IM7">
        <f>IF(Ischemia_25percent_output_edgel!595:595,"AAAAAH//bvY=",0)</f>
        <v>0</v>
      </c>
      <c r="IN7" t="e">
        <f>AND(Ischemia_25percent_output_edgel!A595,"AAAAAH//bvc=")</f>
        <v>#VALUE!</v>
      </c>
      <c r="IO7" t="e">
        <f>AND(Ischemia_25percent_output_edgel!B595,"AAAAAH//bvg=")</f>
        <v>#VALUE!</v>
      </c>
      <c r="IP7">
        <f>IF(Ischemia_25percent_output_edgel!596:596,"AAAAAH//bvk=",0)</f>
        <v>0</v>
      </c>
      <c r="IQ7" t="e">
        <f>AND(Ischemia_25percent_output_edgel!A596,"AAAAAH//bvo=")</f>
        <v>#VALUE!</v>
      </c>
      <c r="IR7" t="e">
        <f>AND(Ischemia_25percent_output_edgel!B596,"AAAAAH//bvs=")</f>
        <v>#VALUE!</v>
      </c>
      <c r="IS7">
        <f>IF(Ischemia_25percent_output_edgel!597:597,"AAAAAH//bvw=",0)</f>
        <v>0</v>
      </c>
      <c r="IT7" t="e">
        <f>AND(Ischemia_25percent_output_edgel!A597,"AAAAAH//bv0=")</f>
        <v>#VALUE!</v>
      </c>
      <c r="IU7" t="e">
        <f>AND(Ischemia_25percent_output_edgel!B597,"AAAAAH//bv4=")</f>
        <v>#VALUE!</v>
      </c>
      <c r="IV7">
        <f>IF(Ischemia_25percent_output_edgel!598:598,"AAAAAH//bv8=",0)</f>
        <v>0</v>
      </c>
    </row>
    <row r="8" spans="1:256">
      <c r="A8" t="e">
        <f>AND(Ischemia_25percent_output_edgel!A598,"AAAAAH3rvwA=")</f>
        <v>#VALUE!</v>
      </c>
      <c r="B8" t="e">
        <f>AND(Ischemia_25percent_output_edgel!B598,"AAAAAH3rvwE=")</f>
        <v>#VALUE!</v>
      </c>
      <c r="C8">
        <f>IF(Ischemia_25percent_output_edgel!599:599,"AAAAAH3rvwI=",0)</f>
        <v>0</v>
      </c>
      <c r="D8" t="e">
        <f>AND(Ischemia_25percent_output_edgel!A599,"AAAAAH3rvwM=")</f>
        <v>#VALUE!</v>
      </c>
      <c r="E8" t="e">
        <f>AND(Ischemia_25percent_output_edgel!B599,"AAAAAH3rvwQ=")</f>
        <v>#VALUE!</v>
      </c>
      <c r="F8">
        <f>IF(Ischemia_25percent_output_edgel!600:600,"AAAAAH3rvwU=",0)</f>
        <v>0</v>
      </c>
      <c r="G8" t="e">
        <f>AND(Ischemia_25percent_output_edgel!A600,"AAAAAH3rvwY=")</f>
        <v>#VALUE!</v>
      </c>
      <c r="H8" t="e">
        <f>AND(Ischemia_25percent_output_edgel!B600,"AAAAAH3rvwc=")</f>
        <v>#VALUE!</v>
      </c>
      <c r="I8">
        <f>IF(Ischemia_25percent_output_edgel!601:601,"AAAAAH3rvwg=",0)</f>
        <v>0</v>
      </c>
      <c r="J8" t="e">
        <f>AND(Ischemia_25percent_output_edgel!A601,"AAAAAH3rvwk=")</f>
        <v>#VALUE!</v>
      </c>
      <c r="K8" t="e">
        <f>AND(Ischemia_25percent_output_edgel!B601,"AAAAAH3rvwo=")</f>
        <v>#VALUE!</v>
      </c>
      <c r="L8">
        <f>IF(Ischemia_25percent_output_edgel!602:602,"AAAAAH3rvws=",0)</f>
        <v>0</v>
      </c>
      <c r="M8" t="e">
        <f>AND(Ischemia_25percent_output_edgel!A602,"AAAAAH3rvww=")</f>
        <v>#VALUE!</v>
      </c>
      <c r="N8" t="e">
        <f>AND(Ischemia_25percent_output_edgel!B602,"AAAAAH3rvw0=")</f>
        <v>#VALUE!</v>
      </c>
      <c r="O8">
        <f>IF(Ischemia_25percent_output_edgel!603:603,"AAAAAH3rvw4=",0)</f>
        <v>0</v>
      </c>
      <c r="P8" t="e">
        <f>AND(Ischemia_25percent_output_edgel!A603,"AAAAAH3rvw8=")</f>
        <v>#VALUE!</v>
      </c>
      <c r="Q8" t="e">
        <f>AND(Ischemia_25percent_output_edgel!B603,"AAAAAH3rvxA=")</f>
        <v>#VALUE!</v>
      </c>
      <c r="R8">
        <f>IF(Ischemia_25percent_output_edgel!604:604,"AAAAAH3rvxE=",0)</f>
        <v>0</v>
      </c>
      <c r="S8" t="e">
        <f>AND(Ischemia_25percent_output_edgel!A604,"AAAAAH3rvxI=")</f>
        <v>#VALUE!</v>
      </c>
      <c r="T8" t="e">
        <f>AND(Ischemia_25percent_output_edgel!B604,"AAAAAH3rvxM=")</f>
        <v>#VALUE!</v>
      </c>
      <c r="U8">
        <f>IF(Ischemia_25percent_output_edgel!605:605,"AAAAAH3rvxQ=",0)</f>
        <v>0</v>
      </c>
      <c r="V8" t="e">
        <f>AND(Ischemia_25percent_output_edgel!A605,"AAAAAH3rvxU=")</f>
        <v>#VALUE!</v>
      </c>
      <c r="W8" t="e">
        <f>AND(Ischemia_25percent_output_edgel!B605,"AAAAAH3rvxY=")</f>
        <v>#VALUE!</v>
      </c>
      <c r="X8">
        <f>IF(Ischemia_25percent_output_edgel!606:606,"AAAAAH3rvxc=",0)</f>
        <v>0</v>
      </c>
      <c r="Y8" t="e">
        <f>AND(Ischemia_25percent_output_edgel!A606,"AAAAAH3rvxg=")</f>
        <v>#VALUE!</v>
      </c>
      <c r="Z8" t="e">
        <f>AND(Ischemia_25percent_output_edgel!B606,"AAAAAH3rvxk=")</f>
        <v>#VALUE!</v>
      </c>
      <c r="AA8">
        <f>IF(Ischemia_25percent_output_edgel!607:607,"AAAAAH3rvxo=",0)</f>
        <v>0</v>
      </c>
      <c r="AB8" t="e">
        <f>AND(Ischemia_25percent_output_edgel!A607,"AAAAAH3rvxs=")</f>
        <v>#VALUE!</v>
      </c>
      <c r="AC8" t="e">
        <f>AND(Ischemia_25percent_output_edgel!B607,"AAAAAH3rvxw=")</f>
        <v>#VALUE!</v>
      </c>
      <c r="AD8">
        <f>IF(Ischemia_25percent_output_edgel!608:608,"AAAAAH3rvx0=",0)</f>
        <v>0</v>
      </c>
      <c r="AE8" t="e">
        <f>AND(Ischemia_25percent_output_edgel!A608,"AAAAAH3rvx4=")</f>
        <v>#VALUE!</v>
      </c>
      <c r="AF8" t="e">
        <f>AND(Ischemia_25percent_output_edgel!B608,"AAAAAH3rvx8=")</f>
        <v>#VALUE!</v>
      </c>
      <c r="AG8">
        <f>IF(Ischemia_25percent_output_edgel!609:609,"AAAAAH3rvyA=",0)</f>
        <v>0</v>
      </c>
      <c r="AH8" t="e">
        <f>AND(Ischemia_25percent_output_edgel!A609,"AAAAAH3rvyE=")</f>
        <v>#VALUE!</v>
      </c>
      <c r="AI8" t="e">
        <f>AND(Ischemia_25percent_output_edgel!B609,"AAAAAH3rvyI=")</f>
        <v>#VALUE!</v>
      </c>
      <c r="AJ8">
        <f>IF(Ischemia_25percent_output_edgel!610:610,"AAAAAH3rvyM=",0)</f>
        <v>0</v>
      </c>
      <c r="AK8" t="e">
        <f>AND(Ischemia_25percent_output_edgel!A610,"AAAAAH3rvyQ=")</f>
        <v>#VALUE!</v>
      </c>
      <c r="AL8" t="e">
        <f>AND(Ischemia_25percent_output_edgel!B610,"AAAAAH3rvyU=")</f>
        <v>#VALUE!</v>
      </c>
      <c r="AM8">
        <f>IF(Ischemia_25percent_output_edgel!611:611,"AAAAAH3rvyY=",0)</f>
        <v>0</v>
      </c>
      <c r="AN8" t="e">
        <f>AND(Ischemia_25percent_output_edgel!A611,"AAAAAH3rvyc=")</f>
        <v>#VALUE!</v>
      </c>
      <c r="AO8" t="e">
        <f>AND(Ischemia_25percent_output_edgel!B611,"AAAAAH3rvyg=")</f>
        <v>#VALUE!</v>
      </c>
      <c r="AP8">
        <f>IF(Ischemia_25percent_output_edgel!612:612,"AAAAAH3rvyk=",0)</f>
        <v>0</v>
      </c>
      <c r="AQ8" t="e">
        <f>AND(Ischemia_25percent_output_edgel!A612,"AAAAAH3rvyo=")</f>
        <v>#VALUE!</v>
      </c>
      <c r="AR8" t="e">
        <f>AND(Ischemia_25percent_output_edgel!B612,"AAAAAH3rvys=")</f>
        <v>#VALUE!</v>
      </c>
      <c r="AS8">
        <f>IF(Ischemia_25percent_output_edgel!613:613,"AAAAAH3rvyw=",0)</f>
        <v>0</v>
      </c>
      <c r="AT8" t="e">
        <f>AND(Ischemia_25percent_output_edgel!A613,"AAAAAH3rvy0=")</f>
        <v>#VALUE!</v>
      </c>
      <c r="AU8" t="e">
        <f>AND(Ischemia_25percent_output_edgel!B613,"AAAAAH3rvy4=")</f>
        <v>#VALUE!</v>
      </c>
      <c r="AV8">
        <f>IF(Ischemia_25percent_output_edgel!614:614,"AAAAAH3rvy8=",0)</f>
        <v>0</v>
      </c>
      <c r="AW8" t="e">
        <f>AND(Ischemia_25percent_output_edgel!A614,"AAAAAH3rvzA=")</f>
        <v>#VALUE!</v>
      </c>
      <c r="AX8" t="e">
        <f>AND(Ischemia_25percent_output_edgel!B614,"AAAAAH3rvzE=")</f>
        <v>#VALUE!</v>
      </c>
      <c r="AY8">
        <f>IF(Ischemia_25percent_output_edgel!615:615,"AAAAAH3rvzI=",0)</f>
        <v>0</v>
      </c>
      <c r="AZ8" t="e">
        <f>AND(Ischemia_25percent_output_edgel!A615,"AAAAAH3rvzM=")</f>
        <v>#VALUE!</v>
      </c>
      <c r="BA8" t="e">
        <f>AND(Ischemia_25percent_output_edgel!B615,"AAAAAH3rvzQ=")</f>
        <v>#VALUE!</v>
      </c>
      <c r="BB8">
        <f>IF(Ischemia_25percent_output_edgel!616:616,"AAAAAH3rvzU=",0)</f>
        <v>0</v>
      </c>
      <c r="BC8" t="e">
        <f>AND(Ischemia_25percent_output_edgel!A616,"AAAAAH3rvzY=")</f>
        <v>#VALUE!</v>
      </c>
      <c r="BD8" t="e">
        <f>AND(Ischemia_25percent_output_edgel!B616,"AAAAAH3rvzc=")</f>
        <v>#VALUE!</v>
      </c>
      <c r="BE8">
        <f>IF(Ischemia_25percent_output_edgel!617:617,"AAAAAH3rvzg=",0)</f>
        <v>0</v>
      </c>
      <c r="BF8" t="e">
        <f>AND(Ischemia_25percent_output_edgel!A617,"AAAAAH3rvzk=")</f>
        <v>#VALUE!</v>
      </c>
      <c r="BG8" t="e">
        <f>AND(Ischemia_25percent_output_edgel!B617,"AAAAAH3rvzo=")</f>
        <v>#VALUE!</v>
      </c>
      <c r="BH8">
        <f>IF(Ischemia_25percent_output_edgel!618:618,"AAAAAH3rvzs=",0)</f>
        <v>0</v>
      </c>
      <c r="BI8" t="e">
        <f>AND(Ischemia_25percent_output_edgel!A618,"AAAAAH3rvzw=")</f>
        <v>#VALUE!</v>
      </c>
      <c r="BJ8" t="e">
        <f>AND(Ischemia_25percent_output_edgel!B618,"AAAAAH3rvz0=")</f>
        <v>#VALUE!</v>
      </c>
      <c r="BK8">
        <f>IF(Ischemia_25percent_output_edgel!619:619,"AAAAAH3rvz4=",0)</f>
        <v>0</v>
      </c>
      <c r="BL8" t="e">
        <f>AND(Ischemia_25percent_output_edgel!A619,"AAAAAH3rvz8=")</f>
        <v>#VALUE!</v>
      </c>
      <c r="BM8" t="e">
        <f>AND(Ischemia_25percent_output_edgel!B619,"AAAAAH3rv0A=")</f>
        <v>#VALUE!</v>
      </c>
      <c r="BN8">
        <f>IF(Ischemia_25percent_output_edgel!620:620,"AAAAAH3rv0E=",0)</f>
        <v>0</v>
      </c>
      <c r="BO8" t="e">
        <f>AND(Ischemia_25percent_output_edgel!A620,"AAAAAH3rv0I=")</f>
        <v>#VALUE!</v>
      </c>
      <c r="BP8" t="e">
        <f>AND(Ischemia_25percent_output_edgel!B620,"AAAAAH3rv0M=")</f>
        <v>#VALUE!</v>
      </c>
      <c r="BQ8">
        <f>IF(Ischemia_25percent_output_edgel!621:621,"AAAAAH3rv0Q=",0)</f>
        <v>0</v>
      </c>
      <c r="BR8" t="e">
        <f>AND(Ischemia_25percent_output_edgel!A621,"AAAAAH3rv0U=")</f>
        <v>#VALUE!</v>
      </c>
      <c r="BS8" t="e">
        <f>AND(Ischemia_25percent_output_edgel!B621,"AAAAAH3rv0Y=")</f>
        <v>#VALUE!</v>
      </c>
      <c r="BT8">
        <f>IF(Ischemia_25percent_output_edgel!622:622,"AAAAAH3rv0c=",0)</f>
        <v>0</v>
      </c>
      <c r="BU8" t="e">
        <f>AND(Ischemia_25percent_output_edgel!A622,"AAAAAH3rv0g=")</f>
        <v>#VALUE!</v>
      </c>
      <c r="BV8" t="e">
        <f>AND(Ischemia_25percent_output_edgel!B622,"AAAAAH3rv0k=")</f>
        <v>#VALUE!</v>
      </c>
      <c r="BW8">
        <f>IF(Ischemia_25percent_output_edgel!623:623,"AAAAAH3rv0o=",0)</f>
        <v>0</v>
      </c>
      <c r="BX8" t="e">
        <f>AND(Ischemia_25percent_output_edgel!A623,"AAAAAH3rv0s=")</f>
        <v>#VALUE!</v>
      </c>
      <c r="BY8" t="e">
        <f>AND(Ischemia_25percent_output_edgel!B623,"AAAAAH3rv0w=")</f>
        <v>#VALUE!</v>
      </c>
      <c r="BZ8">
        <f>IF(Ischemia_25percent_output_edgel!624:624,"AAAAAH3rv00=",0)</f>
        <v>0</v>
      </c>
      <c r="CA8" t="e">
        <f>AND(Ischemia_25percent_output_edgel!A624,"AAAAAH3rv04=")</f>
        <v>#VALUE!</v>
      </c>
      <c r="CB8" t="e">
        <f>AND(Ischemia_25percent_output_edgel!B624,"AAAAAH3rv08=")</f>
        <v>#VALUE!</v>
      </c>
      <c r="CC8">
        <f>IF(Ischemia_25percent_output_edgel!625:625,"AAAAAH3rv1A=",0)</f>
        <v>0</v>
      </c>
      <c r="CD8" t="e">
        <f>AND(Ischemia_25percent_output_edgel!A625,"AAAAAH3rv1E=")</f>
        <v>#VALUE!</v>
      </c>
      <c r="CE8" t="e">
        <f>AND(Ischemia_25percent_output_edgel!B625,"AAAAAH3rv1I=")</f>
        <v>#VALUE!</v>
      </c>
      <c r="CF8">
        <f>IF(Ischemia_25percent_output_edgel!626:626,"AAAAAH3rv1M=",0)</f>
        <v>0</v>
      </c>
      <c r="CG8" t="e">
        <f>AND(Ischemia_25percent_output_edgel!A626,"AAAAAH3rv1Q=")</f>
        <v>#VALUE!</v>
      </c>
      <c r="CH8" t="e">
        <f>AND(Ischemia_25percent_output_edgel!B626,"AAAAAH3rv1U=")</f>
        <v>#VALUE!</v>
      </c>
      <c r="CI8">
        <f>IF(Ischemia_25percent_output_edgel!627:627,"AAAAAH3rv1Y=",0)</f>
        <v>0</v>
      </c>
      <c r="CJ8" t="e">
        <f>AND(Ischemia_25percent_output_edgel!A627,"AAAAAH3rv1c=")</f>
        <v>#VALUE!</v>
      </c>
      <c r="CK8" t="e">
        <f>AND(Ischemia_25percent_output_edgel!B627,"AAAAAH3rv1g=")</f>
        <v>#VALUE!</v>
      </c>
      <c r="CL8">
        <f>IF(Ischemia_25percent_output_edgel!628:628,"AAAAAH3rv1k=",0)</f>
        <v>0</v>
      </c>
      <c r="CM8" t="e">
        <f>AND(Ischemia_25percent_output_edgel!A628,"AAAAAH3rv1o=")</f>
        <v>#VALUE!</v>
      </c>
      <c r="CN8" t="e">
        <f>AND(Ischemia_25percent_output_edgel!B628,"AAAAAH3rv1s=")</f>
        <v>#VALUE!</v>
      </c>
      <c r="CO8">
        <f>IF(Ischemia_25percent_output_edgel!629:629,"AAAAAH3rv1w=",0)</f>
        <v>0</v>
      </c>
      <c r="CP8" t="e">
        <f>AND(Ischemia_25percent_output_edgel!A629,"AAAAAH3rv10=")</f>
        <v>#VALUE!</v>
      </c>
      <c r="CQ8" t="e">
        <f>AND(Ischemia_25percent_output_edgel!B629,"AAAAAH3rv14=")</f>
        <v>#VALUE!</v>
      </c>
      <c r="CR8">
        <f>IF(Ischemia_25percent_output_edgel!630:630,"AAAAAH3rv18=",0)</f>
        <v>0</v>
      </c>
      <c r="CS8" t="e">
        <f>AND(Ischemia_25percent_output_edgel!A630,"AAAAAH3rv2A=")</f>
        <v>#VALUE!</v>
      </c>
      <c r="CT8" t="e">
        <f>AND(Ischemia_25percent_output_edgel!B630,"AAAAAH3rv2E=")</f>
        <v>#VALUE!</v>
      </c>
      <c r="CU8">
        <f>IF(Ischemia_25percent_output_edgel!631:631,"AAAAAH3rv2I=",0)</f>
        <v>0</v>
      </c>
      <c r="CV8" t="e">
        <f>AND(Ischemia_25percent_output_edgel!A631,"AAAAAH3rv2M=")</f>
        <v>#VALUE!</v>
      </c>
      <c r="CW8" t="e">
        <f>AND(Ischemia_25percent_output_edgel!B631,"AAAAAH3rv2Q=")</f>
        <v>#VALUE!</v>
      </c>
      <c r="CX8">
        <f>IF(Ischemia_25percent_output_edgel!632:632,"AAAAAH3rv2U=",0)</f>
        <v>0</v>
      </c>
      <c r="CY8" t="e">
        <f>AND(Ischemia_25percent_output_edgel!A632,"AAAAAH3rv2Y=")</f>
        <v>#VALUE!</v>
      </c>
      <c r="CZ8" t="e">
        <f>AND(Ischemia_25percent_output_edgel!B632,"AAAAAH3rv2c=")</f>
        <v>#VALUE!</v>
      </c>
      <c r="DA8">
        <f>IF(Ischemia_25percent_output_edgel!633:633,"AAAAAH3rv2g=",0)</f>
        <v>0</v>
      </c>
      <c r="DB8" t="e">
        <f>AND(Ischemia_25percent_output_edgel!A633,"AAAAAH3rv2k=")</f>
        <v>#VALUE!</v>
      </c>
      <c r="DC8" t="e">
        <f>AND(Ischemia_25percent_output_edgel!B633,"AAAAAH3rv2o=")</f>
        <v>#VALUE!</v>
      </c>
      <c r="DD8">
        <f>IF(Ischemia_25percent_output_edgel!634:634,"AAAAAH3rv2s=",0)</f>
        <v>0</v>
      </c>
      <c r="DE8" t="e">
        <f>AND(Ischemia_25percent_output_edgel!A634,"AAAAAH3rv2w=")</f>
        <v>#VALUE!</v>
      </c>
      <c r="DF8" t="e">
        <f>AND(Ischemia_25percent_output_edgel!B634,"AAAAAH3rv20=")</f>
        <v>#VALUE!</v>
      </c>
      <c r="DG8">
        <f>IF(Ischemia_25percent_output_edgel!635:635,"AAAAAH3rv24=",0)</f>
        <v>0</v>
      </c>
      <c r="DH8" t="e">
        <f>AND(Ischemia_25percent_output_edgel!A635,"AAAAAH3rv28=")</f>
        <v>#VALUE!</v>
      </c>
      <c r="DI8" t="e">
        <f>AND(Ischemia_25percent_output_edgel!B635,"AAAAAH3rv3A=")</f>
        <v>#VALUE!</v>
      </c>
      <c r="DJ8">
        <f>IF(Ischemia_25percent_output_edgel!636:636,"AAAAAH3rv3E=",0)</f>
        <v>0</v>
      </c>
      <c r="DK8" t="e">
        <f>AND(Ischemia_25percent_output_edgel!A636,"AAAAAH3rv3I=")</f>
        <v>#VALUE!</v>
      </c>
      <c r="DL8" t="e">
        <f>AND(Ischemia_25percent_output_edgel!B636,"AAAAAH3rv3M=")</f>
        <v>#VALUE!</v>
      </c>
      <c r="DM8">
        <f>IF(Ischemia_25percent_output_edgel!637:637,"AAAAAH3rv3Q=",0)</f>
        <v>0</v>
      </c>
      <c r="DN8" t="e">
        <f>AND(Ischemia_25percent_output_edgel!A637,"AAAAAH3rv3U=")</f>
        <v>#VALUE!</v>
      </c>
      <c r="DO8" t="e">
        <f>AND(Ischemia_25percent_output_edgel!B637,"AAAAAH3rv3Y=")</f>
        <v>#VALUE!</v>
      </c>
      <c r="DP8">
        <f>IF(Ischemia_25percent_output_edgel!638:638,"AAAAAH3rv3c=",0)</f>
        <v>0</v>
      </c>
      <c r="DQ8" t="e">
        <f>AND(Ischemia_25percent_output_edgel!A638,"AAAAAH3rv3g=")</f>
        <v>#VALUE!</v>
      </c>
      <c r="DR8" t="e">
        <f>AND(Ischemia_25percent_output_edgel!B638,"AAAAAH3rv3k=")</f>
        <v>#VALUE!</v>
      </c>
      <c r="DS8">
        <f>IF(Ischemia_25percent_output_edgel!639:639,"AAAAAH3rv3o=",0)</f>
        <v>0</v>
      </c>
      <c r="DT8" t="e">
        <f>AND(Ischemia_25percent_output_edgel!A639,"AAAAAH3rv3s=")</f>
        <v>#VALUE!</v>
      </c>
      <c r="DU8" t="e">
        <f>AND(Ischemia_25percent_output_edgel!B639,"AAAAAH3rv3w=")</f>
        <v>#VALUE!</v>
      </c>
      <c r="DV8">
        <f>IF(Ischemia_25percent_output_edgel!640:640,"AAAAAH3rv30=",0)</f>
        <v>0</v>
      </c>
      <c r="DW8" t="e">
        <f>AND(Ischemia_25percent_output_edgel!A640,"AAAAAH3rv34=")</f>
        <v>#VALUE!</v>
      </c>
      <c r="DX8" t="e">
        <f>AND(Ischemia_25percent_output_edgel!B640,"AAAAAH3rv38=")</f>
        <v>#VALUE!</v>
      </c>
      <c r="DY8">
        <f>IF(Ischemia_25percent_output_edgel!641:641,"AAAAAH3rv4A=",0)</f>
        <v>0</v>
      </c>
      <c r="DZ8" t="e">
        <f>AND(Ischemia_25percent_output_edgel!A641,"AAAAAH3rv4E=")</f>
        <v>#VALUE!</v>
      </c>
      <c r="EA8" t="e">
        <f>AND(Ischemia_25percent_output_edgel!B641,"AAAAAH3rv4I=")</f>
        <v>#VALUE!</v>
      </c>
      <c r="EB8">
        <f>IF(Ischemia_25percent_output_edgel!642:642,"AAAAAH3rv4M=",0)</f>
        <v>0</v>
      </c>
      <c r="EC8" t="e">
        <f>AND(Ischemia_25percent_output_edgel!A642,"AAAAAH3rv4Q=")</f>
        <v>#VALUE!</v>
      </c>
      <c r="ED8" t="e">
        <f>AND(Ischemia_25percent_output_edgel!B642,"AAAAAH3rv4U=")</f>
        <v>#VALUE!</v>
      </c>
      <c r="EE8">
        <f>IF(Ischemia_25percent_output_edgel!643:643,"AAAAAH3rv4Y=",0)</f>
        <v>0</v>
      </c>
      <c r="EF8" t="e">
        <f>AND(Ischemia_25percent_output_edgel!A643,"AAAAAH3rv4c=")</f>
        <v>#VALUE!</v>
      </c>
      <c r="EG8" t="e">
        <f>AND(Ischemia_25percent_output_edgel!B643,"AAAAAH3rv4g=")</f>
        <v>#VALUE!</v>
      </c>
      <c r="EH8">
        <f>IF(Ischemia_25percent_output_edgel!644:644,"AAAAAH3rv4k=",0)</f>
        <v>0</v>
      </c>
      <c r="EI8" t="e">
        <f>AND(Ischemia_25percent_output_edgel!A644,"AAAAAH3rv4o=")</f>
        <v>#VALUE!</v>
      </c>
      <c r="EJ8" t="e">
        <f>AND(Ischemia_25percent_output_edgel!B644,"AAAAAH3rv4s=")</f>
        <v>#VALUE!</v>
      </c>
      <c r="EK8">
        <f>IF(Ischemia_25percent_output_edgel!645:645,"AAAAAH3rv4w=",0)</f>
        <v>0</v>
      </c>
      <c r="EL8" t="e">
        <f>AND(Ischemia_25percent_output_edgel!A645,"AAAAAH3rv40=")</f>
        <v>#VALUE!</v>
      </c>
      <c r="EM8" t="e">
        <f>AND(Ischemia_25percent_output_edgel!B645,"AAAAAH3rv44=")</f>
        <v>#VALUE!</v>
      </c>
      <c r="EN8">
        <f>IF(Ischemia_25percent_output_edgel!646:646,"AAAAAH3rv48=",0)</f>
        <v>0</v>
      </c>
      <c r="EO8" t="e">
        <f>AND(Ischemia_25percent_output_edgel!A646,"AAAAAH3rv5A=")</f>
        <v>#VALUE!</v>
      </c>
      <c r="EP8" t="e">
        <f>AND(Ischemia_25percent_output_edgel!B646,"AAAAAH3rv5E=")</f>
        <v>#VALUE!</v>
      </c>
      <c r="EQ8">
        <f>IF(Ischemia_25percent_output_edgel!647:647,"AAAAAH3rv5I=",0)</f>
        <v>0</v>
      </c>
      <c r="ER8" t="e">
        <f>AND(Ischemia_25percent_output_edgel!A647,"AAAAAH3rv5M=")</f>
        <v>#VALUE!</v>
      </c>
      <c r="ES8" t="e">
        <f>AND(Ischemia_25percent_output_edgel!B647,"AAAAAH3rv5Q=")</f>
        <v>#VALUE!</v>
      </c>
      <c r="ET8">
        <f>IF(Ischemia_25percent_output_edgel!648:648,"AAAAAH3rv5U=",0)</f>
        <v>0</v>
      </c>
      <c r="EU8" t="e">
        <f>AND(Ischemia_25percent_output_edgel!A648,"AAAAAH3rv5Y=")</f>
        <v>#VALUE!</v>
      </c>
      <c r="EV8" t="e">
        <f>AND(Ischemia_25percent_output_edgel!B648,"AAAAAH3rv5c=")</f>
        <v>#VALUE!</v>
      </c>
      <c r="EW8">
        <f>IF(Ischemia_25percent_output_edgel!649:649,"AAAAAH3rv5g=",0)</f>
        <v>0</v>
      </c>
      <c r="EX8" t="e">
        <f>AND(Ischemia_25percent_output_edgel!A649,"AAAAAH3rv5k=")</f>
        <v>#VALUE!</v>
      </c>
      <c r="EY8" t="e">
        <f>AND(Ischemia_25percent_output_edgel!B649,"AAAAAH3rv5o=")</f>
        <v>#VALUE!</v>
      </c>
      <c r="EZ8">
        <f>IF(Ischemia_25percent_output_edgel!650:650,"AAAAAH3rv5s=",0)</f>
        <v>0</v>
      </c>
      <c r="FA8" t="e">
        <f>AND(Ischemia_25percent_output_edgel!A650,"AAAAAH3rv5w=")</f>
        <v>#VALUE!</v>
      </c>
      <c r="FB8" t="e">
        <f>AND(Ischemia_25percent_output_edgel!B650,"AAAAAH3rv50=")</f>
        <v>#VALUE!</v>
      </c>
      <c r="FC8">
        <f>IF(Ischemia_25percent_output_edgel!651:651,"AAAAAH3rv54=",0)</f>
        <v>0</v>
      </c>
      <c r="FD8" t="e">
        <f>AND(Ischemia_25percent_output_edgel!A651,"AAAAAH3rv58=")</f>
        <v>#VALUE!</v>
      </c>
      <c r="FE8" t="e">
        <f>AND(Ischemia_25percent_output_edgel!B651,"AAAAAH3rv6A=")</f>
        <v>#VALUE!</v>
      </c>
      <c r="FF8">
        <f>IF(Ischemia_25percent_output_edgel!652:652,"AAAAAH3rv6E=",0)</f>
        <v>0</v>
      </c>
      <c r="FG8" t="e">
        <f>AND(Ischemia_25percent_output_edgel!A652,"AAAAAH3rv6I=")</f>
        <v>#VALUE!</v>
      </c>
      <c r="FH8" t="e">
        <f>AND(Ischemia_25percent_output_edgel!B652,"AAAAAH3rv6M=")</f>
        <v>#VALUE!</v>
      </c>
      <c r="FI8">
        <f>IF(Ischemia_25percent_output_edgel!653:653,"AAAAAH3rv6Q=",0)</f>
        <v>0</v>
      </c>
      <c r="FJ8" t="e">
        <f>AND(Ischemia_25percent_output_edgel!A653,"AAAAAH3rv6U=")</f>
        <v>#VALUE!</v>
      </c>
      <c r="FK8" t="e">
        <f>AND(Ischemia_25percent_output_edgel!B653,"AAAAAH3rv6Y=")</f>
        <v>#VALUE!</v>
      </c>
      <c r="FL8">
        <f>IF(Ischemia_25percent_output_edgel!654:654,"AAAAAH3rv6c=",0)</f>
        <v>0</v>
      </c>
      <c r="FM8" t="e">
        <f>AND(Ischemia_25percent_output_edgel!A654,"AAAAAH3rv6g=")</f>
        <v>#VALUE!</v>
      </c>
      <c r="FN8" t="e">
        <f>AND(Ischemia_25percent_output_edgel!B654,"AAAAAH3rv6k=")</f>
        <v>#VALUE!</v>
      </c>
      <c r="FO8">
        <f>IF(Ischemia_25percent_output_edgel!655:655,"AAAAAH3rv6o=",0)</f>
        <v>0</v>
      </c>
      <c r="FP8" t="e">
        <f>AND(Ischemia_25percent_output_edgel!A655,"AAAAAH3rv6s=")</f>
        <v>#VALUE!</v>
      </c>
      <c r="FQ8" t="e">
        <f>AND(Ischemia_25percent_output_edgel!B655,"AAAAAH3rv6w=")</f>
        <v>#VALUE!</v>
      </c>
      <c r="FR8">
        <f>IF(Ischemia_25percent_output_edgel!656:656,"AAAAAH3rv60=",0)</f>
        <v>0</v>
      </c>
      <c r="FS8" t="e">
        <f>AND(Ischemia_25percent_output_edgel!A656,"AAAAAH3rv64=")</f>
        <v>#VALUE!</v>
      </c>
      <c r="FT8" t="e">
        <f>AND(Ischemia_25percent_output_edgel!B656,"AAAAAH3rv68=")</f>
        <v>#VALUE!</v>
      </c>
      <c r="FU8">
        <f>IF(Ischemia_25percent_output_edgel!657:657,"AAAAAH3rv7A=",0)</f>
        <v>0</v>
      </c>
      <c r="FV8" t="e">
        <f>AND(Ischemia_25percent_output_edgel!A657,"AAAAAH3rv7E=")</f>
        <v>#VALUE!</v>
      </c>
      <c r="FW8" t="e">
        <f>AND(Ischemia_25percent_output_edgel!B657,"AAAAAH3rv7I=")</f>
        <v>#VALUE!</v>
      </c>
      <c r="FX8">
        <f>IF(Ischemia_25percent_output_edgel!658:658,"AAAAAH3rv7M=",0)</f>
        <v>0</v>
      </c>
      <c r="FY8" t="e">
        <f>AND(Ischemia_25percent_output_edgel!A658,"AAAAAH3rv7Q=")</f>
        <v>#VALUE!</v>
      </c>
      <c r="FZ8" t="e">
        <f>AND(Ischemia_25percent_output_edgel!B658,"AAAAAH3rv7U=")</f>
        <v>#VALUE!</v>
      </c>
      <c r="GA8">
        <f>IF(Ischemia_25percent_output_edgel!659:659,"AAAAAH3rv7Y=",0)</f>
        <v>0</v>
      </c>
      <c r="GB8" t="e">
        <f>AND(Ischemia_25percent_output_edgel!A659,"AAAAAH3rv7c=")</f>
        <v>#VALUE!</v>
      </c>
      <c r="GC8" t="e">
        <f>AND(Ischemia_25percent_output_edgel!B659,"AAAAAH3rv7g=")</f>
        <v>#VALUE!</v>
      </c>
      <c r="GD8">
        <f>IF(Ischemia_25percent_output_edgel!660:660,"AAAAAH3rv7k=",0)</f>
        <v>0</v>
      </c>
      <c r="GE8" t="e">
        <f>AND(Ischemia_25percent_output_edgel!A660,"AAAAAH3rv7o=")</f>
        <v>#VALUE!</v>
      </c>
      <c r="GF8" t="e">
        <f>AND(Ischemia_25percent_output_edgel!B660,"AAAAAH3rv7s=")</f>
        <v>#VALUE!</v>
      </c>
      <c r="GG8">
        <f>IF(Ischemia_25percent_output_edgel!661:661,"AAAAAH3rv7w=",0)</f>
        <v>0</v>
      </c>
      <c r="GH8" t="e">
        <f>AND(Ischemia_25percent_output_edgel!A661,"AAAAAH3rv70=")</f>
        <v>#VALUE!</v>
      </c>
      <c r="GI8" t="e">
        <f>AND(Ischemia_25percent_output_edgel!B661,"AAAAAH3rv74=")</f>
        <v>#VALUE!</v>
      </c>
      <c r="GJ8">
        <f>IF(Ischemia_25percent_output_edgel!662:662,"AAAAAH3rv78=",0)</f>
        <v>0</v>
      </c>
      <c r="GK8" t="e">
        <f>AND(Ischemia_25percent_output_edgel!A662,"AAAAAH3rv8A=")</f>
        <v>#VALUE!</v>
      </c>
      <c r="GL8" t="e">
        <f>AND(Ischemia_25percent_output_edgel!B662,"AAAAAH3rv8E=")</f>
        <v>#VALUE!</v>
      </c>
      <c r="GM8">
        <f>IF(Ischemia_25percent_output_edgel!663:663,"AAAAAH3rv8I=",0)</f>
        <v>0</v>
      </c>
      <c r="GN8" t="e">
        <f>AND(Ischemia_25percent_output_edgel!A663,"AAAAAH3rv8M=")</f>
        <v>#VALUE!</v>
      </c>
      <c r="GO8" t="e">
        <f>AND(Ischemia_25percent_output_edgel!B663,"AAAAAH3rv8Q=")</f>
        <v>#VALUE!</v>
      </c>
      <c r="GP8">
        <f>IF(Ischemia_25percent_output_edgel!664:664,"AAAAAH3rv8U=",0)</f>
        <v>0</v>
      </c>
      <c r="GQ8" t="e">
        <f>AND(Ischemia_25percent_output_edgel!A664,"AAAAAH3rv8Y=")</f>
        <v>#VALUE!</v>
      </c>
      <c r="GR8" t="e">
        <f>AND(Ischemia_25percent_output_edgel!B664,"AAAAAH3rv8c=")</f>
        <v>#VALUE!</v>
      </c>
      <c r="GS8">
        <f>IF(Ischemia_25percent_output_edgel!665:665,"AAAAAH3rv8g=",0)</f>
        <v>0</v>
      </c>
      <c r="GT8" t="e">
        <f>AND(Ischemia_25percent_output_edgel!A665,"AAAAAH3rv8k=")</f>
        <v>#VALUE!</v>
      </c>
      <c r="GU8" t="e">
        <f>AND(Ischemia_25percent_output_edgel!B665,"AAAAAH3rv8o=")</f>
        <v>#VALUE!</v>
      </c>
      <c r="GV8">
        <f>IF(Ischemia_25percent_output_edgel!666:666,"AAAAAH3rv8s=",0)</f>
        <v>0</v>
      </c>
      <c r="GW8" t="e">
        <f>AND(Ischemia_25percent_output_edgel!A666,"AAAAAH3rv8w=")</f>
        <v>#VALUE!</v>
      </c>
      <c r="GX8" t="e">
        <f>AND(Ischemia_25percent_output_edgel!B666,"AAAAAH3rv80=")</f>
        <v>#VALUE!</v>
      </c>
      <c r="GY8">
        <f>IF(Ischemia_25percent_output_edgel!667:667,"AAAAAH3rv84=",0)</f>
        <v>0</v>
      </c>
      <c r="GZ8" t="e">
        <f>AND(Ischemia_25percent_output_edgel!A667,"AAAAAH3rv88=")</f>
        <v>#VALUE!</v>
      </c>
      <c r="HA8" t="e">
        <f>AND(Ischemia_25percent_output_edgel!B667,"AAAAAH3rv9A=")</f>
        <v>#VALUE!</v>
      </c>
      <c r="HB8">
        <f>IF(Ischemia_25percent_output_edgel!668:668,"AAAAAH3rv9E=",0)</f>
        <v>0</v>
      </c>
      <c r="HC8" t="e">
        <f>AND(Ischemia_25percent_output_edgel!A668,"AAAAAH3rv9I=")</f>
        <v>#VALUE!</v>
      </c>
      <c r="HD8" t="e">
        <f>AND(Ischemia_25percent_output_edgel!B668,"AAAAAH3rv9M=")</f>
        <v>#VALUE!</v>
      </c>
      <c r="HE8">
        <f>IF(Ischemia_25percent_output_edgel!669:669,"AAAAAH3rv9Q=",0)</f>
        <v>0</v>
      </c>
      <c r="HF8" t="e">
        <f>AND(Ischemia_25percent_output_edgel!A669,"AAAAAH3rv9U=")</f>
        <v>#VALUE!</v>
      </c>
      <c r="HG8" t="e">
        <f>AND(Ischemia_25percent_output_edgel!B669,"AAAAAH3rv9Y=")</f>
        <v>#VALUE!</v>
      </c>
      <c r="HH8">
        <f>IF(Ischemia_25percent_output_edgel!670:670,"AAAAAH3rv9c=",0)</f>
        <v>0</v>
      </c>
      <c r="HI8" t="e">
        <f>AND(Ischemia_25percent_output_edgel!A670,"AAAAAH3rv9g=")</f>
        <v>#VALUE!</v>
      </c>
      <c r="HJ8" t="e">
        <f>AND(Ischemia_25percent_output_edgel!B670,"AAAAAH3rv9k=")</f>
        <v>#VALUE!</v>
      </c>
      <c r="HK8">
        <f>IF(Ischemia_25percent_output_edgel!671:671,"AAAAAH3rv9o=",0)</f>
        <v>0</v>
      </c>
      <c r="HL8" t="e">
        <f>AND(Ischemia_25percent_output_edgel!A671,"AAAAAH3rv9s=")</f>
        <v>#VALUE!</v>
      </c>
      <c r="HM8" t="e">
        <f>AND(Ischemia_25percent_output_edgel!B671,"AAAAAH3rv9w=")</f>
        <v>#VALUE!</v>
      </c>
      <c r="HN8">
        <f>IF(Ischemia_25percent_output_edgel!672:672,"AAAAAH3rv90=",0)</f>
        <v>0</v>
      </c>
      <c r="HO8" t="e">
        <f>AND(Ischemia_25percent_output_edgel!A672,"AAAAAH3rv94=")</f>
        <v>#VALUE!</v>
      </c>
      <c r="HP8" t="e">
        <f>AND(Ischemia_25percent_output_edgel!B672,"AAAAAH3rv98=")</f>
        <v>#VALUE!</v>
      </c>
      <c r="HQ8">
        <f>IF(Ischemia_25percent_output_edgel!673:673,"AAAAAH3rv+A=",0)</f>
        <v>0</v>
      </c>
      <c r="HR8" t="e">
        <f>AND(Ischemia_25percent_output_edgel!A673,"AAAAAH3rv+E=")</f>
        <v>#VALUE!</v>
      </c>
      <c r="HS8" t="e">
        <f>AND(Ischemia_25percent_output_edgel!B673,"AAAAAH3rv+I=")</f>
        <v>#VALUE!</v>
      </c>
      <c r="HT8">
        <f>IF(Ischemia_25percent_output_edgel!674:674,"AAAAAH3rv+M=",0)</f>
        <v>0</v>
      </c>
      <c r="HU8" t="e">
        <f>AND(Ischemia_25percent_output_edgel!A674,"AAAAAH3rv+Q=")</f>
        <v>#VALUE!</v>
      </c>
      <c r="HV8" t="e">
        <f>AND(Ischemia_25percent_output_edgel!B674,"AAAAAH3rv+U=")</f>
        <v>#VALUE!</v>
      </c>
      <c r="HW8">
        <f>IF(Ischemia_25percent_output_edgel!675:675,"AAAAAH3rv+Y=",0)</f>
        <v>0</v>
      </c>
      <c r="HX8" t="e">
        <f>AND(Ischemia_25percent_output_edgel!A675,"AAAAAH3rv+c=")</f>
        <v>#VALUE!</v>
      </c>
      <c r="HY8" t="e">
        <f>AND(Ischemia_25percent_output_edgel!B675,"AAAAAH3rv+g=")</f>
        <v>#VALUE!</v>
      </c>
      <c r="HZ8">
        <f>IF(Ischemia_25percent_output_edgel!676:676,"AAAAAH3rv+k=",0)</f>
        <v>0</v>
      </c>
      <c r="IA8" t="e">
        <f>AND(Ischemia_25percent_output_edgel!A676,"AAAAAH3rv+o=")</f>
        <v>#VALUE!</v>
      </c>
      <c r="IB8" t="e">
        <f>AND(Ischemia_25percent_output_edgel!B676,"AAAAAH3rv+s=")</f>
        <v>#VALUE!</v>
      </c>
      <c r="IC8">
        <f>IF(Ischemia_25percent_output_edgel!677:677,"AAAAAH3rv+w=",0)</f>
        <v>0</v>
      </c>
      <c r="ID8" t="e">
        <f>AND(Ischemia_25percent_output_edgel!A677,"AAAAAH3rv+0=")</f>
        <v>#VALUE!</v>
      </c>
      <c r="IE8" t="e">
        <f>AND(Ischemia_25percent_output_edgel!B677,"AAAAAH3rv+4=")</f>
        <v>#VALUE!</v>
      </c>
      <c r="IF8">
        <f>IF(Ischemia_25percent_output_edgel!678:678,"AAAAAH3rv+8=",0)</f>
        <v>0</v>
      </c>
      <c r="IG8" t="e">
        <f>AND(Ischemia_25percent_output_edgel!A678,"AAAAAH3rv/A=")</f>
        <v>#VALUE!</v>
      </c>
      <c r="IH8" t="e">
        <f>AND(Ischemia_25percent_output_edgel!B678,"AAAAAH3rv/E=")</f>
        <v>#VALUE!</v>
      </c>
      <c r="II8">
        <f>IF(Ischemia_25percent_output_edgel!679:679,"AAAAAH3rv/I=",0)</f>
        <v>0</v>
      </c>
      <c r="IJ8" t="e">
        <f>AND(Ischemia_25percent_output_edgel!A679,"AAAAAH3rv/M=")</f>
        <v>#VALUE!</v>
      </c>
      <c r="IK8" t="e">
        <f>AND(Ischemia_25percent_output_edgel!B679,"AAAAAH3rv/Q=")</f>
        <v>#VALUE!</v>
      </c>
      <c r="IL8">
        <f>IF(Ischemia_25percent_output_edgel!680:680,"AAAAAH3rv/U=",0)</f>
        <v>0</v>
      </c>
      <c r="IM8" t="e">
        <f>AND(Ischemia_25percent_output_edgel!A680,"AAAAAH3rv/Y=")</f>
        <v>#VALUE!</v>
      </c>
      <c r="IN8" t="e">
        <f>AND(Ischemia_25percent_output_edgel!B680,"AAAAAH3rv/c=")</f>
        <v>#VALUE!</v>
      </c>
      <c r="IO8">
        <f>IF(Ischemia_25percent_output_edgel!681:681,"AAAAAH3rv/g=",0)</f>
        <v>0</v>
      </c>
      <c r="IP8" t="e">
        <f>AND(Ischemia_25percent_output_edgel!A681,"AAAAAH3rv/k=")</f>
        <v>#VALUE!</v>
      </c>
      <c r="IQ8" t="e">
        <f>AND(Ischemia_25percent_output_edgel!B681,"AAAAAH3rv/o=")</f>
        <v>#VALUE!</v>
      </c>
      <c r="IR8">
        <f>IF(Ischemia_25percent_output_edgel!682:682,"AAAAAH3rv/s=",0)</f>
        <v>0</v>
      </c>
      <c r="IS8" t="e">
        <f>AND(Ischemia_25percent_output_edgel!A682,"AAAAAH3rv/w=")</f>
        <v>#VALUE!</v>
      </c>
      <c r="IT8" t="e">
        <f>AND(Ischemia_25percent_output_edgel!B682,"AAAAAH3rv/0=")</f>
        <v>#VALUE!</v>
      </c>
      <c r="IU8">
        <f>IF(Ischemia_25percent_output_edgel!683:683,"AAAAAH3rv/4=",0)</f>
        <v>0</v>
      </c>
      <c r="IV8" t="e">
        <f>AND(Ischemia_25percent_output_edgel!A683,"AAAAAH3rv/8=")</f>
        <v>#VALUE!</v>
      </c>
    </row>
    <row r="9" spans="1:256">
      <c r="A9" t="e">
        <f>AND(Ischemia_25percent_output_edgel!B683,"AAAAAD/z7QA=")</f>
        <v>#VALUE!</v>
      </c>
      <c r="B9" t="e">
        <f>IF(Ischemia_25percent_output_edgel!684:684,"AAAAAD/z7QE=",0)</f>
        <v>#VALUE!</v>
      </c>
      <c r="C9" t="e">
        <f>AND(Ischemia_25percent_output_edgel!A684,"AAAAAD/z7QI=")</f>
        <v>#VALUE!</v>
      </c>
      <c r="D9" t="e">
        <f>AND(Ischemia_25percent_output_edgel!B684,"AAAAAD/z7QM=")</f>
        <v>#VALUE!</v>
      </c>
      <c r="E9">
        <f>IF(Ischemia_25percent_output_edgel!685:685,"AAAAAD/z7QQ=",0)</f>
        <v>0</v>
      </c>
      <c r="F9" t="e">
        <f>AND(Ischemia_25percent_output_edgel!A685,"AAAAAD/z7QU=")</f>
        <v>#VALUE!</v>
      </c>
      <c r="G9" t="e">
        <f>AND(Ischemia_25percent_output_edgel!B685,"AAAAAD/z7QY=")</f>
        <v>#VALUE!</v>
      </c>
      <c r="H9">
        <f>IF(Ischemia_25percent_output_edgel!686:686,"AAAAAD/z7Qc=",0)</f>
        <v>0</v>
      </c>
      <c r="I9" t="e">
        <f>AND(Ischemia_25percent_output_edgel!A686,"AAAAAD/z7Qg=")</f>
        <v>#VALUE!</v>
      </c>
      <c r="J9" t="e">
        <f>AND(Ischemia_25percent_output_edgel!B686,"AAAAAD/z7Qk=")</f>
        <v>#VALUE!</v>
      </c>
      <c r="K9">
        <f>IF(Ischemia_25percent_output_edgel!687:687,"AAAAAD/z7Qo=",0)</f>
        <v>0</v>
      </c>
      <c r="L9" t="e">
        <f>AND(Ischemia_25percent_output_edgel!A687,"AAAAAD/z7Qs=")</f>
        <v>#VALUE!</v>
      </c>
      <c r="M9" t="e">
        <f>AND(Ischemia_25percent_output_edgel!B687,"AAAAAD/z7Qw=")</f>
        <v>#VALUE!</v>
      </c>
      <c r="N9">
        <f>IF(Ischemia_25percent_output_edgel!688:688,"AAAAAD/z7Q0=",0)</f>
        <v>0</v>
      </c>
      <c r="O9" t="e">
        <f>AND(Ischemia_25percent_output_edgel!A688,"AAAAAD/z7Q4=")</f>
        <v>#VALUE!</v>
      </c>
      <c r="P9" t="e">
        <f>AND(Ischemia_25percent_output_edgel!B688,"AAAAAD/z7Q8=")</f>
        <v>#VALUE!</v>
      </c>
      <c r="Q9">
        <f>IF(Ischemia_25percent_output_edgel!689:689,"AAAAAD/z7RA=",0)</f>
        <v>0</v>
      </c>
      <c r="R9" t="e">
        <f>AND(Ischemia_25percent_output_edgel!A689,"AAAAAD/z7RE=")</f>
        <v>#VALUE!</v>
      </c>
      <c r="S9" t="e">
        <f>AND(Ischemia_25percent_output_edgel!B689,"AAAAAD/z7RI=")</f>
        <v>#VALUE!</v>
      </c>
      <c r="T9">
        <f>IF(Ischemia_25percent_output_edgel!690:690,"AAAAAD/z7RM=",0)</f>
        <v>0</v>
      </c>
      <c r="U9" t="e">
        <f>AND(Ischemia_25percent_output_edgel!A690,"AAAAAD/z7RQ=")</f>
        <v>#VALUE!</v>
      </c>
      <c r="V9" t="e">
        <f>AND(Ischemia_25percent_output_edgel!B690,"AAAAAD/z7RU=")</f>
        <v>#VALUE!</v>
      </c>
      <c r="W9">
        <f>IF(Ischemia_25percent_output_edgel!691:691,"AAAAAD/z7RY=",0)</f>
        <v>0</v>
      </c>
      <c r="X9" t="e">
        <f>AND(Ischemia_25percent_output_edgel!A691,"AAAAAD/z7Rc=")</f>
        <v>#VALUE!</v>
      </c>
      <c r="Y9" t="e">
        <f>AND(Ischemia_25percent_output_edgel!B691,"AAAAAD/z7Rg=")</f>
        <v>#VALUE!</v>
      </c>
      <c r="Z9">
        <f>IF(Ischemia_25percent_output_edgel!692:692,"AAAAAD/z7Rk=",0)</f>
        <v>0</v>
      </c>
      <c r="AA9" t="e">
        <f>AND(Ischemia_25percent_output_edgel!A692,"AAAAAD/z7Ro=")</f>
        <v>#VALUE!</v>
      </c>
      <c r="AB9" t="e">
        <f>AND(Ischemia_25percent_output_edgel!B692,"AAAAAD/z7Rs=")</f>
        <v>#VALUE!</v>
      </c>
      <c r="AC9">
        <f>IF(Ischemia_25percent_output_edgel!693:693,"AAAAAD/z7Rw=",0)</f>
        <v>0</v>
      </c>
      <c r="AD9" t="e">
        <f>AND(Ischemia_25percent_output_edgel!A693,"AAAAAD/z7R0=")</f>
        <v>#VALUE!</v>
      </c>
      <c r="AE9" t="e">
        <f>AND(Ischemia_25percent_output_edgel!B693,"AAAAAD/z7R4=")</f>
        <v>#VALUE!</v>
      </c>
      <c r="AF9">
        <f>IF(Ischemia_25percent_output_edgel!694:694,"AAAAAD/z7R8=",0)</f>
        <v>0</v>
      </c>
      <c r="AG9" t="e">
        <f>AND(Ischemia_25percent_output_edgel!A694,"AAAAAD/z7SA=")</f>
        <v>#VALUE!</v>
      </c>
      <c r="AH9" t="e">
        <f>AND(Ischemia_25percent_output_edgel!B694,"AAAAAD/z7SE=")</f>
        <v>#VALUE!</v>
      </c>
      <c r="AI9">
        <f>IF(Ischemia_25percent_output_edgel!695:695,"AAAAAD/z7SI=",0)</f>
        <v>0</v>
      </c>
      <c r="AJ9" t="e">
        <f>AND(Ischemia_25percent_output_edgel!A695,"AAAAAD/z7SM=")</f>
        <v>#VALUE!</v>
      </c>
      <c r="AK9" t="e">
        <f>AND(Ischemia_25percent_output_edgel!B695,"AAAAAD/z7SQ=")</f>
        <v>#VALUE!</v>
      </c>
      <c r="AL9">
        <f>IF(Ischemia_25percent_output_edgel!696:696,"AAAAAD/z7SU=",0)</f>
        <v>0</v>
      </c>
      <c r="AM9" t="e">
        <f>AND(Ischemia_25percent_output_edgel!A696,"AAAAAD/z7SY=")</f>
        <v>#VALUE!</v>
      </c>
      <c r="AN9" t="e">
        <f>AND(Ischemia_25percent_output_edgel!B696,"AAAAAD/z7Sc=")</f>
        <v>#VALUE!</v>
      </c>
      <c r="AO9">
        <f>IF(Ischemia_25percent_output_edgel!697:697,"AAAAAD/z7Sg=",0)</f>
        <v>0</v>
      </c>
      <c r="AP9" t="e">
        <f>AND(Ischemia_25percent_output_edgel!A697,"AAAAAD/z7Sk=")</f>
        <v>#VALUE!</v>
      </c>
      <c r="AQ9" t="e">
        <f>AND(Ischemia_25percent_output_edgel!B697,"AAAAAD/z7So=")</f>
        <v>#VALUE!</v>
      </c>
      <c r="AR9">
        <f>IF(Ischemia_25percent_output_edgel!698:698,"AAAAAD/z7Ss=",0)</f>
        <v>0</v>
      </c>
      <c r="AS9" t="e">
        <f>AND(Ischemia_25percent_output_edgel!A698,"AAAAAD/z7Sw=")</f>
        <v>#VALUE!</v>
      </c>
      <c r="AT9" t="e">
        <f>AND(Ischemia_25percent_output_edgel!B698,"AAAAAD/z7S0=")</f>
        <v>#VALUE!</v>
      </c>
      <c r="AU9">
        <f>IF(Ischemia_25percent_output_edgel!699:699,"AAAAAD/z7S4=",0)</f>
        <v>0</v>
      </c>
      <c r="AV9" t="e">
        <f>AND(Ischemia_25percent_output_edgel!A699,"AAAAAD/z7S8=")</f>
        <v>#VALUE!</v>
      </c>
      <c r="AW9" t="e">
        <f>AND(Ischemia_25percent_output_edgel!B699,"AAAAAD/z7TA=")</f>
        <v>#VALUE!</v>
      </c>
      <c r="AX9">
        <f>IF(Ischemia_25percent_output_edgel!700:700,"AAAAAD/z7TE=",0)</f>
        <v>0</v>
      </c>
      <c r="AY9" t="e">
        <f>AND(Ischemia_25percent_output_edgel!A700,"AAAAAD/z7TI=")</f>
        <v>#VALUE!</v>
      </c>
      <c r="AZ9" t="e">
        <f>AND(Ischemia_25percent_output_edgel!B700,"AAAAAD/z7TM=")</f>
        <v>#VALUE!</v>
      </c>
      <c r="BA9">
        <f>IF(Ischemia_25percent_output_edgel!701:701,"AAAAAD/z7TQ=",0)</f>
        <v>0</v>
      </c>
      <c r="BB9" t="e">
        <f>AND(Ischemia_25percent_output_edgel!A701,"AAAAAD/z7TU=")</f>
        <v>#VALUE!</v>
      </c>
      <c r="BC9" t="e">
        <f>AND(Ischemia_25percent_output_edgel!B701,"AAAAAD/z7TY=")</f>
        <v>#VALUE!</v>
      </c>
      <c r="BD9">
        <f>IF(Ischemia_25percent_output_edgel!702:702,"AAAAAD/z7Tc=",0)</f>
        <v>0</v>
      </c>
      <c r="BE9" t="e">
        <f>AND(Ischemia_25percent_output_edgel!A702,"AAAAAD/z7Tg=")</f>
        <v>#VALUE!</v>
      </c>
      <c r="BF9" t="e">
        <f>AND(Ischemia_25percent_output_edgel!B702,"AAAAAD/z7Tk=")</f>
        <v>#VALUE!</v>
      </c>
      <c r="BG9">
        <f>IF(Ischemia_25percent_output_edgel!703:703,"AAAAAD/z7To=",0)</f>
        <v>0</v>
      </c>
      <c r="BH9" t="e">
        <f>AND(Ischemia_25percent_output_edgel!A703,"AAAAAD/z7Ts=")</f>
        <v>#VALUE!</v>
      </c>
      <c r="BI9" t="e">
        <f>AND(Ischemia_25percent_output_edgel!B703,"AAAAAD/z7Tw=")</f>
        <v>#VALUE!</v>
      </c>
      <c r="BJ9">
        <f>IF(Ischemia_25percent_output_edgel!704:704,"AAAAAD/z7T0=",0)</f>
        <v>0</v>
      </c>
      <c r="BK9" t="e">
        <f>AND(Ischemia_25percent_output_edgel!A704,"AAAAAD/z7T4=")</f>
        <v>#VALUE!</v>
      </c>
      <c r="BL9" t="e">
        <f>AND(Ischemia_25percent_output_edgel!B704,"AAAAAD/z7T8=")</f>
        <v>#VALUE!</v>
      </c>
      <c r="BM9">
        <f>IF(Ischemia_25percent_output_edgel!705:705,"AAAAAD/z7UA=",0)</f>
        <v>0</v>
      </c>
      <c r="BN9" t="e">
        <f>AND(Ischemia_25percent_output_edgel!A705,"AAAAAD/z7UE=")</f>
        <v>#VALUE!</v>
      </c>
      <c r="BO9" t="e">
        <f>AND(Ischemia_25percent_output_edgel!B705,"AAAAAD/z7UI=")</f>
        <v>#VALUE!</v>
      </c>
      <c r="BP9">
        <f>IF(Ischemia_25percent_output_edgel!706:706,"AAAAAD/z7UM=",0)</f>
        <v>0</v>
      </c>
      <c r="BQ9" t="e">
        <f>AND(Ischemia_25percent_output_edgel!A706,"AAAAAD/z7UQ=")</f>
        <v>#VALUE!</v>
      </c>
      <c r="BR9" t="e">
        <f>AND(Ischemia_25percent_output_edgel!B706,"AAAAAD/z7UU=")</f>
        <v>#VALUE!</v>
      </c>
      <c r="BS9">
        <f>IF(Ischemia_25percent_output_edgel!707:707,"AAAAAD/z7UY=",0)</f>
        <v>0</v>
      </c>
      <c r="BT9" t="e">
        <f>AND(Ischemia_25percent_output_edgel!A707,"AAAAAD/z7Uc=")</f>
        <v>#VALUE!</v>
      </c>
      <c r="BU9" t="e">
        <f>AND(Ischemia_25percent_output_edgel!B707,"AAAAAD/z7Ug=")</f>
        <v>#VALUE!</v>
      </c>
      <c r="BV9">
        <f>IF(Ischemia_25percent_output_edgel!708:708,"AAAAAD/z7Uk=",0)</f>
        <v>0</v>
      </c>
      <c r="BW9" t="e">
        <f>AND(Ischemia_25percent_output_edgel!A708,"AAAAAD/z7Uo=")</f>
        <v>#VALUE!</v>
      </c>
      <c r="BX9" t="e">
        <f>AND(Ischemia_25percent_output_edgel!B708,"AAAAAD/z7Us=")</f>
        <v>#VALUE!</v>
      </c>
      <c r="BY9">
        <f>IF(Ischemia_25percent_output_edgel!709:709,"AAAAAD/z7Uw=",0)</f>
        <v>0</v>
      </c>
      <c r="BZ9" t="e">
        <f>AND(Ischemia_25percent_output_edgel!A709,"AAAAAD/z7U0=")</f>
        <v>#VALUE!</v>
      </c>
      <c r="CA9" t="e">
        <f>AND(Ischemia_25percent_output_edgel!B709,"AAAAAD/z7U4=")</f>
        <v>#VALUE!</v>
      </c>
      <c r="CB9">
        <f>IF(Ischemia_25percent_output_edgel!710:710,"AAAAAD/z7U8=",0)</f>
        <v>0</v>
      </c>
      <c r="CC9" t="e">
        <f>AND(Ischemia_25percent_output_edgel!A710,"AAAAAD/z7VA=")</f>
        <v>#VALUE!</v>
      </c>
      <c r="CD9" t="e">
        <f>AND(Ischemia_25percent_output_edgel!B710,"AAAAAD/z7VE=")</f>
        <v>#VALUE!</v>
      </c>
      <c r="CE9">
        <f>IF(Ischemia_25percent_output_edgel!711:711,"AAAAAD/z7VI=",0)</f>
        <v>0</v>
      </c>
      <c r="CF9" t="e">
        <f>AND(Ischemia_25percent_output_edgel!A711,"AAAAAD/z7VM=")</f>
        <v>#VALUE!</v>
      </c>
      <c r="CG9" t="e">
        <f>AND(Ischemia_25percent_output_edgel!B711,"AAAAAD/z7VQ=")</f>
        <v>#VALUE!</v>
      </c>
      <c r="CH9">
        <f>IF(Ischemia_25percent_output_edgel!712:712,"AAAAAD/z7VU=",0)</f>
        <v>0</v>
      </c>
      <c r="CI9" t="e">
        <f>AND(Ischemia_25percent_output_edgel!A712,"AAAAAD/z7VY=")</f>
        <v>#VALUE!</v>
      </c>
      <c r="CJ9" t="e">
        <f>AND(Ischemia_25percent_output_edgel!B712,"AAAAAD/z7Vc=")</f>
        <v>#VALUE!</v>
      </c>
      <c r="CK9">
        <f>IF(Ischemia_25percent_output_edgel!713:713,"AAAAAD/z7Vg=",0)</f>
        <v>0</v>
      </c>
      <c r="CL9" t="e">
        <f>AND(Ischemia_25percent_output_edgel!A713,"AAAAAD/z7Vk=")</f>
        <v>#VALUE!</v>
      </c>
      <c r="CM9" t="e">
        <f>AND(Ischemia_25percent_output_edgel!B713,"AAAAAD/z7Vo=")</f>
        <v>#VALUE!</v>
      </c>
      <c r="CN9">
        <f>IF(Ischemia_25percent_output_edgel!714:714,"AAAAAD/z7Vs=",0)</f>
        <v>0</v>
      </c>
      <c r="CO9" t="e">
        <f>AND(Ischemia_25percent_output_edgel!A714,"AAAAAD/z7Vw=")</f>
        <v>#VALUE!</v>
      </c>
      <c r="CP9" t="e">
        <f>AND(Ischemia_25percent_output_edgel!B714,"AAAAAD/z7V0=")</f>
        <v>#VALUE!</v>
      </c>
      <c r="CQ9">
        <f>IF(Ischemia_25percent_output_edgel!715:715,"AAAAAD/z7V4=",0)</f>
        <v>0</v>
      </c>
      <c r="CR9" t="e">
        <f>AND(Ischemia_25percent_output_edgel!A715,"AAAAAD/z7V8=")</f>
        <v>#VALUE!</v>
      </c>
      <c r="CS9" t="e">
        <f>AND(Ischemia_25percent_output_edgel!B715,"AAAAAD/z7WA=")</f>
        <v>#VALUE!</v>
      </c>
      <c r="CT9">
        <f>IF(Ischemia_25percent_output_edgel!716:716,"AAAAAD/z7WE=",0)</f>
        <v>0</v>
      </c>
      <c r="CU9" t="e">
        <f>AND(Ischemia_25percent_output_edgel!A716,"AAAAAD/z7WI=")</f>
        <v>#VALUE!</v>
      </c>
      <c r="CV9" t="e">
        <f>AND(Ischemia_25percent_output_edgel!B716,"AAAAAD/z7WM=")</f>
        <v>#VALUE!</v>
      </c>
      <c r="CW9">
        <f>IF(Ischemia_25percent_output_edgel!717:717,"AAAAAD/z7WQ=",0)</f>
        <v>0</v>
      </c>
      <c r="CX9" t="e">
        <f>AND(Ischemia_25percent_output_edgel!A717,"AAAAAD/z7WU=")</f>
        <v>#VALUE!</v>
      </c>
      <c r="CY9" t="e">
        <f>AND(Ischemia_25percent_output_edgel!B717,"AAAAAD/z7WY=")</f>
        <v>#VALUE!</v>
      </c>
      <c r="CZ9">
        <f>IF(Ischemia_25percent_output_edgel!718:718,"AAAAAD/z7Wc=",0)</f>
        <v>0</v>
      </c>
      <c r="DA9" t="e">
        <f>AND(Ischemia_25percent_output_edgel!A718,"AAAAAD/z7Wg=")</f>
        <v>#VALUE!</v>
      </c>
      <c r="DB9" t="e">
        <f>AND(Ischemia_25percent_output_edgel!B718,"AAAAAD/z7Wk=")</f>
        <v>#VALUE!</v>
      </c>
      <c r="DC9">
        <f>IF(Ischemia_25percent_output_edgel!719:719,"AAAAAD/z7Wo=",0)</f>
        <v>0</v>
      </c>
      <c r="DD9" t="e">
        <f>AND(Ischemia_25percent_output_edgel!A719,"AAAAAD/z7Ws=")</f>
        <v>#VALUE!</v>
      </c>
      <c r="DE9" t="e">
        <f>AND(Ischemia_25percent_output_edgel!B719,"AAAAAD/z7Ww=")</f>
        <v>#VALUE!</v>
      </c>
      <c r="DF9">
        <f>IF(Ischemia_25percent_output_edgel!720:720,"AAAAAD/z7W0=",0)</f>
        <v>0</v>
      </c>
      <c r="DG9" t="e">
        <f>AND(Ischemia_25percent_output_edgel!A720,"AAAAAD/z7W4=")</f>
        <v>#VALUE!</v>
      </c>
      <c r="DH9" t="e">
        <f>AND(Ischemia_25percent_output_edgel!B720,"AAAAAD/z7W8=")</f>
        <v>#VALUE!</v>
      </c>
      <c r="DI9">
        <f>IF(Ischemia_25percent_output_edgel!721:721,"AAAAAD/z7XA=",0)</f>
        <v>0</v>
      </c>
      <c r="DJ9" t="e">
        <f>AND(Ischemia_25percent_output_edgel!A721,"AAAAAD/z7XE=")</f>
        <v>#VALUE!</v>
      </c>
      <c r="DK9" t="e">
        <f>AND(Ischemia_25percent_output_edgel!B721,"AAAAAD/z7XI=")</f>
        <v>#VALUE!</v>
      </c>
      <c r="DL9">
        <f>IF(Ischemia_25percent_output_edgel!722:722,"AAAAAD/z7XM=",0)</f>
        <v>0</v>
      </c>
      <c r="DM9" t="e">
        <f>AND(Ischemia_25percent_output_edgel!A722,"AAAAAD/z7XQ=")</f>
        <v>#VALUE!</v>
      </c>
      <c r="DN9" t="e">
        <f>AND(Ischemia_25percent_output_edgel!B722,"AAAAAD/z7XU=")</f>
        <v>#VALUE!</v>
      </c>
      <c r="DO9">
        <f>IF(Ischemia_25percent_output_edgel!723:723,"AAAAAD/z7XY=",0)</f>
        <v>0</v>
      </c>
      <c r="DP9" t="e">
        <f>AND(Ischemia_25percent_output_edgel!A723,"AAAAAD/z7Xc=")</f>
        <v>#VALUE!</v>
      </c>
      <c r="DQ9" t="e">
        <f>AND(Ischemia_25percent_output_edgel!B723,"AAAAAD/z7Xg=")</f>
        <v>#VALUE!</v>
      </c>
      <c r="DR9">
        <f>IF(Ischemia_25percent_output_edgel!724:724,"AAAAAD/z7Xk=",0)</f>
        <v>0</v>
      </c>
      <c r="DS9" t="e">
        <f>AND(Ischemia_25percent_output_edgel!A724,"AAAAAD/z7Xo=")</f>
        <v>#VALUE!</v>
      </c>
      <c r="DT9" t="e">
        <f>AND(Ischemia_25percent_output_edgel!B724,"AAAAAD/z7Xs=")</f>
        <v>#VALUE!</v>
      </c>
      <c r="DU9">
        <f>IF(Ischemia_25percent_output_edgel!725:725,"AAAAAD/z7Xw=",0)</f>
        <v>0</v>
      </c>
      <c r="DV9" t="e">
        <f>AND(Ischemia_25percent_output_edgel!A725,"AAAAAD/z7X0=")</f>
        <v>#VALUE!</v>
      </c>
      <c r="DW9" t="e">
        <f>AND(Ischemia_25percent_output_edgel!B725,"AAAAAD/z7X4=")</f>
        <v>#VALUE!</v>
      </c>
      <c r="DX9">
        <f>IF(Ischemia_25percent_output_edgel!726:726,"AAAAAD/z7X8=",0)</f>
        <v>0</v>
      </c>
      <c r="DY9" t="e">
        <f>AND(Ischemia_25percent_output_edgel!A726,"AAAAAD/z7YA=")</f>
        <v>#VALUE!</v>
      </c>
      <c r="DZ9" t="e">
        <f>AND(Ischemia_25percent_output_edgel!B726,"AAAAAD/z7YE=")</f>
        <v>#VALUE!</v>
      </c>
      <c r="EA9">
        <f>IF(Ischemia_25percent_output_edgel!727:727,"AAAAAD/z7YI=",0)</f>
        <v>0</v>
      </c>
      <c r="EB9" t="e">
        <f>AND(Ischemia_25percent_output_edgel!A727,"AAAAAD/z7YM=")</f>
        <v>#VALUE!</v>
      </c>
      <c r="EC9" t="e">
        <f>AND(Ischemia_25percent_output_edgel!B727,"AAAAAD/z7YQ=")</f>
        <v>#VALUE!</v>
      </c>
      <c r="ED9">
        <f>IF(Ischemia_25percent_output_edgel!728:728,"AAAAAD/z7YU=",0)</f>
        <v>0</v>
      </c>
      <c r="EE9" t="e">
        <f>AND(Ischemia_25percent_output_edgel!A728,"AAAAAD/z7YY=")</f>
        <v>#VALUE!</v>
      </c>
      <c r="EF9" t="e">
        <f>AND(Ischemia_25percent_output_edgel!B728,"AAAAAD/z7Yc=")</f>
        <v>#VALUE!</v>
      </c>
      <c r="EG9">
        <f>IF(Ischemia_25percent_output_edgel!729:729,"AAAAAD/z7Yg=",0)</f>
        <v>0</v>
      </c>
      <c r="EH9" t="e">
        <f>AND(Ischemia_25percent_output_edgel!A729,"AAAAAD/z7Yk=")</f>
        <v>#VALUE!</v>
      </c>
      <c r="EI9" t="e">
        <f>AND(Ischemia_25percent_output_edgel!B729,"AAAAAD/z7Yo=")</f>
        <v>#VALUE!</v>
      </c>
      <c r="EJ9">
        <f>IF(Ischemia_25percent_output_edgel!730:730,"AAAAAD/z7Ys=",0)</f>
        <v>0</v>
      </c>
      <c r="EK9" t="e">
        <f>AND(Ischemia_25percent_output_edgel!A730,"AAAAAD/z7Yw=")</f>
        <v>#VALUE!</v>
      </c>
      <c r="EL9" t="e">
        <f>AND(Ischemia_25percent_output_edgel!B730,"AAAAAD/z7Y0=")</f>
        <v>#VALUE!</v>
      </c>
      <c r="EM9">
        <f>IF(Ischemia_25percent_output_edgel!731:731,"AAAAAD/z7Y4=",0)</f>
        <v>0</v>
      </c>
      <c r="EN9" t="e">
        <f>AND(Ischemia_25percent_output_edgel!A731,"AAAAAD/z7Y8=")</f>
        <v>#VALUE!</v>
      </c>
      <c r="EO9" t="e">
        <f>AND(Ischemia_25percent_output_edgel!B731,"AAAAAD/z7ZA=")</f>
        <v>#VALUE!</v>
      </c>
      <c r="EP9">
        <f>IF(Ischemia_25percent_output_edgel!732:732,"AAAAAD/z7ZE=",0)</f>
        <v>0</v>
      </c>
      <c r="EQ9" t="e">
        <f>AND(Ischemia_25percent_output_edgel!A732,"AAAAAD/z7ZI=")</f>
        <v>#VALUE!</v>
      </c>
      <c r="ER9" t="e">
        <f>AND(Ischemia_25percent_output_edgel!B732,"AAAAAD/z7ZM=")</f>
        <v>#VALUE!</v>
      </c>
      <c r="ES9">
        <f>IF(Ischemia_25percent_output_edgel!733:733,"AAAAAD/z7ZQ=",0)</f>
        <v>0</v>
      </c>
      <c r="ET9" t="e">
        <f>AND(Ischemia_25percent_output_edgel!A733,"AAAAAD/z7ZU=")</f>
        <v>#VALUE!</v>
      </c>
      <c r="EU9" t="e">
        <f>AND(Ischemia_25percent_output_edgel!B733,"AAAAAD/z7ZY=")</f>
        <v>#VALUE!</v>
      </c>
      <c r="EV9">
        <f>IF(Ischemia_25percent_output_edgel!734:734,"AAAAAD/z7Zc=",0)</f>
        <v>0</v>
      </c>
      <c r="EW9" t="e">
        <f>AND(Ischemia_25percent_output_edgel!A734,"AAAAAD/z7Zg=")</f>
        <v>#VALUE!</v>
      </c>
      <c r="EX9" t="e">
        <f>AND(Ischemia_25percent_output_edgel!B734,"AAAAAD/z7Zk=")</f>
        <v>#VALUE!</v>
      </c>
      <c r="EY9">
        <f>IF(Ischemia_25percent_output_edgel!735:735,"AAAAAD/z7Zo=",0)</f>
        <v>0</v>
      </c>
      <c r="EZ9" t="e">
        <f>AND(Ischemia_25percent_output_edgel!A735,"AAAAAD/z7Zs=")</f>
        <v>#VALUE!</v>
      </c>
      <c r="FA9" t="e">
        <f>AND(Ischemia_25percent_output_edgel!B735,"AAAAAD/z7Zw=")</f>
        <v>#VALUE!</v>
      </c>
      <c r="FB9">
        <f>IF(Ischemia_25percent_output_edgel!736:736,"AAAAAD/z7Z0=",0)</f>
        <v>0</v>
      </c>
      <c r="FC9" t="e">
        <f>AND(Ischemia_25percent_output_edgel!A736,"AAAAAD/z7Z4=")</f>
        <v>#VALUE!</v>
      </c>
      <c r="FD9" t="e">
        <f>AND(Ischemia_25percent_output_edgel!B736,"AAAAAD/z7Z8=")</f>
        <v>#VALUE!</v>
      </c>
      <c r="FE9">
        <f>IF(Ischemia_25percent_output_edgel!737:737,"AAAAAD/z7aA=",0)</f>
        <v>0</v>
      </c>
      <c r="FF9" t="e">
        <f>AND(Ischemia_25percent_output_edgel!A737,"AAAAAD/z7aE=")</f>
        <v>#VALUE!</v>
      </c>
      <c r="FG9" t="e">
        <f>AND(Ischemia_25percent_output_edgel!B737,"AAAAAD/z7aI=")</f>
        <v>#VALUE!</v>
      </c>
      <c r="FH9">
        <f>IF(Ischemia_25percent_output_edgel!738:738,"AAAAAD/z7aM=",0)</f>
        <v>0</v>
      </c>
      <c r="FI9" t="e">
        <f>AND(Ischemia_25percent_output_edgel!A738,"AAAAAD/z7aQ=")</f>
        <v>#VALUE!</v>
      </c>
      <c r="FJ9" t="e">
        <f>AND(Ischemia_25percent_output_edgel!B738,"AAAAAD/z7aU=")</f>
        <v>#VALUE!</v>
      </c>
      <c r="FK9">
        <f>IF(Ischemia_25percent_output_edgel!739:739,"AAAAAD/z7aY=",0)</f>
        <v>0</v>
      </c>
      <c r="FL9" t="e">
        <f>AND(Ischemia_25percent_output_edgel!A739,"AAAAAD/z7ac=")</f>
        <v>#VALUE!</v>
      </c>
      <c r="FM9" t="e">
        <f>AND(Ischemia_25percent_output_edgel!B739,"AAAAAD/z7ag=")</f>
        <v>#VALUE!</v>
      </c>
      <c r="FN9">
        <f>IF(Ischemia_25percent_output_edgel!740:740,"AAAAAD/z7ak=",0)</f>
        <v>0</v>
      </c>
      <c r="FO9" t="e">
        <f>AND(Ischemia_25percent_output_edgel!A740,"AAAAAD/z7ao=")</f>
        <v>#VALUE!</v>
      </c>
      <c r="FP9" t="e">
        <f>AND(Ischemia_25percent_output_edgel!B740,"AAAAAD/z7as=")</f>
        <v>#VALUE!</v>
      </c>
      <c r="FQ9">
        <f>IF(Ischemia_25percent_output_edgel!741:741,"AAAAAD/z7aw=",0)</f>
        <v>0</v>
      </c>
      <c r="FR9" t="e">
        <f>AND(Ischemia_25percent_output_edgel!A741,"AAAAAD/z7a0=")</f>
        <v>#VALUE!</v>
      </c>
      <c r="FS9" t="e">
        <f>AND(Ischemia_25percent_output_edgel!B741,"AAAAAD/z7a4=")</f>
        <v>#VALUE!</v>
      </c>
      <c r="FT9">
        <f>IF(Ischemia_25percent_output_edgel!742:742,"AAAAAD/z7a8=",0)</f>
        <v>0</v>
      </c>
      <c r="FU9" t="e">
        <f>AND(Ischemia_25percent_output_edgel!A742,"AAAAAD/z7bA=")</f>
        <v>#VALUE!</v>
      </c>
      <c r="FV9" t="e">
        <f>AND(Ischemia_25percent_output_edgel!B742,"AAAAAD/z7bE=")</f>
        <v>#VALUE!</v>
      </c>
      <c r="FW9">
        <f>IF(Ischemia_25percent_output_edgel!743:743,"AAAAAD/z7bI=",0)</f>
        <v>0</v>
      </c>
      <c r="FX9" t="e">
        <f>AND(Ischemia_25percent_output_edgel!A743,"AAAAAD/z7bM=")</f>
        <v>#VALUE!</v>
      </c>
      <c r="FY9" t="e">
        <f>AND(Ischemia_25percent_output_edgel!B743,"AAAAAD/z7bQ=")</f>
        <v>#VALUE!</v>
      </c>
      <c r="FZ9">
        <f>IF(Ischemia_25percent_output_edgel!744:744,"AAAAAD/z7bU=",0)</f>
        <v>0</v>
      </c>
      <c r="GA9" t="e">
        <f>AND(Ischemia_25percent_output_edgel!A744,"AAAAAD/z7bY=")</f>
        <v>#VALUE!</v>
      </c>
      <c r="GB9" t="e">
        <f>AND(Ischemia_25percent_output_edgel!B744,"AAAAAD/z7bc=")</f>
        <v>#VALUE!</v>
      </c>
      <c r="GC9">
        <f>IF(Ischemia_25percent_output_edgel!745:745,"AAAAAD/z7bg=",0)</f>
        <v>0</v>
      </c>
      <c r="GD9" t="e">
        <f>AND(Ischemia_25percent_output_edgel!A745,"AAAAAD/z7bk=")</f>
        <v>#VALUE!</v>
      </c>
      <c r="GE9" t="e">
        <f>AND(Ischemia_25percent_output_edgel!B745,"AAAAAD/z7bo=")</f>
        <v>#VALUE!</v>
      </c>
      <c r="GF9">
        <f>IF(Ischemia_25percent_output_edgel!746:746,"AAAAAD/z7bs=",0)</f>
        <v>0</v>
      </c>
      <c r="GG9" t="e">
        <f>AND(Ischemia_25percent_output_edgel!A746,"AAAAAD/z7bw=")</f>
        <v>#VALUE!</v>
      </c>
      <c r="GH9" t="e">
        <f>AND(Ischemia_25percent_output_edgel!B746,"AAAAAD/z7b0=")</f>
        <v>#VALUE!</v>
      </c>
      <c r="GI9">
        <f>IF(Ischemia_25percent_output_edgel!747:747,"AAAAAD/z7b4=",0)</f>
        <v>0</v>
      </c>
      <c r="GJ9" t="e">
        <f>AND(Ischemia_25percent_output_edgel!A747,"AAAAAD/z7b8=")</f>
        <v>#VALUE!</v>
      </c>
      <c r="GK9" t="e">
        <f>AND(Ischemia_25percent_output_edgel!B747,"AAAAAD/z7cA=")</f>
        <v>#VALUE!</v>
      </c>
      <c r="GL9">
        <f>IF(Ischemia_25percent_output_edgel!748:748,"AAAAAD/z7cE=",0)</f>
        <v>0</v>
      </c>
      <c r="GM9" t="e">
        <f>AND(Ischemia_25percent_output_edgel!A748,"AAAAAD/z7cI=")</f>
        <v>#VALUE!</v>
      </c>
      <c r="GN9" t="e">
        <f>AND(Ischemia_25percent_output_edgel!B748,"AAAAAD/z7cM=")</f>
        <v>#VALUE!</v>
      </c>
      <c r="GO9">
        <f>IF(Ischemia_25percent_output_edgel!749:749,"AAAAAD/z7cQ=",0)</f>
        <v>0</v>
      </c>
      <c r="GP9" t="e">
        <f>AND(Ischemia_25percent_output_edgel!A749,"AAAAAD/z7cU=")</f>
        <v>#VALUE!</v>
      </c>
      <c r="GQ9" t="e">
        <f>AND(Ischemia_25percent_output_edgel!B749,"AAAAAD/z7cY=")</f>
        <v>#VALUE!</v>
      </c>
      <c r="GR9">
        <f>IF(Ischemia_25percent_output_edgel!750:750,"AAAAAD/z7cc=",0)</f>
        <v>0</v>
      </c>
      <c r="GS9" t="e">
        <f>AND(Ischemia_25percent_output_edgel!A750,"AAAAAD/z7cg=")</f>
        <v>#VALUE!</v>
      </c>
      <c r="GT9" t="e">
        <f>AND(Ischemia_25percent_output_edgel!B750,"AAAAAD/z7ck=")</f>
        <v>#VALUE!</v>
      </c>
      <c r="GU9">
        <f>IF(Ischemia_25percent_output_edgel!751:751,"AAAAAD/z7co=",0)</f>
        <v>0</v>
      </c>
      <c r="GV9" t="e">
        <f>AND(Ischemia_25percent_output_edgel!A751,"AAAAAD/z7cs=")</f>
        <v>#VALUE!</v>
      </c>
      <c r="GW9" t="e">
        <f>AND(Ischemia_25percent_output_edgel!B751,"AAAAAD/z7cw=")</f>
        <v>#VALUE!</v>
      </c>
      <c r="GX9">
        <f>IF(Ischemia_25percent_output_edgel!752:752,"AAAAAD/z7c0=",0)</f>
        <v>0</v>
      </c>
      <c r="GY9" t="e">
        <f>AND(Ischemia_25percent_output_edgel!A752,"AAAAAD/z7c4=")</f>
        <v>#VALUE!</v>
      </c>
      <c r="GZ9" t="e">
        <f>AND(Ischemia_25percent_output_edgel!B752,"AAAAAD/z7c8=")</f>
        <v>#VALUE!</v>
      </c>
      <c r="HA9">
        <f>IF(Ischemia_25percent_output_edgel!753:753,"AAAAAD/z7dA=",0)</f>
        <v>0</v>
      </c>
      <c r="HB9" t="e">
        <f>AND(Ischemia_25percent_output_edgel!A753,"AAAAAD/z7dE=")</f>
        <v>#VALUE!</v>
      </c>
      <c r="HC9" t="e">
        <f>AND(Ischemia_25percent_output_edgel!B753,"AAAAAD/z7dI=")</f>
        <v>#VALUE!</v>
      </c>
      <c r="HD9">
        <f>IF(Ischemia_25percent_output_edgel!754:754,"AAAAAD/z7dM=",0)</f>
        <v>0</v>
      </c>
      <c r="HE9" t="e">
        <f>AND(Ischemia_25percent_output_edgel!A754,"AAAAAD/z7dQ=")</f>
        <v>#VALUE!</v>
      </c>
      <c r="HF9" t="e">
        <f>AND(Ischemia_25percent_output_edgel!B754,"AAAAAD/z7dU=")</f>
        <v>#VALUE!</v>
      </c>
      <c r="HG9">
        <f>IF(Ischemia_25percent_output_edgel!755:755,"AAAAAD/z7dY=",0)</f>
        <v>0</v>
      </c>
      <c r="HH9" t="e">
        <f>AND(Ischemia_25percent_output_edgel!A755,"AAAAAD/z7dc=")</f>
        <v>#VALUE!</v>
      </c>
      <c r="HI9" t="e">
        <f>AND(Ischemia_25percent_output_edgel!B755,"AAAAAD/z7dg=")</f>
        <v>#VALUE!</v>
      </c>
      <c r="HJ9">
        <f>IF(Ischemia_25percent_output_edgel!756:756,"AAAAAD/z7dk=",0)</f>
        <v>0</v>
      </c>
      <c r="HK9" t="e">
        <f>AND(Ischemia_25percent_output_edgel!A756,"AAAAAD/z7do=")</f>
        <v>#VALUE!</v>
      </c>
      <c r="HL9" t="e">
        <f>AND(Ischemia_25percent_output_edgel!B756,"AAAAAD/z7ds=")</f>
        <v>#VALUE!</v>
      </c>
      <c r="HM9">
        <f>IF(Ischemia_25percent_output_edgel!757:757,"AAAAAD/z7dw=",0)</f>
        <v>0</v>
      </c>
      <c r="HN9" t="e">
        <f>AND(Ischemia_25percent_output_edgel!A757,"AAAAAD/z7d0=")</f>
        <v>#VALUE!</v>
      </c>
      <c r="HO9" t="e">
        <f>AND(Ischemia_25percent_output_edgel!B757,"AAAAAD/z7d4=")</f>
        <v>#VALUE!</v>
      </c>
      <c r="HP9">
        <f>IF(Ischemia_25percent_output_edgel!758:758,"AAAAAD/z7d8=",0)</f>
        <v>0</v>
      </c>
      <c r="HQ9" t="e">
        <f>AND(Ischemia_25percent_output_edgel!A758,"AAAAAD/z7eA=")</f>
        <v>#VALUE!</v>
      </c>
      <c r="HR9" t="e">
        <f>AND(Ischemia_25percent_output_edgel!B758,"AAAAAD/z7eE=")</f>
        <v>#VALUE!</v>
      </c>
      <c r="HS9">
        <f>IF(Ischemia_25percent_output_edgel!759:759,"AAAAAD/z7eI=",0)</f>
        <v>0</v>
      </c>
      <c r="HT9" t="e">
        <f>AND(Ischemia_25percent_output_edgel!A759,"AAAAAD/z7eM=")</f>
        <v>#VALUE!</v>
      </c>
      <c r="HU9" t="e">
        <f>AND(Ischemia_25percent_output_edgel!B759,"AAAAAD/z7eQ=")</f>
        <v>#VALUE!</v>
      </c>
      <c r="HV9">
        <f>IF(Ischemia_25percent_output_edgel!760:760,"AAAAAD/z7eU=",0)</f>
        <v>0</v>
      </c>
      <c r="HW9" t="e">
        <f>AND(Ischemia_25percent_output_edgel!A760,"AAAAAD/z7eY=")</f>
        <v>#VALUE!</v>
      </c>
      <c r="HX9" t="e">
        <f>AND(Ischemia_25percent_output_edgel!B760,"AAAAAD/z7ec=")</f>
        <v>#VALUE!</v>
      </c>
      <c r="HY9">
        <f>IF(Ischemia_25percent_output_edgel!761:761,"AAAAAD/z7eg=",0)</f>
        <v>0</v>
      </c>
      <c r="HZ9" t="e">
        <f>AND(Ischemia_25percent_output_edgel!A761,"AAAAAD/z7ek=")</f>
        <v>#VALUE!</v>
      </c>
      <c r="IA9" t="e">
        <f>AND(Ischemia_25percent_output_edgel!B761,"AAAAAD/z7eo=")</f>
        <v>#VALUE!</v>
      </c>
      <c r="IB9">
        <f>IF(Ischemia_25percent_output_edgel!762:762,"AAAAAD/z7es=",0)</f>
        <v>0</v>
      </c>
      <c r="IC9" t="e">
        <f>AND(Ischemia_25percent_output_edgel!A762,"AAAAAD/z7ew=")</f>
        <v>#VALUE!</v>
      </c>
      <c r="ID9" t="e">
        <f>AND(Ischemia_25percent_output_edgel!B762,"AAAAAD/z7e0=")</f>
        <v>#VALUE!</v>
      </c>
      <c r="IE9">
        <f>IF(Ischemia_25percent_output_edgel!763:763,"AAAAAD/z7e4=",0)</f>
        <v>0</v>
      </c>
      <c r="IF9" t="e">
        <f>AND(Ischemia_25percent_output_edgel!A763,"AAAAAD/z7e8=")</f>
        <v>#VALUE!</v>
      </c>
      <c r="IG9" t="e">
        <f>AND(Ischemia_25percent_output_edgel!B763,"AAAAAD/z7fA=")</f>
        <v>#VALUE!</v>
      </c>
      <c r="IH9">
        <f>IF(Ischemia_25percent_output_edgel!764:764,"AAAAAD/z7fE=",0)</f>
        <v>0</v>
      </c>
      <c r="II9" t="e">
        <f>AND(Ischemia_25percent_output_edgel!A764,"AAAAAD/z7fI=")</f>
        <v>#VALUE!</v>
      </c>
      <c r="IJ9" t="e">
        <f>AND(Ischemia_25percent_output_edgel!B764,"AAAAAD/z7fM=")</f>
        <v>#VALUE!</v>
      </c>
      <c r="IK9">
        <f>IF(Ischemia_25percent_output_edgel!765:765,"AAAAAD/z7fQ=",0)</f>
        <v>0</v>
      </c>
      <c r="IL9" t="e">
        <f>AND(Ischemia_25percent_output_edgel!A765,"AAAAAD/z7fU=")</f>
        <v>#VALUE!</v>
      </c>
      <c r="IM9" t="e">
        <f>AND(Ischemia_25percent_output_edgel!B765,"AAAAAD/z7fY=")</f>
        <v>#VALUE!</v>
      </c>
      <c r="IN9">
        <f>IF(Ischemia_25percent_output_edgel!766:766,"AAAAAD/z7fc=",0)</f>
        <v>0</v>
      </c>
      <c r="IO9" t="e">
        <f>AND(Ischemia_25percent_output_edgel!A766,"AAAAAD/z7fg=")</f>
        <v>#VALUE!</v>
      </c>
      <c r="IP9" t="e">
        <f>AND(Ischemia_25percent_output_edgel!B766,"AAAAAD/z7fk=")</f>
        <v>#VALUE!</v>
      </c>
      <c r="IQ9">
        <f>IF(Ischemia_25percent_output_edgel!767:767,"AAAAAD/z7fo=",0)</f>
        <v>0</v>
      </c>
      <c r="IR9" t="e">
        <f>AND(Ischemia_25percent_output_edgel!A767,"AAAAAD/z7fs=")</f>
        <v>#VALUE!</v>
      </c>
      <c r="IS9" t="e">
        <f>AND(Ischemia_25percent_output_edgel!B767,"AAAAAD/z7fw=")</f>
        <v>#VALUE!</v>
      </c>
      <c r="IT9">
        <f>IF(Ischemia_25percent_output_edgel!768:768,"AAAAAD/z7f0=",0)</f>
        <v>0</v>
      </c>
      <c r="IU9" t="e">
        <f>AND(Ischemia_25percent_output_edgel!A768,"AAAAAD/z7f4=")</f>
        <v>#VALUE!</v>
      </c>
      <c r="IV9" t="e">
        <f>AND(Ischemia_25percent_output_edgel!B768,"AAAAAD/z7f8=")</f>
        <v>#VALUE!</v>
      </c>
    </row>
    <row r="10" spans="1:256">
      <c r="A10" t="e">
        <f>IF(Ischemia_25percent_output_edgel!769:769,"AAAAAHtcTwA=",0)</f>
        <v>#VALUE!</v>
      </c>
      <c r="B10" t="e">
        <f>AND(Ischemia_25percent_output_edgel!A769,"AAAAAHtcTwE=")</f>
        <v>#VALUE!</v>
      </c>
      <c r="C10" t="e">
        <f>AND(Ischemia_25percent_output_edgel!B769,"AAAAAHtcTwI=")</f>
        <v>#VALUE!</v>
      </c>
      <c r="D10">
        <f>IF(Ischemia_25percent_output_edgel!770:770,"AAAAAHtcTwM=",0)</f>
        <v>0</v>
      </c>
      <c r="E10" t="e">
        <f>AND(Ischemia_25percent_output_edgel!A770,"AAAAAHtcTwQ=")</f>
        <v>#VALUE!</v>
      </c>
      <c r="F10" t="e">
        <f>AND(Ischemia_25percent_output_edgel!B770,"AAAAAHtcTwU=")</f>
        <v>#VALUE!</v>
      </c>
      <c r="G10">
        <f>IF(Ischemia_25percent_output_edgel!771:771,"AAAAAHtcTwY=",0)</f>
        <v>0</v>
      </c>
      <c r="H10" t="e">
        <f>AND(Ischemia_25percent_output_edgel!A771,"AAAAAHtcTwc=")</f>
        <v>#VALUE!</v>
      </c>
      <c r="I10" t="e">
        <f>AND(Ischemia_25percent_output_edgel!B771,"AAAAAHtcTwg=")</f>
        <v>#VALUE!</v>
      </c>
      <c r="J10">
        <f>IF(Ischemia_25percent_output_edgel!772:772,"AAAAAHtcTwk=",0)</f>
        <v>0</v>
      </c>
      <c r="K10" t="e">
        <f>AND(Ischemia_25percent_output_edgel!A772,"AAAAAHtcTwo=")</f>
        <v>#VALUE!</v>
      </c>
      <c r="L10" t="e">
        <f>AND(Ischemia_25percent_output_edgel!B772,"AAAAAHtcTws=")</f>
        <v>#VALUE!</v>
      </c>
      <c r="M10">
        <f>IF(Ischemia_25percent_output_edgel!773:773,"AAAAAHtcTww=",0)</f>
        <v>0</v>
      </c>
      <c r="N10" t="e">
        <f>AND(Ischemia_25percent_output_edgel!A773,"AAAAAHtcTw0=")</f>
        <v>#VALUE!</v>
      </c>
      <c r="O10" t="e">
        <f>AND(Ischemia_25percent_output_edgel!B773,"AAAAAHtcTw4=")</f>
        <v>#VALUE!</v>
      </c>
      <c r="P10">
        <f>IF(Ischemia_25percent_output_edgel!774:774,"AAAAAHtcTw8=",0)</f>
        <v>0</v>
      </c>
      <c r="Q10" t="e">
        <f>AND(Ischemia_25percent_output_edgel!A774,"AAAAAHtcTxA=")</f>
        <v>#VALUE!</v>
      </c>
      <c r="R10" t="e">
        <f>AND(Ischemia_25percent_output_edgel!B774,"AAAAAHtcTxE=")</f>
        <v>#VALUE!</v>
      </c>
      <c r="S10">
        <f>IF(Ischemia_25percent_output_edgel!775:775,"AAAAAHtcTxI=",0)</f>
        <v>0</v>
      </c>
      <c r="T10" t="e">
        <f>AND(Ischemia_25percent_output_edgel!A775,"AAAAAHtcTxM=")</f>
        <v>#VALUE!</v>
      </c>
      <c r="U10" t="e">
        <f>AND(Ischemia_25percent_output_edgel!B775,"AAAAAHtcTxQ=")</f>
        <v>#VALUE!</v>
      </c>
      <c r="V10">
        <f>IF(Ischemia_25percent_output_edgel!776:776,"AAAAAHtcTxU=",0)</f>
        <v>0</v>
      </c>
      <c r="W10" t="e">
        <f>AND(Ischemia_25percent_output_edgel!A776,"AAAAAHtcTxY=")</f>
        <v>#VALUE!</v>
      </c>
      <c r="X10" t="e">
        <f>AND(Ischemia_25percent_output_edgel!B776,"AAAAAHtcTxc=")</f>
        <v>#VALUE!</v>
      </c>
      <c r="Y10">
        <f>IF(Ischemia_25percent_output_edgel!777:777,"AAAAAHtcTxg=",0)</f>
        <v>0</v>
      </c>
      <c r="Z10" t="e">
        <f>AND(Ischemia_25percent_output_edgel!A777,"AAAAAHtcTxk=")</f>
        <v>#VALUE!</v>
      </c>
      <c r="AA10" t="e">
        <f>AND(Ischemia_25percent_output_edgel!B777,"AAAAAHtcTxo=")</f>
        <v>#VALUE!</v>
      </c>
      <c r="AB10">
        <f>IF(Ischemia_25percent_output_edgel!778:778,"AAAAAHtcTxs=",0)</f>
        <v>0</v>
      </c>
      <c r="AC10" t="e">
        <f>AND(Ischemia_25percent_output_edgel!A778,"AAAAAHtcTxw=")</f>
        <v>#VALUE!</v>
      </c>
      <c r="AD10" t="e">
        <f>AND(Ischemia_25percent_output_edgel!B778,"AAAAAHtcTx0=")</f>
        <v>#VALUE!</v>
      </c>
      <c r="AE10">
        <f>IF(Ischemia_25percent_output_edgel!779:779,"AAAAAHtcTx4=",0)</f>
        <v>0</v>
      </c>
      <c r="AF10" t="e">
        <f>AND(Ischemia_25percent_output_edgel!A779,"AAAAAHtcTx8=")</f>
        <v>#VALUE!</v>
      </c>
      <c r="AG10" t="e">
        <f>AND(Ischemia_25percent_output_edgel!B779,"AAAAAHtcTyA=")</f>
        <v>#VALUE!</v>
      </c>
      <c r="AH10">
        <f>IF(Ischemia_25percent_output_edgel!780:780,"AAAAAHtcTyE=",0)</f>
        <v>0</v>
      </c>
      <c r="AI10" t="e">
        <f>AND(Ischemia_25percent_output_edgel!A780,"AAAAAHtcTyI=")</f>
        <v>#VALUE!</v>
      </c>
      <c r="AJ10" t="e">
        <f>AND(Ischemia_25percent_output_edgel!B780,"AAAAAHtcTyM=")</f>
        <v>#VALUE!</v>
      </c>
      <c r="AK10">
        <f>IF(Ischemia_25percent_output_edgel!781:781,"AAAAAHtcTyQ=",0)</f>
        <v>0</v>
      </c>
      <c r="AL10" t="e">
        <f>AND(Ischemia_25percent_output_edgel!A781,"AAAAAHtcTyU=")</f>
        <v>#VALUE!</v>
      </c>
      <c r="AM10" t="e">
        <f>AND(Ischemia_25percent_output_edgel!B781,"AAAAAHtcTyY=")</f>
        <v>#VALUE!</v>
      </c>
      <c r="AN10">
        <f>IF(Ischemia_25percent_output_edgel!782:782,"AAAAAHtcTyc=",0)</f>
        <v>0</v>
      </c>
      <c r="AO10" t="e">
        <f>AND(Ischemia_25percent_output_edgel!A782,"AAAAAHtcTyg=")</f>
        <v>#VALUE!</v>
      </c>
      <c r="AP10" t="e">
        <f>AND(Ischemia_25percent_output_edgel!B782,"AAAAAHtcTyk=")</f>
        <v>#VALUE!</v>
      </c>
      <c r="AQ10">
        <f>IF(Ischemia_25percent_output_edgel!783:783,"AAAAAHtcTyo=",0)</f>
        <v>0</v>
      </c>
      <c r="AR10" t="e">
        <f>AND(Ischemia_25percent_output_edgel!A783,"AAAAAHtcTys=")</f>
        <v>#VALUE!</v>
      </c>
      <c r="AS10" t="e">
        <f>AND(Ischemia_25percent_output_edgel!B783,"AAAAAHtcTyw=")</f>
        <v>#VALUE!</v>
      </c>
      <c r="AT10">
        <f>IF(Ischemia_25percent_output_edgel!784:784,"AAAAAHtcTy0=",0)</f>
        <v>0</v>
      </c>
      <c r="AU10" t="e">
        <f>AND(Ischemia_25percent_output_edgel!A784,"AAAAAHtcTy4=")</f>
        <v>#VALUE!</v>
      </c>
      <c r="AV10" t="e">
        <f>AND(Ischemia_25percent_output_edgel!B784,"AAAAAHtcTy8=")</f>
        <v>#VALUE!</v>
      </c>
      <c r="AW10">
        <f>IF(Ischemia_25percent_output_edgel!785:785,"AAAAAHtcTzA=",0)</f>
        <v>0</v>
      </c>
      <c r="AX10" t="e">
        <f>AND(Ischemia_25percent_output_edgel!A785,"AAAAAHtcTzE=")</f>
        <v>#VALUE!</v>
      </c>
      <c r="AY10" t="e">
        <f>AND(Ischemia_25percent_output_edgel!B785,"AAAAAHtcTzI=")</f>
        <v>#VALUE!</v>
      </c>
      <c r="AZ10">
        <f>IF(Ischemia_25percent_output_edgel!786:786,"AAAAAHtcTzM=",0)</f>
        <v>0</v>
      </c>
      <c r="BA10" t="e">
        <f>AND(Ischemia_25percent_output_edgel!A786,"AAAAAHtcTzQ=")</f>
        <v>#VALUE!</v>
      </c>
      <c r="BB10" t="e">
        <f>AND(Ischemia_25percent_output_edgel!B786,"AAAAAHtcTzU=")</f>
        <v>#VALUE!</v>
      </c>
      <c r="BC10">
        <f>IF(Ischemia_25percent_output_edgel!787:787,"AAAAAHtcTzY=",0)</f>
        <v>0</v>
      </c>
      <c r="BD10" t="e">
        <f>AND(Ischemia_25percent_output_edgel!A787,"AAAAAHtcTzc=")</f>
        <v>#VALUE!</v>
      </c>
      <c r="BE10" t="e">
        <f>AND(Ischemia_25percent_output_edgel!B787,"AAAAAHtcTzg=")</f>
        <v>#VALUE!</v>
      </c>
      <c r="BF10">
        <f>IF(Ischemia_25percent_output_edgel!788:788,"AAAAAHtcTzk=",0)</f>
        <v>0</v>
      </c>
      <c r="BG10" t="e">
        <f>AND(Ischemia_25percent_output_edgel!A788,"AAAAAHtcTzo=")</f>
        <v>#VALUE!</v>
      </c>
      <c r="BH10" t="e">
        <f>AND(Ischemia_25percent_output_edgel!B788,"AAAAAHtcTzs=")</f>
        <v>#VALUE!</v>
      </c>
      <c r="BI10">
        <f>IF(Ischemia_25percent_output_edgel!789:789,"AAAAAHtcTzw=",0)</f>
        <v>0</v>
      </c>
      <c r="BJ10" t="e">
        <f>AND(Ischemia_25percent_output_edgel!A789,"AAAAAHtcTz0=")</f>
        <v>#VALUE!</v>
      </c>
      <c r="BK10" t="e">
        <f>AND(Ischemia_25percent_output_edgel!B789,"AAAAAHtcTz4=")</f>
        <v>#VALUE!</v>
      </c>
      <c r="BL10">
        <f>IF(Ischemia_25percent_output_edgel!790:790,"AAAAAHtcTz8=",0)</f>
        <v>0</v>
      </c>
      <c r="BM10" t="e">
        <f>AND(Ischemia_25percent_output_edgel!A790,"AAAAAHtcT0A=")</f>
        <v>#VALUE!</v>
      </c>
      <c r="BN10" t="e">
        <f>AND(Ischemia_25percent_output_edgel!B790,"AAAAAHtcT0E=")</f>
        <v>#VALUE!</v>
      </c>
      <c r="BO10">
        <f>IF(Ischemia_25percent_output_edgel!791:791,"AAAAAHtcT0I=",0)</f>
        <v>0</v>
      </c>
      <c r="BP10" t="e">
        <f>AND(Ischemia_25percent_output_edgel!A791,"AAAAAHtcT0M=")</f>
        <v>#VALUE!</v>
      </c>
      <c r="BQ10" t="e">
        <f>AND(Ischemia_25percent_output_edgel!B791,"AAAAAHtcT0Q=")</f>
        <v>#VALUE!</v>
      </c>
      <c r="BR10">
        <f>IF(Ischemia_25percent_output_edgel!792:792,"AAAAAHtcT0U=",0)</f>
        <v>0</v>
      </c>
      <c r="BS10" t="e">
        <f>AND(Ischemia_25percent_output_edgel!A792,"AAAAAHtcT0Y=")</f>
        <v>#VALUE!</v>
      </c>
      <c r="BT10" t="e">
        <f>AND(Ischemia_25percent_output_edgel!B792,"AAAAAHtcT0c=")</f>
        <v>#VALUE!</v>
      </c>
      <c r="BU10">
        <f>IF(Ischemia_25percent_output_edgel!793:793,"AAAAAHtcT0g=",0)</f>
        <v>0</v>
      </c>
      <c r="BV10" t="e">
        <f>AND(Ischemia_25percent_output_edgel!A793,"AAAAAHtcT0k=")</f>
        <v>#VALUE!</v>
      </c>
      <c r="BW10" t="e">
        <f>AND(Ischemia_25percent_output_edgel!B793,"AAAAAHtcT0o=")</f>
        <v>#VALUE!</v>
      </c>
      <c r="BX10">
        <f>IF(Ischemia_25percent_output_edgel!794:794,"AAAAAHtcT0s=",0)</f>
        <v>0</v>
      </c>
      <c r="BY10" t="e">
        <f>AND(Ischemia_25percent_output_edgel!A794,"AAAAAHtcT0w=")</f>
        <v>#VALUE!</v>
      </c>
      <c r="BZ10" t="e">
        <f>AND(Ischemia_25percent_output_edgel!B794,"AAAAAHtcT00=")</f>
        <v>#VALUE!</v>
      </c>
      <c r="CA10">
        <f>IF(Ischemia_25percent_output_edgel!795:795,"AAAAAHtcT04=",0)</f>
        <v>0</v>
      </c>
      <c r="CB10" t="e">
        <f>AND(Ischemia_25percent_output_edgel!A795,"AAAAAHtcT08=")</f>
        <v>#VALUE!</v>
      </c>
      <c r="CC10" t="e">
        <f>AND(Ischemia_25percent_output_edgel!B795,"AAAAAHtcT1A=")</f>
        <v>#VALUE!</v>
      </c>
      <c r="CD10">
        <f>IF(Ischemia_25percent_output_edgel!796:796,"AAAAAHtcT1E=",0)</f>
        <v>0</v>
      </c>
      <c r="CE10" t="e">
        <f>AND(Ischemia_25percent_output_edgel!A796,"AAAAAHtcT1I=")</f>
        <v>#VALUE!</v>
      </c>
      <c r="CF10" t="e">
        <f>AND(Ischemia_25percent_output_edgel!B796,"AAAAAHtcT1M=")</f>
        <v>#VALUE!</v>
      </c>
      <c r="CG10">
        <f>IF(Ischemia_25percent_output_edgel!797:797,"AAAAAHtcT1Q=",0)</f>
        <v>0</v>
      </c>
      <c r="CH10" t="e">
        <f>AND(Ischemia_25percent_output_edgel!A797,"AAAAAHtcT1U=")</f>
        <v>#VALUE!</v>
      </c>
      <c r="CI10" t="e">
        <f>AND(Ischemia_25percent_output_edgel!B797,"AAAAAHtcT1Y=")</f>
        <v>#VALUE!</v>
      </c>
      <c r="CJ10">
        <f>IF(Ischemia_25percent_output_edgel!798:798,"AAAAAHtcT1c=",0)</f>
        <v>0</v>
      </c>
      <c r="CK10" t="e">
        <f>AND(Ischemia_25percent_output_edgel!A798,"AAAAAHtcT1g=")</f>
        <v>#VALUE!</v>
      </c>
      <c r="CL10" t="e">
        <f>AND(Ischemia_25percent_output_edgel!B798,"AAAAAHtcT1k=")</f>
        <v>#VALUE!</v>
      </c>
      <c r="CM10">
        <f>IF(Ischemia_25percent_output_edgel!799:799,"AAAAAHtcT1o=",0)</f>
        <v>0</v>
      </c>
      <c r="CN10" t="e">
        <f>AND(Ischemia_25percent_output_edgel!A799,"AAAAAHtcT1s=")</f>
        <v>#VALUE!</v>
      </c>
      <c r="CO10" t="e">
        <f>AND(Ischemia_25percent_output_edgel!B799,"AAAAAHtcT1w=")</f>
        <v>#VALUE!</v>
      </c>
      <c r="CP10">
        <f>IF(Ischemia_25percent_output_edgel!800:800,"AAAAAHtcT10=",0)</f>
        <v>0</v>
      </c>
      <c r="CQ10" t="e">
        <f>AND(Ischemia_25percent_output_edgel!A800,"AAAAAHtcT14=")</f>
        <v>#VALUE!</v>
      </c>
      <c r="CR10" t="e">
        <f>AND(Ischemia_25percent_output_edgel!B800,"AAAAAHtcT18=")</f>
        <v>#VALUE!</v>
      </c>
      <c r="CS10">
        <f>IF(Ischemia_25percent_output_edgel!801:801,"AAAAAHtcT2A=",0)</f>
        <v>0</v>
      </c>
      <c r="CT10" t="e">
        <f>AND(Ischemia_25percent_output_edgel!A801,"AAAAAHtcT2E=")</f>
        <v>#VALUE!</v>
      </c>
      <c r="CU10" t="e">
        <f>AND(Ischemia_25percent_output_edgel!B801,"AAAAAHtcT2I=")</f>
        <v>#VALUE!</v>
      </c>
      <c r="CV10">
        <f>IF(Ischemia_25percent_output_edgel!802:802,"AAAAAHtcT2M=",0)</f>
        <v>0</v>
      </c>
      <c r="CW10" t="e">
        <f>AND(Ischemia_25percent_output_edgel!A802,"AAAAAHtcT2Q=")</f>
        <v>#VALUE!</v>
      </c>
      <c r="CX10" t="e">
        <f>AND(Ischemia_25percent_output_edgel!B802,"AAAAAHtcT2U=")</f>
        <v>#VALUE!</v>
      </c>
      <c r="CY10">
        <f>IF(Ischemia_25percent_output_edgel!803:803,"AAAAAHtcT2Y=",0)</f>
        <v>0</v>
      </c>
      <c r="CZ10" t="e">
        <f>AND(Ischemia_25percent_output_edgel!A803,"AAAAAHtcT2c=")</f>
        <v>#VALUE!</v>
      </c>
      <c r="DA10" t="e">
        <f>AND(Ischemia_25percent_output_edgel!B803,"AAAAAHtcT2g=")</f>
        <v>#VALUE!</v>
      </c>
      <c r="DB10">
        <f>IF(Ischemia_25percent_output_edgel!804:804,"AAAAAHtcT2k=",0)</f>
        <v>0</v>
      </c>
      <c r="DC10" t="e">
        <f>AND(Ischemia_25percent_output_edgel!A804,"AAAAAHtcT2o=")</f>
        <v>#VALUE!</v>
      </c>
      <c r="DD10" t="e">
        <f>AND(Ischemia_25percent_output_edgel!B804,"AAAAAHtcT2s=")</f>
        <v>#VALUE!</v>
      </c>
      <c r="DE10">
        <f>IF(Ischemia_25percent_output_edgel!805:805,"AAAAAHtcT2w=",0)</f>
        <v>0</v>
      </c>
      <c r="DF10" t="e">
        <f>AND(Ischemia_25percent_output_edgel!A805,"AAAAAHtcT20=")</f>
        <v>#VALUE!</v>
      </c>
      <c r="DG10" t="e">
        <f>AND(Ischemia_25percent_output_edgel!B805,"AAAAAHtcT24=")</f>
        <v>#VALUE!</v>
      </c>
      <c r="DH10">
        <f>IF(Ischemia_25percent_output_edgel!806:806,"AAAAAHtcT28=",0)</f>
        <v>0</v>
      </c>
      <c r="DI10" t="e">
        <f>AND(Ischemia_25percent_output_edgel!A806,"AAAAAHtcT3A=")</f>
        <v>#VALUE!</v>
      </c>
      <c r="DJ10" t="e">
        <f>AND(Ischemia_25percent_output_edgel!B806,"AAAAAHtcT3E=")</f>
        <v>#VALUE!</v>
      </c>
      <c r="DK10">
        <f>IF(Ischemia_25percent_output_edgel!807:807,"AAAAAHtcT3I=",0)</f>
        <v>0</v>
      </c>
      <c r="DL10" t="e">
        <f>AND(Ischemia_25percent_output_edgel!A807,"AAAAAHtcT3M=")</f>
        <v>#VALUE!</v>
      </c>
      <c r="DM10" t="e">
        <f>AND(Ischemia_25percent_output_edgel!B807,"AAAAAHtcT3Q=")</f>
        <v>#VALUE!</v>
      </c>
      <c r="DN10">
        <f>IF(Ischemia_25percent_output_edgel!808:808,"AAAAAHtcT3U=",0)</f>
        <v>0</v>
      </c>
      <c r="DO10" t="e">
        <f>AND(Ischemia_25percent_output_edgel!A808,"AAAAAHtcT3Y=")</f>
        <v>#VALUE!</v>
      </c>
      <c r="DP10" t="e">
        <f>AND(Ischemia_25percent_output_edgel!B808,"AAAAAHtcT3c=")</f>
        <v>#VALUE!</v>
      </c>
      <c r="DQ10">
        <f>IF(Ischemia_25percent_output_edgel!809:809,"AAAAAHtcT3g=",0)</f>
        <v>0</v>
      </c>
      <c r="DR10" t="e">
        <f>AND(Ischemia_25percent_output_edgel!A809,"AAAAAHtcT3k=")</f>
        <v>#VALUE!</v>
      </c>
      <c r="DS10" t="e">
        <f>AND(Ischemia_25percent_output_edgel!B809,"AAAAAHtcT3o=")</f>
        <v>#VALUE!</v>
      </c>
      <c r="DT10">
        <f>IF(Ischemia_25percent_output_edgel!810:810,"AAAAAHtcT3s=",0)</f>
        <v>0</v>
      </c>
      <c r="DU10" t="e">
        <f>AND(Ischemia_25percent_output_edgel!A810,"AAAAAHtcT3w=")</f>
        <v>#VALUE!</v>
      </c>
      <c r="DV10" t="e">
        <f>AND(Ischemia_25percent_output_edgel!B810,"AAAAAHtcT30=")</f>
        <v>#VALUE!</v>
      </c>
      <c r="DW10">
        <f>IF(Ischemia_25percent_output_edgel!811:811,"AAAAAHtcT34=",0)</f>
        <v>0</v>
      </c>
      <c r="DX10" t="e">
        <f>AND(Ischemia_25percent_output_edgel!A811,"AAAAAHtcT38=")</f>
        <v>#VALUE!</v>
      </c>
      <c r="DY10" t="e">
        <f>AND(Ischemia_25percent_output_edgel!B811,"AAAAAHtcT4A=")</f>
        <v>#VALUE!</v>
      </c>
      <c r="DZ10">
        <f>IF(Ischemia_25percent_output_edgel!812:812,"AAAAAHtcT4E=",0)</f>
        <v>0</v>
      </c>
      <c r="EA10" t="e">
        <f>AND(Ischemia_25percent_output_edgel!A812,"AAAAAHtcT4I=")</f>
        <v>#VALUE!</v>
      </c>
      <c r="EB10" t="e">
        <f>AND(Ischemia_25percent_output_edgel!B812,"AAAAAHtcT4M=")</f>
        <v>#VALUE!</v>
      </c>
      <c r="EC10">
        <f>IF(Ischemia_25percent_output_edgel!813:813,"AAAAAHtcT4Q=",0)</f>
        <v>0</v>
      </c>
      <c r="ED10" t="e">
        <f>AND(Ischemia_25percent_output_edgel!A813,"AAAAAHtcT4U=")</f>
        <v>#VALUE!</v>
      </c>
      <c r="EE10" t="e">
        <f>AND(Ischemia_25percent_output_edgel!B813,"AAAAAHtcT4Y=")</f>
        <v>#VALUE!</v>
      </c>
      <c r="EF10">
        <f>IF(Ischemia_25percent_output_edgel!814:814,"AAAAAHtcT4c=",0)</f>
        <v>0</v>
      </c>
      <c r="EG10" t="e">
        <f>AND(Ischemia_25percent_output_edgel!A814,"AAAAAHtcT4g=")</f>
        <v>#VALUE!</v>
      </c>
      <c r="EH10" t="e">
        <f>AND(Ischemia_25percent_output_edgel!B814,"AAAAAHtcT4k=")</f>
        <v>#VALUE!</v>
      </c>
      <c r="EI10">
        <f>IF(Ischemia_25percent_output_edgel!815:815,"AAAAAHtcT4o=",0)</f>
        <v>0</v>
      </c>
      <c r="EJ10" t="e">
        <f>AND(Ischemia_25percent_output_edgel!A815,"AAAAAHtcT4s=")</f>
        <v>#VALUE!</v>
      </c>
      <c r="EK10" t="e">
        <f>AND(Ischemia_25percent_output_edgel!B815,"AAAAAHtcT4w=")</f>
        <v>#VALUE!</v>
      </c>
      <c r="EL10">
        <f>IF(Ischemia_25percent_output_edgel!816:816,"AAAAAHtcT40=",0)</f>
        <v>0</v>
      </c>
      <c r="EM10" t="e">
        <f>AND(Ischemia_25percent_output_edgel!A816,"AAAAAHtcT44=")</f>
        <v>#VALUE!</v>
      </c>
      <c r="EN10" t="e">
        <f>AND(Ischemia_25percent_output_edgel!B816,"AAAAAHtcT48=")</f>
        <v>#VALUE!</v>
      </c>
      <c r="EO10">
        <f>IF(Ischemia_25percent_output_edgel!817:817,"AAAAAHtcT5A=",0)</f>
        <v>0</v>
      </c>
      <c r="EP10" t="e">
        <f>AND(Ischemia_25percent_output_edgel!A817,"AAAAAHtcT5E=")</f>
        <v>#VALUE!</v>
      </c>
      <c r="EQ10" t="e">
        <f>AND(Ischemia_25percent_output_edgel!B817,"AAAAAHtcT5I=")</f>
        <v>#VALUE!</v>
      </c>
      <c r="ER10">
        <f>IF(Ischemia_25percent_output_edgel!818:818,"AAAAAHtcT5M=",0)</f>
        <v>0</v>
      </c>
      <c r="ES10" t="e">
        <f>AND(Ischemia_25percent_output_edgel!A818,"AAAAAHtcT5Q=")</f>
        <v>#VALUE!</v>
      </c>
      <c r="ET10" t="e">
        <f>AND(Ischemia_25percent_output_edgel!B818,"AAAAAHtcT5U=")</f>
        <v>#VALUE!</v>
      </c>
      <c r="EU10">
        <f>IF(Ischemia_25percent_output_edgel!819:819,"AAAAAHtcT5Y=",0)</f>
        <v>0</v>
      </c>
      <c r="EV10" t="e">
        <f>AND(Ischemia_25percent_output_edgel!A819,"AAAAAHtcT5c=")</f>
        <v>#VALUE!</v>
      </c>
      <c r="EW10" t="e">
        <f>AND(Ischemia_25percent_output_edgel!B819,"AAAAAHtcT5g=")</f>
        <v>#VALUE!</v>
      </c>
      <c r="EX10">
        <f>IF(Ischemia_25percent_output_edgel!820:820,"AAAAAHtcT5k=",0)</f>
        <v>0</v>
      </c>
      <c r="EY10" t="e">
        <f>AND(Ischemia_25percent_output_edgel!A820,"AAAAAHtcT5o=")</f>
        <v>#VALUE!</v>
      </c>
      <c r="EZ10" t="e">
        <f>AND(Ischemia_25percent_output_edgel!B820,"AAAAAHtcT5s=")</f>
        <v>#VALUE!</v>
      </c>
      <c r="FA10">
        <f>IF(Ischemia_25percent_output_edgel!821:821,"AAAAAHtcT5w=",0)</f>
        <v>0</v>
      </c>
      <c r="FB10" t="e">
        <f>AND(Ischemia_25percent_output_edgel!A821,"AAAAAHtcT50=")</f>
        <v>#VALUE!</v>
      </c>
      <c r="FC10" t="e">
        <f>AND(Ischemia_25percent_output_edgel!B821,"AAAAAHtcT54=")</f>
        <v>#VALUE!</v>
      </c>
      <c r="FD10">
        <f>IF(Ischemia_25percent_output_edgel!822:822,"AAAAAHtcT58=",0)</f>
        <v>0</v>
      </c>
      <c r="FE10" t="e">
        <f>AND(Ischemia_25percent_output_edgel!A822,"AAAAAHtcT6A=")</f>
        <v>#VALUE!</v>
      </c>
      <c r="FF10" t="e">
        <f>AND(Ischemia_25percent_output_edgel!B822,"AAAAAHtcT6E=")</f>
        <v>#VALUE!</v>
      </c>
      <c r="FG10">
        <f>IF(Ischemia_25percent_output_edgel!823:823,"AAAAAHtcT6I=",0)</f>
        <v>0</v>
      </c>
      <c r="FH10" t="e">
        <f>AND(Ischemia_25percent_output_edgel!A823,"AAAAAHtcT6M=")</f>
        <v>#VALUE!</v>
      </c>
      <c r="FI10" t="e">
        <f>AND(Ischemia_25percent_output_edgel!B823,"AAAAAHtcT6Q=")</f>
        <v>#VALUE!</v>
      </c>
      <c r="FJ10">
        <f>IF(Ischemia_25percent_output_edgel!824:824,"AAAAAHtcT6U=",0)</f>
        <v>0</v>
      </c>
      <c r="FK10" t="e">
        <f>AND(Ischemia_25percent_output_edgel!A824,"AAAAAHtcT6Y=")</f>
        <v>#VALUE!</v>
      </c>
      <c r="FL10" t="e">
        <f>AND(Ischemia_25percent_output_edgel!B824,"AAAAAHtcT6c=")</f>
        <v>#VALUE!</v>
      </c>
      <c r="FM10">
        <f>IF(Ischemia_25percent_output_edgel!825:825,"AAAAAHtcT6g=",0)</f>
        <v>0</v>
      </c>
      <c r="FN10" t="e">
        <f>AND(Ischemia_25percent_output_edgel!A825,"AAAAAHtcT6k=")</f>
        <v>#VALUE!</v>
      </c>
      <c r="FO10" t="e">
        <f>AND(Ischemia_25percent_output_edgel!B825,"AAAAAHtcT6o=")</f>
        <v>#VALUE!</v>
      </c>
      <c r="FP10">
        <f>IF(Ischemia_25percent_output_edgel!826:826,"AAAAAHtcT6s=",0)</f>
        <v>0</v>
      </c>
      <c r="FQ10" t="e">
        <f>AND(Ischemia_25percent_output_edgel!A826,"AAAAAHtcT6w=")</f>
        <v>#VALUE!</v>
      </c>
      <c r="FR10" t="e">
        <f>AND(Ischemia_25percent_output_edgel!B826,"AAAAAHtcT60=")</f>
        <v>#VALUE!</v>
      </c>
      <c r="FS10">
        <f>IF(Ischemia_25percent_output_edgel!827:827,"AAAAAHtcT64=",0)</f>
        <v>0</v>
      </c>
      <c r="FT10" t="e">
        <f>AND(Ischemia_25percent_output_edgel!A827,"AAAAAHtcT68=")</f>
        <v>#VALUE!</v>
      </c>
      <c r="FU10" t="e">
        <f>AND(Ischemia_25percent_output_edgel!B827,"AAAAAHtcT7A=")</f>
        <v>#VALUE!</v>
      </c>
      <c r="FV10">
        <f>IF(Ischemia_25percent_output_edgel!828:828,"AAAAAHtcT7E=",0)</f>
        <v>0</v>
      </c>
      <c r="FW10" t="e">
        <f>AND(Ischemia_25percent_output_edgel!A828,"AAAAAHtcT7I=")</f>
        <v>#VALUE!</v>
      </c>
      <c r="FX10" t="e">
        <f>AND(Ischemia_25percent_output_edgel!B828,"AAAAAHtcT7M=")</f>
        <v>#VALUE!</v>
      </c>
      <c r="FY10">
        <f>IF(Ischemia_25percent_output_edgel!829:829,"AAAAAHtcT7Q=",0)</f>
        <v>0</v>
      </c>
      <c r="FZ10" t="e">
        <f>AND(Ischemia_25percent_output_edgel!A829,"AAAAAHtcT7U=")</f>
        <v>#VALUE!</v>
      </c>
      <c r="GA10" t="e">
        <f>AND(Ischemia_25percent_output_edgel!B829,"AAAAAHtcT7Y=")</f>
        <v>#VALUE!</v>
      </c>
      <c r="GB10">
        <f>IF(Ischemia_25percent_output_edgel!830:830,"AAAAAHtcT7c=",0)</f>
        <v>0</v>
      </c>
      <c r="GC10" t="e">
        <f>AND(Ischemia_25percent_output_edgel!A830,"AAAAAHtcT7g=")</f>
        <v>#VALUE!</v>
      </c>
      <c r="GD10" t="e">
        <f>AND(Ischemia_25percent_output_edgel!B830,"AAAAAHtcT7k=")</f>
        <v>#VALUE!</v>
      </c>
      <c r="GE10">
        <f>IF(Ischemia_25percent_output_edgel!831:831,"AAAAAHtcT7o=",0)</f>
        <v>0</v>
      </c>
      <c r="GF10" t="e">
        <f>AND(Ischemia_25percent_output_edgel!A831,"AAAAAHtcT7s=")</f>
        <v>#VALUE!</v>
      </c>
      <c r="GG10" t="e">
        <f>AND(Ischemia_25percent_output_edgel!B831,"AAAAAHtcT7w=")</f>
        <v>#VALUE!</v>
      </c>
      <c r="GH10">
        <f>IF(Ischemia_25percent_output_edgel!832:832,"AAAAAHtcT70=",0)</f>
        <v>0</v>
      </c>
      <c r="GI10" t="e">
        <f>AND(Ischemia_25percent_output_edgel!A832,"AAAAAHtcT74=")</f>
        <v>#VALUE!</v>
      </c>
      <c r="GJ10" t="e">
        <f>AND(Ischemia_25percent_output_edgel!B832,"AAAAAHtcT78=")</f>
        <v>#VALUE!</v>
      </c>
      <c r="GK10">
        <f>IF(Ischemia_25percent_output_edgel!833:833,"AAAAAHtcT8A=",0)</f>
        <v>0</v>
      </c>
      <c r="GL10" t="e">
        <f>AND(Ischemia_25percent_output_edgel!A833,"AAAAAHtcT8E=")</f>
        <v>#VALUE!</v>
      </c>
      <c r="GM10" t="e">
        <f>AND(Ischemia_25percent_output_edgel!B833,"AAAAAHtcT8I=")</f>
        <v>#VALUE!</v>
      </c>
      <c r="GN10">
        <f>IF(Ischemia_25percent_output_edgel!834:834,"AAAAAHtcT8M=",0)</f>
        <v>0</v>
      </c>
      <c r="GO10" t="e">
        <f>AND(Ischemia_25percent_output_edgel!A834,"AAAAAHtcT8Q=")</f>
        <v>#VALUE!</v>
      </c>
      <c r="GP10" t="e">
        <f>AND(Ischemia_25percent_output_edgel!B834,"AAAAAHtcT8U=")</f>
        <v>#VALUE!</v>
      </c>
      <c r="GQ10">
        <f>IF(Ischemia_25percent_output_edgel!835:835,"AAAAAHtcT8Y=",0)</f>
        <v>0</v>
      </c>
      <c r="GR10" t="e">
        <f>AND(Ischemia_25percent_output_edgel!A835,"AAAAAHtcT8c=")</f>
        <v>#VALUE!</v>
      </c>
      <c r="GS10" t="e">
        <f>AND(Ischemia_25percent_output_edgel!B835,"AAAAAHtcT8g=")</f>
        <v>#VALUE!</v>
      </c>
      <c r="GT10">
        <f>IF(Ischemia_25percent_output_edgel!836:836,"AAAAAHtcT8k=",0)</f>
        <v>0</v>
      </c>
      <c r="GU10" t="e">
        <f>AND(Ischemia_25percent_output_edgel!A836,"AAAAAHtcT8o=")</f>
        <v>#VALUE!</v>
      </c>
      <c r="GV10" t="e">
        <f>AND(Ischemia_25percent_output_edgel!B836,"AAAAAHtcT8s=")</f>
        <v>#VALUE!</v>
      </c>
      <c r="GW10">
        <f>IF(Ischemia_25percent_output_edgel!837:837,"AAAAAHtcT8w=",0)</f>
        <v>0</v>
      </c>
      <c r="GX10" t="e">
        <f>AND(Ischemia_25percent_output_edgel!A837,"AAAAAHtcT80=")</f>
        <v>#VALUE!</v>
      </c>
      <c r="GY10" t="e">
        <f>AND(Ischemia_25percent_output_edgel!B837,"AAAAAHtcT84=")</f>
        <v>#VALUE!</v>
      </c>
      <c r="GZ10">
        <f>IF(Ischemia_25percent_output_edgel!838:838,"AAAAAHtcT88=",0)</f>
        <v>0</v>
      </c>
      <c r="HA10" t="e">
        <f>AND(Ischemia_25percent_output_edgel!A838,"AAAAAHtcT9A=")</f>
        <v>#VALUE!</v>
      </c>
      <c r="HB10" t="e">
        <f>AND(Ischemia_25percent_output_edgel!B838,"AAAAAHtcT9E=")</f>
        <v>#VALUE!</v>
      </c>
      <c r="HC10">
        <f>IF(Ischemia_25percent_output_edgel!839:839,"AAAAAHtcT9I=",0)</f>
        <v>0</v>
      </c>
      <c r="HD10" t="e">
        <f>AND(Ischemia_25percent_output_edgel!A839,"AAAAAHtcT9M=")</f>
        <v>#VALUE!</v>
      </c>
      <c r="HE10" t="e">
        <f>AND(Ischemia_25percent_output_edgel!B839,"AAAAAHtcT9Q=")</f>
        <v>#VALUE!</v>
      </c>
      <c r="HF10">
        <f>IF(Ischemia_25percent_output_edgel!840:840,"AAAAAHtcT9U=",0)</f>
        <v>0</v>
      </c>
      <c r="HG10" t="e">
        <f>AND(Ischemia_25percent_output_edgel!A840,"AAAAAHtcT9Y=")</f>
        <v>#VALUE!</v>
      </c>
      <c r="HH10" t="e">
        <f>AND(Ischemia_25percent_output_edgel!B840,"AAAAAHtcT9c=")</f>
        <v>#VALUE!</v>
      </c>
      <c r="HI10">
        <f>IF(Ischemia_25percent_output_edgel!841:841,"AAAAAHtcT9g=",0)</f>
        <v>0</v>
      </c>
      <c r="HJ10" t="e">
        <f>AND(Ischemia_25percent_output_edgel!A841,"AAAAAHtcT9k=")</f>
        <v>#VALUE!</v>
      </c>
      <c r="HK10" t="e">
        <f>AND(Ischemia_25percent_output_edgel!B841,"AAAAAHtcT9o=")</f>
        <v>#VALUE!</v>
      </c>
      <c r="HL10">
        <f>IF(Ischemia_25percent_output_edgel!842:842,"AAAAAHtcT9s=",0)</f>
        <v>0</v>
      </c>
      <c r="HM10" t="e">
        <f>AND(Ischemia_25percent_output_edgel!A842,"AAAAAHtcT9w=")</f>
        <v>#VALUE!</v>
      </c>
      <c r="HN10" t="e">
        <f>AND(Ischemia_25percent_output_edgel!B842,"AAAAAHtcT90=")</f>
        <v>#VALUE!</v>
      </c>
      <c r="HO10">
        <f>IF(Ischemia_25percent_output_edgel!843:843,"AAAAAHtcT94=",0)</f>
        <v>0</v>
      </c>
      <c r="HP10" t="e">
        <f>AND(Ischemia_25percent_output_edgel!A843,"AAAAAHtcT98=")</f>
        <v>#VALUE!</v>
      </c>
      <c r="HQ10" t="e">
        <f>AND(Ischemia_25percent_output_edgel!B843,"AAAAAHtcT+A=")</f>
        <v>#VALUE!</v>
      </c>
      <c r="HR10">
        <f>IF(Ischemia_25percent_output_edgel!844:844,"AAAAAHtcT+E=",0)</f>
        <v>0</v>
      </c>
      <c r="HS10" t="e">
        <f>AND(Ischemia_25percent_output_edgel!A844,"AAAAAHtcT+I=")</f>
        <v>#VALUE!</v>
      </c>
      <c r="HT10" t="e">
        <f>AND(Ischemia_25percent_output_edgel!B844,"AAAAAHtcT+M=")</f>
        <v>#VALUE!</v>
      </c>
      <c r="HU10">
        <f>IF(Ischemia_25percent_output_edgel!845:845,"AAAAAHtcT+Q=",0)</f>
        <v>0</v>
      </c>
      <c r="HV10" t="e">
        <f>AND(Ischemia_25percent_output_edgel!A845,"AAAAAHtcT+U=")</f>
        <v>#VALUE!</v>
      </c>
      <c r="HW10" t="e">
        <f>AND(Ischemia_25percent_output_edgel!B845,"AAAAAHtcT+Y=")</f>
        <v>#VALUE!</v>
      </c>
      <c r="HX10">
        <f>IF(Ischemia_25percent_output_edgel!846:846,"AAAAAHtcT+c=",0)</f>
        <v>0</v>
      </c>
      <c r="HY10" t="e">
        <f>AND(Ischemia_25percent_output_edgel!A846,"AAAAAHtcT+g=")</f>
        <v>#VALUE!</v>
      </c>
      <c r="HZ10" t="e">
        <f>AND(Ischemia_25percent_output_edgel!B846,"AAAAAHtcT+k=")</f>
        <v>#VALUE!</v>
      </c>
      <c r="IA10">
        <f>IF(Ischemia_25percent_output_edgel!847:847,"AAAAAHtcT+o=",0)</f>
        <v>0</v>
      </c>
      <c r="IB10" t="e">
        <f>AND(Ischemia_25percent_output_edgel!A847,"AAAAAHtcT+s=")</f>
        <v>#VALUE!</v>
      </c>
      <c r="IC10" t="e">
        <f>AND(Ischemia_25percent_output_edgel!B847,"AAAAAHtcT+w=")</f>
        <v>#VALUE!</v>
      </c>
      <c r="ID10">
        <f>IF(Ischemia_25percent_output_edgel!848:848,"AAAAAHtcT+0=",0)</f>
        <v>0</v>
      </c>
      <c r="IE10" t="e">
        <f>AND(Ischemia_25percent_output_edgel!A848,"AAAAAHtcT+4=")</f>
        <v>#VALUE!</v>
      </c>
      <c r="IF10" t="e">
        <f>AND(Ischemia_25percent_output_edgel!B848,"AAAAAHtcT+8=")</f>
        <v>#VALUE!</v>
      </c>
      <c r="IG10">
        <f>IF(Ischemia_25percent_output_edgel!849:849,"AAAAAHtcT/A=",0)</f>
        <v>0</v>
      </c>
      <c r="IH10" t="e">
        <f>AND(Ischemia_25percent_output_edgel!A849,"AAAAAHtcT/E=")</f>
        <v>#VALUE!</v>
      </c>
      <c r="II10" t="e">
        <f>AND(Ischemia_25percent_output_edgel!B849,"AAAAAHtcT/I=")</f>
        <v>#VALUE!</v>
      </c>
      <c r="IJ10">
        <f>IF(Ischemia_25percent_output_edgel!850:850,"AAAAAHtcT/M=",0)</f>
        <v>0</v>
      </c>
      <c r="IK10" t="e">
        <f>AND(Ischemia_25percent_output_edgel!A850,"AAAAAHtcT/Q=")</f>
        <v>#VALUE!</v>
      </c>
      <c r="IL10" t="e">
        <f>AND(Ischemia_25percent_output_edgel!B850,"AAAAAHtcT/U=")</f>
        <v>#VALUE!</v>
      </c>
      <c r="IM10">
        <f>IF(Ischemia_25percent_output_edgel!851:851,"AAAAAHtcT/Y=",0)</f>
        <v>0</v>
      </c>
      <c r="IN10" t="e">
        <f>AND(Ischemia_25percent_output_edgel!A851,"AAAAAHtcT/c=")</f>
        <v>#VALUE!</v>
      </c>
      <c r="IO10" t="e">
        <f>AND(Ischemia_25percent_output_edgel!B851,"AAAAAHtcT/g=")</f>
        <v>#VALUE!</v>
      </c>
      <c r="IP10">
        <f>IF(Ischemia_25percent_output_edgel!852:852,"AAAAAHtcT/k=",0)</f>
        <v>0</v>
      </c>
      <c r="IQ10" t="e">
        <f>AND(Ischemia_25percent_output_edgel!A852,"AAAAAHtcT/o=")</f>
        <v>#VALUE!</v>
      </c>
      <c r="IR10" t="e">
        <f>AND(Ischemia_25percent_output_edgel!B852,"AAAAAHtcT/s=")</f>
        <v>#VALUE!</v>
      </c>
      <c r="IS10">
        <f>IF(Ischemia_25percent_output_edgel!853:853,"AAAAAHtcT/w=",0)</f>
        <v>0</v>
      </c>
      <c r="IT10" t="e">
        <f>AND(Ischemia_25percent_output_edgel!A853,"AAAAAHtcT/0=")</f>
        <v>#VALUE!</v>
      </c>
      <c r="IU10" t="e">
        <f>AND(Ischemia_25percent_output_edgel!B853,"AAAAAHtcT/4=")</f>
        <v>#VALUE!</v>
      </c>
      <c r="IV10">
        <f>IF(Ischemia_25percent_output_edgel!854:854,"AAAAAHtcT/8=",0)</f>
        <v>0</v>
      </c>
    </row>
    <row r="11" spans="1:256">
      <c r="A11" t="e">
        <f>AND(Ischemia_25percent_output_edgel!A854,"AAAAAHzMbQA=")</f>
        <v>#VALUE!</v>
      </c>
      <c r="B11" t="e">
        <f>AND(Ischemia_25percent_output_edgel!B854,"AAAAAHzMbQE=")</f>
        <v>#VALUE!</v>
      </c>
      <c r="C11">
        <f>IF(Ischemia_25percent_output_edgel!855:855,"AAAAAHzMbQI=",0)</f>
        <v>0</v>
      </c>
      <c r="D11" t="e">
        <f>AND(Ischemia_25percent_output_edgel!A855,"AAAAAHzMbQM=")</f>
        <v>#VALUE!</v>
      </c>
      <c r="E11" t="e">
        <f>AND(Ischemia_25percent_output_edgel!B855,"AAAAAHzMbQQ=")</f>
        <v>#VALUE!</v>
      </c>
      <c r="F11">
        <f>IF(Ischemia_25percent_output_edgel!856:856,"AAAAAHzMbQU=",0)</f>
        <v>0</v>
      </c>
      <c r="G11" t="e">
        <f>AND(Ischemia_25percent_output_edgel!A856,"AAAAAHzMbQY=")</f>
        <v>#VALUE!</v>
      </c>
      <c r="H11" t="e">
        <f>AND(Ischemia_25percent_output_edgel!B856,"AAAAAHzMbQc=")</f>
        <v>#VALUE!</v>
      </c>
      <c r="I11">
        <f>IF(Ischemia_25percent_output_edgel!857:857,"AAAAAHzMbQg=",0)</f>
        <v>0</v>
      </c>
      <c r="J11" t="e">
        <f>AND(Ischemia_25percent_output_edgel!A857,"AAAAAHzMbQk=")</f>
        <v>#VALUE!</v>
      </c>
      <c r="K11" t="e">
        <f>AND(Ischemia_25percent_output_edgel!B857,"AAAAAHzMbQo=")</f>
        <v>#VALUE!</v>
      </c>
      <c r="L11">
        <f>IF(Ischemia_25percent_output_edgel!858:858,"AAAAAHzMbQs=",0)</f>
        <v>0</v>
      </c>
      <c r="M11" t="e">
        <f>AND(Ischemia_25percent_output_edgel!A858,"AAAAAHzMbQw=")</f>
        <v>#VALUE!</v>
      </c>
      <c r="N11" t="e">
        <f>AND(Ischemia_25percent_output_edgel!B858,"AAAAAHzMbQ0=")</f>
        <v>#VALUE!</v>
      </c>
      <c r="O11">
        <f>IF(Ischemia_25percent_output_edgel!859:859,"AAAAAHzMbQ4=",0)</f>
        <v>0</v>
      </c>
      <c r="P11" t="e">
        <f>AND(Ischemia_25percent_output_edgel!A859,"AAAAAHzMbQ8=")</f>
        <v>#VALUE!</v>
      </c>
      <c r="Q11" t="e">
        <f>AND(Ischemia_25percent_output_edgel!B859,"AAAAAHzMbRA=")</f>
        <v>#VALUE!</v>
      </c>
      <c r="R11">
        <f>IF(Ischemia_25percent_output_edgel!860:860,"AAAAAHzMbRE=",0)</f>
        <v>0</v>
      </c>
      <c r="S11" t="e">
        <f>AND(Ischemia_25percent_output_edgel!A860,"AAAAAHzMbRI=")</f>
        <v>#VALUE!</v>
      </c>
      <c r="T11" t="e">
        <f>AND(Ischemia_25percent_output_edgel!B860,"AAAAAHzMbRM=")</f>
        <v>#VALUE!</v>
      </c>
      <c r="U11">
        <f>IF(Ischemia_25percent_output_edgel!861:861,"AAAAAHzMbRQ=",0)</f>
        <v>0</v>
      </c>
      <c r="V11" t="e">
        <f>AND(Ischemia_25percent_output_edgel!A861,"AAAAAHzMbRU=")</f>
        <v>#VALUE!</v>
      </c>
      <c r="W11" t="e">
        <f>AND(Ischemia_25percent_output_edgel!B861,"AAAAAHzMbRY=")</f>
        <v>#VALUE!</v>
      </c>
      <c r="X11">
        <f>IF(Ischemia_25percent_output_edgel!862:862,"AAAAAHzMbRc=",0)</f>
        <v>0</v>
      </c>
      <c r="Y11" t="e">
        <f>AND(Ischemia_25percent_output_edgel!A862,"AAAAAHzMbRg=")</f>
        <v>#VALUE!</v>
      </c>
      <c r="Z11" t="e">
        <f>AND(Ischemia_25percent_output_edgel!B862,"AAAAAHzMbRk=")</f>
        <v>#VALUE!</v>
      </c>
      <c r="AA11">
        <f>IF(Ischemia_25percent_output_edgel!863:863,"AAAAAHzMbRo=",0)</f>
        <v>0</v>
      </c>
      <c r="AB11" t="e">
        <f>AND(Ischemia_25percent_output_edgel!A863,"AAAAAHzMbRs=")</f>
        <v>#VALUE!</v>
      </c>
      <c r="AC11" t="e">
        <f>AND(Ischemia_25percent_output_edgel!B863,"AAAAAHzMbRw=")</f>
        <v>#VALUE!</v>
      </c>
      <c r="AD11">
        <f>IF(Ischemia_25percent_output_edgel!864:864,"AAAAAHzMbR0=",0)</f>
        <v>0</v>
      </c>
      <c r="AE11" t="e">
        <f>AND(Ischemia_25percent_output_edgel!A864,"AAAAAHzMbR4=")</f>
        <v>#VALUE!</v>
      </c>
      <c r="AF11" t="e">
        <f>AND(Ischemia_25percent_output_edgel!B864,"AAAAAHzMbR8=")</f>
        <v>#VALUE!</v>
      </c>
      <c r="AG11">
        <f>IF(Ischemia_25percent_output_edgel!865:865,"AAAAAHzMbSA=",0)</f>
        <v>0</v>
      </c>
      <c r="AH11" t="e">
        <f>AND(Ischemia_25percent_output_edgel!A865,"AAAAAHzMbSE=")</f>
        <v>#VALUE!</v>
      </c>
      <c r="AI11" t="e">
        <f>AND(Ischemia_25percent_output_edgel!B865,"AAAAAHzMbSI=")</f>
        <v>#VALUE!</v>
      </c>
      <c r="AJ11">
        <f>IF(Ischemia_25percent_output_edgel!866:866,"AAAAAHzMbSM=",0)</f>
        <v>0</v>
      </c>
      <c r="AK11" t="e">
        <f>AND(Ischemia_25percent_output_edgel!A866,"AAAAAHzMbSQ=")</f>
        <v>#VALUE!</v>
      </c>
      <c r="AL11" t="e">
        <f>AND(Ischemia_25percent_output_edgel!B866,"AAAAAHzMbSU=")</f>
        <v>#VALUE!</v>
      </c>
      <c r="AM11">
        <f>IF(Ischemia_25percent_output_edgel!867:867,"AAAAAHzMbSY=",0)</f>
        <v>0</v>
      </c>
      <c r="AN11" t="e">
        <f>AND(Ischemia_25percent_output_edgel!A867,"AAAAAHzMbSc=")</f>
        <v>#VALUE!</v>
      </c>
      <c r="AO11" t="e">
        <f>AND(Ischemia_25percent_output_edgel!B867,"AAAAAHzMbSg=")</f>
        <v>#VALUE!</v>
      </c>
      <c r="AP11">
        <f>IF(Ischemia_25percent_output_edgel!868:868,"AAAAAHzMbSk=",0)</f>
        <v>0</v>
      </c>
      <c r="AQ11" t="e">
        <f>AND(Ischemia_25percent_output_edgel!A868,"AAAAAHzMbSo=")</f>
        <v>#VALUE!</v>
      </c>
      <c r="AR11" t="e">
        <f>AND(Ischemia_25percent_output_edgel!B868,"AAAAAHzMbSs=")</f>
        <v>#VALUE!</v>
      </c>
      <c r="AS11">
        <f>IF(Ischemia_25percent_output_edgel!869:869,"AAAAAHzMbSw=",0)</f>
        <v>0</v>
      </c>
      <c r="AT11" t="e">
        <f>AND(Ischemia_25percent_output_edgel!A869,"AAAAAHzMbS0=")</f>
        <v>#VALUE!</v>
      </c>
      <c r="AU11" t="e">
        <f>AND(Ischemia_25percent_output_edgel!B869,"AAAAAHzMbS4=")</f>
        <v>#VALUE!</v>
      </c>
      <c r="AV11">
        <f>IF(Ischemia_25percent_output_edgel!870:870,"AAAAAHzMbS8=",0)</f>
        <v>0</v>
      </c>
      <c r="AW11" t="e">
        <f>AND(Ischemia_25percent_output_edgel!A870,"AAAAAHzMbTA=")</f>
        <v>#VALUE!</v>
      </c>
      <c r="AX11" t="e">
        <f>AND(Ischemia_25percent_output_edgel!B870,"AAAAAHzMbTE=")</f>
        <v>#VALUE!</v>
      </c>
      <c r="AY11">
        <f>IF(Ischemia_25percent_output_edgel!871:871,"AAAAAHzMbTI=",0)</f>
        <v>0</v>
      </c>
      <c r="AZ11" t="e">
        <f>AND(Ischemia_25percent_output_edgel!A871,"AAAAAHzMbTM=")</f>
        <v>#VALUE!</v>
      </c>
      <c r="BA11" t="e">
        <f>AND(Ischemia_25percent_output_edgel!B871,"AAAAAHzMbTQ=")</f>
        <v>#VALUE!</v>
      </c>
      <c r="BB11">
        <f>IF(Ischemia_25percent_output_edgel!872:872,"AAAAAHzMbTU=",0)</f>
        <v>0</v>
      </c>
      <c r="BC11" t="e">
        <f>AND(Ischemia_25percent_output_edgel!A872,"AAAAAHzMbTY=")</f>
        <v>#VALUE!</v>
      </c>
      <c r="BD11" t="e">
        <f>AND(Ischemia_25percent_output_edgel!B872,"AAAAAHzMbTc=")</f>
        <v>#VALUE!</v>
      </c>
      <c r="BE11">
        <f>IF(Ischemia_25percent_output_edgel!873:873,"AAAAAHzMbTg=",0)</f>
        <v>0</v>
      </c>
      <c r="BF11" t="e">
        <f>AND(Ischemia_25percent_output_edgel!A873,"AAAAAHzMbTk=")</f>
        <v>#VALUE!</v>
      </c>
      <c r="BG11" t="e">
        <f>AND(Ischemia_25percent_output_edgel!B873,"AAAAAHzMbTo=")</f>
        <v>#VALUE!</v>
      </c>
      <c r="BH11">
        <f>IF(Ischemia_25percent_output_edgel!874:874,"AAAAAHzMbTs=",0)</f>
        <v>0</v>
      </c>
      <c r="BI11" t="e">
        <f>AND(Ischemia_25percent_output_edgel!A874,"AAAAAHzMbTw=")</f>
        <v>#VALUE!</v>
      </c>
      <c r="BJ11" t="e">
        <f>AND(Ischemia_25percent_output_edgel!B874,"AAAAAHzMbT0=")</f>
        <v>#VALUE!</v>
      </c>
      <c r="BK11">
        <f>IF(Ischemia_25percent_output_edgel!875:875,"AAAAAHzMbT4=",0)</f>
        <v>0</v>
      </c>
      <c r="BL11" t="e">
        <f>AND(Ischemia_25percent_output_edgel!A875,"AAAAAHzMbT8=")</f>
        <v>#VALUE!</v>
      </c>
      <c r="BM11" t="e">
        <f>AND(Ischemia_25percent_output_edgel!B875,"AAAAAHzMbUA=")</f>
        <v>#VALUE!</v>
      </c>
      <c r="BN11">
        <f>IF(Ischemia_25percent_output_edgel!876:876,"AAAAAHzMbUE=",0)</f>
        <v>0</v>
      </c>
      <c r="BO11" t="e">
        <f>AND(Ischemia_25percent_output_edgel!A876,"AAAAAHzMbUI=")</f>
        <v>#VALUE!</v>
      </c>
      <c r="BP11" t="e">
        <f>AND(Ischemia_25percent_output_edgel!B876,"AAAAAHzMbUM=")</f>
        <v>#VALUE!</v>
      </c>
      <c r="BQ11">
        <f>IF(Ischemia_25percent_output_edgel!877:877,"AAAAAHzMbUQ=",0)</f>
        <v>0</v>
      </c>
      <c r="BR11" t="e">
        <f>AND(Ischemia_25percent_output_edgel!A877,"AAAAAHzMbUU=")</f>
        <v>#VALUE!</v>
      </c>
      <c r="BS11" t="e">
        <f>AND(Ischemia_25percent_output_edgel!B877,"AAAAAHzMbUY=")</f>
        <v>#VALUE!</v>
      </c>
      <c r="BT11">
        <f>IF(Ischemia_25percent_output_edgel!878:878,"AAAAAHzMbUc=",0)</f>
        <v>0</v>
      </c>
      <c r="BU11" t="e">
        <f>AND(Ischemia_25percent_output_edgel!A878,"AAAAAHzMbUg=")</f>
        <v>#VALUE!</v>
      </c>
      <c r="BV11" t="e">
        <f>AND(Ischemia_25percent_output_edgel!B878,"AAAAAHzMbUk=")</f>
        <v>#VALUE!</v>
      </c>
      <c r="BW11">
        <f>IF(Ischemia_25percent_output_edgel!879:879,"AAAAAHzMbUo=",0)</f>
        <v>0</v>
      </c>
      <c r="BX11" t="e">
        <f>AND(Ischemia_25percent_output_edgel!A879,"AAAAAHzMbUs=")</f>
        <v>#VALUE!</v>
      </c>
      <c r="BY11" t="e">
        <f>AND(Ischemia_25percent_output_edgel!B879,"AAAAAHzMbUw=")</f>
        <v>#VALUE!</v>
      </c>
      <c r="BZ11">
        <f>IF(Ischemia_25percent_output_edgel!880:880,"AAAAAHzMbU0=",0)</f>
        <v>0</v>
      </c>
      <c r="CA11" t="e">
        <f>AND(Ischemia_25percent_output_edgel!A880,"AAAAAHzMbU4=")</f>
        <v>#VALUE!</v>
      </c>
      <c r="CB11" t="e">
        <f>AND(Ischemia_25percent_output_edgel!B880,"AAAAAHzMbU8=")</f>
        <v>#VALUE!</v>
      </c>
      <c r="CC11">
        <f>IF(Ischemia_25percent_output_edgel!881:881,"AAAAAHzMbVA=",0)</f>
        <v>0</v>
      </c>
      <c r="CD11" t="e">
        <f>AND(Ischemia_25percent_output_edgel!A881,"AAAAAHzMbVE=")</f>
        <v>#VALUE!</v>
      </c>
      <c r="CE11" t="e">
        <f>AND(Ischemia_25percent_output_edgel!B881,"AAAAAHzMbVI=")</f>
        <v>#VALUE!</v>
      </c>
      <c r="CF11">
        <f>IF(Ischemia_25percent_output_edgel!882:882,"AAAAAHzMbVM=",0)</f>
        <v>0</v>
      </c>
      <c r="CG11" t="e">
        <f>AND(Ischemia_25percent_output_edgel!A882,"AAAAAHzMbVQ=")</f>
        <v>#VALUE!</v>
      </c>
      <c r="CH11" t="e">
        <f>AND(Ischemia_25percent_output_edgel!B882,"AAAAAHzMbVU=")</f>
        <v>#VALUE!</v>
      </c>
      <c r="CI11">
        <f>IF(Ischemia_25percent_output_edgel!883:883,"AAAAAHzMbVY=",0)</f>
        <v>0</v>
      </c>
      <c r="CJ11" t="e">
        <f>AND(Ischemia_25percent_output_edgel!A883,"AAAAAHzMbVc=")</f>
        <v>#VALUE!</v>
      </c>
      <c r="CK11" t="e">
        <f>AND(Ischemia_25percent_output_edgel!B883,"AAAAAHzMbVg=")</f>
        <v>#VALUE!</v>
      </c>
      <c r="CL11">
        <f>IF(Ischemia_25percent_output_edgel!884:884,"AAAAAHzMbVk=",0)</f>
        <v>0</v>
      </c>
      <c r="CM11" t="e">
        <f>AND(Ischemia_25percent_output_edgel!A884,"AAAAAHzMbVo=")</f>
        <v>#VALUE!</v>
      </c>
      <c r="CN11" t="e">
        <f>AND(Ischemia_25percent_output_edgel!B884,"AAAAAHzMbVs=")</f>
        <v>#VALUE!</v>
      </c>
      <c r="CO11">
        <f>IF(Ischemia_25percent_output_edgel!885:885,"AAAAAHzMbVw=",0)</f>
        <v>0</v>
      </c>
      <c r="CP11" t="e">
        <f>AND(Ischemia_25percent_output_edgel!A885,"AAAAAHzMbV0=")</f>
        <v>#VALUE!</v>
      </c>
      <c r="CQ11" t="e">
        <f>AND(Ischemia_25percent_output_edgel!B885,"AAAAAHzMbV4=")</f>
        <v>#VALUE!</v>
      </c>
      <c r="CR11">
        <f>IF(Ischemia_25percent_output_edgel!886:886,"AAAAAHzMbV8=",0)</f>
        <v>0</v>
      </c>
      <c r="CS11" t="e">
        <f>AND(Ischemia_25percent_output_edgel!A886,"AAAAAHzMbWA=")</f>
        <v>#VALUE!</v>
      </c>
      <c r="CT11" t="e">
        <f>AND(Ischemia_25percent_output_edgel!B886,"AAAAAHzMbWE=")</f>
        <v>#VALUE!</v>
      </c>
      <c r="CU11">
        <f>IF(Ischemia_25percent_output_edgel!887:887,"AAAAAHzMbWI=",0)</f>
        <v>0</v>
      </c>
      <c r="CV11" t="e">
        <f>AND(Ischemia_25percent_output_edgel!A887,"AAAAAHzMbWM=")</f>
        <v>#VALUE!</v>
      </c>
      <c r="CW11" t="e">
        <f>AND(Ischemia_25percent_output_edgel!B887,"AAAAAHzMbWQ=")</f>
        <v>#VALUE!</v>
      </c>
      <c r="CX11">
        <f>IF(Ischemia_25percent_output_edgel!888:888,"AAAAAHzMbWU=",0)</f>
        <v>0</v>
      </c>
      <c r="CY11" t="e">
        <f>AND(Ischemia_25percent_output_edgel!A888,"AAAAAHzMbWY=")</f>
        <v>#VALUE!</v>
      </c>
      <c r="CZ11" t="e">
        <f>AND(Ischemia_25percent_output_edgel!B888,"AAAAAHzMbWc=")</f>
        <v>#VALUE!</v>
      </c>
      <c r="DA11">
        <f>IF(Ischemia_25percent_output_edgel!889:889,"AAAAAHzMbWg=",0)</f>
        <v>0</v>
      </c>
      <c r="DB11" t="e">
        <f>AND(Ischemia_25percent_output_edgel!A889,"AAAAAHzMbWk=")</f>
        <v>#VALUE!</v>
      </c>
      <c r="DC11" t="e">
        <f>AND(Ischemia_25percent_output_edgel!B889,"AAAAAHzMbWo=")</f>
        <v>#VALUE!</v>
      </c>
      <c r="DD11">
        <f>IF(Ischemia_25percent_output_edgel!890:890,"AAAAAHzMbWs=",0)</f>
        <v>0</v>
      </c>
      <c r="DE11" t="e">
        <f>AND(Ischemia_25percent_output_edgel!A890,"AAAAAHzMbWw=")</f>
        <v>#VALUE!</v>
      </c>
      <c r="DF11" t="e">
        <f>AND(Ischemia_25percent_output_edgel!B890,"AAAAAHzMbW0=")</f>
        <v>#VALUE!</v>
      </c>
      <c r="DG11">
        <f>IF(Ischemia_25percent_output_edgel!891:891,"AAAAAHzMbW4=",0)</f>
        <v>0</v>
      </c>
      <c r="DH11" t="e">
        <f>AND(Ischemia_25percent_output_edgel!A891,"AAAAAHzMbW8=")</f>
        <v>#VALUE!</v>
      </c>
      <c r="DI11" t="e">
        <f>AND(Ischemia_25percent_output_edgel!B891,"AAAAAHzMbXA=")</f>
        <v>#VALUE!</v>
      </c>
      <c r="DJ11">
        <f>IF(Ischemia_25percent_output_edgel!892:892,"AAAAAHzMbXE=",0)</f>
        <v>0</v>
      </c>
      <c r="DK11" t="e">
        <f>AND(Ischemia_25percent_output_edgel!A892,"AAAAAHzMbXI=")</f>
        <v>#VALUE!</v>
      </c>
      <c r="DL11" t="e">
        <f>AND(Ischemia_25percent_output_edgel!B892,"AAAAAHzMbXM=")</f>
        <v>#VALUE!</v>
      </c>
      <c r="DM11">
        <f>IF(Ischemia_25percent_output_edgel!893:893,"AAAAAHzMbXQ=",0)</f>
        <v>0</v>
      </c>
      <c r="DN11" t="e">
        <f>AND(Ischemia_25percent_output_edgel!A893,"AAAAAHzMbXU=")</f>
        <v>#VALUE!</v>
      </c>
      <c r="DO11" t="e">
        <f>AND(Ischemia_25percent_output_edgel!B893,"AAAAAHzMbXY=")</f>
        <v>#VALUE!</v>
      </c>
      <c r="DP11">
        <f>IF(Ischemia_25percent_output_edgel!894:894,"AAAAAHzMbXc=",0)</f>
        <v>0</v>
      </c>
      <c r="DQ11" t="e">
        <f>AND(Ischemia_25percent_output_edgel!A894,"AAAAAHzMbXg=")</f>
        <v>#VALUE!</v>
      </c>
      <c r="DR11" t="e">
        <f>AND(Ischemia_25percent_output_edgel!B894,"AAAAAHzMbXk=")</f>
        <v>#VALUE!</v>
      </c>
      <c r="DS11">
        <f>IF(Ischemia_25percent_output_edgel!895:895,"AAAAAHzMbXo=",0)</f>
        <v>0</v>
      </c>
      <c r="DT11" t="e">
        <f>AND(Ischemia_25percent_output_edgel!A895,"AAAAAHzMbXs=")</f>
        <v>#VALUE!</v>
      </c>
      <c r="DU11" t="e">
        <f>AND(Ischemia_25percent_output_edgel!B895,"AAAAAHzMbXw=")</f>
        <v>#VALUE!</v>
      </c>
      <c r="DV11">
        <f>IF(Ischemia_25percent_output_edgel!896:896,"AAAAAHzMbX0=",0)</f>
        <v>0</v>
      </c>
      <c r="DW11" t="e">
        <f>AND(Ischemia_25percent_output_edgel!A896,"AAAAAHzMbX4=")</f>
        <v>#VALUE!</v>
      </c>
      <c r="DX11" t="e">
        <f>AND(Ischemia_25percent_output_edgel!B896,"AAAAAHzMbX8=")</f>
        <v>#VALUE!</v>
      </c>
      <c r="DY11">
        <f>IF(Ischemia_25percent_output_edgel!897:897,"AAAAAHzMbYA=",0)</f>
        <v>0</v>
      </c>
      <c r="DZ11" t="e">
        <f>AND(Ischemia_25percent_output_edgel!A897,"AAAAAHzMbYE=")</f>
        <v>#VALUE!</v>
      </c>
      <c r="EA11" t="e">
        <f>AND(Ischemia_25percent_output_edgel!B897,"AAAAAHzMbYI=")</f>
        <v>#VALUE!</v>
      </c>
      <c r="EB11">
        <f>IF(Ischemia_25percent_output_edgel!898:898,"AAAAAHzMbYM=",0)</f>
        <v>0</v>
      </c>
      <c r="EC11" t="e">
        <f>AND(Ischemia_25percent_output_edgel!A898,"AAAAAHzMbYQ=")</f>
        <v>#VALUE!</v>
      </c>
      <c r="ED11" t="e">
        <f>AND(Ischemia_25percent_output_edgel!B898,"AAAAAHzMbYU=")</f>
        <v>#VALUE!</v>
      </c>
      <c r="EE11">
        <f>IF(Ischemia_25percent_output_edgel!899:899,"AAAAAHzMbYY=",0)</f>
        <v>0</v>
      </c>
      <c r="EF11" t="e">
        <f>AND(Ischemia_25percent_output_edgel!A899,"AAAAAHzMbYc=")</f>
        <v>#VALUE!</v>
      </c>
      <c r="EG11" t="e">
        <f>AND(Ischemia_25percent_output_edgel!B899,"AAAAAHzMbYg=")</f>
        <v>#VALUE!</v>
      </c>
      <c r="EH11">
        <f>IF(Ischemia_25percent_output_edgel!900:900,"AAAAAHzMbYk=",0)</f>
        <v>0</v>
      </c>
      <c r="EI11" t="e">
        <f>AND(Ischemia_25percent_output_edgel!A900,"AAAAAHzMbYo=")</f>
        <v>#VALUE!</v>
      </c>
      <c r="EJ11" t="e">
        <f>AND(Ischemia_25percent_output_edgel!B900,"AAAAAHzMbYs=")</f>
        <v>#VALUE!</v>
      </c>
      <c r="EK11">
        <f>IF(Ischemia_25percent_output_edgel!901:901,"AAAAAHzMbYw=",0)</f>
        <v>0</v>
      </c>
      <c r="EL11" t="e">
        <f>AND(Ischemia_25percent_output_edgel!A901,"AAAAAHzMbY0=")</f>
        <v>#VALUE!</v>
      </c>
      <c r="EM11" t="e">
        <f>AND(Ischemia_25percent_output_edgel!B901,"AAAAAHzMbY4=")</f>
        <v>#VALUE!</v>
      </c>
      <c r="EN11">
        <f>IF(Ischemia_25percent_output_edgel!902:902,"AAAAAHzMbY8=",0)</f>
        <v>0</v>
      </c>
      <c r="EO11" t="e">
        <f>AND(Ischemia_25percent_output_edgel!A902,"AAAAAHzMbZA=")</f>
        <v>#VALUE!</v>
      </c>
      <c r="EP11" t="e">
        <f>AND(Ischemia_25percent_output_edgel!B902,"AAAAAHzMbZE=")</f>
        <v>#VALUE!</v>
      </c>
      <c r="EQ11">
        <f>IF(Ischemia_25percent_output_edgel!903:903,"AAAAAHzMbZI=",0)</f>
        <v>0</v>
      </c>
      <c r="ER11" t="e">
        <f>AND(Ischemia_25percent_output_edgel!A903,"AAAAAHzMbZM=")</f>
        <v>#VALUE!</v>
      </c>
      <c r="ES11" t="e">
        <f>AND(Ischemia_25percent_output_edgel!B903,"AAAAAHzMbZQ=")</f>
        <v>#VALUE!</v>
      </c>
      <c r="ET11">
        <f>IF(Ischemia_25percent_output_edgel!904:904,"AAAAAHzMbZU=",0)</f>
        <v>0</v>
      </c>
      <c r="EU11" t="e">
        <f>AND(Ischemia_25percent_output_edgel!A904,"AAAAAHzMbZY=")</f>
        <v>#VALUE!</v>
      </c>
      <c r="EV11" t="e">
        <f>AND(Ischemia_25percent_output_edgel!B904,"AAAAAHzMbZc=")</f>
        <v>#VALUE!</v>
      </c>
      <c r="EW11">
        <f>IF(Ischemia_25percent_output_edgel!905:905,"AAAAAHzMbZg=",0)</f>
        <v>0</v>
      </c>
      <c r="EX11" t="e">
        <f>AND(Ischemia_25percent_output_edgel!A905,"AAAAAHzMbZk=")</f>
        <v>#VALUE!</v>
      </c>
      <c r="EY11" t="e">
        <f>AND(Ischemia_25percent_output_edgel!B905,"AAAAAHzMbZo=")</f>
        <v>#VALUE!</v>
      </c>
      <c r="EZ11">
        <f>IF(Ischemia_25percent_output_edgel!906:906,"AAAAAHzMbZs=",0)</f>
        <v>0</v>
      </c>
      <c r="FA11" t="e">
        <f>AND(Ischemia_25percent_output_edgel!A906,"AAAAAHzMbZw=")</f>
        <v>#VALUE!</v>
      </c>
      <c r="FB11" t="e">
        <f>AND(Ischemia_25percent_output_edgel!B906,"AAAAAHzMbZ0=")</f>
        <v>#VALUE!</v>
      </c>
      <c r="FC11">
        <f>IF(Ischemia_25percent_output_edgel!907:907,"AAAAAHzMbZ4=",0)</f>
        <v>0</v>
      </c>
      <c r="FD11" t="e">
        <f>AND(Ischemia_25percent_output_edgel!A907,"AAAAAHzMbZ8=")</f>
        <v>#VALUE!</v>
      </c>
      <c r="FE11" t="e">
        <f>AND(Ischemia_25percent_output_edgel!B907,"AAAAAHzMbaA=")</f>
        <v>#VALUE!</v>
      </c>
      <c r="FF11">
        <f>IF(Ischemia_25percent_output_edgel!908:908,"AAAAAHzMbaE=",0)</f>
        <v>0</v>
      </c>
      <c r="FG11" t="e">
        <f>AND(Ischemia_25percent_output_edgel!A908,"AAAAAHzMbaI=")</f>
        <v>#VALUE!</v>
      </c>
      <c r="FH11" t="e">
        <f>AND(Ischemia_25percent_output_edgel!B908,"AAAAAHzMbaM=")</f>
        <v>#VALUE!</v>
      </c>
      <c r="FI11">
        <f>IF(Ischemia_25percent_output_edgel!909:909,"AAAAAHzMbaQ=",0)</f>
        <v>0</v>
      </c>
      <c r="FJ11" t="e">
        <f>AND(Ischemia_25percent_output_edgel!A909,"AAAAAHzMbaU=")</f>
        <v>#VALUE!</v>
      </c>
      <c r="FK11" t="e">
        <f>AND(Ischemia_25percent_output_edgel!B909,"AAAAAHzMbaY=")</f>
        <v>#VALUE!</v>
      </c>
      <c r="FL11">
        <f>IF(Ischemia_25percent_output_edgel!910:910,"AAAAAHzMbac=",0)</f>
        <v>0</v>
      </c>
      <c r="FM11" t="e">
        <f>AND(Ischemia_25percent_output_edgel!A910,"AAAAAHzMbag=")</f>
        <v>#VALUE!</v>
      </c>
      <c r="FN11" t="e">
        <f>AND(Ischemia_25percent_output_edgel!B910,"AAAAAHzMbak=")</f>
        <v>#VALUE!</v>
      </c>
      <c r="FO11">
        <f>IF(Ischemia_25percent_output_edgel!911:911,"AAAAAHzMbao=",0)</f>
        <v>0</v>
      </c>
      <c r="FP11" t="e">
        <f>AND(Ischemia_25percent_output_edgel!A911,"AAAAAHzMbas=")</f>
        <v>#VALUE!</v>
      </c>
      <c r="FQ11" t="e">
        <f>AND(Ischemia_25percent_output_edgel!B911,"AAAAAHzMbaw=")</f>
        <v>#VALUE!</v>
      </c>
      <c r="FR11">
        <f>IF(Ischemia_25percent_output_edgel!912:912,"AAAAAHzMba0=",0)</f>
        <v>0</v>
      </c>
      <c r="FS11" t="e">
        <f>AND(Ischemia_25percent_output_edgel!A912,"AAAAAHzMba4=")</f>
        <v>#VALUE!</v>
      </c>
      <c r="FT11" t="e">
        <f>AND(Ischemia_25percent_output_edgel!B912,"AAAAAHzMba8=")</f>
        <v>#VALUE!</v>
      </c>
      <c r="FU11">
        <f>IF(Ischemia_25percent_output_edgel!913:913,"AAAAAHzMbbA=",0)</f>
        <v>0</v>
      </c>
      <c r="FV11" t="e">
        <f>AND(Ischemia_25percent_output_edgel!A913,"AAAAAHzMbbE=")</f>
        <v>#VALUE!</v>
      </c>
      <c r="FW11" t="e">
        <f>AND(Ischemia_25percent_output_edgel!B913,"AAAAAHzMbbI=")</f>
        <v>#VALUE!</v>
      </c>
      <c r="FX11">
        <f>IF(Ischemia_25percent_output_edgel!914:914,"AAAAAHzMbbM=",0)</f>
        <v>0</v>
      </c>
      <c r="FY11" t="e">
        <f>AND(Ischemia_25percent_output_edgel!A914,"AAAAAHzMbbQ=")</f>
        <v>#VALUE!</v>
      </c>
      <c r="FZ11" t="e">
        <f>AND(Ischemia_25percent_output_edgel!B914,"AAAAAHzMbbU=")</f>
        <v>#VALUE!</v>
      </c>
      <c r="GA11">
        <f>IF(Ischemia_25percent_output_edgel!915:915,"AAAAAHzMbbY=",0)</f>
        <v>0</v>
      </c>
      <c r="GB11" t="e">
        <f>AND(Ischemia_25percent_output_edgel!A915,"AAAAAHzMbbc=")</f>
        <v>#VALUE!</v>
      </c>
      <c r="GC11" t="e">
        <f>AND(Ischemia_25percent_output_edgel!B915,"AAAAAHzMbbg=")</f>
        <v>#VALUE!</v>
      </c>
      <c r="GD11">
        <f>IF(Ischemia_25percent_output_edgel!916:916,"AAAAAHzMbbk=",0)</f>
        <v>0</v>
      </c>
      <c r="GE11" t="e">
        <f>AND(Ischemia_25percent_output_edgel!A916,"AAAAAHzMbbo=")</f>
        <v>#VALUE!</v>
      </c>
      <c r="GF11" t="e">
        <f>AND(Ischemia_25percent_output_edgel!B916,"AAAAAHzMbbs=")</f>
        <v>#VALUE!</v>
      </c>
      <c r="GG11">
        <f>IF(Ischemia_25percent_output_edgel!917:917,"AAAAAHzMbbw=",0)</f>
        <v>0</v>
      </c>
      <c r="GH11" t="e">
        <f>AND(Ischemia_25percent_output_edgel!A917,"AAAAAHzMbb0=")</f>
        <v>#VALUE!</v>
      </c>
      <c r="GI11" t="e">
        <f>AND(Ischemia_25percent_output_edgel!B917,"AAAAAHzMbb4=")</f>
        <v>#VALUE!</v>
      </c>
      <c r="GJ11">
        <f>IF(Ischemia_25percent_output_edgel!918:918,"AAAAAHzMbb8=",0)</f>
        <v>0</v>
      </c>
      <c r="GK11" t="e">
        <f>AND(Ischemia_25percent_output_edgel!A918,"AAAAAHzMbcA=")</f>
        <v>#VALUE!</v>
      </c>
      <c r="GL11" t="e">
        <f>AND(Ischemia_25percent_output_edgel!B918,"AAAAAHzMbcE=")</f>
        <v>#VALUE!</v>
      </c>
      <c r="GM11">
        <f>IF(Ischemia_25percent_output_edgel!919:919,"AAAAAHzMbcI=",0)</f>
        <v>0</v>
      </c>
      <c r="GN11" t="e">
        <f>AND(Ischemia_25percent_output_edgel!A919,"AAAAAHzMbcM=")</f>
        <v>#VALUE!</v>
      </c>
      <c r="GO11" t="e">
        <f>AND(Ischemia_25percent_output_edgel!B919,"AAAAAHzMbcQ=")</f>
        <v>#VALUE!</v>
      </c>
      <c r="GP11">
        <f>IF(Ischemia_25percent_output_edgel!920:920,"AAAAAHzMbcU=",0)</f>
        <v>0</v>
      </c>
      <c r="GQ11" t="e">
        <f>AND(Ischemia_25percent_output_edgel!A920,"AAAAAHzMbcY=")</f>
        <v>#VALUE!</v>
      </c>
      <c r="GR11" t="e">
        <f>AND(Ischemia_25percent_output_edgel!B920,"AAAAAHzMbcc=")</f>
        <v>#VALUE!</v>
      </c>
      <c r="GS11">
        <f>IF(Ischemia_25percent_output_edgel!921:921,"AAAAAHzMbcg=",0)</f>
        <v>0</v>
      </c>
      <c r="GT11" t="e">
        <f>AND(Ischemia_25percent_output_edgel!A921,"AAAAAHzMbck=")</f>
        <v>#VALUE!</v>
      </c>
      <c r="GU11" t="e">
        <f>AND(Ischemia_25percent_output_edgel!B921,"AAAAAHzMbco=")</f>
        <v>#VALUE!</v>
      </c>
      <c r="GV11">
        <f>IF(Ischemia_25percent_output_edgel!922:922,"AAAAAHzMbcs=",0)</f>
        <v>0</v>
      </c>
      <c r="GW11" t="e">
        <f>AND(Ischemia_25percent_output_edgel!A922,"AAAAAHzMbcw=")</f>
        <v>#VALUE!</v>
      </c>
      <c r="GX11" t="e">
        <f>AND(Ischemia_25percent_output_edgel!B922,"AAAAAHzMbc0=")</f>
        <v>#VALUE!</v>
      </c>
      <c r="GY11">
        <f>IF(Ischemia_25percent_output_edgel!923:923,"AAAAAHzMbc4=",0)</f>
        <v>0</v>
      </c>
      <c r="GZ11" t="e">
        <f>AND(Ischemia_25percent_output_edgel!A923,"AAAAAHzMbc8=")</f>
        <v>#VALUE!</v>
      </c>
      <c r="HA11" t="e">
        <f>AND(Ischemia_25percent_output_edgel!B923,"AAAAAHzMbdA=")</f>
        <v>#VALUE!</v>
      </c>
      <c r="HB11">
        <f>IF(Ischemia_25percent_output_edgel!924:924,"AAAAAHzMbdE=",0)</f>
        <v>0</v>
      </c>
      <c r="HC11" t="e">
        <f>AND(Ischemia_25percent_output_edgel!A924,"AAAAAHzMbdI=")</f>
        <v>#VALUE!</v>
      </c>
      <c r="HD11" t="e">
        <f>AND(Ischemia_25percent_output_edgel!B924,"AAAAAHzMbdM=")</f>
        <v>#VALUE!</v>
      </c>
      <c r="HE11">
        <f>IF(Ischemia_25percent_output_edgel!925:925,"AAAAAHzMbdQ=",0)</f>
        <v>0</v>
      </c>
      <c r="HF11" t="e">
        <f>AND(Ischemia_25percent_output_edgel!A925,"AAAAAHzMbdU=")</f>
        <v>#VALUE!</v>
      </c>
      <c r="HG11" t="e">
        <f>AND(Ischemia_25percent_output_edgel!B925,"AAAAAHzMbdY=")</f>
        <v>#VALUE!</v>
      </c>
      <c r="HH11">
        <f>IF(Ischemia_25percent_output_edgel!926:926,"AAAAAHzMbdc=",0)</f>
        <v>0</v>
      </c>
      <c r="HI11" t="e">
        <f>AND(Ischemia_25percent_output_edgel!A926,"AAAAAHzMbdg=")</f>
        <v>#VALUE!</v>
      </c>
      <c r="HJ11" t="e">
        <f>AND(Ischemia_25percent_output_edgel!B926,"AAAAAHzMbdk=")</f>
        <v>#VALUE!</v>
      </c>
      <c r="HK11">
        <f>IF(Ischemia_25percent_output_edgel!927:927,"AAAAAHzMbdo=",0)</f>
        <v>0</v>
      </c>
      <c r="HL11" t="e">
        <f>AND(Ischemia_25percent_output_edgel!A927,"AAAAAHzMbds=")</f>
        <v>#VALUE!</v>
      </c>
      <c r="HM11" t="e">
        <f>AND(Ischemia_25percent_output_edgel!B927,"AAAAAHzMbdw=")</f>
        <v>#VALUE!</v>
      </c>
      <c r="HN11">
        <f>IF(Ischemia_25percent_output_edgel!928:928,"AAAAAHzMbd0=",0)</f>
        <v>0</v>
      </c>
      <c r="HO11" t="e">
        <f>AND(Ischemia_25percent_output_edgel!A928,"AAAAAHzMbd4=")</f>
        <v>#VALUE!</v>
      </c>
      <c r="HP11" t="e">
        <f>AND(Ischemia_25percent_output_edgel!B928,"AAAAAHzMbd8=")</f>
        <v>#VALUE!</v>
      </c>
      <c r="HQ11">
        <f>IF(Ischemia_25percent_output_edgel!929:929,"AAAAAHzMbeA=",0)</f>
        <v>0</v>
      </c>
      <c r="HR11" t="e">
        <f>AND(Ischemia_25percent_output_edgel!A929,"AAAAAHzMbeE=")</f>
        <v>#VALUE!</v>
      </c>
      <c r="HS11" t="e">
        <f>AND(Ischemia_25percent_output_edgel!B929,"AAAAAHzMbeI=")</f>
        <v>#VALUE!</v>
      </c>
      <c r="HT11">
        <f>IF(Ischemia_25percent_output_edgel!930:930,"AAAAAHzMbeM=",0)</f>
        <v>0</v>
      </c>
      <c r="HU11" t="e">
        <f>AND(Ischemia_25percent_output_edgel!A930,"AAAAAHzMbeQ=")</f>
        <v>#VALUE!</v>
      </c>
      <c r="HV11" t="e">
        <f>AND(Ischemia_25percent_output_edgel!B930,"AAAAAHzMbeU=")</f>
        <v>#VALUE!</v>
      </c>
      <c r="HW11">
        <f>IF(Ischemia_25percent_output_edgel!931:931,"AAAAAHzMbeY=",0)</f>
        <v>0</v>
      </c>
      <c r="HX11" t="e">
        <f>AND(Ischemia_25percent_output_edgel!A931,"AAAAAHzMbec=")</f>
        <v>#VALUE!</v>
      </c>
      <c r="HY11" t="e">
        <f>AND(Ischemia_25percent_output_edgel!B931,"AAAAAHzMbeg=")</f>
        <v>#VALUE!</v>
      </c>
      <c r="HZ11">
        <f>IF(Ischemia_25percent_output_edgel!932:932,"AAAAAHzMbek=",0)</f>
        <v>0</v>
      </c>
      <c r="IA11" t="e">
        <f>AND(Ischemia_25percent_output_edgel!A932,"AAAAAHzMbeo=")</f>
        <v>#VALUE!</v>
      </c>
      <c r="IB11" t="e">
        <f>AND(Ischemia_25percent_output_edgel!B932,"AAAAAHzMbes=")</f>
        <v>#VALUE!</v>
      </c>
      <c r="IC11">
        <f>IF(Ischemia_25percent_output_edgel!933:933,"AAAAAHzMbew=",0)</f>
        <v>0</v>
      </c>
      <c r="ID11" t="e">
        <f>AND(Ischemia_25percent_output_edgel!A933,"AAAAAHzMbe0=")</f>
        <v>#VALUE!</v>
      </c>
      <c r="IE11" t="e">
        <f>AND(Ischemia_25percent_output_edgel!B933,"AAAAAHzMbe4=")</f>
        <v>#VALUE!</v>
      </c>
      <c r="IF11">
        <f>IF(Ischemia_25percent_output_edgel!934:934,"AAAAAHzMbe8=",0)</f>
        <v>0</v>
      </c>
      <c r="IG11" t="e">
        <f>AND(Ischemia_25percent_output_edgel!A934,"AAAAAHzMbfA=")</f>
        <v>#VALUE!</v>
      </c>
      <c r="IH11" t="e">
        <f>AND(Ischemia_25percent_output_edgel!B934,"AAAAAHzMbfE=")</f>
        <v>#VALUE!</v>
      </c>
      <c r="II11">
        <f>IF(Ischemia_25percent_output_edgel!935:935,"AAAAAHzMbfI=",0)</f>
        <v>0</v>
      </c>
      <c r="IJ11" t="e">
        <f>AND(Ischemia_25percent_output_edgel!A935,"AAAAAHzMbfM=")</f>
        <v>#VALUE!</v>
      </c>
      <c r="IK11" t="e">
        <f>AND(Ischemia_25percent_output_edgel!B935,"AAAAAHzMbfQ=")</f>
        <v>#VALUE!</v>
      </c>
      <c r="IL11">
        <f>IF(Ischemia_25percent_output_edgel!936:936,"AAAAAHzMbfU=",0)</f>
        <v>0</v>
      </c>
      <c r="IM11" t="e">
        <f>AND(Ischemia_25percent_output_edgel!A936,"AAAAAHzMbfY=")</f>
        <v>#VALUE!</v>
      </c>
      <c r="IN11" t="e">
        <f>AND(Ischemia_25percent_output_edgel!B936,"AAAAAHzMbfc=")</f>
        <v>#VALUE!</v>
      </c>
      <c r="IO11">
        <f>IF(Ischemia_25percent_output_edgel!937:937,"AAAAAHzMbfg=",0)</f>
        <v>0</v>
      </c>
      <c r="IP11" t="e">
        <f>AND(Ischemia_25percent_output_edgel!A937,"AAAAAHzMbfk=")</f>
        <v>#VALUE!</v>
      </c>
      <c r="IQ11" t="e">
        <f>AND(Ischemia_25percent_output_edgel!B937,"AAAAAHzMbfo=")</f>
        <v>#VALUE!</v>
      </c>
      <c r="IR11">
        <f>IF(Ischemia_25percent_output_edgel!938:938,"AAAAAHzMbfs=",0)</f>
        <v>0</v>
      </c>
      <c r="IS11" t="e">
        <f>AND(Ischemia_25percent_output_edgel!A938,"AAAAAHzMbfw=")</f>
        <v>#VALUE!</v>
      </c>
      <c r="IT11" t="e">
        <f>AND(Ischemia_25percent_output_edgel!B938,"AAAAAHzMbf0=")</f>
        <v>#VALUE!</v>
      </c>
      <c r="IU11">
        <f>IF(Ischemia_25percent_output_edgel!939:939,"AAAAAHzMbf4=",0)</f>
        <v>0</v>
      </c>
      <c r="IV11" t="e">
        <f>AND(Ischemia_25percent_output_edgel!A939,"AAAAAHzMbf8=")</f>
        <v>#VALUE!</v>
      </c>
    </row>
    <row r="12" spans="1:256">
      <c r="A12" t="e">
        <f>AND(Ischemia_25percent_output_edgel!B939,"AAAAAA2uHQA=")</f>
        <v>#VALUE!</v>
      </c>
      <c r="B12" t="e">
        <f>IF(Ischemia_25percent_output_edgel!940:940,"AAAAAA2uHQE=",0)</f>
        <v>#VALUE!</v>
      </c>
      <c r="C12" t="e">
        <f>AND(Ischemia_25percent_output_edgel!A940,"AAAAAA2uHQI=")</f>
        <v>#VALUE!</v>
      </c>
      <c r="D12" t="e">
        <f>AND(Ischemia_25percent_output_edgel!B940,"AAAAAA2uHQM=")</f>
        <v>#VALUE!</v>
      </c>
      <c r="E12">
        <f>IF(Ischemia_25percent_output_edgel!941:941,"AAAAAA2uHQQ=",0)</f>
        <v>0</v>
      </c>
      <c r="F12" t="e">
        <f>AND(Ischemia_25percent_output_edgel!A941,"AAAAAA2uHQU=")</f>
        <v>#VALUE!</v>
      </c>
      <c r="G12" t="e">
        <f>AND(Ischemia_25percent_output_edgel!B941,"AAAAAA2uHQY=")</f>
        <v>#VALUE!</v>
      </c>
      <c r="H12">
        <f>IF(Ischemia_25percent_output_edgel!942:942,"AAAAAA2uHQc=",0)</f>
        <v>0</v>
      </c>
      <c r="I12" t="e">
        <f>AND(Ischemia_25percent_output_edgel!A942,"AAAAAA2uHQg=")</f>
        <v>#VALUE!</v>
      </c>
      <c r="J12" t="e">
        <f>AND(Ischemia_25percent_output_edgel!B942,"AAAAAA2uHQk=")</f>
        <v>#VALUE!</v>
      </c>
      <c r="K12">
        <f>IF(Ischemia_25percent_output_edgel!943:943,"AAAAAA2uHQo=",0)</f>
        <v>0</v>
      </c>
      <c r="L12" t="e">
        <f>AND(Ischemia_25percent_output_edgel!A943,"AAAAAA2uHQs=")</f>
        <v>#VALUE!</v>
      </c>
      <c r="M12" t="e">
        <f>AND(Ischemia_25percent_output_edgel!B943,"AAAAAA2uHQw=")</f>
        <v>#VALUE!</v>
      </c>
      <c r="N12">
        <f>IF(Ischemia_25percent_output_edgel!944:944,"AAAAAA2uHQ0=",0)</f>
        <v>0</v>
      </c>
      <c r="O12" t="e">
        <f>AND(Ischemia_25percent_output_edgel!A944,"AAAAAA2uHQ4=")</f>
        <v>#VALUE!</v>
      </c>
      <c r="P12" t="e">
        <f>AND(Ischemia_25percent_output_edgel!B944,"AAAAAA2uHQ8=")</f>
        <v>#VALUE!</v>
      </c>
      <c r="Q12">
        <f>IF(Ischemia_25percent_output_edgel!945:945,"AAAAAA2uHRA=",0)</f>
        <v>0</v>
      </c>
      <c r="R12" t="e">
        <f>AND(Ischemia_25percent_output_edgel!A945,"AAAAAA2uHRE=")</f>
        <v>#VALUE!</v>
      </c>
      <c r="S12" t="e">
        <f>AND(Ischemia_25percent_output_edgel!B945,"AAAAAA2uHRI=")</f>
        <v>#VALUE!</v>
      </c>
      <c r="T12">
        <f>IF(Ischemia_25percent_output_edgel!946:946,"AAAAAA2uHRM=",0)</f>
        <v>0</v>
      </c>
      <c r="U12" t="e">
        <f>AND(Ischemia_25percent_output_edgel!A946,"AAAAAA2uHRQ=")</f>
        <v>#VALUE!</v>
      </c>
      <c r="V12" t="e">
        <f>AND(Ischemia_25percent_output_edgel!B946,"AAAAAA2uHRU=")</f>
        <v>#VALUE!</v>
      </c>
      <c r="W12">
        <f>IF(Ischemia_25percent_output_edgel!947:947,"AAAAAA2uHRY=",0)</f>
        <v>0</v>
      </c>
      <c r="X12" t="e">
        <f>AND(Ischemia_25percent_output_edgel!A947,"AAAAAA2uHRc=")</f>
        <v>#VALUE!</v>
      </c>
      <c r="Y12" t="e">
        <f>AND(Ischemia_25percent_output_edgel!B947,"AAAAAA2uHRg=")</f>
        <v>#VALUE!</v>
      </c>
      <c r="Z12">
        <f>IF(Ischemia_25percent_output_edgel!948:948,"AAAAAA2uHRk=",0)</f>
        <v>0</v>
      </c>
      <c r="AA12" t="e">
        <f>AND(Ischemia_25percent_output_edgel!A948,"AAAAAA2uHRo=")</f>
        <v>#VALUE!</v>
      </c>
      <c r="AB12" t="e">
        <f>AND(Ischemia_25percent_output_edgel!B948,"AAAAAA2uHRs=")</f>
        <v>#VALUE!</v>
      </c>
      <c r="AC12">
        <f>IF(Ischemia_25percent_output_edgel!949:949,"AAAAAA2uHRw=",0)</f>
        <v>0</v>
      </c>
      <c r="AD12" t="e">
        <f>AND(Ischemia_25percent_output_edgel!A949,"AAAAAA2uHR0=")</f>
        <v>#VALUE!</v>
      </c>
      <c r="AE12" t="e">
        <f>AND(Ischemia_25percent_output_edgel!B949,"AAAAAA2uHR4=")</f>
        <v>#VALUE!</v>
      </c>
      <c r="AF12">
        <f>IF(Ischemia_25percent_output_edgel!950:950,"AAAAAA2uHR8=",0)</f>
        <v>0</v>
      </c>
      <c r="AG12" t="e">
        <f>AND(Ischemia_25percent_output_edgel!A950,"AAAAAA2uHSA=")</f>
        <v>#VALUE!</v>
      </c>
      <c r="AH12" t="e">
        <f>AND(Ischemia_25percent_output_edgel!B950,"AAAAAA2uHSE=")</f>
        <v>#VALUE!</v>
      </c>
      <c r="AI12">
        <f>IF(Ischemia_25percent_output_edgel!951:951,"AAAAAA2uHSI=",0)</f>
        <v>0</v>
      </c>
      <c r="AJ12" t="e">
        <f>AND(Ischemia_25percent_output_edgel!A951,"AAAAAA2uHSM=")</f>
        <v>#VALUE!</v>
      </c>
      <c r="AK12" t="e">
        <f>AND(Ischemia_25percent_output_edgel!B951,"AAAAAA2uHSQ=")</f>
        <v>#VALUE!</v>
      </c>
      <c r="AL12">
        <f>IF(Ischemia_25percent_output_edgel!952:952,"AAAAAA2uHSU=",0)</f>
        <v>0</v>
      </c>
      <c r="AM12" t="e">
        <f>AND(Ischemia_25percent_output_edgel!A952,"AAAAAA2uHSY=")</f>
        <v>#VALUE!</v>
      </c>
      <c r="AN12" t="e">
        <f>AND(Ischemia_25percent_output_edgel!B952,"AAAAAA2uHSc=")</f>
        <v>#VALUE!</v>
      </c>
      <c r="AO12">
        <f>IF(Ischemia_25percent_output_edgel!953:953,"AAAAAA2uHSg=",0)</f>
        <v>0</v>
      </c>
      <c r="AP12" t="e">
        <f>AND(Ischemia_25percent_output_edgel!A953,"AAAAAA2uHSk=")</f>
        <v>#VALUE!</v>
      </c>
      <c r="AQ12" t="e">
        <f>AND(Ischemia_25percent_output_edgel!B953,"AAAAAA2uHSo=")</f>
        <v>#VALUE!</v>
      </c>
      <c r="AR12">
        <f>IF(Ischemia_25percent_output_edgel!954:954,"AAAAAA2uHSs=",0)</f>
        <v>0</v>
      </c>
      <c r="AS12" t="e">
        <f>AND(Ischemia_25percent_output_edgel!A954,"AAAAAA2uHSw=")</f>
        <v>#VALUE!</v>
      </c>
      <c r="AT12" t="e">
        <f>AND(Ischemia_25percent_output_edgel!B954,"AAAAAA2uHS0=")</f>
        <v>#VALUE!</v>
      </c>
      <c r="AU12">
        <f>IF(Ischemia_25percent_output_edgel!955:955,"AAAAAA2uHS4=",0)</f>
        <v>0</v>
      </c>
      <c r="AV12" t="e">
        <f>AND(Ischemia_25percent_output_edgel!A955,"AAAAAA2uHS8=")</f>
        <v>#VALUE!</v>
      </c>
      <c r="AW12" t="e">
        <f>AND(Ischemia_25percent_output_edgel!B955,"AAAAAA2uHTA=")</f>
        <v>#VALUE!</v>
      </c>
      <c r="AX12">
        <f>IF(Ischemia_25percent_output_edgel!956:956,"AAAAAA2uHTE=",0)</f>
        <v>0</v>
      </c>
      <c r="AY12" t="e">
        <f>AND(Ischemia_25percent_output_edgel!A956,"AAAAAA2uHTI=")</f>
        <v>#VALUE!</v>
      </c>
      <c r="AZ12" t="e">
        <f>AND(Ischemia_25percent_output_edgel!B956,"AAAAAA2uHTM=")</f>
        <v>#VALUE!</v>
      </c>
      <c r="BA12">
        <f>IF(Ischemia_25percent_output_edgel!957:957,"AAAAAA2uHTQ=",0)</f>
        <v>0</v>
      </c>
      <c r="BB12" t="e">
        <f>AND(Ischemia_25percent_output_edgel!A957,"AAAAAA2uHTU=")</f>
        <v>#VALUE!</v>
      </c>
      <c r="BC12" t="e">
        <f>AND(Ischemia_25percent_output_edgel!B957,"AAAAAA2uHTY=")</f>
        <v>#VALUE!</v>
      </c>
      <c r="BD12">
        <f>IF(Ischemia_25percent_output_edgel!958:958,"AAAAAA2uHTc=",0)</f>
        <v>0</v>
      </c>
      <c r="BE12" t="e">
        <f>AND(Ischemia_25percent_output_edgel!A958,"AAAAAA2uHTg=")</f>
        <v>#VALUE!</v>
      </c>
      <c r="BF12" t="e">
        <f>AND(Ischemia_25percent_output_edgel!B958,"AAAAAA2uHTk=")</f>
        <v>#VALUE!</v>
      </c>
      <c r="BG12">
        <f>IF(Ischemia_25percent_output_edgel!959:959,"AAAAAA2uHTo=",0)</f>
        <v>0</v>
      </c>
      <c r="BH12" t="e">
        <f>AND(Ischemia_25percent_output_edgel!A959,"AAAAAA2uHTs=")</f>
        <v>#VALUE!</v>
      </c>
      <c r="BI12" t="e">
        <f>AND(Ischemia_25percent_output_edgel!B959,"AAAAAA2uHTw=")</f>
        <v>#VALUE!</v>
      </c>
      <c r="BJ12">
        <f>IF(Ischemia_25percent_output_edgel!960:960,"AAAAAA2uHT0=",0)</f>
        <v>0</v>
      </c>
      <c r="BK12" t="e">
        <f>AND(Ischemia_25percent_output_edgel!A960,"AAAAAA2uHT4=")</f>
        <v>#VALUE!</v>
      </c>
      <c r="BL12" t="e">
        <f>AND(Ischemia_25percent_output_edgel!B960,"AAAAAA2uHT8=")</f>
        <v>#VALUE!</v>
      </c>
      <c r="BM12">
        <f>IF(Ischemia_25percent_output_edgel!961:961,"AAAAAA2uHUA=",0)</f>
        <v>0</v>
      </c>
      <c r="BN12" t="e">
        <f>AND(Ischemia_25percent_output_edgel!A961,"AAAAAA2uHUE=")</f>
        <v>#VALUE!</v>
      </c>
      <c r="BO12" t="e">
        <f>AND(Ischemia_25percent_output_edgel!B961,"AAAAAA2uHUI=")</f>
        <v>#VALUE!</v>
      </c>
      <c r="BP12">
        <f>IF(Ischemia_25percent_output_edgel!962:962,"AAAAAA2uHUM=",0)</f>
        <v>0</v>
      </c>
      <c r="BQ12" t="e">
        <f>AND(Ischemia_25percent_output_edgel!A962,"AAAAAA2uHUQ=")</f>
        <v>#VALUE!</v>
      </c>
      <c r="BR12" t="e">
        <f>AND(Ischemia_25percent_output_edgel!B962,"AAAAAA2uHUU=")</f>
        <v>#VALUE!</v>
      </c>
      <c r="BS12">
        <f>IF(Ischemia_25percent_output_edgel!963:963,"AAAAAA2uHUY=",0)</f>
        <v>0</v>
      </c>
      <c r="BT12" t="e">
        <f>AND(Ischemia_25percent_output_edgel!A963,"AAAAAA2uHUc=")</f>
        <v>#VALUE!</v>
      </c>
      <c r="BU12" t="e">
        <f>AND(Ischemia_25percent_output_edgel!B963,"AAAAAA2uHUg=")</f>
        <v>#VALUE!</v>
      </c>
      <c r="BV12">
        <f>IF(Ischemia_25percent_output_edgel!964:964,"AAAAAA2uHUk=",0)</f>
        <v>0</v>
      </c>
      <c r="BW12" t="e">
        <f>AND(Ischemia_25percent_output_edgel!A964,"AAAAAA2uHUo=")</f>
        <v>#VALUE!</v>
      </c>
      <c r="BX12" t="e">
        <f>AND(Ischemia_25percent_output_edgel!B964,"AAAAAA2uHUs=")</f>
        <v>#VALUE!</v>
      </c>
      <c r="BY12">
        <f>IF(Ischemia_25percent_output_edgel!965:965,"AAAAAA2uHUw=",0)</f>
        <v>0</v>
      </c>
      <c r="BZ12" t="e">
        <f>AND(Ischemia_25percent_output_edgel!A965,"AAAAAA2uHU0=")</f>
        <v>#VALUE!</v>
      </c>
      <c r="CA12" t="e">
        <f>AND(Ischemia_25percent_output_edgel!B965,"AAAAAA2uHU4=")</f>
        <v>#VALUE!</v>
      </c>
      <c r="CB12">
        <f>IF(Ischemia_25percent_output_edgel!966:966,"AAAAAA2uHU8=",0)</f>
        <v>0</v>
      </c>
      <c r="CC12" t="e">
        <f>AND(Ischemia_25percent_output_edgel!A966,"AAAAAA2uHVA=")</f>
        <v>#VALUE!</v>
      </c>
      <c r="CD12" t="e">
        <f>AND(Ischemia_25percent_output_edgel!B966,"AAAAAA2uHVE=")</f>
        <v>#VALUE!</v>
      </c>
      <c r="CE12">
        <f>IF(Ischemia_25percent_output_edgel!967:967,"AAAAAA2uHVI=",0)</f>
        <v>0</v>
      </c>
      <c r="CF12" t="e">
        <f>AND(Ischemia_25percent_output_edgel!A967,"AAAAAA2uHVM=")</f>
        <v>#VALUE!</v>
      </c>
      <c r="CG12" t="e">
        <f>AND(Ischemia_25percent_output_edgel!B967,"AAAAAA2uHVQ=")</f>
        <v>#VALUE!</v>
      </c>
      <c r="CH12">
        <f>IF(Ischemia_25percent_output_edgel!968:968,"AAAAAA2uHVU=",0)</f>
        <v>0</v>
      </c>
      <c r="CI12" t="e">
        <f>AND(Ischemia_25percent_output_edgel!A968,"AAAAAA2uHVY=")</f>
        <v>#VALUE!</v>
      </c>
      <c r="CJ12" t="e">
        <f>AND(Ischemia_25percent_output_edgel!B968,"AAAAAA2uHVc=")</f>
        <v>#VALUE!</v>
      </c>
      <c r="CK12">
        <f>IF(Ischemia_25percent_output_edgel!969:969,"AAAAAA2uHVg=",0)</f>
        <v>0</v>
      </c>
      <c r="CL12" t="e">
        <f>AND(Ischemia_25percent_output_edgel!A969,"AAAAAA2uHVk=")</f>
        <v>#VALUE!</v>
      </c>
      <c r="CM12" t="e">
        <f>AND(Ischemia_25percent_output_edgel!B969,"AAAAAA2uHVo=")</f>
        <v>#VALUE!</v>
      </c>
      <c r="CN12">
        <f>IF(Ischemia_25percent_output_edgel!970:970,"AAAAAA2uHVs=",0)</f>
        <v>0</v>
      </c>
      <c r="CO12" t="e">
        <f>AND(Ischemia_25percent_output_edgel!A970,"AAAAAA2uHVw=")</f>
        <v>#VALUE!</v>
      </c>
      <c r="CP12" t="e">
        <f>AND(Ischemia_25percent_output_edgel!B970,"AAAAAA2uHV0=")</f>
        <v>#VALUE!</v>
      </c>
      <c r="CQ12">
        <f>IF(Ischemia_25percent_output_edgel!971:971,"AAAAAA2uHV4=",0)</f>
        <v>0</v>
      </c>
      <c r="CR12" t="e">
        <f>AND(Ischemia_25percent_output_edgel!A971,"AAAAAA2uHV8=")</f>
        <v>#VALUE!</v>
      </c>
      <c r="CS12" t="e">
        <f>AND(Ischemia_25percent_output_edgel!B971,"AAAAAA2uHWA=")</f>
        <v>#VALUE!</v>
      </c>
      <c r="CT12">
        <f>IF(Ischemia_25percent_output_edgel!972:972,"AAAAAA2uHWE=",0)</f>
        <v>0</v>
      </c>
      <c r="CU12" t="e">
        <f>AND(Ischemia_25percent_output_edgel!A972,"AAAAAA2uHWI=")</f>
        <v>#VALUE!</v>
      </c>
      <c r="CV12" t="e">
        <f>AND(Ischemia_25percent_output_edgel!B972,"AAAAAA2uHWM=")</f>
        <v>#VALUE!</v>
      </c>
      <c r="CW12">
        <f>IF(Ischemia_25percent_output_edgel!973:973,"AAAAAA2uHWQ=",0)</f>
        <v>0</v>
      </c>
      <c r="CX12" t="e">
        <f>AND(Ischemia_25percent_output_edgel!A973,"AAAAAA2uHWU=")</f>
        <v>#VALUE!</v>
      </c>
      <c r="CY12" t="e">
        <f>AND(Ischemia_25percent_output_edgel!B973,"AAAAAA2uHWY=")</f>
        <v>#VALUE!</v>
      </c>
      <c r="CZ12">
        <f>IF(Ischemia_25percent_output_edgel!974:974,"AAAAAA2uHWc=",0)</f>
        <v>0</v>
      </c>
      <c r="DA12" t="e">
        <f>AND(Ischemia_25percent_output_edgel!A974,"AAAAAA2uHWg=")</f>
        <v>#VALUE!</v>
      </c>
      <c r="DB12" t="e">
        <f>AND(Ischemia_25percent_output_edgel!B974,"AAAAAA2uHWk=")</f>
        <v>#VALUE!</v>
      </c>
      <c r="DC12">
        <f>IF(Ischemia_25percent_output_edgel!975:975,"AAAAAA2uHWo=",0)</f>
        <v>0</v>
      </c>
      <c r="DD12" t="e">
        <f>AND(Ischemia_25percent_output_edgel!A975,"AAAAAA2uHWs=")</f>
        <v>#VALUE!</v>
      </c>
      <c r="DE12" t="e">
        <f>AND(Ischemia_25percent_output_edgel!B975,"AAAAAA2uHWw=")</f>
        <v>#VALUE!</v>
      </c>
      <c r="DF12">
        <f>IF(Ischemia_25percent_output_edgel!976:976,"AAAAAA2uHW0=",0)</f>
        <v>0</v>
      </c>
      <c r="DG12" t="e">
        <f>AND(Ischemia_25percent_output_edgel!A976,"AAAAAA2uHW4=")</f>
        <v>#VALUE!</v>
      </c>
      <c r="DH12" t="e">
        <f>AND(Ischemia_25percent_output_edgel!B976,"AAAAAA2uHW8=")</f>
        <v>#VALUE!</v>
      </c>
      <c r="DI12">
        <f>IF(Ischemia_25percent_output_edgel!977:977,"AAAAAA2uHXA=",0)</f>
        <v>0</v>
      </c>
      <c r="DJ12" t="e">
        <f>AND(Ischemia_25percent_output_edgel!A977,"AAAAAA2uHXE=")</f>
        <v>#VALUE!</v>
      </c>
      <c r="DK12" t="e">
        <f>AND(Ischemia_25percent_output_edgel!B977,"AAAAAA2uHXI=")</f>
        <v>#VALUE!</v>
      </c>
      <c r="DL12">
        <f>IF(Ischemia_25percent_output_edgel!978:978,"AAAAAA2uHXM=",0)</f>
        <v>0</v>
      </c>
      <c r="DM12" t="e">
        <f>AND(Ischemia_25percent_output_edgel!A978,"AAAAAA2uHXQ=")</f>
        <v>#VALUE!</v>
      </c>
      <c r="DN12" t="e">
        <f>AND(Ischemia_25percent_output_edgel!B978,"AAAAAA2uHXU=")</f>
        <v>#VALUE!</v>
      </c>
      <c r="DO12">
        <f>IF(Ischemia_25percent_output_edgel!979:979,"AAAAAA2uHXY=",0)</f>
        <v>0</v>
      </c>
      <c r="DP12" t="e">
        <f>AND(Ischemia_25percent_output_edgel!A979,"AAAAAA2uHXc=")</f>
        <v>#VALUE!</v>
      </c>
      <c r="DQ12" t="e">
        <f>AND(Ischemia_25percent_output_edgel!B979,"AAAAAA2uHXg=")</f>
        <v>#VALUE!</v>
      </c>
      <c r="DR12">
        <f>IF(Ischemia_25percent_output_edgel!980:980,"AAAAAA2uHXk=",0)</f>
        <v>0</v>
      </c>
      <c r="DS12" t="e">
        <f>AND(Ischemia_25percent_output_edgel!A980,"AAAAAA2uHXo=")</f>
        <v>#VALUE!</v>
      </c>
      <c r="DT12" t="e">
        <f>AND(Ischemia_25percent_output_edgel!B980,"AAAAAA2uHXs=")</f>
        <v>#VALUE!</v>
      </c>
      <c r="DU12">
        <f>IF(Ischemia_25percent_output_edgel!981:981,"AAAAAA2uHXw=",0)</f>
        <v>0</v>
      </c>
      <c r="DV12" t="e">
        <f>AND(Ischemia_25percent_output_edgel!A981,"AAAAAA2uHX0=")</f>
        <v>#VALUE!</v>
      </c>
      <c r="DW12" t="e">
        <f>AND(Ischemia_25percent_output_edgel!B981,"AAAAAA2uHX4=")</f>
        <v>#VALUE!</v>
      </c>
      <c r="DX12">
        <f>IF(Ischemia_25percent_output_edgel!982:982,"AAAAAA2uHX8=",0)</f>
        <v>0</v>
      </c>
      <c r="DY12" t="e">
        <f>AND(Ischemia_25percent_output_edgel!A982,"AAAAAA2uHYA=")</f>
        <v>#VALUE!</v>
      </c>
      <c r="DZ12" t="e">
        <f>AND(Ischemia_25percent_output_edgel!B982,"AAAAAA2uHYE=")</f>
        <v>#VALUE!</v>
      </c>
      <c r="EA12">
        <f>IF(Ischemia_25percent_output_edgel!983:983,"AAAAAA2uHYI=",0)</f>
        <v>0</v>
      </c>
      <c r="EB12" t="e">
        <f>AND(Ischemia_25percent_output_edgel!A983,"AAAAAA2uHYM=")</f>
        <v>#VALUE!</v>
      </c>
      <c r="EC12" t="e">
        <f>AND(Ischemia_25percent_output_edgel!B983,"AAAAAA2uHYQ=")</f>
        <v>#VALUE!</v>
      </c>
      <c r="ED12">
        <f>IF(Ischemia_25percent_output_edgel!984:984,"AAAAAA2uHYU=",0)</f>
        <v>0</v>
      </c>
      <c r="EE12" t="e">
        <f>AND(Ischemia_25percent_output_edgel!A984,"AAAAAA2uHYY=")</f>
        <v>#VALUE!</v>
      </c>
      <c r="EF12" t="e">
        <f>AND(Ischemia_25percent_output_edgel!B984,"AAAAAA2uHYc=")</f>
        <v>#VALUE!</v>
      </c>
      <c r="EG12">
        <f>IF(Ischemia_25percent_output_edgel!985:985,"AAAAAA2uHYg=",0)</f>
        <v>0</v>
      </c>
      <c r="EH12" t="e">
        <f>AND(Ischemia_25percent_output_edgel!A985,"AAAAAA2uHYk=")</f>
        <v>#VALUE!</v>
      </c>
      <c r="EI12" t="e">
        <f>AND(Ischemia_25percent_output_edgel!B985,"AAAAAA2uHYo=")</f>
        <v>#VALUE!</v>
      </c>
      <c r="EJ12">
        <f>IF(Ischemia_25percent_output_edgel!986:986,"AAAAAA2uHYs=",0)</f>
        <v>0</v>
      </c>
      <c r="EK12" t="e">
        <f>AND(Ischemia_25percent_output_edgel!A986,"AAAAAA2uHYw=")</f>
        <v>#VALUE!</v>
      </c>
      <c r="EL12" t="e">
        <f>AND(Ischemia_25percent_output_edgel!B986,"AAAAAA2uHY0=")</f>
        <v>#VALUE!</v>
      </c>
      <c r="EM12">
        <f>IF(Ischemia_25percent_output_edgel!987:987,"AAAAAA2uHY4=",0)</f>
        <v>0</v>
      </c>
      <c r="EN12" t="e">
        <f>AND(Ischemia_25percent_output_edgel!A987,"AAAAAA2uHY8=")</f>
        <v>#VALUE!</v>
      </c>
      <c r="EO12" t="e">
        <f>AND(Ischemia_25percent_output_edgel!B987,"AAAAAA2uHZA=")</f>
        <v>#VALUE!</v>
      </c>
      <c r="EP12">
        <f>IF(Ischemia_25percent_output_edgel!988:988,"AAAAAA2uHZE=",0)</f>
        <v>0</v>
      </c>
      <c r="EQ12" t="e">
        <f>AND(Ischemia_25percent_output_edgel!A988,"AAAAAA2uHZI=")</f>
        <v>#VALUE!</v>
      </c>
      <c r="ER12" t="e">
        <f>AND(Ischemia_25percent_output_edgel!B988,"AAAAAA2uHZM=")</f>
        <v>#VALUE!</v>
      </c>
      <c r="ES12">
        <f>IF(Ischemia_25percent_output_edgel!989:989,"AAAAAA2uHZQ=",0)</f>
        <v>0</v>
      </c>
      <c r="ET12" t="e">
        <f>AND(Ischemia_25percent_output_edgel!A989,"AAAAAA2uHZU=")</f>
        <v>#VALUE!</v>
      </c>
      <c r="EU12" t="e">
        <f>AND(Ischemia_25percent_output_edgel!B989,"AAAAAA2uHZY=")</f>
        <v>#VALUE!</v>
      </c>
      <c r="EV12">
        <f>IF(Ischemia_25percent_output_edgel!990:990,"AAAAAA2uHZc=",0)</f>
        <v>0</v>
      </c>
      <c r="EW12" t="e">
        <f>AND(Ischemia_25percent_output_edgel!A990,"AAAAAA2uHZg=")</f>
        <v>#VALUE!</v>
      </c>
      <c r="EX12" t="e">
        <f>AND(Ischemia_25percent_output_edgel!B990,"AAAAAA2uHZk=")</f>
        <v>#VALUE!</v>
      </c>
      <c r="EY12">
        <f>IF(Ischemia_25percent_output_edgel!991:991,"AAAAAA2uHZo=",0)</f>
        <v>0</v>
      </c>
      <c r="EZ12" t="e">
        <f>AND(Ischemia_25percent_output_edgel!A991,"AAAAAA2uHZs=")</f>
        <v>#VALUE!</v>
      </c>
      <c r="FA12" t="e">
        <f>AND(Ischemia_25percent_output_edgel!B991,"AAAAAA2uHZw=")</f>
        <v>#VALUE!</v>
      </c>
      <c r="FB12">
        <f>IF(Ischemia_25percent_output_edgel!992:992,"AAAAAA2uHZ0=",0)</f>
        <v>0</v>
      </c>
      <c r="FC12" t="e">
        <f>AND(Ischemia_25percent_output_edgel!A992,"AAAAAA2uHZ4=")</f>
        <v>#VALUE!</v>
      </c>
      <c r="FD12" t="e">
        <f>AND(Ischemia_25percent_output_edgel!B992,"AAAAAA2uHZ8=")</f>
        <v>#VALUE!</v>
      </c>
      <c r="FE12">
        <f>IF(Ischemia_25percent_output_edgel!993:993,"AAAAAA2uHaA=",0)</f>
        <v>0</v>
      </c>
      <c r="FF12" t="e">
        <f>AND(Ischemia_25percent_output_edgel!A993,"AAAAAA2uHaE=")</f>
        <v>#VALUE!</v>
      </c>
      <c r="FG12" t="e">
        <f>AND(Ischemia_25percent_output_edgel!B993,"AAAAAA2uHaI=")</f>
        <v>#VALUE!</v>
      </c>
      <c r="FH12">
        <f>IF(Ischemia_25percent_output_edgel!994:994,"AAAAAA2uHaM=",0)</f>
        <v>0</v>
      </c>
      <c r="FI12" t="e">
        <f>AND(Ischemia_25percent_output_edgel!A994,"AAAAAA2uHaQ=")</f>
        <v>#VALUE!</v>
      </c>
      <c r="FJ12" t="e">
        <f>AND(Ischemia_25percent_output_edgel!B994,"AAAAAA2uHaU=")</f>
        <v>#VALUE!</v>
      </c>
      <c r="FK12">
        <f>IF(Ischemia_25percent_output_edgel!995:995,"AAAAAA2uHaY=",0)</f>
        <v>0</v>
      </c>
      <c r="FL12" t="e">
        <f>AND(Ischemia_25percent_output_edgel!A995,"AAAAAA2uHac=")</f>
        <v>#VALUE!</v>
      </c>
      <c r="FM12" t="e">
        <f>AND(Ischemia_25percent_output_edgel!B995,"AAAAAA2uHag=")</f>
        <v>#VALUE!</v>
      </c>
      <c r="FN12">
        <f>IF(Ischemia_25percent_output_edgel!996:996,"AAAAAA2uHak=",0)</f>
        <v>0</v>
      </c>
      <c r="FO12" t="e">
        <f>AND(Ischemia_25percent_output_edgel!A996,"AAAAAA2uHao=")</f>
        <v>#VALUE!</v>
      </c>
      <c r="FP12" t="e">
        <f>AND(Ischemia_25percent_output_edgel!B996,"AAAAAA2uHas=")</f>
        <v>#VALUE!</v>
      </c>
      <c r="FQ12">
        <f>IF(Ischemia_25percent_output_edgel!997:997,"AAAAAA2uHaw=",0)</f>
        <v>0</v>
      </c>
      <c r="FR12" t="e">
        <f>AND(Ischemia_25percent_output_edgel!A997,"AAAAAA2uHa0=")</f>
        <v>#VALUE!</v>
      </c>
      <c r="FS12" t="e">
        <f>AND(Ischemia_25percent_output_edgel!B997,"AAAAAA2uHa4=")</f>
        <v>#VALUE!</v>
      </c>
      <c r="FT12">
        <f>IF(Ischemia_25percent_output_edgel!998:998,"AAAAAA2uHa8=",0)</f>
        <v>0</v>
      </c>
      <c r="FU12" t="e">
        <f>AND(Ischemia_25percent_output_edgel!A998,"AAAAAA2uHbA=")</f>
        <v>#VALUE!</v>
      </c>
      <c r="FV12" t="e">
        <f>AND(Ischemia_25percent_output_edgel!B998,"AAAAAA2uHbE=")</f>
        <v>#VALUE!</v>
      </c>
      <c r="FW12">
        <f>IF(Ischemia_25percent_output_edgel!999:999,"AAAAAA2uHbI=",0)</f>
        <v>0</v>
      </c>
      <c r="FX12" t="e">
        <f>AND(Ischemia_25percent_output_edgel!A999,"AAAAAA2uHbM=")</f>
        <v>#VALUE!</v>
      </c>
      <c r="FY12" t="e">
        <f>AND(Ischemia_25percent_output_edgel!B999,"AAAAAA2uHbQ=")</f>
        <v>#VALUE!</v>
      </c>
      <c r="FZ12">
        <f>IF(Ischemia_25percent_output_edgel!1000:1000,"AAAAAA2uHbU=",0)</f>
        <v>0</v>
      </c>
      <c r="GA12" t="e">
        <f>AND(Ischemia_25percent_output_edgel!A1000,"AAAAAA2uHbY=")</f>
        <v>#VALUE!</v>
      </c>
      <c r="GB12" t="e">
        <f>AND(Ischemia_25percent_output_edgel!B1000,"AAAAAA2uHbc=")</f>
        <v>#VALUE!</v>
      </c>
      <c r="GC12">
        <f>IF(Ischemia_25percent_output_edgel!1001:1001,"AAAAAA2uHbg=",0)</f>
        <v>0</v>
      </c>
      <c r="GD12" t="e">
        <f>AND(Ischemia_25percent_output_edgel!A1001,"AAAAAA2uHbk=")</f>
        <v>#VALUE!</v>
      </c>
      <c r="GE12" t="e">
        <f>AND(Ischemia_25percent_output_edgel!B1001,"AAAAAA2uHbo=")</f>
        <v>#VALUE!</v>
      </c>
      <c r="GF12">
        <f>IF(Ischemia_25percent_output_edgel!1002:1002,"AAAAAA2uHbs=",0)</f>
        <v>0</v>
      </c>
      <c r="GG12" t="e">
        <f>AND(Ischemia_25percent_output_edgel!A1002,"AAAAAA2uHbw=")</f>
        <v>#VALUE!</v>
      </c>
      <c r="GH12" t="e">
        <f>AND(Ischemia_25percent_output_edgel!B1002,"AAAAAA2uHb0=")</f>
        <v>#VALUE!</v>
      </c>
      <c r="GI12">
        <f>IF(Ischemia_25percent_output_edgel!1003:1003,"AAAAAA2uHb4=",0)</f>
        <v>0</v>
      </c>
      <c r="GJ12" t="e">
        <f>AND(Ischemia_25percent_output_edgel!A1003,"AAAAAA2uHb8=")</f>
        <v>#VALUE!</v>
      </c>
      <c r="GK12" t="e">
        <f>AND(Ischemia_25percent_output_edgel!B1003,"AAAAAA2uHcA=")</f>
        <v>#VALUE!</v>
      </c>
      <c r="GL12">
        <f>IF(Ischemia_25percent_output_edgel!1004:1004,"AAAAAA2uHcE=",0)</f>
        <v>0</v>
      </c>
      <c r="GM12" t="e">
        <f>AND(Ischemia_25percent_output_edgel!A1004,"AAAAAA2uHcI=")</f>
        <v>#VALUE!</v>
      </c>
      <c r="GN12" t="e">
        <f>AND(Ischemia_25percent_output_edgel!B1004,"AAAAAA2uHcM=")</f>
        <v>#VALUE!</v>
      </c>
      <c r="GO12">
        <f>IF(Ischemia_25percent_output_edgel!1005:1005,"AAAAAA2uHcQ=",0)</f>
        <v>0</v>
      </c>
      <c r="GP12" t="e">
        <f>AND(Ischemia_25percent_output_edgel!A1005,"AAAAAA2uHcU=")</f>
        <v>#VALUE!</v>
      </c>
      <c r="GQ12" t="e">
        <f>AND(Ischemia_25percent_output_edgel!B1005,"AAAAAA2uHcY=")</f>
        <v>#VALUE!</v>
      </c>
      <c r="GR12">
        <f>IF(Ischemia_25percent_output_edgel!1006:1006,"AAAAAA2uHcc=",0)</f>
        <v>0</v>
      </c>
      <c r="GS12" t="e">
        <f>AND(Ischemia_25percent_output_edgel!A1006,"AAAAAA2uHcg=")</f>
        <v>#VALUE!</v>
      </c>
      <c r="GT12" t="e">
        <f>AND(Ischemia_25percent_output_edgel!B1006,"AAAAAA2uHck=")</f>
        <v>#VALUE!</v>
      </c>
      <c r="GU12">
        <f>IF(Ischemia_25percent_output_edgel!1007:1007,"AAAAAA2uHco=",0)</f>
        <v>0</v>
      </c>
      <c r="GV12" t="e">
        <f>AND(Ischemia_25percent_output_edgel!A1007,"AAAAAA2uHcs=")</f>
        <v>#VALUE!</v>
      </c>
      <c r="GW12" t="e">
        <f>AND(Ischemia_25percent_output_edgel!B1007,"AAAAAA2uHcw=")</f>
        <v>#VALUE!</v>
      </c>
      <c r="GX12">
        <f>IF(Ischemia_25percent_output_edgel!1008:1008,"AAAAAA2uHc0=",0)</f>
        <v>0</v>
      </c>
      <c r="GY12" t="e">
        <f>AND(Ischemia_25percent_output_edgel!A1008,"AAAAAA2uHc4=")</f>
        <v>#VALUE!</v>
      </c>
      <c r="GZ12" t="e">
        <f>AND(Ischemia_25percent_output_edgel!B1008,"AAAAAA2uHc8=")</f>
        <v>#VALUE!</v>
      </c>
      <c r="HA12">
        <f>IF(Ischemia_25percent_output_edgel!1009:1009,"AAAAAA2uHdA=",0)</f>
        <v>0</v>
      </c>
      <c r="HB12" t="e">
        <f>AND(Ischemia_25percent_output_edgel!A1009,"AAAAAA2uHdE=")</f>
        <v>#VALUE!</v>
      </c>
      <c r="HC12" t="e">
        <f>AND(Ischemia_25percent_output_edgel!B1009,"AAAAAA2uHdI=")</f>
        <v>#VALUE!</v>
      </c>
      <c r="HD12">
        <f>IF(Ischemia_25percent_output_edgel!1010:1010,"AAAAAA2uHdM=",0)</f>
        <v>0</v>
      </c>
      <c r="HE12" t="e">
        <f>AND(Ischemia_25percent_output_edgel!A1010,"AAAAAA2uHdQ=")</f>
        <v>#VALUE!</v>
      </c>
      <c r="HF12" t="e">
        <f>AND(Ischemia_25percent_output_edgel!B1010,"AAAAAA2uHdU=")</f>
        <v>#VALUE!</v>
      </c>
      <c r="HG12">
        <f>IF(Ischemia_25percent_output_edgel!1011:1011,"AAAAAA2uHdY=",0)</f>
        <v>0</v>
      </c>
      <c r="HH12" t="e">
        <f>AND(Ischemia_25percent_output_edgel!A1011,"AAAAAA2uHdc=")</f>
        <v>#VALUE!</v>
      </c>
      <c r="HI12" t="e">
        <f>AND(Ischemia_25percent_output_edgel!B1011,"AAAAAA2uHdg=")</f>
        <v>#VALUE!</v>
      </c>
      <c r="HJ12">
        <f>IF(Ischemia_25percent_output_edgel!1012:1012,"AAAAAA2uHdk=",0)</f>
        <v>0</v>
      </c>
      <c r="HK12" t="e">
        <f>AND(Ischemia_25percent_output_edgel!A1012,"AAAAAA2uHdo=")</f>
        <v>#VALUE!</v>
      </c>
      <c r="HL12" t="e">
        <f>AND(Ischemia_25percent_output_edgel!B1012,"AAAAAA2uHds=")</f>
        <v>#VALUE!</v>
      </c>
      <c r="HM12">
        <f>IF(Ischemia_25percent_output_edgel!1013:1013,"AAAAAA2uHdw=",0)</f>
        <v>0</v>
      </c>
      <c r="HN12" t="e">
        <f>AND(Ischemia_25percent_output_edgel!A1013,"AAAAAA2uHd0=")</f>
        <v>#VALUE!</v>
      </c>
      <c r="HO12" t="e">
        <f>AND(Ischemia_25percent_output_edgel!B1013,"AAAAAA2uHd4=")</f>
        <v>#VALUE!</v>
      </c>
      <c r="HP12">
        <f>IF(Ischemia_25percent_output_edgel!1014:1014,"AAAAAA2uHd8=",0)</f>
        <v>0</v>
      </c>
      <c r="HQ12" t="e">
        <f>AND(Ischemia_25percent_output_edgel!A1014,"AAAAAA2uHeA=")</f>
        <v>#VALUE!</v>
      </c>
      <c r="HR12" t="e">
        <f>AND(Ischemia_25percent_output_edgel!B1014,"AAAAAA2uHeE=")</f>
        <v>#VALUE!</v>
      </c>
      <c r="HS12">
        <f>IF(Ischemia_25percent_output_edgel!1015:1015,"AAAAAA2uHeI=",0)</f>
        <v>0</v>
      </c>
      <c r="HT12" t="e">
        <f>AND(Ischemia_25percent_output_edgel!A1015,"AAAAAA2uHeM=")</f>
        <v>#VALUE!</v>
      </c>
      <c r="HU12" t="e">
        <f>AND(Ischemia_25percent_output_edgel!B1015,"AAAAAA2uHeQ=")</f>
        <v>#VALUE!</v>
      </c>
      <c r="HV12">
        <f>IF(Ischemia_25percent_output_edgel!1016:1016,"AAAAAA2uHeU=",0)</f>
        <v>0</v>
      </c>
      <c r="HW12" t="e">
        <f>AND(Ischemia_25percent_output_edgel!A1016,"AAAAAA2uHeY=")</f>
        <v>#VALUE!</v>
      </c>
      <c r="HX12" t="e">
        <f>AND(Ischemia_25percent_output_edgel!B1016,"AAAAAA2uHec=")</f>
        <v>#VALUE!</v>
      </c>
      <c r="HY12">
        <f>IF(Ischemia_25percent_output_edgel!1017:1017,"AAAAAA2uHeg=",0)</f>
        <v>0</v>
      </c>
      <c r="HZ12" t="e">
        <f>AND(Ischemia_25percent_output_edgel!A1017,"AAAAAA2uHek=")</f>
        <v>#VALUE!</v>
      </c>
      <c r="IA12" t="e">
        <f>AND(Ischemia_25percent_output_edgel!B1017,"AAAAAA2uHeo=")</f>
        <v>#VALUE!</v>
      </c>
      <c r="IB12">
        <f>IF(Ischemia_25percent_output_edgel!1018:1018,"AAAAAA2uHes=",0)</f>
        <v>0</v>
      </c>
      <c r="IC12" t="e">
        <f>AND(Ischemia_25percent_output_edgel!A1018,"AAAAAA2uHew=")</f>
        <v>#VALUE!</v>
      </c>
      <c r="ID12" t="e">
        <f>AND(Ischemia_25percent_output_edgel!B1018,"AAAAAA2uHe0=")</f>
        <v>#VALUE!</v>
      </c>
      <c r="IE12">
        <f>IF(Ischemia_25percent_output_edgel!1019:1019,"AAAAAA2uHe4=",0)</f>
        <v>0</v>
      </c>
      <c r="IF12" t="e">
        <f>AND(Ischemia_25percent_output_edgel!A1019,"AAAAAA2uHe8=")</f>
        <v>#VALUE!</v>
      </c>
      <c r="IG12" t="e">
        <f>AND(Ischemia_25percent_output_edgel!B1019,"AAAAAA2uHfA=")</f>
        <v>#VALUE!</v>
      </c>
      <c r="IH12">
        <f>IF(Ischemia_25percent_output_edgel!1020:1020,"AAAAAA2uHfE=",0)</f>
        <v>0</v>
      </c>
      <c r="II12" t="e">
        <f>AND(Ischemia_25percent_output_edgel!A1020,"AAAAAA2uHfI=")</f>
        <v>#VALUE!</v>
      </c>
      <c r="IJ12" t="e">
        <f>AND(Ischemia_25percent_output_edgel!B1020,"AAAAAA2uHfM=")</f>
        <v>#VALUE!</v>
      </c>
      <c r="IK12">
        <f>IF(Ischemia_25percent_output_edgel!1021:1021,"AAAAAA2uHfQ=",0)</f>
        <v>0</v>
      </c>
      <c r="IL12" t="e">
        <f>AND(Ischemia_25percent_output_edgel!A1021,"AAAAAA2uHfU=")</f>
        <v>#VALUE!</v>
      </c>
      <c r="IM12" t="e">
        <f>AND(Ischemia_25percent_output_edgel!B1021,"AAAAAA2uHfY=")</f>
        <v>#VALUE!</v>
      </c>
      <c r="IN12">
        <f>IF(Ischemia_25percent_output_edgel!1022:1022,"AAAAAA2uHfc=",0)</f>
        <v>0</v>
      </c>
      <c r="IO12" t="e">
        <f>AND(Ischemia_25percent_output_edgel!A1022,"AAAAAA2uHfg=")</f>
        <v>#VALUE!</v>
      </c>
      <c r="IP12" t="e">
        <f>AND(Ischemia_25percent_output_edgel!B1022,"AAAAAA2uHfk=")</f>
        <v>#VALUE!</v>
      </c>
      <c r="IQ12">
        <f>IF(Ischemia_25percent_output_edgel!1023:1023,"AAAAAA2uHfo=",0)</f>
        <v>0</v>
      </c>
      <c r="IR12" t="e">
        <f>AND(Ischemia_25percent_output_edgel!A1023,"AAAAAA2uHfs=")</f>
        <v>#VALUE!</v>
      </c>
      <c r="IS12" t="e">
        <f>AND(Ischemia_25percent_output_edgel!B1023,"AAAAAA2uHfw=")</f>
        <v>#VALUE!</v>
      </c>
      <c r="IT12">
        <f>IF(Ischemia_25percent_output_edgel!1024:1024,"AAAAAA2uHf0=",0)</f>
        <v>0</v>
      </c>
      <c r="IU12" t="e">
        <f>AND(Ischemia_25percent_output_edgel!A1024,"AAAAAA2uHf4=")</f>
        <v>#VALUE!</v>
      </c>
      <c r="IV12" t="e">
        <f>AND(Ischemia_25percent_output_edgel!B1024,"AAAAAA2uHf8=")</f>
        <v>#VALUE!</v>
      </c>
    </row>
    <row r="13" spans="1:256">
      <c r="A13" t="e">
        <f>IF(Ischemia_25percent_output_edgel!1025:1025,"AAAAAF5z/gA=",0)</f>
        <v>#VALUE!</v>
      </c>
      <c r="B13" t="e">
        <f>AND(Ischemia_25percent_output_edgel!A1025,"AAAAAF5z/gE=")</f>
        <v>#VALUE!</v>
      </c>
      <c r="C13" t="e">
        <f>AND(Ischemia_25percent_output_edgel!B1025,"AAAAAF5z/gI=")</f>
        <v>#VALUE!</v>
      </c>
      <c r="D13">
        <f>IF(Ischemia_25percent_output_edgel!1026:1026,"AAAAAF5z/gM=",0)</f>
        <v>0</v>
      </c>
      <c r="E13" t="e">
        <f>AND(Ischemia_25percent_output_edgel!A1026,"AAAAAF5z/gQ=")</f>
        <v>#VALUE!</v>
      </c>
      <c r="F13" t="e">
        <f>AND(Ischemia_25percent_output_edgel!B1026,"AAAAAF5z/gU=")</f>
        <v>#VALUE!</v>
      </c>
      <c r="G13">
        <f>IF(Ischemia_25percent_output_edgel!1027:1027,"AAAAAF5z/gY=",0)</f>
        <v>0</v>
      </c>
      <c r="H13" t="e">
        <f>AND(Ischemia_25percent_output_edgel!A1027,"AAAAAF5z/gc=")</f>
        <v>#VALUE!</v>
      </c>
      <c r="I13" t="e">
        <f>AND(Ischemia_25percent_output_edgel!B1027,"AAAAAF5z/gg=")</f>
        <v>#VALUE!</v>
      </c>
      <c r="J13">
        <f>IF(Ischemia_25percent_output_edgel!1028:1028,"AAAAAF5z/gk=",0)</f>
        <v>0</v>
      </c>
      <c r="K13" t="e">
        <f>AND(Ischemia_25percent_output_edgel!A1028,"AAAAAF5z/go=")</f>
        <v>#VALUE!</v>
      </c>
      <c r="L13" t="e">
        <f>AND(Ischemia_25percent_output_edgel!B1028,"AAAAAF5z/gs=")</f>
        <v>#VALUE!</v>
      </c>
      <c r="M13">
        <f>IF(Ischemia_25percent_output_edgel!1029:1029,"AAAAAF5z/gw=",0)</f>
        <v>0</v>
      </c>
      <c r="N13" t="e">
        <f>AND(Ischemia_25percent_output_edgel!A1029,"AAAAAF5z/g0=")</f>
        <v>#VALUE!</v>
      </c>
      <c r="O13" t="e">
        <f>AND(Ischemia_25percent_output_edgel!B1029,"AAAAAF5z/g4=")</f>
        <v>#VALUE!</v>
      </c>
      <c r="P13">
        <f>IF(Ischemia_25percent_output_edgel!1030:1030,"AAAAAF5z/g8=",0)</f>
        <v>0</v>
      </c>
      <c r="Q13" t="e">
        <f>AND(Ischemia_25percent_output_edgel!A1030,"AAAAAF5z/hA=")</f>
        <v>#VALUE!</v>
      </c>
      <c r="R13" t="e">
        <f>AND(Ischemia_25percent_output_edgel!B1030,"AAAAAF5z/hE=")</f>
        <v>#VALUE!</v>
      </c>
      <c r="S13">
        <f>IF(Ischemia_25percent_output_edgel!1031:1031,"AAAAAF5z/hI=",0)</f>
        <v>0</v>
      </c>
      <c r="T13" t="e">
        <f>AND(Ischemia_25percent_output_edgel!A1031,"AAAAAF5z/hM=")</f>
        <v>#VALUE!</v>
      </c>
      <c r="U13" t="e">
        <f>AND(Ischemia_25percent_output_edgel!B1031,"AAAAAF5z/hQ=")</f>
        <v>#VALUE!</v>
      </c>
      <c r="V13">
        <f>IF(Ischemia_25percent_output_edgel!1032:1032,"AAAAAF5z/hU=",0)</f>
        <v>0</v>
      </c>
      <c r="W13" t="e">
        <f>AND(Ischemia_25percent_output_edgel!A1032,"AAAAAF5z/hY=")</f>
        <v>#VALUE!</v>
      </c>
      <c r="X13" t="e">
        <f>AND(Ischemia_25percent_output_edgel!B1032,"AAAAAF5z/hc=")</f>
        <v>#VALUE!</v>
      </c>
      <c r="Y13">
        <f>IF(Ischemia_25percent_output_edgel!1033:1033,"AAAAAF5z/hg=",0)</f>
        <v>0</v>
      </c>
      <c r="Z13" t="e">
        <f>AND(Ischemia_25percent_output_edgel!A1033,"AAAAAF5z/hk=")</f>
        <v>#VALUE!</v>
      </c>
      <c r="AA13" t="e">
        <f>AND(Ischemia_25percent_output_edgel!B1033,"AAAAAF5z/ho=")</f>
        <v>#VALUE!</v>
      </c>
      <c r="AB13">
        <f>IF(Ischemia_25percent_output_edgel!1034:1034,"AAAAAF5z/hs=",0)</f>
        <v>0</v>
      </c>
      <c r="AC13" t="e">
        <f>AND(Ischemia_25percent_output_edgel!A1034,"AAAAAF5z/hw=")</f>
        <v>#VALUE!</v>
      </c>
      <c r="AD13" t="e">
        <f>AND(Ischemia_25percent_output_edgel!B1034,"AAAAAF5z/h0=")</f>
        <v>#VALUE!</v>
      </c>
      <c r="AE13">
        <f>IF(Ischemia_25percent_output_edgel!1035:1035,"AAAAAF5z/h4=",0)</f>
        <v>0</v>
      </c>
      <c r="AF13" t="e">
        <f>AND(Ischemia_25percent_output_edgel!A1035,"AAAAAF5z/h8=")</f>
        <v>#VALUE!</v>
      </c>
      <c r="AG13" t="e">
        <f>AND(Ischemia_25percent_output_edgel!B1035,"AAAAAF5z/iA=")</f>
        <v>#VALUE!</v>
      </c>
      <c r="AH13">
        <f>IF(Ischemia_25percent_output_edgel!1036:1036,"AAAAAF5z/iE=",0)</f>
        <v>0</v>
      </c>
      <c r="AI13" t="e">
        <f>AND(Ischemia_25percent_output_edgel!A1036,"AAAAAF5z/iI=")</f>
        <v>#VALUE!</v>
      </c>
      <c r="AJ13" t="e">
        <f>AND(Ischemia_25percent_output_edgel!B1036,"AAAAAF5z/iM=")</f>
        <v>#VALUE!</v>
      </c>
      <c r="AK13">
        <f>IF(Ischemia_25percent_output_edgel!1037:1037,"AAAAAF5z/iQ=",0)</f>
        <v>0</v>
      </c>
      <c r="AL13" t="e">
        <f>AND(Ischemia_25percent_output_edgel!A1037,"AAAAAF5z/iU=")</f>
        <v>#VALUE!</v>
      </c>
      <c r="AM13" t="e">
        <f>AND(Ischemia_25percent_output_edgel!B1037,"AAAAAF5z/iY=")</f>
        <v>#VALUE!</v>
      </c>
      <c r="AN13">
        <f>IF(Ischemia_25percent_output_edgel!1038:1038,"AAAAAF5z/ic=",0)</f>
        <v>0</v>
      </c>
      <c r="AO13" t="e">
        <f>AND(Ischemia_25percent_output_edgel!A1038,"AAAAAF5z/ig=")</f>
        <v>#VALUE!</v>
      </c>
      <c r="AP13" t="e">
        <f>AND(Ischemia_25percent_output_edgel!B1038,"AAAAAF5z/ik=")</f>
        <v>#VALUE!</v>
      </c>
      <c r="AQ13">
        <f>IF(Ischemia_25percent_output_edgel!1039:1039,"AAAAAF5z/io=",0)</f>
        <v>0</v>
      </c>
      <c r="AR13" t="e">
        <f>AND(Ischemia_25percent_output_edgel!A1039,"AAAAAF5z/is=")</f>
        <v>#VALUE!</v>
      </c>
      <c r="AS13" t="e">
        <f>AND(Ischemia_25percent_output_edgel!B1039,"AAAAAF5z/iw=")</f>
        <v>#VALUE!</v>
      </c>
      <c r="AT13">
        <f>IF(Ischemia_25percent_output_edgel!1040:1040,"AAAAAF5z/i0=",0)</f>
        <v>0</v>
      </c>
      <c r="AU13" t="e">
        <f>AND(Ischemia_25percent_output_edgel!A1040,"AAAAAF5z/i4=")</f>
        <v>#VALUE!</v>
      </c>
      <c r="AV13" t="e">
        <f>AND(Ischemia_25percent_output_edgel!B1040,"AAAAAF5z/i8=")</f>
        <v>#VALUE!</v>
      </c>
      <c r="AW13">
        <f>IF(Ischemia_25percent_output_edgel!1041:1041,"AAAAAF5z/jA=",0)</f>
        <v>0</v>
      </c>
      <c r="AX13" t="e">
        <f>AND(Ischemia_25percent_output_edgel!A1041,"AAAAAF5z/jE=")</f>
        <v>#VALUE!</v>
      </c>
      <c r="AY13" t="e">
        <f>AND(Ischemia_25percent_output_edgel!B1041,"AAAAAF5z/jI=")</f>
        <v>#VALUE!</v>
      </c>
      <c r="AZ13">
        <f>IF(Ischemia_25percent_output_edgel!1042:1042,"AAAAAF5z/jM=",0)</f>
        <v>0</v>
      </c>
      <c r="BA13" t="e">
        <f>AND(Ischemia_25percent_output_edgel!A1042,"AAAAAF5z/jQ=")</f>
        <v>#VALUE!</v>
      </c>
      <c r="BB13" t="e">
        <f>AND(Ischemia_25percent_output_edgel!B1042,"AAAAAF5z/jU=")</f>
        <v>#VALUE!</v>
      </c>
      <c r="BC13">
        <f>IF(Ischemia_25percent_output_edgel!1043:1043,"AAAAAF5z/jY=",0)</f>
        <v>0</v>
      </c>
      <c r="BD13" t="e">
        <f>AND(Ischemia_25percent_output_edgel!A1043,"AAAAAF5z/jc=")</f>
        <v>#VALUE!</v>
      </c>
      <c r="BE13" t="e">
        <f>AND(Ischemia_25percent_output_edgel!B1043,"AAAAAF5z/jg=")</f>
        <v>#VALUE!</v>
      </c>
      <c r="BF13">
        <f>IF(Ischemia_25percent_output_edgel!1044:1044,"AAAAAF5z/jk=",0)</f>
        <v>0</v>
      </c>
      <c r="BG13" t="e">
        <f>AND(Ischemia_25percent_output_edgel!A1044,"AAAAAF5z/jo=")</f>
        <v>#VALUE!</v>
      </c>
      <c r="BH13" t="e">
        <f>AND(Ischemia_25percent_output_edgel!B1044,"AAAAAF5z/js=")</f>
        <v>#VALUE!</v>
      </c>
      <c r="BI13">
        <f>IF(Ischemia_25percent_output_edgel!1045:1045,"AAAAAF5z/jw=",0)</f>
        <v>0</v>
      </c>
      <c r="BJ13" t="e">
        <f>AND(Ischemia_25percent_output_edgel!A1045,"AAAAAF5z/j0=")</f>
        <v>#VALUE!</v>
      </c>
      <c r="BK13" t="e">
        <f>AND(Ischemia_25percent_output_edgel!B1045,"AAAAAF5z/j4=")</f>
        <v>#VALUE!</v>
      </c>
      <c r="BL13">
        <f>IF(Ischemia_25percent_output_edgel!1046:1046,"AAAAAF5z/j8=",0)</f>
        <v>0</v>
      </c>
      <c r="BM13" t="e">
        <f>AND(Ischemia_25percent_output_edgel!A1046,"AAAAAF5z/kA=")</f>
        <v>#VALUE!</v>
      </c>
      <c r="BN13" t="e">
        <f>AND(Ischemia_25percent_output_edgel!B1046,"AAAAAF5z/kE=")</f>
        <v>#VALUE!</v>
      </c>
      <c r="BO13">
        <f>IF(Ischemia_25percent_output_edgel!1047:1047,"AAAAAF5z/kI=",0)</f>
        <v>0</v>
      </c>
      <c r="BP13" t="e">
        <f>AND(Ischemia_25percent_output_edgel!A1047,"AAAAAF5z/kM=")</f>
        <v>#VALUE!</v>
      </c>
      <c r="BQ13" t="e">
        <f>AND(Ischemia_25percent_output_edgel!B1047,"AAAAAF5z/kQ=")</f>
        <v>#VALUE!</v>
      </c>
      <c r="BR13">
        <f>IF(Ischemia_25percent_output_edgel!1048:1048,"AAAAAF5z/kU=",0)</f>
        <v>0</v>
      </c>
      <c r="BS13" t="e">
        <f>AND(Ischemia_25percent_output_edgel!A1048,"AAAAAF5z/kY=")</f>
        <v>#VALUE!</v>
      </c>
      <c r="BT13" t="e">
        <f>AND(Ischemia_25percent_output_edgel!B1048,"AAAAAF5z/kc=")</f>
        <v>#VALUE!</v>
      </c>
      <c r="BU13">
        <f>IF(Ischemia_25percent_output_edgel!1049:1049,"AAAAAF5z/kg=",0)</f>
        <v>0</v>
      </c>
      <c r="BV13" t="e">
        <f>AND(Ischemia_25percent_output_edgel!A1049,"AAAAAF5z/kk=")</f>
        <v>#VALUE!</v>
      </c>
      <c r="BW13" t="e">
        <f>AND(Ischemia_25percent_output_edgel!B1049,"AAAAAF5z/ko=")</f>
        <v>#VALUE!</v>
      </c>
      <c r="BX13">
        <f>IF(Ischemia_25percent_output_edgel!1050:1050,"AAAAAF5z/ks=",0)</f>
        <v>0</v>
      </c>
      <c r="BY13" t="e">
        <f>AND(Ischemia_25percent_output_edgel!A1050,"AAAAAF5z/kw=")</f>
        <v>#VALUE!</v>
      </c>
      <c r="BZ13" t="e">
        <f>AND(Ischemia_25percent_output_edgel!B1050,"AAAAAF5z/k0=")</f>
        <v>#VALUE!</v>
      </c>
      <c r="CA13">
        <f>IF(Ischemia_25percent_output_edgel!1051:1051,"AAAAAF5z/k4=",0)</f>
        <v>0</v>
      </c>
      <c r="CB13" t="e">
        <f>AND(Ischemia_25percent_output_edgel!A1051,"AAAAAF5z/k8=")</f>
        <v>#VALUE!</v>
      </c>
      <c r="CC13" t="e">
        <f>AND(Ischemia_25percent_output_edgel!B1051,"AAAAAF5z/lA=")</f>
        <v>#VALUE!</v>
      </c>
      <c r="CD13">
        <f>IF(Ischemia_25percent_output_edgel!1052:1052,"AAAAAF5z/lE=",0)</f>
        <v>0</v>
      </c>
      <c r="CE13" t="e">
        <f>AND(Ischemia_25percent_output_edgel!A1052,"AAAAAF5z/lI=")</f>
        <v>#VALUE!</v>
      </c>
      <c r="CF13" t="e">
        <f>AND(Ischemia_25percent_output_edgel!B1052,"AAAAAF5z/lM=")</f>
        <v>#VALUE!</v>
      </c>
      <c r="CG13">
        <f>IF(Ischemia_25percent_output_edgel!1053:1053,"AAAAAF5z/lQ=",0)</f>
        <v>0</v>
      </c>
      <c r="CH13" t="e">
        <f>AND(Ischemia_25percent_output_edgel!A1053,"AAAAAF5z/lU=")</f>
        <v>#VALUE!</v>
      </c>
      <c r="CI13" t="e">
        <f>AND(Ischemia_25percent_output_edgel!B1053,"AAAAAF5z/lY=")</f>
        <v>#VALUE!</v>
      </c>
      <c r="CJ13">
        <f>IF(Ischemia_25percent_output_edgel!1054:1054,"AAAAAF5z/lc=",0)</f>
        <v>0</v>
      </c>
      <c r="CK13" t="e">
        <f>AND(Ischemia_25percent_output_edgel!A1054,"AAAAAF5z/lg=")</f>
        <v>#VALUE!</v>
      </c>
      <c r="CL13" t="e">
        <f>AND(Ischemia_25percent_output_edgel!B1054,"AAAAAF5z/lk=")</f>
        <v>#VALUE!</v>
      </c>
      <c r="CM13">
        <f>IF(Ischemia_25percent_output_edgel!1055:1055,"AAAAAF5z/lo=",0)</f>
        <v>0</v>
      </c>
      <c r="CN13" t="e">
        <f>AND(Ischemia_25percent_output_edgel!A1055,"AAAAAF5z/ls=")</f>
        <v>#VALUE!</v>
      </c>
      <c r="CO13" t="e">
        <f>AND(Ischemia_25percent_output_edgel!B1055,"AAAAAF5z/lw=")</f>
        <v>#VALUE!</v>
      </c>
      <c r="CP13">
        <f>IF(Ischemia_25percent_output_edgel!1056:1056,"AAAAAF5z/l0=",0)</f>
        <v>0</v>
      </c>
      <c r="CQ13" t="e">
        <f>AND(Ischemia_25percent_output_edgel!A1056,"AAAAAF5z/l4=")</f>
        <v>#VALUE!</v>
      </c>
      <c r="CR13" t="e">
        <f>AND(Ischemia_25percent_output_edgel!B1056,"AAAAAF5z/l8=")</f>
        <v>#VALUE!</v>
      </c>
      <c r="CS13">
        <f>IF(Ischemia_25percent_output_edgel!1057:1057,"AAAAAF5z/mA=",0)</f>
        <v>0</v>
      </c>
      <c r="CT13" t="e">
        <f>AND(Ischemia_25percent_output_edgel!A1057,"AAAAAF5z/mE=")</f>
        <v>#VALUE!</v>
      </c>
      <c r="CU13" t="e">
        <f>AND(Ischemia_25percent_output_edgel!B1057,"AAAAAF5z/mI=")</f>
        <v>#VALUE!</v>
      </c>
      <c r="CV13">
        <f>IF(Ischemia_25percent_output_edgel!1058:1058,"AAAAAF5z/mM=",0)</f>
        <v>0</v>
      </c>
      <c r="CW13" t="e">
        <f>AND(Ischemia_25percent_output_edgel!A1058,"AAAAAF5z/mQ=")</f>
        <v>#VALUE!</v>
      </c>
      <c r="CX13" t="e">
        <f>AND(Ischemia_25percent_output_edgel!B1058,"AAAAAF5z/mU=")</f>
        <v>#VALUE!</v>
      </c>
      <c r="CY13">
        <f>IF(Ischemia_25percent_output_edgel!1059:1059,"AAAAAF5z/mY=",0)</f>
        <v>0</v>
      </c>
      <c r="CZ13" t="e">
        <f>AND(Ischemia_25percent_output_edgel!A1059,"AAAAAF5z/mc=")</f>
        <v>#VALUE!</v>
      </c>
      <c r="DA13" t="e">
        <f>AND(Ischemia_25percent_output_edgel!B1059,"AAAAAF5z/mg=")</f>
        <v>#VALUE!</v>
      </c>
      <c r="DB13">
        <f>IF(Ischemia_25percent_output_edgel!1060:1060,"AAAAAF5z/mk=",0)</f>
        <v>0</v>
      </c>
      <c r="DC13" t="e">
        <f>AND(Ischemia_25percent_output_edgel!A1060,"AAAAAF5z/mo=")</f>
        <v>#VALUE!</v>
      </c>
      <c r="DD13" t="e">
        <f>AND(Ischemia_25percent_output_edgel!B1060,"AAAAAF5z/ms=")</f>
        <v>#VALUE!</v>
      </c>
      <c r="DE13">
        <f>IF(Ischemia_25percent_output_edgel!1061:1061,"AAAAAF5z/mw=",0)</f>
        <v>0</v>
      </c>
      <c r="DF13" t="e">
        <f>AND(Ischemia_25percent_output_edgel!A1061,"AAAAAF5z/m0=")</f>
        <v>#VALUE!</v>
      </c>
      <c r="DG13" t="e">
        <f>AND(Ischemia_25percent_output_edgel!B1061,"AAAAAF5z/m4=")</f>
        <v>#VALUE!</v>
      </c>
      <c r="DH13">
        <f>IF(Ischemia_25percent_output_edgel!1062:1062,"AAAAAF5z/m8=",0)</f>
        <v>0</v>
      </c>
      <c r="DI13" t="e">
        <f>AND(Ischemia_25percent_output_edgel!A1062,"AAAAAF5z/nA=")</f>
        <v>#VALUE!</v>
      </c>
      <c r="DJ13" t="e">
        <f>AND(Ischemia_25percent_output_edgel!B1062,"AAAAAF5z/nE=")</f>
        <v>#VALUE!</v>
      </c>
      <c r="DK13">
        <f>IF(Ischemia_25percent_output_edgel!1063:1063,"AAAAAF5z/nI=",0)</f>
        <v>0</v>
      </c>
      <c r="DL13" t="e">
        <f>AND(Ischemia_25percent_output_edgel!A1063,"AAAAAF5z/nM=")</f>
        <v>#VALUE!</v>
      </c>
      <c r="DM13" t="e">
        <f>AND(Ischemia_25percent_output_edgel!B1063,"AAAAAF5z/nQ=")</f>
        <v>#VALUE!</v>
      </c>
      <c r="DN13">
        <f>IF(Ischemia_25percent_output_edgel!1064:1064,"AAAAAF5z/nU=",0)</f>
        <v>0</v>
      </c>
      <c r="DO13" t="e">
        <f>AND(Ischemia_25percent_output_edgel!A1064,"AAAAAF5z/nY=")</f>
        <v>#VALUE!</v>
      </c>
      <c r="DP13" t="e">
        <f>AND(Ischemia_25percent_output_edgel!B1064,"AAAAAF5z/nc=")</f>
        <v>#VALUE!</v>
      </c>
      <c r="DQ13">
        <f>IF(Ischemia_25percent_output_edgel!1065:1065,"AAAAAF5z/ng=",0)</f>
        <v>0</v>
      </c>
      <c r="DR13" t="e">
        <f>AND(Ischemia_25percent_output_edgel!A1065,"AAAAAF5z/nk=")</f>
        <v>#VALUE!</v>
      </c>
      <c r="DS13" t="e">
        <f>AND(Ischemia_25percent_output_edgel!B1065,"AAAAAF5z/no=")</f>
        <v>#VALUE!</v>
      </c>
      <c r="DT13">
        <f>IF(Ischemia_25percent_output_edgel!1066:1066,"AAAAAF5z/ns=",0)</f>
        <v>0</v>
      </c>
      <c r="DU13" t="e">
        <f>AND(Ischemia_25percent_output_edgel!A1066,"AAAAAF5z/nw=")</f>
        <v>#VALUE!</v>
      </c>
      <c r="DV13" t="e">
        <f>AND(Ischemia_25percent_output_edgel!B1066,"AAAAAF5z/n0=")</f>
        <v>#VALUE!</v>
      </c>
      <c r="DW13">
        <f>IF(Ischemia_25percent_output_edgel!1067:1067,"AAAAAF5z/n4=",0)</f>
        <v>0</v>
      </c>
      <c r="DX13" t="e">
        <f>AND(Ischemia_25percent_output_edgel!A1067,"AAAAAF5z/n8=")</f>
        <v>#VALUE!</v>
      </c>
      <c r="DY13" t="e">
        <f>AND(Ischemia_25percent_output_edgel!B1067,"AAAAAF5z/oA=")</f>
        <v>#VALUE!</v>
      </c>
      <c r="DZ13">
        <f>IF(Ischemia_25percent_output_edgel!1068:1068,"AAAAAF5z/oE=",0)</f>
        <v>0</v>
      </c>
      <c r="EA13" t="e">
        <f>AND(Ischemia_25percent_output_edgel!A1068,"AAAAAF5z/oI=")</f>
        <v>#VALUE!</v>
      </c>
      <c r="EB13" t="e">
        <f>AND(Ischemia_25percent_output_edgel!B1068,"AAAAAF5z/oM=")</f>
        <v>#VALUE!</v>
      </c>
      <c r="EC13">
        <f>IF(Ischemia_25percent_output_edgel!1069:1069,"AAAAAF5z/oQ=",0)</f>
        <v>0</v>
      </c>
      <c r="ED13" t="e">
        <f>AND(Ischemia_25percent_output_edgel!A1069,"AAAAAF5z/oU=")</f>
        <v>#VALUE!</v>
      </c>
      <c r="EE13" t="e">
        <f>AND(Ischemia_25percent_output_edgel!B1069,"AAAAAF5z/oY=")</f>
        <v>#VALUE!</v>
      </c>
      <c r="EF13">
        <f>IF(Ischemia_25percent_output_edgel!1070:1070,"AAAAAF5z/oc=",0)</f>
        <v>0</v>
      </c>
      <c r="EG13" t="e">
        <f>AND(Ischemia_25percent_output_edgel!A1070,"AAAAAF5z/og=")</f>
        <v>#VALUE!</v>
      </c>
      <c r="EH13" t="e">
        <f>AND(Ischemia_25percent_output_edgel!B1070,"AAAAAF5z/ok=")</f>
        <v>#VALUE!</v>
      </c>
      <c r="EI13">
        <f>IF(Ischemia_25percent_output_edgel!1071:1071,"AAAAAF5z/oo=",0)</f>
        <v>0</v>
      </c>
      <c r="EJ13" t="e">
        <f>AND(Ischemia_25percent_output_edgel!A1071,"AAAAAF5z/os=")</f>
        <v>#VALUE!</v>
      </c>
      <c r="EK13" t="e">
        <f>AND(Ischemia_25percent_output_edgel!B1071,"AAAAAF5z/ow=")</f>
        <v>#VALUE!</v>
      </c>
      <c r="EL13">
        <f>IF(Ischemia_25percent_output_edgel!1072:1072,"AAAAAF5z/o0=",0)</f>
        <v>0</v>
      </c>
      <c r="EM13" t="e">
        <f>AND(Ischemia_25percent_output_edgel!A1072,"AAAAAF5z/o4=")</f>
        <v>#VALUE!</v>
      </c>
      <c r="EN13" t="e">
        <f>AND(Ischemia_25percent_output_edgel!B1072,"AAAAAF5z/o8=")</f>
        <v>#VALUE!</v>
      </c>
      <c r="EO13">
        <f>IF(Ischemia_25percent_output_edgel!1073:1073,"AAAAAF5z/pA=",0)</f>
        <v>0</v>
      </c>
      <c r="EP13" t="e">
        <f>AND(Ischemia_25percent_output_edgel!A1073,"AAAAAF5z/pE=")</f>
        <v>#VALUE!</v>
      </c>
      <c r="EQ13" t="e">
        <f>AND(Ischemia_25percent_output_edgel!B1073,"AAAAAF5z/pI=")</f>
        <v>#VALUE!</v>
      </c>
      <c r="ER13">
        <f>IF(Ischemia_25percent_output_edgel!1074:1074,"AAAAAF5z/pM=",0)</f>
        <v>0</v>
      </c>
      <c r="ES13" t="e">
        <f>AND(Ischemia_25percent_output_edgel!A1074,"AAAAAF5z/pQ=")</f>
        <v>#VALUE!</v>
      </c>
      <c r="ET13" t="e">
        <f>AND(Ischemia_25percent_output_edgel!B1074,"AAAAAF5z/pU=")</f>
        <v>#VALUE!</v>
      </c>
      <c r="EU13">
        <f>IF(Ischemia_25percent_output_edgel!1075:1075,"AAAAAF5z/pY=",0)</f>
        <v>0</v>
      </c>
      <c r="EV13" t="e">
        <f>AND(Ischemia_25percent_output_edgel!A1075,"AAAAAF5z/pc=")</f>
        <v>#VALUE!</v>
      </c>
      <c r="EW13" t="e">
        <f>AND(Ischemia_25percent_output_edgel!B1075,"AAAAAF5z/pg=")</f>
        <v>#VALUE!</v>
      </c>
      <c r="EX13">
        <f>IF(Ischemia_25percent_output_edgel!1076:1076,"AAAAAF5z/pk=",0)</f>
        <v>0</v>
      </c>
      <c r="EY13" t="e">
        <f>AND(Ischemia_25percent_output_edgel!A1076,"AAAAAF5z/po=")</f>
        <v>#VALUE!</v>
      </c>
      <c r="EZ13" t="e">
        <f>AND(Ischemia_25percent_output_edgel!B1076,"AAAAAF5z/ps=")</f>
        <v>#VALUE!</v>
      </c>
      <c r="FA13">
        <f>IF(Ischemia_25percent_output_edgel!1077:1077,"AAAAAF5z/pw=",0)</f>
        <v>0</v>
      </c>
      <c r="FB13" t="e">
        <f>AND(Ischemia_25percent_output_edgel!A1077,"AAAAAF5z/p0=")</f>
        <v>#VALUE!</v>
      </c>
      <c r="FC13" t="e">
        <f>AND(Ischemia_25percent_output_edgel!B1077,"AAAAAF5z/p4=")</f>
        <v>#VALUE!</v>
      </c>
      <c r="FD13">
        <f>IF(Ischemia_25percent_output_edgel!1078:1078,"AAAAAF5z/p8=",0)</f>
        <v>0</v>
      </c>
      <c r="FE13" t="e">
        <f>AND(Ischemia_25percent_output_edgel!A1078,"AAAAAF5z/qA=")</f>
        <v>#VALUE!</v>
      </c>
      <c r="FF13" t="e">
        <f>AND(Ischemia_25percent_output_edgel!B1078,"AAAAAF5z/qE=")</f>
        <v>#VALUE!</v>
      </c>
      <c r="FG13">
        <f>IF(Ischemia_25percent_output_edgel!1079:1079,"AAAAAF5z/qI=",0)</f>
        <v>0</v>
      </c>
      <c r="FH13" t="e">
        <f>AND(Ischemia_25percent_output_edgel!A1079,"AAAAAF5z/qM=")</f>
        <v>#VALUE!</v>
      </c>
      <c r="FI13" t="e">
        <f>AND(Ischemia_25percent_output_edgel!B1079,"AAAAAF5z/qQ=")</f>
        <v>#VALUE!</v>
      </c>
      <c r="FJ13">
        <f>IF(Ischemia_25percent_output_edgel!1080:1080,"AAAAAF5z/qU=",0)</f>
        <v>0</v>
      </c>
      <c r="FK13" t="e">
        <f>AND(Ischemia_25percent_output_edgel!A1080,"AAAAAF5z/qY=")</f>
        <v>#VALUE!</v>
      </c>
      <c r="FL13" t="e">
        <f>AND(Ischemia_25percent_output_edgel!B1080,"AAAAAF5z/qc=")</f>
        <v>#VALUE!</v>
      </c>
      <c r="FM13">
        <f>IF(Ischemia_25percent_output_edgel!1081:1081,"AAAAAF5z/qg=",0)</f>
        <v>0</v>
      </c>
      <c r="FN13" t="e">
        <f>AND(Ischemia_25percent_output_edgel!A1081,"AAAAAF5z/qk=")</f>
        <v>#VALUE!</v>
      </c>
      <c r="FO13" t="e">
        <f>AND(Ischemia_25percent_output_edgel!B1081,"AAAAAF5z/qo=")</f>
        <v>#VALUE!</v>
      </c>
      <c r="FP13">
        <f>IF(Ischemia_25percent_output_edgel!1082:1082,"AAAAAF5z/qs=",0)</f>
        <v>0</v>
      </c>
      <c r="FQ13" t="e">
        <f>AND(Ischemia_25percent_output_edgel!A1082,"AAAAAF5z/qw=")</f>
        <v>#VALUE!</v>
      </c>
      <c r="FR13" t="e">
        <f>AND(Ischemia_25percent_output_edgel!B1082,"AAAAAF5z/q0=")</f>
        <v>#VALUE!</v>
      </c>
      <c r="FS13">
        <f>IF(Ischemia_25percent_output_edgel!1083:1083,"AAAAAF5z/q4=",0)</f>
        <v>0</v>
      </c>
      <c r="FT13" t="e">
        <f>AND(Ischemia_25percent_output_edgel!A1083,"AAAAAF5z/q8=")</f>
        <v>#VALUE!</v>
      </c>
      <c r="FU13" t="e">
        <f>AND(Ischemia_25percent_output_edgel!B1083,"AAAAAF5z/rA=")</f>
        <v>#VALUE!</v>
      </c>
      <c r="FV13">
        <f>IF(Ischemia_25percent_output_edgel!1084:1084,"AAAAAF5z/rE=",0)</f>
        <v>0</v>
      </c>
      <c r="FW13" t="e">
        <f>AND(Ischemia_25percent_output_edgel!A1084,"AAAAAF5z/rI=")</f>
        <v>#VALUE!</v>
      </c>
      <c r="FX13" t="e">
        <f>AND(Ischemia_25percent_output_edgel!B1084,"AAAAAF5z/rM=")</f>
        <v>#VALUE!</v>
      </c>
      <c r="FY13">
        <f>IF(Ischemia_25percent_output_edgel!1085:1085,"AAAAAF5z/rQ=",0)</f>
        <v>0</v>
      </c>
      <c r="FZ13" t="e">
        <f>AND(Ischemia_25percent_output_edgel!A1085,"AAAAAF5z/rU=")</f>
        <v>#VALUE!</v>
      </c>
      <c r="GA13" t="e">
        <f>AND(Ischemia_25percent_output_edgel!B1085,"AAAAAF5z/rY=")</f>
        <v>#VALUE!</v>
      </c>
      <c r="GB13">
        <f>IF(Ischemia_25percent_output_edgel!1086:1086,"AAAAAF5z/rc=",0)</f>
        <v>0</v>
      </c>
      <c r="GC13" t="e">
        <f>AND(Ischemia_25percent_output_edgel!A1086,"AAAAAF5z/rg=")</f>
        <v>#VALUE!</v>
      </c>
      <c r="GD13" t="e">
        <f>AND(Ischemia_25percent_output_edgel!B1086,"AAAAAF5z/rk=")</f>
        <v>#VALUE!</v>
      </c>
      <c r="GE13">
        <f>IF(Ischemia_25percent_output_edgel!1087:1087,"AAAAAF5z/ro=",0)</f>
        <v>0</v>
      </c>
      <c r="GF13" t="e">
        <f>AND(Ischemia_25percent_output_edgel!A1087,"AAAAAF5z/rs=")</f>
        <v>#VALUE!</v>
      </c>
      <c r="GG13" t="e">
        <f>AND(Ischemia_25percent_output_edgel!B1087,"AAAAAF5z/rw=")</f>
        <v>#VALUE!</v>
      </c>
      <c r="GH13">
        <f>IF(Ischemia_25percent_output_edgel!1088:1088,"AAAAAF5z/r0=",0)</f>
        <v>0</v>
      </c>
      <c r="GI13" t="e">
        <f>AND(Ischemia_25percent_output_edgel!A1088,"AAAAAF5z/r4=")</f>
        <v>#VALUE!</v>
      </c>
      <c r="GJ13" t="e">
        <f>AND(Ischemia_25percent_output_edgel!B1088,"AAAAAF5z/r8=")</f>
        <v>#VALUE!</v>
      </c>
      <c r="GK13">
        <f>IF(Ischemia_25percent_output_edgel!1089:1089,"AAAAAF5z/sA=",0)</f>
        <v>0</v>
      </c>
      <c r="GL13" t="e">
        <f>AND(Ischemia_25percent_output_edgel!A1089,"AAAAAF5z/sE=")</f>
        <v>#VALUE!</v>
      </c>
      <c r="GM13" t="e">
        <f>AND(Ischemia_25percent_output_edgel!B1089,"AAAAAF5z/sI=")</f>
        <v>#VALUE!</v>
      </c>
      <c r="GN13">
        <f>IF(Ischemia_25percent_output_edgel!1090:1090,"AAAAAF5z/sM=",0)</f>
        <v>0</v>
      </c>
      <c r="GO13" t="e">
        <f>AND(Ischemia_25percent_output_edgel!A1090,"AAAAAF5z/sQ=")</f>
        <v>#VALUE!</v>
      </c>
      <c r="GP13" t="e">
        <f>AND(Ischemia_25percent_output_edgel!B1090,"AAAAAF5z/sU=")</f>
        <v>#VALUE!</v>
      </c>
      <c r="GQ13">
        <f>IF(Ischemia_25percent_output_edgel!1091:1091,"AAAAAF5z/sY=",0)</f>
        <v>0</v>
      </c>
      <c r="GR13" t="e">
        <f>AND(Ischemia_25percent_output_edgel!A1091,"AAAAAF5z/sc=")</f>
        <v>#VALUE!</v>
      </c>
      <c r="GS13" t="e">
        <f>AND(Ischemia_25percent_output_edgel!B1091,"AAAAAF5z/sg=")</f>
        <v>#VALUE!</v>
      </c>
      <c r="GT13">
        <f>IF(Ischemia_25percent_output_edgel!1092:1092,"AAAAAF5z/sk=",0)</f>
        <v>0</v>
      </c>
      <c r="GU13" t="e">
        <f>AND(Ischemia_25percent_output_edgel!A1092,"AAAAAF5z/so=")</f>
        <v>#VALUE!</v>
      </c>
      <c r="GV13" t="e">
        <f>AND(Ischemia_25percent_output_edgel!B1092,"AAAAAF5z/ss=")</f>
        <v>#VALUE!</v>
      </c>
      <c r="GW13">
        <f>IF(Ischemia_25percent_output_edgel!1093:1093,"AAAAAF5z/sw=",0)</f>
        <v>0</v>
      </c>
      <c r="GX13" t="e">
        <f>AND(Ischemia_25percent_output_edgel!A1093,"AAAAAF5z/s0=")</f>
        <v>#VALUE!</v>
      </c>
      <c r="GY13" t="e">
        <f>AND(Ischemia_25percent_output_edgel!B1093,"AAAAAF5z/s4=")</f>
        <v>#VALUE!</v>
      </c>
      <c r="GZ13">
        <f>IF(Ischemia_25percent_output_edgel!1094:1094,"AAAAAF5z/s8=",0)</f>
        <v>0</v>
      </c>
      <c r="HA13" t="e">
        <f>AND(Ischemia_25percent_output_edgel!A1094,"AAAAAF5z/tA=")</f>
        <v>#VALUE!</v>
      </c>
      <c r="HB13" t="e">
        <f>AND(Ischemia_25percent_output_edgel!B1094,"AAAAAF5z/tE=")</f>
        <v>#VALUE!</v>
      </c>
      <c r="HC13">
        <f>IF(Ischemia_25percent_output_edgel!1095:1095,"AAAAAF5z/tI=",0)</f>
        <v>0</v>
      </c>
      <c r="HD13" t="e">
        <f>AND(Ischemia_25percent_output_edgel!A1095,"AAAAAF5z/tM=")</f>
        <v>#VALUE!</v>
      </c>
      <c r="HE13" t="e">
        <f>AND(Ischemia_25percent_output_edgel!B1095,"AAAAAF5z/tQ=")</f>
        <v>#VALUE!</v>
      </c>
      <c r="HF13">
        <f>IF(Ischemia_25percent_output_edgel!1096:1096,"AAAAAF5z/tU=",0)</f>
        <v>0</v>
      </c>
      <c r="HG13" t="e">
        <f>AND(Ischemia_25percent_output_edgel!A1096,"AAAAAF5z/tY=")</f>
        <v>#VALUE!</v>
      </c>
      <c r="HH13" t="e">
        <f>AND(Ischemia_25percent_output_edgel!B1096,"AAAAAF5z/tc=")</f>
        <v>#VALUE!</v>
      </c>
      <c r="HI13">
        <f>IF(Ischemia_25percent_output_edgel!1097:1097,"AAAAAF5z/tg=",0)</f>
        <v>0</v>
      </c>
      <c r="HJ13" t="e">
        <f>AND(Ischemia_25percent_output_edgel!A1097,"AAAAAF5z/tk=")</f>
        <v>#VALUE!</v>
      </c>
      <c r="HK13" t="e">
        <f>AND(Ischemia_25percent_output_edgel!B1097,"AAAAAF5z/to=")</f>
        <v>#VALUE!</v>
      </c>
      <c r="HL13">
        <f>IF(Ischemia_25percent_output_edgel!1098:1098,"AAAAAF5z/ts=",0)</f>
        <v>0</v>
      </c>
      <c r="HM13" t="e">
        <f>AND(Ischemia_25percent_output_edgel!A1098,"AAAAAF5z/tw=")</f>
        <v>#VALUE!</v>
      </c>
      <c r="HN13" t="e">
        <f>AND(Ischemia_25percent_output_edgel!B1098,"AAAAAF5z/t0=")</f>
        <v>#VALUE!</v>
      </c>
      <c r="HO13">
        <f>IF(Ischemia_25percent_output_edgel!1099:1099,"AAAAAF5z/t4=",0)</f>
        <v>0</v>
      </c>
      <c r="HP13" t="e">
        <f>AND(Ischemia_25percent_output_edgel!A1099,"AAAAAF5z/t8=")</f>
        <v>#VALUE!</v>
      </c>
      <c r="HQ13" t="e">
        <f>AND(Ischemia_25percent_output_edgel!B1099,"AAAAAF5z/uA=")</f>
        <v>#VALUE!</v>
      </c>
      <c r="HR13">
        <f>IF(Ischemia_25percent_output_edgel!1100:1100,"AAAAAF5z/uE=",0)</f>
        <v>0</v>
      </c>
      <c r="HS13" t="e">
        <f>AND(Ischemia_25percent_output_edgel!A1100,"AAAAAF5z/uI=")</f>
        <v>#VALUE!</v>
      </c>
      <c r="HT13" t="e">
        <f>AND(Ischemia_25percent_output_edgel!B1100,"AAAAAF5z/uM=")</f>
        <v>#VALUE!</v>
      </c>
      <c r="HU13">
        <f>IF(Ischemia_25percent_output_edgel!1101:1101,"AAAAAF5z/uQ=",0)</f>
        <v>0</v>
      </c>
      <c r="HV13" t="e">
        <f>AND(Ischemia_25percent_output_edgel!A1101,"AAAAAF5z/uU=")</f>
        <v>#VALUE!</v>
      </c>
      <c r="HW13" t="e">
        <f>AND(Ischemia_25percent_output_edgel!B1101,"AAAAAF5z/uY=")</f>
        <v>#VALUE!</v>
      </c>
      <c r="HX13">
        <f>IF(Ischemia_25percent_output_edgel!1102:1102,"AAAAAF5z/uc=",0)</f>
        <v>0</v>
      </c>
      <c r="HY13" t="e">
        <f>AND(Ischemia_25percent_output_edgel!A1102,"AAAAAF5z/ug=")</f>
        <v>#VALUE!</v>
      </c>
      <c r="HZ13" t="e">
        <f>AND(Ischemia_25percent_output_edgel!B1102,"AAAAAF5z/uk=")</f>
        <v>#VALUE!</v>
      </c>
      <c r="IA13">
        <f>IF(Ischemia_25percent_output_edgel!1103:1103,"AAAAAF5z/uo=",0)</f>
        <v>0</v>
      </c>
      <c r="IB13" t="e">
        <f>AND(Ischemia_25percent_output_edgel!A1103,"AAAAAF5z/us=")</f>
        <v>#VALUE!</v>
      </c>
      <c r="IC13" t="e">
        <f>AND(Ischemia_25percent_output_edgel!B1103,"AAAAAF5z/uw=")</f>
        <v>#VALUE!</v>
      </c>
      <c r="ID13">
        <f>IF(Ischemia_25percent_output_edgel!1104:1104,"AAAAAF5z/u0=",0)</f>
        <v>0</v>
      </c>
      <c r="IE13" t="e">
        <f>AND(Ischemia_25percent_output_edgel!A1104,"AAAAAF5z/u4=")</f>
        <v>#VALUE!</v>
      </c>
      <c r="IF13" t="e">
        <f>AND(Ischemia_25percent_output_edgel!B1104,"AAAAAF5z/u8=")</f>
        <v>#VALUE!</v>
      </c>
      <c r="IG13">
        <f>IF(Ischemia_25percent_output_edgel!1105:1105,"AAAAAF5z/vA=",0)</f>
        <v>0</v>
      </c>
      <c r="IH13" t="e">
        <f>AND(Ischemia_25percent_output_edgel!A1105,"AAAAAF5z/vE=")</f>
        <v>#VALUE!</v>
      </c>
      <c r="II13" t="e">
        <f>AND(Ischemia_25percent_output_edgel!B1105,"AAAAAF5z/vI=")</f>
        <v>#VALUE!</v>
      </c>
      <c r="IJ13">
        <f>IF(Ischemia_25percent_output_edgel!1106:1106,"AAAAAF5z/vM=",0)</f>
        <v>0</v>
      </c>
      <c r="IK13" t="e">
        <f>AND(Ischemia_25percent_output_edgel!A1106,"AAAAAF5z/vQ=")</f>
        <v>#VALUE!</v>
      </c>
      <c r="IL13" t="e">
        <f>AND(Ischemia_25percent_output_edgel!B1106,"AAAAAF5z/vU=")</f>
        <v>#VALUE!</v>
      </c>
      <c r="IM13">
        <f>IF(Ischemia_25percent_output_edgel!1107:1107,"AAAAAF5z/vY=",0)</f>
        <v>0</v>
      </c>
      <c r="IN13" t="e">
        <f>AND(Ischemia_25percent_output_edgel!A1107,"AAAAAF5z/vc=")</f>
        <v>#VALUE!</v>
      </c>
      <c r="IO13" t="e">
        <f>AND(Ischemia_25percent_output_edgel!B1107,"AAAAAF5z/vg=")</f>
        <v>#VALUE!</v>
      </c>
      <c r="IP13">
        <f>IF(Ischemia_25percent_output_edgel!1108:1108,"AAAAAF5z/vk=",0)</f>
        <v>0</v>
      </c>
      <c r="IQ13" t="e">
        <f>AND(Ischemia_25percent_output_edgel!A1108,"AAAAAF5z/vo=")</f>
        <v>#VALUE!</v>
      </c>
      <c r="IR13" t="e">
        <f>AND(Ischemia_25percent_output_edgel!B1108,"AAAAAF5z/vs=")</f>
        <v>#VALUE!</v>
      </c>
      <c r="IS13">
        <f>IF(Ischemia_25percent_output_edgel!1109:1109,"AAAAAF5z/vw=",0)</f>
        <v>0</v>
      </c>
      <c r="IT13" t="e">
        <f>AND(Ischemia_25percent_output_edgel!A1109,"AAAAAF5z/v0=")</f>
        <v>#VALUE!</v>
      </c>
      <c r="IU13" t="e">
        <f>AND(Ischemia_25percent_output_edgel!B1109,"AAAAAF5z/v4=")</f>
        <v>#VALUE!</v>
      </c>
      <c r="IV13">
        <f>IF(Ischemia_25percent_output_edgel!1110:1110,"AAAAAF5z/v8=",0)</f>
        <v>0</v>
      </c>
    </row>
    <row r="14" spans="1:256">
      <c r="A14" t="e">
        <f>AND(Ischemia_25percent_output_edgel!A1110,"AAAAAHe+/gA=")</f>
        <v>#VALUE!</v>
      </c>
      <c r="B14" t="e">
        <f>AND(Ischemia_25percent_output_edgel!B1110,"AAAAAHe+/gE=")</f>
        <v>#VALUE!</v>
      </c>
      <c r="C14">
        <f>IF(Ischemia_25percent_output_edgel!1111:1111,"AAAAAHe+/gI=",0)</f>
        <v>0</v>
      </c>
      <c r="D14" t="e">
        <f>AND(Ischemia_25percent_output_edgel!A1111,"AAAAAHe+/gM=")</f>
        <v>#VALUE!</v>
      </c>
      <c r="E14" t="e">
        <f>AND(Ischemia_25percent_output_edgel!B1111,"AAAAAHe+/gQ=")</f>
        <v>#VALUE!</v>
      </c>
      <c r="F14">
        <f>IF(Ischemia_25percent_output_edgel!1112:1112,"AAAAAHe+/gU=",0)</f>
        <v>0</v>
      </c>
      <c r="G14" t="e">
        <f>AND(Ischemia_25percent_output_edgel!A1112,"AAAAAHe+/gY=")</f>
        <v>#VALUE!</v>
      </c>
      <c r="H14" t="e">
        <f>AND(Ischemia_25percent_output_edgel!B1112,"AAAAAHe+/gc=")</f>
        <v>#VALUE!</v>
      </c>
      <c r="I14">
        <f>IF(Ischemia_25percent_output_edgel!1113:1113,"AAAAAHe+/gg=",0)</f>
        <v>0</v>
      </c>
      <c r="J14" t="e">
        <f>AND(Ischemia_25percent_output_edgel!A1113,"AAAAAHe+/gk=")</f>
        <v>#VALUE!</v>
      </c>
      <c r="K14" t="e">
        <f>AND(Ischemia_25percent_output_edgel!B1113,"AAAAAHe+/go=")</f>
        <v>#VALUE!</v>
      </c>
      <c r="L14">
        <f>IF(Ischemia_25percent_output_edgel!1114:1114,"AAAAAHe+/gs=",0)</f>
        <v>0</v>
      </c>
      <c r="M14" t="e">
        <f>AND(Ischemia_25percent_output_edgel!A1114,"AAAAAHe+/gw=")</f>
        <v>#VALUE!</v>
      </c>
      <c r="N14" t="e">
        <f>AND(Ischemia_25percent_output_edgel!B1114,"AAAAAHe+/g0=")</f>
        <v>#VALUE!</v>
      </c>
      <c r="O14">
        <f>IF(Ischemia_25percent_output_edgel!1115:1115,"AAAAAHe+/g4=",0)</f>
        <v>0</v>
      </c>
      <c r="P14" t="e">
        <f>AND(Ischemia_25percent_output_edgel!A1115,"AAAAAHe+/g8=")</f>
        <v>#VALUE!</v>
      </c>
      <c r="Q14" t="e">
        <f>AND(Ischemia_25percent_output_edgel!B1115,"AAAAAHe+/hA=")</f>
        <v>#VALUE!</v>
      </c>
      <c r="R14">
        <f>IF(Ischemia_25percent_output_edgel!1116:1116,"AAAAAHe+/hE=",0)</f>
        <v>0</v>
      </c>
      <c r="S14" t="e">
        <f>AND(Ischemia_25percent_output_edgel!A1116,"AAAAAHe+/hI=")</f>
        <v>#VALUE!</v>
      </c>
      <c r="T14" t="e">
        <f>AND(Ischemia_25percent_output_edgel!B1116,"AAAAAHe+/hM=")</f>
        <v>#VALUE!</v>
      </c>
      <c r="U14">
        <f>IF(Ischemia_25percent_output_edgel!1117:1117,"AAAAAHe+/hQ=",0)</f>
        <v>0</v>
      </c>
      <c r="V14" t="e">
        <f>AND(Ischemia_25percent_output_edgel!A1117,"AAAAAHe+/hU=")</f>
        <v>#VALUE!</v>
      </c>
      <c r="W14" t="e">
        <f>AND(Ischemia_25percent_output_edgel!B1117,"AAAAAHe+/hY=")</f>
        <v>#VALUE!</v>
      </c>
      <c r="X14">
        <f>IF(Ischemia_25percent_output_edgel!1118:1118,"AAAAAHe+/hc=",0)</f>
        <v>0</v>
      </c>
      <c r="Y14" t="e">
        <f>AND(Ischemia_25percent_output_edgel!A1118,"AAAAAHe+/hg=")</f>
        <v>#VALUE!</v>
      </c>
      <c r="Z14" t="e">
        <f>AND(Ischemia_25percent_output_edgel!B1118,"AAAAAHe+/hk=")</f>
        <v>#VALUE!</v>
      </c>
      <c r="AA14">
        <f>IF(Ischemia_25percent_output_edgel!1119:1119,"AAAAAHe+/ho=",0)</f>
        <v>0</v>
      </c>
      <c r="AB14" t="e">
        <f>AND(Ischemia_25percent_output_edgel!A1119,"AAAAAHe+/hs=")</f>
        <v>#VALUE!</v>
      </c>
      <c r="AC14" t="e">
        <f>AND(Ischemia_25percent_output_edgel!B1119,"AAAAAHe+/hw=")</f>
        <v>#VALUE!</v>
      </c>
      <c r="AD14">
        <f>IF(Ischemia_25percent_output_edgel!1120:1120,"AAAAAHe+/h0=",0)</f>
        <v>0</v>
      </c>
      <c r="AE14" t="e">
        <f>AND(Ischemia_25percent_output_edgel!A1120,"AAAAAHe+/h4=")</f>
        <v>#VALUE!</v>
      </c>
      <c r="AF14" t="e">
        <f>AND(Ischemia_25percent_output_edgel!B1120,"AAAAAHe+/h8=")</f>
        <v>#VALUE!</v>
      </c>
      <c r="AG14">
        <f>IF(Ischemia_25percent_output_edgel!1121:1121,"AAAAAHe+/iA=",0)</f>
        <v>0</v>
      </c>
      <c r="AH14" t="e">
        <f>AND(Ischemia_25percent_output_edgel!A1121,"AAAAAHe+/iE=")</f>
        <v>#VALUE!</v>
      </c>
      <c r="AI14" t="e">
        <f>AND(Ischemia_25percent_output_edgel!B1121,"AAAAAHe+/iI=")</f>
        <v>#VALUE!</v>
      </c>
      <c r="AJ14">
        <f>IF(Ischemia_25percent_output_edgel!1122:1122,"AAAAAHe+/iM=",0)</f>
        <v>0</v>
      </c>
      <c r="AK14" t="e">
        <f>AND(Ischemia_25percent_output_edgel!A1122,"AAAAAHe+/iQ=")</f>
        <v>#VALUE!</v>
      </c>
      <c r="AL14" t="e">
        <f>AND(Ischemia_25percent_output_edgel!B1122,"AAAAAHe+/iU=")</f>
        <v>#VALUE!</v>
      </c>
      <c r="AM14">
        <f>IF(Ischemia_25percent_output_edgel!1123:1123,"AAAAAHe+/iY=",0)</f>
        <v>0</v>
      </c>
      <c r="AN14" t="e">
        <f>AND(Ischemia_25percent_output_edgel!A1123,"AAAAAHe+/ic=")</f>
        <v>#VALUE!</v>
      </c>
      <c r="AO14" t="e">
        <f>AND(Ischemia_25percent_output_edgel!B1123,"AAAAAHe+/ig=")</f>
        <v>#VALUE!</v>
      </c>
      <c r="AP14">
        <f>IF(Ischemia_25percent_output_edgel!1124:1124,"AAAAAHe+/ik=",0)</f>
        <v>0</v>
      </c>
      <c r="AQ14" t="e">
        <f>AND(Ischemia_25percent_output_edgel!A1124,"AAAAAHe+/io=")</f>
        <v>#VALUE!</v>
      </c>
      <c r="AR14" t="e">
        <f>AND(Ischemia_25percent_output_edgel!B1124,"AAAAAHe+/is=")</f>
        <v>#VALUE!</v>
      </c>
      <c r="AS14">
        <f>IF(Ischemia_25percent_output_edgel!1125:1125,"AAAAAHe+/iw=",0)</f>
        <v>0</v>
      </c>
      <c r="AT14" t="e">
        <f>AND(Ischemia_25percent_output_edgel!A1125,"AAAAAHe+/i0=")</f>
        <v>#VALUE!</v>
      </c>
      <c r="AU14" t="e">
        <f>AND(Ischemia_25percent_output_edgel!B1125,"AAAAAHe+/i4=")</f>
        <v>#VALUE!</v>
      </c>
      <c r="AV14">
        <f>IF(Ischemia_25percent_output_edgel!1126:1126,"AAAAAHe+/i8=",0)</f>
        <v>0</v>
      </c>
      <c r="AW14" t="e">
        <f>AND(Ischemia_25percent_output_edgel!A1126,"AAAAAHe+/jA=")</f>
        <v>#VALUE!</v>
      </c>
      <c r="AX14" t="e">
        <f>AND(Ischemia_25percent_output_edgel!B1126,"AAAAAHe+/jE=")</f>
        <v>#VALUE!</v>
      </c>
      <c r="AY14">
        <f>IF(Ischemia_25percent_output_edgel!1127:1127,"AAAAAHe+/jI=",0)</f>
        <v>0</v>
      </c>
      <c r="AZ14" t="e">
        <f>AND(Ischemia_25percent_output_edgel!A1127,"AAAAAHe+/jM=")</f>
        <v>#VALUE!</v>
      </c>
      <c r="BA14" t="e">
        <f>AND(Ischemia_25percent_output_edgel!B1127,"AAAAAHe+/jQ=")</f>
        <v>#VALUE!</v>
      </c>
      <c r="BB14">
        <f>IF(Ischemia_25percent_output_edgel!1128:1128,"AAAAAHe+/jU=",0)</f>
        <v>0</v>
      </c>
      <c r="BC14" t="e">
        <f>AND(Ischemia_25percent_output_edgel!A1128,"AAAAAHe+/jY=")</f>
        <v>#VALUE!</v>
      </c>
      <c r="BD14" t="e">
        <f>AND(Ischemia_25percent_output_edgel!B1128,"AAAAAHe+/jc=")</f>
        <v>#VALUE!</v>
      </c>
      <c r="BE14">
        <f>IF(Ischemia_25percent_output_edgel!1129:1129,"AAAAAHe+/jg=",0)</f>
        <v>0</v>
      </c>
      <c r="BF14" t="e">
        <f>AND(Ischemia_25percent_output_edgel!A1129,"AAAAAHe+/jk=")</f>
        <v>#VALUE!</v>
      </c>
      <c r="BG14" t="e">
        <f>AND(Ischemia_25percent_output_edgel!B1129,"AAAAAHe+/jo=")</f>
        <v>#VALUE!</v>
      </c>
      <c r="BH14">
        <f>IF(Ischemia_25percent_output_edgel!1130:1130,"AAAAAHe+/js=",0)</f>
        <v>0</v>
      </c>
      <c r="BI14" t="e">
        <f>AND(Ischemia_25percent_output_edgel!A1130,"AAAAAHe+/jw=")</f>
        <v>#VALUE!</v>
      </c>
      <c r="BJ14" t="e">
        <f>AND(Ischemia_25percent_output_edgel!B1130,"AAAAAHe+/j0=")</f>
        <v>#VALUE!</v>
      </c>
      <c r="BK14">
        <f>IF(Ischemia_25percent_output_edgel!1131:1131,"AAAAAHe+/j4=",0)</f>
        <v>0</v>
      </c>
      <c r="BL14" t="e">
        <f>AND(Ischemia_25percent_output_edgel!A1131,"AAAAAHe+/j8=")</f>
        <v>#VALUE!</v>
      </c>
      <c r="BM14" t="e">
        <f>AND(Ischemia_25percent_output_edgel!B1131,"AAAAAHe+/kA=")</f>
        <v>#VALUE!</v>
      </c>
      <c r="BN14">
        <f>IF(Ischemia_25percent_output_edgel!1132:1132,"AAAAAHe+/kE=",0)</f>
        <v>0</v>
      </c>
      <c r="BO14" t="e">
        <f>AND(Ischemia_25percent_output_edgel!A1132,"AAAAAHe+/kI=")</f>
        <v>#VALUE!</v>
      </c>
      <c r="BP14" t="e">
        <f>AND(Ischemia_25percent_output_edgel!B1132,"AAAAAHe+/kM=")</f>
        <v>#VALUE!</v>
      </c>
      <c r="BQ14">
        <f>IF(Ischemia_25percent_output_edgel!1133:1133,"AAAAAHe+/kQ=",0)</f>
        <v>0</v>
      </c>
      <c r="BR14" t="e">
        <f>AND(Ischemia_25percent_output_edgel!A1133,"AAAAAHe+/kU=")</f>
        <v>#VALUE!</v>
      </c>
      <c r="BS14" t="e">
        <f>AND(Ischemia_25percent_output_edgel!B1133,"AAAAAHe+/kY=")</f>
        <v>#VALUE!</v>
      </c>
      <c r="BT14">
        <f>IF(Ischemia_25percent_output_edgel!1134:1134,"AAAAAHe+/kc=",0)</f>
        <v>0</v>
      </c>
      <c r="BU14" t="e">
        <f>AND(Ischemia_25percent_output_edgel!A1134,"AAAAAHe+/kg=")</f>
        <v>#VALUE!</v>
      </c>
      <c r="BV14" t="e">
        <f>AND(Ischemia_25percent_output_edgel!B1134,"AAAAAHe+/kk=")</f>
        <v>#VALUE!</v>
      </c>
      <c r="BW14">
        <f>IF(Ischemia_25percent_output_edgel!1135:1135,"AAAAAHe+/ko=",0)</f>
        <v>0</v>
      </c>
      <c r="BX14" t="e">
        <f>AND(Ischemia_25percent_output_edgel!A1135,"AAAAAHe+/ks=")</f>
        <v>#VALUE!</v>
      </c>
      <c r="BY14" t="e">
        <f>AND(Ischemia_25percent_output_edgel!B1135,"AAAAAHe+/kw=")</f>
        <v>#VALUE!</v>
      </c>
      <c r="BZ14">
        <f>IF(Ischemia_25percent_output_edgel!1136:1136,"AAAAAHe+/k0=",0)</f>
        <v>0</v>
      </c>
      <c r="CA14" t="e">
        <f>AND(Ischemia_25percent_output_edgel!A1136,"AAAAAHe+/k4=")</f>
        <v>#VALUE!</v>
      </c>
      <c r="CB14" t="e">
        <f>AND(Ischemia_25percent_output_edgel!B1136,"AAAAAHe+/k8=")</f>
        <v>#VALUE!</v>
      </c>
      <c r="CC14">
        <f>IF(Ischemia_25percent_output_edgel!1137:1137,"AAAAAHe+/lA=",0)</f>
        <v>0</v>
      </c>
      <c r="CD14" t="e">
        <f>AND(Ischemia_25percent_output_edgel!A1137,"AAAAAHe+/lE=")</f>
        <v>#VALUE!</v>
      </c>
      <c r="CE14" t="e">
        <f>AND(Ischemia_25percent_output_edgel!B1137,"AAAAAHe+/lI=")</f>
        <v>#VALUE!</v>
      </c>
      <c r="CF14">
        <f>IF(Ischemia_25percent_output_edgel!1138:1138,"AAAAAHe+/lM=",0)</f>
        <v>0</v>
      </c>
      <c r="CG14" t="e">
        <f>AND(Ischemia_25percent_output_edgel!A1138,"AAAAAHe+/lQ=")</f>
        <v>#VALUE!</v>
      </c>
      <c r="CH14" t="e">
        <f>AND(Ischemia_25percent_output_edgel!B1138,"AAAAAHe+/lU=")</f>
        <v>#VALUE!</v>
      </c>
      <c r="CI14">
        <f>IF(Ischemia_25percent_output_edgel!1139:1139,"AAAAAHe+/lY=",0)</f>
        <v>0</v>
      </c>
      <c r="CJ14" t="e">
        <f>AND(Ischemia_25percent_output_edgel!A1139,"AAAAAHe+/lc=")</f>
        <v>#VALUE!</v>
      </c>
      <c r="CK14" t="e">
        <f>AND(Ischemia_25percent_output_edgel!B1139,"AAAAAHe+/lg=")</f>
        <v>#VALUE!</v>
      </c>
      <c r="CL14">
        <f>IF(Ischemia_25percent_output_edgel!1140:1140,"AAAAAHe+/lk=",0)</f>
        <v>0</v>
      </c>
      <c r="CM14" t="e">
        <f>AND(Ischemia_25percent_output_edgel!A1140,"AAAAAHe+/lo=")</f>
        <v>#VALUE!</v>
      </c>
      <c r="CN14" t="e">
        <f>AND(Ischemia_25percent_output_edgel!B1140,"AAAAAHe+/ls=")</f>
        <v>#VALUE!</v>
      </c>
      <c r="CO14">
        <f>IF(Ischemia_25percent_output_edgel!1141:1141,"AAAAAHe+/lw=",0)</f>
        <v>0</v>
      </c>
      <c r="CP14" t="e">
        <f>AND(Ischemia_25percent_output_edgel!A1141,"AAAAAHe+/l0=")</f>
        <v>#VALUE!</v>
      </c>
      <c r="CQ14" t="e">
        <f>AND(Ischemia_25percent_output_edgel!B1141,"AAAAAHe+/l4=")</f>
        <v>#VALUE!</v>
      </c>
      <c r="CR14">
        <f>IF(Ischemia_25percent_output_edgel!1142:1142,"AAAAAHe+/l8=",0)</f>
        <v>0</v>
      </c>
      <c r="CS14" t="e">
        <f>AND(Ischemia_25percent_output_edgel!A1142,"AAAAAHe+/mA=")</f>
        <v>#VALUE!</v>
      </c>
      <c r="CT14" t="e">
        <f>AND(Ischemia_25percent_output_edgel!B1142,"AAAAAHe+/mE=")</f>
        <v>#VALUE!</v>
      </c>
      <c r="CU14">
        <f>IF(Ischemia_25percent_output_edgel!1143:1143,"AAAAAHe+/mI=",0)</f>
        <v>0</v>
      </c>
      <c r="CV14" t="e">
        <f>AND(Ischemia_25percent_output_edgel!A1143,"AAAAAHe+/mM=")</f>
        <v>#VALUE!</v>
      </c>
      <c r="CW14" t="e">
        <f>AND(Ischemia_25percent_output_edgel!B1143,"AAAAAHe+/mQ=")</f>
        <v>#VALUE!</v>
      </c>
      <c r="CX14">
        <f>IF(Ischemia_25percent_output_edgel!1144:1144,"AAAAAHe+/mU=",0)</f>
        <v>0</v>
      </c>
      <c r="CY14" t="e">
        <f>AND(Ischemia_25percent_output_edgel!A1144,"AAAAAHe+/mY=")</f>
        <v>#VALUE!</v>
      </c>
      <c r="CZ14" t="e">
        <f>AND(Ischemia_25percent_output_edgel!B1144,"AAAAAHe+/mc=")</f>
        <v>#VALUE!</v>
      </c>
      <c r="DA14">
        <f>IF(Ischemia_25percent_output_edgel!1145:1145,"AAAAAHe+/mg=",0)</f>
        <v>0</v>
      </c>
      <c r="DB14" t="e">
        <f>AND(Ischemia_25percent_output_edgel!A1145,"AAAAAHe+/mk=")</f>
        <v>#VALUE!</v>
      </c>
      <c r="DC14" t="e">
        <f>AND(Ischemia_25percent_output_edgel!B1145,"AAAAAHe+/mo=")</f>
        <v>#VALUE!</v>
      </c>
      <c r="DD14">
        <f>IF(Ischemia_25percent_output_edgel!1146:1146,"AAAAAHe+/ms=",0)</f>
        <v>0</v>
      </c>
      <c r="DE14" t="e">
        <f>AND(Ischemia_25percent_output_edgel!A1146,"AAAAAHe+/mw=")</f>
        <v>#VALUE!</v>
      </c>
      <c r="DF14" t="e">
        <f>AND(Ischemia_25percent_output_edgel!B1146,"AAAAAHe+/m0=")</f>
        <v>#VALUE!</v>
      </c>
      <c r="DG14">
        <f>IF(Ischemia_25percent_output_edgel!1147:1147,"AAAAAHe+/m4=",0)</f>
        <v>0</v>
      </c>
      <c r="DH14" t="e">
        <f>AND(Ischemia_25percent_output_edgel!A1147,"AAAAAHe+/m8=")</f>
        <v>#VALUE!</v>
      </c>
      <c r="DI14" t="e">
        <f>AND(Ischemia_25percent_output_edgel!B1147,"AAAAAHe+/nA=")</f>
        <v>#VALUE!</v>
      </c>
      <c r="DJ14">
        <f>IF(Ischemia_25percent_output_edgel!1148:1148,"AAAAAHe+/nE=",0)</f>
        <v>0</v>
      </c>
      <c r="DK14" t="e">
        <f>AND(Ischemia_25percent_output_edgel!A1148,"AAAAAHe+/nI=")</f>
        <v>#VALUE!</v>
      </c>
      <c r="DL14" t="e">
        <f>AND(Ischemia_25percent_output_edgel!B1148,"AAAAAHe+/nM=")</f>
        <v>#VALUE!</v>
      </c>
      <c r="DM14">
        <f>IF(Ischemia_25percent_output_edgel!1149:1149,"AAAAAHe+/nQ=",0)</f>
        <v>0</v>
      </c>
      <c r="DN14" t="e">
        <f>AND(Ischemia_25percent_output_edgel!A1149,"AAAAAHe+/nU=")</f>
        <v>#VALUE!</v>
      </c>
      <c r="DO14" t="e">
        <f>AND(Ischemia_25percent_output_edgel!B1149,"AAAAAHe+/nY=")</f>
        <v>#VALUE!</v>
      </c>
      <c r="DP14">
        <f>IF(Ischemia_25percent_output_edgel!1150:1150,"AAAAAHe+/nc=",0)</f>
        <v>0</v>
      </c>
      <c r="DQ14" t="e">
        <f>AND(Ischemia_25percent_output_edgel!A1150,"AAAAAHe+/ng=")</f>
        <v>#VALUE!</v>
      </c>
      <c r="DR14" t="e">
        <f>AND(Ischemia_25percent_output_edgel!B1150,"AAAAAHe+/nk=")</f>
        <v>#VALUE!</v>
      </c>
      <c r="DS14">
        <f>IF(Ischemia_25percent_output_edgel!1151:1151,"AAAAAHe+/no=",0)</f>
        <v>0</v>
      </c>
      <c r="DT14" t="e">
        <f>AND(Ischemia_25percent_output_edgel!A1151,"AAAAAHe+/ns=")</f>
        <v>#VALUE!</v>
      </c>
      <c r="DU14" t="e">
        <f>AND(Ischemia_25percent_output_edgel!B1151,"AAAAAHe+/nw=")</f>
        <v>#VALUE!</v>
      </c>
      <c r="DV14">
        <f>IF(Ischemia_25percent_output_edgel!1152:1152,"AAAAAHe+/n0=",0)</f>
        <v>0</v>
      </c>
      <c r="DW14" t="e">
        <f>AND(Ischemia_25percent_output_edgel!A1152,"AAAAAHe+/n4=")</f>
        <v>#VALUE!</v>
      </c>
      <c r="DX14" t="e">
        <f>AND(Ischemia_25percent_output_edgel!B1152,"AAAAAHe+/n8=")</f>
        <v>#VALUE!</v>
      </c>
      <c r="DY14">
        <f>IF(Ischemia_25percent_output_edgel!1153:1153,"AAAAAHe+/oA=",0)</f>
        <v>0</v>
      </c>
      <c r="DZ14" t="e">
        <f>AND(Ischemia_25percent_output_edgel!A1153,"AAAAAHe+/oE=")</f>
        <v>#VALUE!</v>
      </c>
      <c r="EA14" t="e">
        <f>AND(Ischemia_25percent_output_edgel!B1153,"AAAAAHe+/oI=")</f>
        <v>#VALUE!</v>
      </c>
      <c r="EB14">
        <f>IF(Ischemia_25percent_output_edgel!1154:1154,"AAAAAHe+/oM=",0)</f>
        <v>0</v>
      </c>
      <c r="EC14" t="e">
        <f>AND(Ischemia_25percent_output_edgel!A1154,"AAAAAHe+/oQ=")</f>
        <v>#VALUE!</v>
      </c>
      <c r="ED14" t="e">
        <f>AND(Ischemia_25percent_output_edgel!B1154,"AAAAAHe+/oU=")</f>
        <v>#VALUE!</v>
      </c>
      <c r="EE14">
        <f>IF(Ischemia_25percent_output_edgel!1155:1155,"AAAAAHe+/oY=",0)</f>
        <v>0</v>
      </c>
      <c r="EF14" t="e">
        <f>AND(Ischemia_25percent_output_edgel!A1155,"AAAAAHe+/oc=")</f>
        <v>#VALUE!</v>
      </c>
      <c r="EG14" t="e">
        <f>AND(Ischemia_25percent_output_edgel!B1155,"AAAAAHe+/og=")</f>
        <v>#VALUE!</v>
      </c>
      <c r="EH14">
        <f>IF(Ischemia_25percent_output_edgel!1156:1156,"AAAAAHe+/ok=",0)</f>
        <v>0</v>
      </c>
      <c r="EI14" t="e">
        <f>AND(Ischemia_25percent_output_edgel!A1156,"AAAAAHe+/oo=")</f>
        <v>#VALUE!</v>
      </c>
      <c r="EJ14" t="e">
        <f>AND(Ischemia_25percent_output_edgel!B1156,"AAAAAHe+/os=")</f>
        <v>#VALUE!</v>
      </c>
      <c r="EK14">
        <f>IF(Ischemia_25percent_output_edgel!1157:1157,"AAAAAHe+/ow=",0)</f>
        <v>0</v>
      </c>
      <c r="EL14" t="e">
        <f>AND(Ischemia_25percent_output_edgel!A1157,"AAAAAHe+/o0=")</f>
        <v>#VALUE!</v>
      </c>
      <c r="EM14" t="e">
        <f>AND(Ischemia_25percent_output_edgel!B1157,"AAAAAHe+/o4=")</f>
        <v>#VALUE!</v>
      </c>
      <c r="EN14">
        <f>IF(Ischemia_25percent_output_edgel!1158:1158,"AAAAAHe+/o8=",0)</f>
        <v>0</v>
      </c>
      <c r="EO14" t="e">
        <f>AND(Ischemia_25percent_output_edgel!A1158,"AAAAAHe+/pA=")</f>
        <v>#VALUE!</v>
      </c>
      <c r="EP14" t="e">
        <f>AND(Ischemia_25percent_output_edgel!B1158,"AAAAAHe+/pE=")</f>
        <v>#VALUE!</v>
      </c>
      <c r="EQ14">
        <f>IF(Ischemia_25percent_output_edgel!1159:1159,"AAAAAHe+/pI=",0)</f>
        <v>0</v>
      </c>
      <c r="ER14" t="e">
        <f>AND(Ischemia_25percent_output_edgel!A1159,"AAAAAHe+/pM=")</f>
        <v>#VALUE!</v>
      </c>
      <c r="ES14" t="e">
        <f>AND(Ischemia_25percent_output_edgel!B1159,"AAAAAHe+/pQ=")</f>
        <v>#VALUE!</v>
      </c>
      <c r="ET14">
        <f>IF(Ischemia_25percent_output_edgel!1160:1160,"AAAAAHe+/pU=",0)</f>
        <v>0</v>
      </c>
      <c r="EU14" t="e">
        <f>AND(Ischemia_25percent_output_edgel!A1160,"AAAAAHe+/pY=")</f>
        <v>#VALUE!</v>
      </c>
      <c r="EV14" t="e">
        <f>AND(Ischemia_25percent_output_edgel!B1160,"AAAAAHe+/pc=")</f>
        <v>#VALUE!</v>
      </c>
      <c r="EW14">
        <f>IF(Ischemia_25percent_output_edgel!1161:1161,"AAAAAHe+/pg=",0)</f>
        <v>0</v>
      </c>
      <c r="EX14" t="e">
        <f>AND(Ischemia_25percent_output_edgel!A1161,"AAAAAHe+/pk=")</f>
        <v>#VALUE!</v>
      </c>
      <c r="EY14" t="e">
        <f>AND(Ischemia_25percent_output_edgel!B1161,"AAAAAHe+/po=")</f>
        <v>#VALUE!</v>
      </c>
      <c r="EZ14">
        <f>IF(Ischemia_25percent_output_edgel!1162:1162,"AAAAAHe+/ps=",0)</f>
        <v>0</v>
      </c>
      <c r="FA14" t="e">
        <f>AND(Ischemia_25percent_output_edgel!A1162,"AAAAAHe+/pw=")</f>
        <v>#VALUE!</v>
      </c>
      <c r="FB14" t="e">
        <f>AND(Ischemia_25percent_output_edgel!B1162,"AAAAAHe+/p0=")</f>
        <v>#VALUE!</v>
      </c>
      <c r="FC14">
        <f>IF(Ischemia_25percent_output_edgel!1163:1163,"AAAAAHe+/p4=",0)</f>
        <v>0</v>
      </c>
      <c r="FD14" t="e">
        <f>AND(Ischemia_25percent_output_edgel!A1163,"AAAAAHe+/p8=")</f>
        <v>#VALUE!</v>
      </c>
      <c r="FE14" t="e">
        <f>AND(Ischemia_25percent_output_edgel!B1163,"AAAAAHe+/qA=")</f>
        <v>#VALUE!</v>
      </c>
      <c r="FF14">
        <f>IF(Ischemia_25percent_output_edgel!1164:1164,"AAAAAHe+/qE=",0)</f>
        <v>0</v>
      </c>
      <c r="FG14" t="e">
        <f>AND(Ischemia_25percent_output_edgel!A1164,"AAAAAHe+/qI=")</f>
        <v>#VALUE!</v>
      </c>
      <c r="FH14" t="e">
        <f>AND(Ischemia_25percent_output_edgel!B1164,"AAAAAHe+/qM=")</f>
        <v>#VALUE!</v>
      </c>
      <c r="FI14">
        <f>IF(Ischemia_25percent_output_edgel!1165:1165,"AAAAAHe+/qQ=",0)</f>
        <v>0</v>
      </c>
      <c r="FJ14" t="e">
        <f>AND(Ischemia_25percent_output_edgel!A1165,"AAAAAHe+/qU=")</f>
        <v>#VALUE!</v>
      </c>
      <c r="FK14" t="e">
        <f>AND(Ischemia_25percent_output_edgel!B1165,"AAAAAHe+/qY=")</f>
        <v>#VALUE!</v>
      </c>
      <c r="FL14">
        <f>IF(Ischemia_25percent_output_edgel!1166:1166,"AAAAAHe+/qc=",0)</f>
        <v>0</v>
      </c>
      <c r="FM14" t="e">
        <f>AND(Ischemia_25percent_output_edgel!A1166,"AAAAAHe+/qg=")</f>
        <v>#VALUE!</v>
      </c>
      <c r="FN14" t="e">
        <f>AND(Ischemia_25percent_output_edgel!B1166,"AAAAAHe+/qk=")</f>
        <v>#VALUE!</v>
      </c>
      <c r="FO14">
        <f>IF(Ischemia_25percent_output_edgel!1167:1167,"AAAAAHe+/qo=",0)</f>
        <v>0</v>
      </c>
      <c r="FP14" t="e">
        <f>AND(Ischemia_25percent_output_edgel!A1167,"AAAAAHe+/qs=")</f>
        <v>#VALUE!</v>
      </c>
      <c r="FQ14" t="e">
        <f>AND(Ischemia_25percent_output_edgel!B1167,"AAAAAHe+/qw=")</f>
        <v>#VALUE!</v>
      </c>
      <c r="FR14">
        <f>IF(Ischemia_25percent_output_edgel!1168:1168,"AAAAAHe+/q0=",0)</f>
        <v>0</v>
      </c>
      <c r="FS14" t="e">
        <f>AND(Ischemia_25percent_output_edgel!A1168,"AAAAAHe+/q4=")</f>
        <v>#VALUE!</v>
      </c>
      <c r="FT14" t="e">
        <f>AND(Ischemia_25percent_output_edgel!B1168,"AAAAAHe+/q8=")</f>
        <v>#VALUE!</v>
      </c>
      <c r="FU14">
        <f>IF(Ischemia_25percent_output_edgel!1169:1169,"AAAAAHe+/rA=",0)</f>
        <v>0</v>
      </c>
      <c r="FV14" t="e">
        <f>AND(Ischemia_25percent_output_edgel!A1169,"AAAAAHe+/rE=")</f>
        <v>#VALUE!</v>
      </c>
      <c r="FW14" t="e">
        <f>AND(Ischemia_25percent_output_edgel!B1169,"AAAAAHe+/rI=")</f>
        <v>#VALUE!</v>
      </c>
      <c r="FX14">
        <f>IF(Ischemia_25percent_output_edgel!1170:1170,"AAAAAHe+/rM=",0)</f>
        <v>0</v>
      </c>
      <c r="FY14" t="e">
        <f>AND(Ischemia_25percent_output_edgel!A1170,"AAAAAHe+/rQ=")</f>
        <v>#VALUE!</v>
      </c>
      <c r="FZ14" t="e">
        <f>AND(Ischemia_25percent_output_edgel!B1170,"AAAAAHe+/rU=")</f>
        <v>#VALUE!</v>
      </c>
      <c r="GA14">
        <f>IF(Ischemia_25percent_output_edgel!1171:1171,"AAAAAHe+/rY=",0)</f>
        <v>0</v>
      </c>
      <c r="GB14" t="e">
        <f>AND(Ischemia_25percent_output_edgel!A1171,"AAAAAHe+/rc=")</f>
        <v>#VALUE!</v>
      </c>
      <c r="GC14" t="e">
        <f>AND(Ischemia_25percent_output_edgel!B1171,"AAAAAHe+/rg=")</f>
        <v>#VALUE!</v>
      </c>
      <c r="GD14">
        <f>IF(Ischemia_25percent_output_edgel!1172:1172,"AAAAAHe+/rk=",0)</f>
        <v>0</v>
      </c>
      <c r="GE14" t="e">
        <f>AND(Ischemia_25percent_output_edgel!A1172,"AAAAAHe+/ro=")</f>
        <v>#VALUE!</v>
      </c>
      <c r="GF14" t="e">
        <f>AND(Ischemia_25percent_output_edgel!B1172,"AAAAAHe+/rs=")</f>
        <v>#VALUE!</v>
      </c>
      <c r="GG14">
        <f>IF(Ischemia_25percent_output_edgel!1173:1173,"AAAAAHe+/rw=",0)</f>
        <v>0</v>
      </c>
      <c r="GH14" t="e">
        <f>AND(Ischemia_25percent_output_edgel!A1173,"AAAAAHe+/r0=")</f>
        <v>#VALUE!</v>
      </c>
      <c r="GI14" t="e">
        <f>AND(Ischemia_25percent_output_edgel!B1173,"AAAAAHe+/r4=")</f>
        <v>#VALUE!</v>
      </c>
      <c r="GJ14">
        <f>IF(Ischemia_25percent_output_edgel!1174:1174,"AAAAAHe+/r8=",0)</f>
        <v>0</v>
      </c>
      <c r="GK14" t="e">
        <f>AND(Ischemia_25percent_output_edgel!A1174,"AAAAAHe+/sA=")</f>
        <v>#VALUE!</v>
      </c>
      <c r="GL14" t="e">
        <f>AND(Ischemia_25percent_output_edgel!B1174,"AAAAAHe+/sE=")</f>
        <v>#VALUE!</v>
      </c>
      <c r="GM14">
        <f>IF(Ischemia_25percent_output_edgel!1175:1175,"AAAAAHe+/sI=",0)</f>
        <v>0</v>
      </c>
      <c r="GN14" t="e">
        <f>AND(Ischemia_25percent_output_edgel!A1175,"AAAAAHe+/sM=")</f>
        <v>#VALUE!</v>
      </c>
      <c r="GO14" t="e">
        <f>AND(Ischemia_25percent_output_edgel!B1175,"AAAAAHe+/sQ=")</f>
        <v>#VALUE!</v>
      </c>
      <c r="GP14">
        <f>IF(Ischemia_25percent_output_edgel!1176:1176,"AAAAAHe+/sU=",0)</f>
        <v>0</v>
      </c>
      <c r="GQ14" t="e">
        <f>AND(Ischemia_25percent_output_edgel!A1176,"AAAAAHe+/sY=")</f>
        <v>#VALUE!</v>
      </c>
      <c r="GR14" t="e">
        <f>AND(Ischemia_25percent_output_edgel!B1176,"AAAAAHe+/sc=")</f>
        <v>#VALUE!</v>
      </c>
      <c r="GS14">
        <f>IF(Ischemia_25percent_output_edgel!1177:1177,"AAAAAHe+/sg=",0)</f>
        <v>0</v>
      </c>
      <c r="GT14" t="e">
        <f>AND(Ischemia_25percent_output_edgel!A1177,"AAAAAHe+/sk=")</f>
        <v>#VALUE!</v>
      </c>
      <c r="GU14" t="e">
        <f>AND(Ischemia_25percent_output_edgel!B1177,"AAAAAHe+/so=")</f>
        <v>#VALUE!</v>
      </c>
      <c r="GV14">
        <f>IF(Ischemia_25percent_output_edgel!1178:1178,"AAAAAHe+/ss=",0)</f>
        <v>0</v>
      </c>
      <c r="GW14" t="e">
        <f>AND(Ischemia_25percent_output_edgel!A1178,"AAAAAHe+/sw=")</f>
        <v>#VALUE!</v>
      </c>
      <c r="GX14" t="e">
        <f>AND(Ischemia_25percent_output_edgel!B1178,"AAAAAHe+/s0=")</f>
        <v>#VALUE!</v>
      </c>
      <c r="GY14">
        <f>IF(Ischemia_25percent_output_edgel!1179:1179,"AAAAAHe+/s4=",0)</f>
        <v>0</v>
      </c>
      <c r="GZ14" t="e">
        <f>AND(Ischemia_25percent_output_edgel!A1179,"AAAAAHe+/s8=")</f>
        <v>#VALUE!</v>
      </c>
      <c r="HA14" t="e">
        <f>AND(Ischemia_25percent_output_edgel!B1179,"AAAAAHe+/tA=")</f>
        <v>#VALUE!</v>
      </c>
      <c r="HB14">
        <f>IF(Ischemia_25percent_output_edgel!1180:1180,"AAAAAHe+/tE=",0)</f>
        <v>0</v>
      </c>
      <c r="HC14" t="e">
        <f>AND(Ischemia_25percent_output_edgel!A1180,"AAAAAHe+/tI=")</f>
        <v>#VALUE!</v>
      </c>
      <c r="HD14" t="e">
        <f>AND(Ischemia_25percent_output_edgel!B1180,"AAAAAHe+/tM=")</f>
        <v>#VALUE!</v>
      </c>
      <c r="HE14">
        <f>IF(Ischemia_25percent_output_edgel!1181:1181,"AAAAAHe+/tQ=",0)</f>
        <v>0</v>
      </c>
      <c r="HF14" t="e">
        <f>AND(Ischemia_25percent_output_edgel!A1181,"AAAAAHe+/tU=")</f>
        <v>#VALUE!</v>
      </c>
      <c r="HG14" t="e">
        <f>AND(Ischemia_25percent_output_edgel!B1181,"AAAAAHe+/tY=")</f>
        <v>#VALUE!</v>
      </c>
      <c r="HH14">
        <f>IF(Ischemia_25percent_output_edgel!1182:1182,"AAAAAHe+/tc=",0)</f>
        <v>0</v>
      </c>
      <c r="HI14" t="e">
        <f>AND(Ischemia_25percent_output_edgel!A1182,"AAAAAHe+/tg=")</f>
        <v>#VALUE!</v>
      </c>
      <c r="HJ14" t="e">
        <f>AND(Ischemia_25percent_output_edgel!B1182,"AAAAAHe+/tk=")</f>
        <v>#VALUE!</v>
      </c>
      <c r="HK14">
        <f>IF(Ischemia_25percent_output_edgel!1183:1183,"AAAAAHe+/to=",0)</f>
        <v>0</v>
      </c>
      <c r="HL14" t="e">
        <f>AND(Ischemia_25percent_output_edgel!A1183,"AAAAAHe+/ts=")</f>
        <v>#VALUE!</v>
      </c>
      <c r="HM14" t="e">
        <f>AND(Ischemia_25percent_output_edgel!B1183,"AAAAAHe+/tw=")</f>
        <v>#VALUE!</v>
      </c>
      <c r="HN14">
        <f>IF(Ischemia_25percent_output_edgel!1184:1184,"AAAAAHe+/t0=",0)</f>
        <v>0</v>
      </c>
      <c r="HO14" t="e">
        <f>AND(Ischemia_25percent_output_edgel!A1184,"AAAAAHe+/t4=")</f>
        <v>#VALUE!</v>
      </c>
      <c r="HP14" t="e">
        <f>AND(Ischemia_25percent_output_edgel!B1184,"AAAAAHe+/t8=")</f>
        <v>#VALUE!</v>
      </c>
      <c r="HQ14">
        <f>IF(Ischemia_25percent_output_edgel!1185:1185,"AAAAAHe+/uA=",0)</f>
        <v>0</v>
      </c>
      <c r="HR14" t="e">
        <f>AND(Ischemia_25percent_output_edgel!A1185,"AAAAAHe+/uE=")</f>
        <v>#VALUE!</v>
      </c>
      <c r="HS14" t="e">
        <f>AND(Ischemia_25percent_output_edgel!B1185,"AAAAAHe+/uI=")</f>
        <v>#VALUE!</v>
      </c>
      <c r="HT14">
        <f>IF(Ischemia_25percent_output_edgel!1186:1186,"AAAAAHe+/uM=",0)</f>
        <v>0</v>
      </c>
      <c r="HU14" t="e">
        <f>AND(Ischemia_25percent_output_edgel!A1186,"AAAAAHe+/uQ=")</f>
        <v>#VALUE!</v>
      </c>
      <c r="HV14" t="e">
        <f>AND(Ischemia_25percent_output_edgel!B1186,"AAAAAHe+/uU=")</f>
        <v>#VALUE!</v>
      </c>
      <c r="HW14">
        <f>IF(Ischemia_25percent_output_edgel!1187:1187,"AAAAAHe+/uY=",0)</f>
        <v>0</v>
      </c>
      <c r="HX14" t="e">
        <f>AND(Ischemia_25percent_output_edgel!A1187,"AAAAAHe+/uc=")</f>
        <v>#VALUE!</v>
      </c>
      <c r="HY14" t="e">
        <f>AND(Ischemia_25percent_output_edgel!B1187,"AAAAAHe+/ug=")</f>
        <v>#VALUE!</v>
      </c>
      <c r="HZ14">
        <f>IF(Ischemia_25percent_output_edgel!1188:1188,"AAAAAHe+/uk=",0)</f>
        <v>0</v>
      </c>
      <c r="IA14" t="e">
        <f>AND(Ischemia_25percent_output_edgel!A1188,"AAAAAHe+/uo=")</f>
        <v>#VALUE!</v>
      </c>
      <c r="IB14" t="e">
        <f>AND(Ischemia_25percent_output_edgel!B1188,"AAAAAHe+/us=")</f>
        <v>#VALUE!</v>
      </c>
      <c r="IC14">
        <f>IF(Ischemia_25percent_output_edgel!1189:1189,"AAAAAHe+/uw=",0)</f>
        <v>0</v>
      </c>
      <c r="ID14" t="e">
        <f>AND(Ischemia_25percent_output_edgel!A1189,"AAAAAHe+/u0=")</f>
        <v>#VALUE!</v>
      </c>
      <c r="IE14" t="e">
        <f>AND(Ischemia_25percent_output_edgel!B1189,"AAAAAHe+/u4=")</f>
        <v>#VALUE!</v>
      </c>
      <c r="IF14">
        <f>IF(Ischemia_25percent_output_edgel!1190:1190,"AAAAAHe+/u8=",0)</f>
        <v>0</v>
      </c>
      <c r="IG14" t="e">
        <f>AND(Ischemia_25percent_output_edgel!A1190,"AAAAAHe+/vA=")</f>
        <v>#VALUE!</v>
      </c>
      <c r="IH14" t="e">
        <f>AND(Ischemia_25percent_output_edgel!B1190,"AAAAAHe+/vE=")</f>
        <v>#VALUE!</v>
      </c>
      <c r="II14">
        <f>IF(Ischemia_25percent_output_edgel!1191:1191,"AAAAAHe+/vI=",0)</f>
        <v>0</v>
      </c>
      <c r="IJ14" t="e">
        <f>AND(Ischemia_25percent_output_edgel!A1191,"AAAAAHe+/vM=")</f>
        <v>#VALUE!</v>
      </c>
      <c r="IK14" t="e">
        <f>AND(Ischemia_25percent_output_edgel!B1191,"AAAAAHe+/vQ=")</f>
        <v>#VALUE!</v>
      </c>
      <c r="IL14">
        <f>IF(Ischemia_25percent_output_edgel!1192:1192,"AAAAAHe+/vU=",0)</f>
        <v>0</v>
      </c>
      <c r="IM14" t="e">
        <f>AND(Ischemia_25percent_output_edgel!A1192,"AAAAAHe+/vY=")</f>
        <v>#VALUE!</v>
      </c>
      <c r="IN14" t="e">
        <f>AND(Ischemia_25percent_output_edgel!B1192,"AAAAAHe+/vc=")</f>
        <v>#VALUE!</v>
      </c>
      <c r="IO14">
        <f>IF(Ischemia_25percent_output_edgel!1193:1193,"AAAAAHe+/vg=",0)</f>
        <v>0</v>
      </c>
      <c r="IP14" t="e">
        <f>AND(Ischemia_25percent_output_edgel!A1193,"AAAAAHe+/vk=")</f>
        <v>#VALUE!</v>
      </c>
      <c r="IQ14" t="e">
        <f>AND(Ischemia_25percent_output_edgel!B1193,"AAAAAHe+/vo=")</f>
        <v>#VALUE!</v>
      </c>
      <c r="IR14">
        <f>IF(Ischemia_25percent_output_edgel!1194:1194,"AAAAAHe+/vs=",0)</f>
        <v>0</v>
      </c>
      <c r="IS14" t="e">
        <f>AND(Ischemia_25percent_output_edgel!A1194,"AAAAAHe+/vw=")</f>
        <v>#VALUE!</v>
      </c>
      <c r="IT14" t="e">
        <f>AND(Ischemia_25percent_output_edgel!B1194,"AAAAAHe+/v0=")</f>
        <v>#VALUE!</v>
      </c>
      <c r="IU14">
        <f>IF(Ischemia_25percent_output_edgel!1195:1195,"AAAAAHe+/v4=",0)</f>
        <v>0</v>
      </c>
      <c r="IV14" t="e">
        <f>AND(Ischemia_25percent_output_edgel!A1195,"AAAAAHe+/v8=")</f>
        <v>#VALUE!</v>
      </c>
    </row>
    <row r="15" spans="1:256">
      <c r="A15" t="e">
        <f>AND(Ischemia_25percent_output_edgel!B1195,"AAAAAHBT/AA=")</f>
        <v>#VALUE!</v>
      </c>
      <c r="B15" t="e">
        <f>IF(Ischemia_25percent_output_edgel!1196:1196,"AAAAAHBT/AE=",0)</f>
        <v>#VALUE!</v>
      </c>
      <c r="C15" t="e">
        <f>AND(Ischemia_25percent_output_edgel!A1196,"AAAAAHBT/AI=")</f>
        <v>#VALUE!</v>
      </c>
      <c r="D15" t="e">
        <f>AND(Ischemia_25percent_output_edgel!B1196,"AAAAAHBT/AM=")</f>
        <v>#VALUE!</v>
      </c>
      <c r="E15">
        <f>IF(Ischemia_25percent_output_edgel!1197:1197,"AAAAAHBT/AQ=",0)</f>
        <v>0</v>
      </c>
      <c r="F15" t="e">
        <f>AND(Ischemia_25percent_output_edgel!A1197,"AAAAAHBT/AU=")</f>
        <v>#VALUE!</v>
      </c>
      <c r="G15" t="e">
        <f>AND(Ischemia_25percent_output_edgel!B1197,"AAAAAHBT/AY=")</f>
        <v>#VALUE!</v>
      </c>
      <c r="H15">
        <f>IF(Ischemia_25percent_output_edgel!1198:1198,"AAAAAHBT/Ac=",0)</f>
        <v>0</v>
      </c>
      <c r="I15" t="e">
        <f>AND(Ischemia_25percent_output_edgel!A1198,"AAAAAHBT/Ag=")</f>
        <v>#VALUE!</v>
      </c>
      <c r="J15" t="e">
        <f>AND(Ischemia_25percent_output_edgel!B1198,"AAAAAHBT/Ak=")</f>
        <v>#VALUE!</v>
      </c>
      <c r="K15">
        <f>IF(Ischemia_25percent_output_edgel!1199:1199,"AAAAAHBT/Ao=",0)</f>
        <v>0</v>
      </c>
      <c r="L15" t="e">
        <f>AND(Ischemia_25percent_output_edgel!A1199,"AAAAAHBT/As=")</f>
        <v>#VALUE!</v>
      </c>
      <c r="M15" t="e">
        <f>AND(Ischemia_25percent_output_edgel!B1199,"AAAAAHBT/Aw=")</f>
        <v>#VALUE!</v>
      </c>
      <c r="N15">
        <f>IF(Ischemia_25percent_output_edgel!1200:1200,"AAAAAHBT/A0=",0)</f>
        <v>0</v>
      </c>
      <c r="O15" t="e">
        <f>AND(Ischemia_25percent_output_edgel!A1200,"AAAAAHBT/A4=")</f>
        <v>#VALUE!</v>
      </c>
      <c r="P15" t="e">
        <f>AND(Ischemia_25percent_output_edgel!B1200,"AAAAAHBT/A8=")</f>
        <v>#VALUE!</v>
      </c>
      <c r="Q15">
        <f>IF(Ischemia_25percent_output_edgel!1201:1201,"AAAAAHBT/BA=",0)</f>
        <v>0</v>
      </c>
      <c r="R15" t="e">
        <f>AND(Ischemia_25percent_output_edgel!A1201,"AAAAAHBT/BE=")</f>
        <v>#VALUE!</v>
      </c>
      <c r="S15" t="e">
        <f>AND(Ischemia_25percent_output_edgel!B1201,"AAAAAHBT/BI=")</f>
        <v>#VALUE!</v>
      </c>
      <c r="T15">
        <f>IF(Ischemia_25percent_output_edgel!1202:1202,"AAAAAHBT/BM=",0)</f>
        <v>0</v>
      </c>
      <c r="U15" t="e">
        <f>AND(Ischemia_25percent_output_edgel!A1202,"AAAAAHBT/BQ=")</f>
        <v>#VALUE!</v>
      </c>
      <c r="V15" t="e">
        <f>AND(Ischemia_25percent_output_edgel!B1202,"AAAAAHBT/BU=")</f>
        <v>#VALUE!</v>
      </c>
      <c r="W15">
        <f>IF(Ischemia_25percent_output_edgel!1203:1203,"AAAAAHBT/BY=",0)</f>
        <v>0</v>
      </c>
      <c r="X15" t="e">
        <f>AND(Ischemia_25percent_output_edgel!A1203,"AAAAAHBT/Bc=")</f>
        <v>#VALUE!</v>
      </c>
      <c r="Y15" t="e">
        <f>AND(Ischemia_25percent_output_edgel!B1203,"AAAAAHBT/Bg=")</f>
        <v>#VALUE!</v>
      </c>
      <c r="Z15">
        <f>IF(Ischemia_25percent_output_edgel!1204:1204,"AAAAAHBT/Bk=",0)</f>
        <v>0</v>
      </c>
      <c r="AA15" t="e">
        <f>AND(Ischemia_25percent_output_edgel!A1204,"AAAAAHBT/Bo=")</f>
        <v>#VALUE!</v>
      </c>
      <c r="AB15" t="e">
        <f>AND(Ischemia_25percent_output_edgel!B1204,"AAAAAHBT/Bs=")</f>
        <v>#VALUE!</v>
      </c>
      <c r="AC15">
        <f>IF(Ischemia_25percent_output_edgel!1205:1205,"AAAAAHBT/Bw=",0)</f>
        <v>0</v>
      </c>
      <c r="AD15" t="e">
        <f>AND(Ischemia_25percent_output_edgel!A1205,"AAAAAHBT/B0=")</f>
        <v>#VALUE!</v>
      </c>
      <c r="AE15" t="e">
        <f>AND(Ischemia_25percent_output_edgel!B1205,"AAAAAHBT/B4=")</f>
        <v>#VALUE!</v>
      </c>
      <c r="AF15">
        <f>IF(Ischemia_25percent_output_edgel!1206:1206,"AAAAAHBT/B8=",0)</f>
        <v>0</v>
      </c>
      <c r="AG15" t="e">
        <f>AND(Ischemia_25percent_output_edgel!A1206,"AAAAAHBT/CA=")</f>
        <v>#VALUE!</v>
      </c>
      <c r="AH15" t="e">
        <f>AND(Ischemia_25percent_output_edgel!B1206,"AAAAAHBT/CE=")</f>
        <v>#VALUE!</v>
      </c>
      <c r="AI15">
        <f>IF(Ischemia_25percent_output_edgel!1207:1207,"AAAAAHBT/CI=",0)</f>
        <v>0</v>
      </c>
      <c r="AJ15" t="e">
        <f>AND(Ischemia_25percent_output_edgel!A1207,"AAAAAHBT/CM=")</f>
        <v>#VALUE!</v>
      </c>
      <c r="AK15" t="e">
        <f>AND(Ischemia_25percent_output_edgel!B1207,"AAAAAHBT/CQ=")</f>
        <v>#VALUE!</v>
      </c>
      <c r="AL15">
        <f>IF(Ischemia_25percent_output_edgel!1208:1208,"AAAAAHBT/CU=",0)</f>
        <v>0</v>
      </c>
      <c r="AM15" t="e">
        <f>AND(Ischemia_25percent_output_edgel!A1208,"AAAAAHBT/CY=")</f>
        <v>#VALUE!</v>
      </c>
      <c r="AN15" t="e">
        <f>AND(Ischemia_25percent_output_edgel!B1208,"AAAAAHBT/Cc=")</f>
        <v>#VALUE!</v>
      </c>
      <c r="AO15">
        <f>IF(Ischemia_25percent_output_edgel!1209:1209,"AAAAAHBT/Cg=",0)</f>
        <v>0</v>
      </c>
      <c r="AP15" t="e">
        <f>AND(Ischemia_25percent_output_edgel!A1209,"AAAAAHBT/Ck=")</f>
        <v>#VALUE!</v>
      </c>
      <c r="AQ15" t="e">
        <f>AND(Ischemia_25percent_output_edgel!B1209,"AAAAAHBT/Co=")</f>
        <v>#VALUE!</v>
      </c>
      <c r="AR15">
        <f>IF(Ischemia_25percent_output_edgel!1210:1210,"AAAAAHBT/Cs=",0)</f>
        <v>0</v>
      </c>
      <c r="AS15" t="e">
        <f>AND(Ischemia_25percent_output_edgel!A1210,"AAAAAHBT/Cw=")</f>
        <v>#VALUE!</v>
      </c>
      <c r="AT15" t="e">
        <f>AND(Ischemia_25percent_output_edgel!B1210,"AAAAAHBT/C0=")</f>
        <v>#VALUE!</v>
      </c>
      <c r="AU15">
        <f>IF(Ischemia_25percent_output_edgel!1211:1211,"AAAAAHBT/C4=",0)</f>
        <v>0</v>
      </c>
      <c r="AV15" t="e">
        <f>AND(Ischemia_25percent_output_edgel!A1211,"AAAAAHBT/C8=")</f>
        <v>#VALUE!</v>
      </c>
      <c r="AW15" t="e">
        <f>AND(Ischemia_25percent_output_edgel!B1211,"AAAAAHBT/DA=")</f>
        <v>#VALUE!</v>
      </c>
      <c r="AX15">
        <f>IF(Ischemia_25percent_output_edgel!1212:1212,"AAAAAHBT/DE=",0)</f>
        <v>0</v>
      </c>
      <c r="AY15" t="e">
        <f>AND(Ischemia_25percent_output_edgel!A1212,"AAAAAHBT/DI=")</f>
        <v>#VALUE!</v>
      </c>
      <c r="AZ15" t="e">
        <f>AND(Ischemia_25percent_output_edgel!B1212,"AAAAAHBT/DM=")</f>
        <v>#VALUE!</v>
      </c>
      <c r="BA15">
        <f>IF(Ischemia_25percent_output_edgel!1213:1213,"AAAAAHBT/DQ=",0)</f>
        <v>0</v>
      </c>
      <c r="BB15" t="e">
        <f>AND(Ischemia_25percent_output_edgel!A1213,"AAAAAHBT/DU=")</f>
        <v>#VALUE!</v>
      </c>
      <c r="BC15" t="e">
        <f>AND(Ischemia_25percent_output_edgel!B1213,"AAAAAHBT/DY=")</f>
        <v>#VALUE!</v>
      </c>
      <c r="BD15">
        <f>IF(Ischemia_25percent_output_edgel!1214:1214,"AAAAAHBT/Dc=",0)</f>
        <v>0</v>
      </c>
      <c r="BE15" t="e">
        <f>AND(Ischemia_25percent_output_edgel!A1214,"AAAAAHBT/Dg=")</f>
        <v>#VALUE!</v>
      </c>
      <c r="BF15" t="e">
        <f>AND(Ischemia_25percent_output_edgel!B1214,"AAAAAHBT/Dk=")</f>
        <v>#VALUE!</v>
      </c>
      <c r="BG15">
        <f>IF(Ischemia_25percent_output_edgel!1215:1215,"AAAAAHBT/Do=",0)</f>
        <v>0</v>
      </c>
      <c r="BH15" t="e">
        <f>AND(Ischemia_25percent_output_edgel!A1215,"AAAAAHBT/Ds=")</f>
        <v>#VALUE!</v>
      </c>
      <c r="BI15" t="e">
        <f>AND(Ischemia_25percent_output_edgel!B1215,"AAAAAHBT/Dw=")</f>
        <v>#VALUE!</v>
      </c>
      <c r="BJ15">
        <f>IF(Ischemia_25percent_output_edgel!1216:1216,"AAAAAHBT/D0=",0)</f>
        <v>0</v>
      </c>
      <c r="BK15" t="e">
        <f>AND(Ischemia_25percent_output_edgel!A1216,"AAAAAHBT/D4=")</f>
        <v>#VALUE!</v>
      </c>
      <c r="BL15" t="e">
        <f>AND(Ischemia_25percent_output_edgel!B1216,"AAAAAHBT/D8=")</f>
        <v>#VALUE!</v>
      </c>
      <c r="BM15">
        <f>IF(Ischemia_25percent_output_edgel!1217:1217,"AAAAAHBT/EA=",0)</f>
        <v>0</v>
      </c>
      <c r="BN15" t="e">
        <f>AND(Ischemia_25percent_output_edgel!A1217,"AAAAAHBT/EE=")</f>
        <v>#VALUE!</v>
      </c>
      <c r="BO15" t="e">
        <f>AND(Ischemia_25percent_output_edgel!B1217,"AAAAAHBT/EI=")</f>
        <v>#VALUE!</v>
      </c>
      <c r="BP15">
        <f>IF(Ischemia_25percent_output_edgel!1218:1218,"AAAAAHBT/EM=",0)</f>
        <v>0</v>
      </c>
      <c r="BQ15" t="e">
        <f>AND(Ischemia_25percent_output_edgel!A1218,"AAAAAHBT/EQ=")</f>
        <v>#VALUE!</v>
      </c>
      <c r="BR15" t="e">
        <f>AND(Ischemia_25percent_output_edgel!B1218,"AAAAAHBT/EU=")</f>
        <v>#VALUE!</v>
      </c>
      <c r="BS15">
        <f>IF(Ischemia_25percent_output_edgel!1219:1219,"AAAAAHBT/EY=",0)</f>
        <v>0</v>
      </c>
      <c r="BT15" t="e">
        <f>AND(Ischemia_25percent_output_edgel!A1219,"AAAAAHBT/Ec=")</f>
        <v>#VALUE!</v>
      </c>
      <c r="BU15" t="e">
        <f>AND(Ischemia_25percent_output_edgel!B1219,"AAAAAHBT/Eg=")</f>
        <v>#VALUE!</v>
      </c>
      <c r="BV15">
        <f>IF(Ischemia_25percent_output_edgel!1220:1220,"AAAAAHBT/Ek=",0)</f>
        <v>0</v>
      </c>
      <c r="BW15" t="e">
        <f>AND(Ischemia_25percent_output_edgel!A1220,"AAAAAHBT/Eo=")</f>
        <v>#VALUE!</v>
      </c>
      <c r="BX15" t="e">
        <f>AND(Ischemia_25percent_output_edgel!B1220,"AAAAAHBT/Es=")</f>
        <v>#VALUE!</v>
      </c>
      <c r="BY15">
        <f>IF(Ischemia_25percent_output_edgel!1221:1221,"AAAAAHBT/Ew=",0)</f>
        <v>0</v>
      </c>
      <c r="BZ15" t="e">
        <f>AND(Ischemia_25percent_output_edgel!A1221,"AAAAAHBT/E0=")</f>
        <v>#VALUE!</v>
      </c>
      <c r="CA15" t="e">
        <f>AND(Ischemia_25percent_output_edgel!B1221,"AAAAAHBT/E4=")</f>
        <v>#VALUE!</v>
      </c>
      <c r="CB15">
        <f>IF(Ischemia_25percent_output_edgel!1222:1222,"AAAAAHBT/E8=",0)</f>
        <v>0</v>
      </c>
      <c r="CC15" t="e">
        <f>AND(Ischemia_25percent_output_edgel!A1222,"AAAAAHBT/FA=")</f>
        <v>#VALUE!</v>
      </c>
      <c r="CD15" t="e">
        <f>AND(Ischemia_25percent_output_edgel!B1222,"AAAAAHBT/FE=")</f>
        <v>#VALUE!</v>
      </c>
      <c r="CE15">
        <f>IF(Ischemia_25percent_output_edgel!1223:1223,"AAAAAHBT/FI=",0)</f>
        <v>0</v>
      </c>
      <c r="CF15" t="e">
        <f>AND(Ischemia_25percent_output_edgel!A1223,"AAAAAHBT/FM=")</f>
        <v>#VALUE!</v>
      </c>
      <c r="CG15" t="e">
        <f>AND(Ischemia_25percent_output_edgel!B1223,"AAAAAHBT/FQ=")</f>
        <v>#VALUE!</v>
      </c>
      <c r="CH15">
        <f>IF(Ischemia_25percent_output_edgel!1224:1224,"AAAAAHBT/FU=",0)</f>
        <v>0</v>
      </c>
      <c r="CI15" t="e">
        <f>AND(Ischemia_25percent_output_edgel!A1224,"AAAAAHBT/FY=")</f>
        <v>#VALUE!</v>
      </c>
      <c r="CJ15" t="e">
        <f>AND(Ischemia_25percent_output_edgel!B1224,"AAAAAHBT/Fc=")</f>
        <v>#VALUE!</v>
      </c>
      <c r="CK15">
        <f>IF(Ischemia_25percent_output_edgel!1225:1225,"AAAAAHBT/Fg=",0)</f>
        <v>0</v>
      </c>
      <c r="CL15" t="e">
        <f>AND(Ischemia_25percent_output_edgel!A1225,"AAAAAHBT/Fk=")</f>
        <v>#VALUE!</v>
      </c>
      <c r="CM15" t="e">
        <f>AND(Ischemia_25percent_output_edgel!B1225,"AAAAAHBT/Fo=")</f>
        <v>#VALUE!</v>
      </c>
      <c r="CN15">
        <f>IF(Ischemia_25percent_output_edgel!1226:1226,"AAAAAHBT/Fs=",0)</f>
        <v>0</v>
      </c>
      <c r="CO15" t="e">
        <f>AND(Ischemia_25percent_output_edgel!A1226,"AAAAAHBT/Fw=")</f>
        <v>#VALUE!</v>
      </c>
      <c r="CP15" t="e">
        <f>AND(Ischemia_25percent_output_edgel!B1226,"AAAAAHBT/F0=")</f>
        <v>#VALUE!</v>
      </c>
      <c r="CQ15">
        <f>IF(Ischemia_25percent_output_edgel!1227:1227,"AAAAAHBT/F4=",0)</f>
        <v>0</v>
      </c>
      <c r="CR15" t="e">
        <f>AND(Ischemia_25percent_output_edgel!A1227,"AAAAAHBT/F8=")</f>
        <v>#VALUE!</v>
      </c>
      <c r="CS15" t="e">
        <f>AND(Ischemia_25percent_output_edgel!B1227,"AAAAAHBT/GA=")</f>
        <v>#VALUE!</v>
      </c>
      <c r="CT15">
        <f>IF(Ischemia_25percent_output_edgel!1228:1228,"AAAAAHBT/GE=",0)</f>
        <v>0</v>
      </c>
      <c r="CU15" t="e">
        <f>AND(Ischemia_25percent_output_edgel!A1228,"AAAAAHBT/GI=")</f>
        <v>#VALUE!</v>
      </c>
      <c r="CV15" t="e">
        <f>AND(Ischemia_25percent_output_edgel!B1228,"AAAAAHBT/GM=")</f>
        <v>#VALUE!</v>
      </c>
      <c r="CW15">
        <f>IF(Ischemia_25percent_output_edgel!1229:1229,"AAAAAHBT/GQ=",0)</f>
        <v>0</v>
      </c>
      <c r="CX15" t="e">
        <f>AND(Ischemia_25percent_output_edgel!A1229,"AAAAAHBT/GU=")</f>
        <v>#VALUE!</v>
      </c>
      <c r="CY15" t="e">
        <f>AND(Ischemia_25percent_output_edgel!B1229,"AAAAAHBT/GY=")</f>
        <v>#VALUE!</v>
      </c>
      <c r="CZ15">
        <f>IF(Ischemia_25percent_output_edgel!1230:1230,"AAAAAHBT/Gc=",0)</f>
        <v>0</v>
      </c>
      <c r="DA15" t="e">
        <f>AND(Ischemia_25percent_output_edgel!A1230,"AAAAAHBT/Gg=")</f>
        <v>#VALUE!</v>
      </c>
      <c r="DB15" t="e">
        <f>AND(Ischemia_25percent_output_edgel!B1230,"AAAAAHBT/Gk=")</f>
        <v>#VALUE!</v>
      </c>
      <c r="DC15">
        <f>IF(Ischemia_25percent_output_edgel!1231:1231,"AAAAAHBT/Go=",0)</f>
        <v>0</v>
      </c>
      <c r="DD15" t="e">
        <f>AND(Ischemia_25percent_output_edgel!A1231,"AAAAAHBT/Gs=")</f>
        <v>#VALUE!</v>
      </c>
      <c r="DE15" t="e">
        <f>AND(Ischemia_25percent_output_edgel!B1231,"AAAAAHBT/Gw=")</f>
        <v>#VALUE!</v>
      </c>
      <c r="DF15">
        <f>IF(Ischemia_25percent_output_edgel!1232:1232,"AAAAAHBT/G0=",0)</f>
        <v>0</v>
      </c>
      <c r="DG15" t="e">
        <f>AND(Ischemia_25percent_output_edgel!A1232,"AAAAAHBT/G4=")</f>
        <v>#VALUE!</v>
      </c>
      <c r="DH15" t="e">
        <f>AND(Ischemia_25percent_output_edgel!B1232,"AAAAAHBT/G8=")</f>
        <v>#VALUE!</v>
      </c>
      <c r="DI15">
        <f>IF(Ischemia_25percent_output_edgel!1233:1233,"AAAAAHBT/HA=",0)</f>
        <v>0</v>
      </c>
      <c r="DJ15" t="e">
        <f>AND(Ischemia_25percent_output_edgel!A1233,"AAAAAHBT/HE=")</f>
        <v>#VALUE!</v>
      </c>
      <c r="DK15" t="e">
        <f>AND(Ischemia_25percent_output_edgel!B1233,"AAAAAHBT/HI=")</f>
        <v>#VALUE!</v>
      </c>
      <c r="DL15">
        <f>IF(Ischemia_25percent_output_edgel!1234:1234,"AAAAAHBT/HM=",0)</f>
        <v>0</v>
      </c>
      <c r="DM15" t="e">
        <f>AND(Ischemia_25percent_output_edgel!A1234,"AAAAAHBT/HQ=")</f>
        <v>#VALUE!</v>
      </c>
      <c r="DN15" t="e">
        <f>AND(Ischemia_25percent_output_edgel!B1234,"AAAAAHBT/HU=")</f>
        <v>#VALUE!</v>
      </c>
      <c r="DO15">
        <f>IF(Ischemia_25percent_output_edgel!1235:1235,"AAAAAHBT/HY=",0)</f>
        <v>0</v>
      </c>
      <c r="DP15" t="e">
        <f>AND(Ischemia_25percent_output_edgel!A1235,"AAAAAHBT/Hc=")</f>
        <v>#VALUE!</v>
      </c>
      <c r="DQ15" t="e">
        <f>AND(Ischemia_25percent_output_edgel!B1235,"AAAAAHBT/Hg=")</f>
        <v>#VALUE!</v>
      </c>
      <c r="DR15">
        <f>IF(Ischemia_25percent_output_edgel!1236:1236,"AAAAAHBT/Hk=",0)</f>
        <v>0</v>
      </c>
      <c r="DS15" t="e">
        <f>AND(Ischemia_25percent_output_edgel!A1236,"AAAAAHBT/Ho=")</f>
        <v>#VALUE!</v>
      </c>
      <c r="DT15" t="e">
        <f>AND(Ischemia_25percent_output_edgel!B1236,"AAAAAHBT/Hs=")</f>
        <v>#VALUE!</v>
      </c>
      <c r="DU15">
        <f>IF(Ischemia_25percent_output_edgel!1237:1237,"AAAAAHBT/Hw=",0)</f>
        <v>0</v>
      </c>
      <c r="DV15" t="e">
        <f>AND(Ischemia_25percent_output_edgel!A1237,"AAAAAHBT/H0=")</f>
        <v>#VALUE!</v>
      </c>
      <c r="DW15" t="e">
        <f>AND(Ischemia_25percent_output_edgel!B1237,"AAAAAHBT/H4=")</f>
        <v>#VALUE!</v>
      </c>
      <c r="DX15">
        <f>IF(Ischemia_25percent_output_edgel!1238:1238,"AAAAAHBT/H8=",0)</f>
        <v>0</v>
      </c>
      <c r="DY15" t="e">
        <f>AND(Ischemia_25percent_output_edgel!A1238,"AAAAAHBT/IA=")</f>
        <v>#VALUE!</v>
      </c>
      <c r="DZ15" t="e">
        <f>AND(Ischemia_25percent_output_edgel!B1238,"AAAAAHBT/IE=")</f>
        <v>#VALUE!</v>
      </c>
      <c r="EA15">
        <f>IF(Ischemia_25percent_output_edgel!1239:1239,"AAAAAHBT/II=",0)</f>
        <v>0</v>
      </c>
      <c r="EB15" t="e">
        <f>AND(Ischemia_25percent_output_edgel!A1239,"AAAAAHBT/IM=")</f>
        <v>#VALUE!</v>
      </c>
      <c r="EC15" t="e">
        <f>AND(Ischemia_25percent_output_edgel!B1239,"AAAAAHBT/IQ=")</f>
        <v>#VALUE!</v>
      </c>
      <c r="ED15">
        <f>IF(Ischemia_25percent_output_edgel!1240:1240,"AAAAAHBT/IU=",0)</f>
        <v>0</v>
      </c>
      <c r="EE15" t="e">
        <f>AND(Ischemia_25percent_output_edgel!A1240,"AAAAAHBT/IY=")</f>
        <v>#VALUE!</v>
      </c>
      <c r="EF15" t="e">
        <f>AND(Ischemia_25percent_output_edgel!B1240,"AAAAAHBT/Ic=")</f>
        <v>#VALUE!</v>
      </c>
      <c r="EG15">
        <f>IF(Ischemia_25percent_output_edgel!1241:1241,"AAAAAHBT/Ig=",0)</f>
        <v>0</v>
      </c>
      <c r="EH15" t="e">
        <f>AND(Ischemia_25percent_output_edgel!A1241,"AAAAAHBT/Ik=")</f>
        <v>#VALUE!</v>
      </c>
      <c r="EI15" t="e">
        <f>AND(Ischemia_25percent_output_edgel!B1241,"AAAAAHBT/Io=")</f>
        <v>#VALUE!</v>
      </c>
      <c r="EJ15">
        <f>IF(Ischemia_25percent_output_edgel!1242:1242,"AAAAAHBT/Is=",0)</f>
        <v>0</v>
      </c>
      <c r="EK15" t="e">
        <f>AND(Ischemia_25percent_output_edgel!A1242,"AAAAAHBT/Iw=")</f>
        <v>#VALUE!</v>
      </c>
      <c r="EL15" t="e">
        <f>AND(Ischemia_25percent_output_edgel!B1242,"AAAAAHBT/I0=")</f>
        <v>#VALUE!</v>
      </c>
      <c r="EM15">
        <f>IF(Ischemia_25percent_output_edgel!1243:1243,"AAAAAHBT/I4=",0)</f>
        <v>0</v>
      </c>
      <c r="EN15" t="e">
        <f>AND(Ischemia_25percent_output_edgel!A1243,"AAAAAHBT/I8=")</f>
        <v>#VALUE!</v>
      </c>
      <c r="EO15" t="e">
        <f>AND(Ischemia_25percent_output_edgel!B1243,"AAAAAHBT/JA=")</f>
        <v>#VALUE!</v>
      </c>
      <c r="EP15">
        <f>IF(Ischemia_25percent_output_edgel!1244:1244,"AAAAAHBT/JE=",0)</f>
        <v>0</v>
      </c>
      <c r="EQ15" t="e">
        <f>AND(Ischemia_25percent_output_edgel!A1244,"AAAAAHBT/JI=")</f>
        <v>#VALUE!</v>
      </c>
      <c r="ER15" t="e">
        <f>AND(Ischemia_25percent_output_edgel!B1244,"AAAAAHBT/JM=")</f>
        <v>#VALUE!</v>
      </c>
      <c r="ES15">
        <f>IF(Ischemia_25percent_output_edgel!1245:1245,"AAAAAHBT/JQ=",0)</f>
        <v>0</v>
      </c>
      <c r="ET15" t="e">
        <f>AND(Ischemia_25percent_output_edgel!A1245,"AAAAAHBT/JU=")</f>
        <v>#VALUE!</v>
      </c>
      <c r="EU15" t="e">
        <f>AND(Ischemia_25percent_output_edgel!B1245,"AAAAAHBT/JY=")</f>
        <v>#VALUE!</v>
      </c>
      <c r="EV15">
        <f>IF(Ischemia_25percent_output_edgel!1246:1246,"AAAAAHBT/Jc=",0)</f>
        <v>0</v>
      </c>
      <c r="EW15" t="e">
        <f>AND(Ischemia_25percent_output_edgel!A1246,"AAAAAHBT/Jg=")</f>
        <v>#VALUE!</v>
      </c>
      <c r="EX15" t="e">
        <f>AND(Ischemia_25percent_output_edgel!B1246,"AAAAAHBT/Jk=")</f>
        <v>#VALUE!</v>
      </c>
      <c r="EY15">
        <f>IF(Ischemia_25percent_output_edgel!1247:1247,"AAAAAHBT/Jo=",0)</f>
        <v>0</v>
      </c>
      <c r="EZ15" t="e">
        <f>AND(Ischemia_25percent_output_edgel!A1247,"AAAAAHBT/Js=")</f>
        <v>#VALUE!</v>
      </c>
      <c r="FA15" t="e">
        <f>AND(Ischemia_25percent_output_edgel!B1247,"AAAAAHBT/Jw=")</f>
        <v>#VALUE!</v>
      </c>
      <c r="FB15">
        <f>IF(Ischemia_25percent_output_edgel!1248:1248,"AAAAAHBT/J0=",0)</f>
        <v>0</v>
      </c>
      <c r="FC15" t="e">
        <f>AND(Ischemia_25percent_output_edgel!A1248,"AAAAAHBT/J4=")</f>
        <v>#VALUE!</v>
      </c>
      <c r="FD15" t="e">
        <f>AND(Ischemia_25percent_output_edgel!B1248,"AAAAAHBT/J8=")</f>
        <v>#VALUE!</v>
      </c>
      <c r="FE15">
        <f>IF(Ischemia_25percent_output_edgel!1249:1249,"AAAAAHBT/KA=",0)</f>
        <v>0</v>
      </c>
      <c r="FF15" t="e">
        <f>AND(Ischemia_25percent_output_edgel!A1249,"AAAAAHBT/KE=")</f>
        <v>#VALUE!</v>
      </c>
      <c r="FG15" t="e">
        <f>AND(Ischemia_25percent_output_edgel!B1249,"AAAAAHBT/KI=")</f>
        <v>#VALUE!</v>
      </c>
      <c r="FH15">
        <f>IF(Ischemia_25percent_output_edgel!1250:1250,"AAAAAHBT/KM=",0)</f>
        <v>0</v>
      </c>
      <c r="FI15" t="e">
        <f>AND(Ischemia_25percent_output_edgel!A1250,"AAAAAHBT/KQ=")</f>
        <v>#VALUE!</v>
      </c>
      <c r="FJ15" t="e">
        <f>AND(Ischemia_25percent_output_edgel!B1250,"AAAAAHBT/KU=")</f>
        <v>#VALUE!</v>
      </c>
      <c r="FK15">
        <f>IF(Ischemia_25percent_output_edgel!1251:1251,"AAAAAHBT/KY=",0)</f>
        <v>0</v>
      </c>
      <c r="FL15" t="e">
        <f>AND(Ischemia_25percent_output_edgel!A1251,"AAAAAHBT/Kc=")</f>
        <v>#VALUE!</v>
      </c>
      <c r="FM15" t="e">
        <f>AND(Ischemia_25percent_output_edgel!B1251,"AAAAAHBT/Kg=")</f>
        <v>#VALUE!</v>
      </c>
      <c r="FN15">
        <f>IF(Ischemia_25percent_output_edgel!1252:1252,"AAAAAHBT/Kk=",0)</f>
        <v>0</v>
      </c>
      <c r="FO15" t="e">
        <f>AND(Ischemia_25percent_output_edgel!A1252,"AAAAAHBT/Ko=")</f>
        <v>#VALUE!</v>
      </c>
      <c r="FP15" t="e">
        <f>AND(Ischemia_25percent_output_edgel!B1252,"AAAAAHBT/Ks=")</f>
        <v>#VALUE!</v>
      </c>
      <c r="FQ15">
        <f>IF(Ischemia_25percent_output_edgel!1253:1253,"AAAAAHBT/Kw=",0)</f>
        <v>0</v>
      </c>
      <c r="FR15" t="e">
        <f>AND(Ischemia_25percent_output_edgel!A1253,"AAAAAHBT/K0=")</f>
        <v>#VALUE!</v>
      </c>
      <c r="FS15" t="e">
        <f>AND(Ischemia_25percent_output_edgel!B1253,"AAAAAHBT/K4=")</f>
        <v>#VALUE!</v>
      </c>
      <c r="FT15">
        <f>IF(Ischemia_25percent_output_edgel!1254:1254,"AAAAAHBT/K8=",0)</f>
        <v>0</v>
      </c>
      <c r="FU15" t="e">
        <f>AND(Ischemia_25percent_output_edgel!A1254,"AAAAAHBT/LA=")</f>
        <v>#VALUE!</v>
      </c>
      <c r="FV15" t="e">
        <f>AND(Ischemia_25percent_output_edgel!B1254,"AAAAAHBT/LE=")</f>
        <v>#VALUE!</v>
      </c>
      <c r="FW15">
        <f>IF(Ischemia_25percent_output_edgel!1255:1255,"AAAAAHBT/LI=",0)</f>
        <v>0</v>
      </c>
      <c r="FX15" t="e">
        <f>AND(Ischemia_25percent_output_edgel!A1255,"AAAAAHBT/LM=")</f>
        <v>#VALUE!</v>
      </c>
      <c r="FY15" t="e">
        <f>AND(Ischemia_25percent_output_edgel!B1255,"AAAAAHBT/LQ=")</f>
        <v>#VALUE!</v>
      </c>
      <c r="FZ15">
        <f>IF(Ischemia_25percent_output_edgel!1256:1256,"AAAAAHBT/LU=",0)</f>
        <v>0</v>
      </c>
      <c r="GA15" t="e">
        <f>AND(Ischemia_25percent_output_edgel!A1256,"AAAAAHBT/LY=")</f>
        <v>#VALUE!</v>
      </c>
      <c r="GB15" t="e">
        <f>AND(Ischemia_25percent_output_edgel!B1256,"AAAAAHBT/Lc=")</f>
        <v>#VALUE!</v>
      </c>
      <c r="GC15">
        <f>IF(Ischemia_25percent_output_edgel!1257:1257,"AAAAAHBT/Lg=",0)</f>
        <v>0</v>
      </c>
      <c r="GD15" t="e">
        <f>AND(Ischemia_25percent_output_edgel!A1257,"AAAAAHBT/Lk=")</f>
        <v>#VALUE!</v>
      </c>
      <c r="GE15" t="e">
        <f>AND(Ischemia_25percent_output_edgel!B1257,"AAAAAHBT/Lo=")</f>
        <v>#VALUE!</v>
      </c>
      <c r="GF15">
        <f>IF(Ischemia_25percent_output_edgel!1258:1258,"AAAAAHBT/Ls=",0)</f>
        <v>0</v>
      </c>
      <c r="GG15" t="e">
        <f>AND(Ischemia_25percent_output_edgel!A1258,"AAAAAHBT/Lw=")</f>
        <v>#VALUE!</v>
      </c>
      <c r="GH15" t="e">
        <f>AND(Ischemia_25percent_output_edgel!B1258,"AAAAAHBT/L0=")</f>
        <v>#VALUE!</v>
      </c>
      <c r="GI15">
        <f>IF(Ischemia_25percent_output_edgel!1259:1259,"AAAAAHBT/L4=",0)</f>
        <v>0</v>
      </c>
      <c r="GJ15" t="e">
        <f>AND(Ischemia_25percent_output_edgel!A1259,"AAAAAHBT/L8=")</f>
        <v>#VALUE!</v>
      </c>
      <c r="GK15" t="e">
        <f>AND(Ischemia_25percent_output_edgel!B1259,"AAAAAHBT/MA=")</f>
        <v>#VALUE!</v>
      </c>
      <c r="GL15">
        <f>IF(Ischemia_25percent_output_edgel!1260:1260,"AAAAAHBT/ME=",0)</f>
        <v>0</v>
      </c>
      <c r="GM15" t="e">
        <f>AND(Ischemia_25percent_output_edgel!A1260,"AAAAAHBT/MI=")</f>
        <v>#VALUE!</v>
      </c>
      <c r="GN15" t="e">
        <f>AND(Ischemia_25percent_output_edgel!B1260,"AAAAAHBT/MM=")</f>
        <v>#VALUE!</v>
      </c>
      <c r="GO15">
        <f>IF(Ischemia_25percent_output_edgel!1261:1261,"AAAAAHBT/MQ=",0)</f>
        <v>0</v>
      </c>
      <c r="GP15" t="e">
        <f>AND(Ischemia_25percent_output_edgel!A1261,"AAAAAHBT/MU=")</f>
        <v>#VALUE!</v>
      </c>
      <c r="GQ15" t="e">
        <f>AND(Ischemia_25percent_output_edgel!B1261,"AAAAAHBT/MY=")</f>
        <v>#VALUE!</v>
      </c>
      <c r="GR15">
        <f>IF(Ischemia_25percent_output_edgel!1262:1262,"AAAAAHBT/Mc=",0)</f>
        <v>0</v>
      </c>
      <c r="GS15" t="e">
        <f>AND(Ischemia_25percent_output_edgel!A1262,"AAAAAHBT/Mg=")</f>
        <v>#VALUE!</v>
      </c>
      <c r="GT15" t="e">
        <f>AND(Ischemia_25percent_output_edgel!B1262,"AAAAAHBT/Mk=")</f>
        <v>#VALUE!</v>
      </c>
      <c r="GU15">
        <f>IF(Ischemia_25percent_output_edgel!1263:1263,"AAAAAHBT/Mo=",0)</f>
        <v>0</v>
      </c>
      <c r="GV15" t="e">
        <f>AND(Ischemia_25percent_output_edgel!A1263,"AAAAAHBT/Ms=")</f>
        <v>#VALUE!</v>
      </c>
      <c r="GW15" t="e">
        <f>AND(Ischemia_25percent_output_edgel!B1263,"AAAAAHBT/Mw=")</f>
        <v>#VALUE!</v>
      </c>
      <c r="GX15">
        <f>IF(Ischemia_25percent_output_edgel!1264:1264,"AAAAAHBT/M0=",0)</f>
        <v>0</v>
      </c>
      <c r="GY15" t="e">
        <f>AND(Ischemia_25percent_output_edgel!A1264,"AAAAAHBT/M4=")</f>
        <v>#VALUE!</v>
      </c>
      <c r="GZ15" t="e">
        <f>AND(Ischemia_25percent_output_edgel!B1264,"AAAAAHBT/M8=")</f>
        <v>#VALUE!</v>
      </c>
      <c r="HA15">
        <f>IF(Ischemia_25percent_output_edgel!1265:1265,"AAAAAHBT/NA=",0)</f>
        <v>0</v>
      </c>
      <c r="HB15" t="e">
        <f>AND(Ischemia_25percent_output_edgel!A1265,"AAAAAHBT/NE=")</f>
        <v>#VALUE!</v>
      </c>
      <c r="HC15" t="e">
        <f>AND(Ischemia_25percent_output_edgel!B1265,"AAAAAHBT/NI=")</f>
        <v>#VALUE!</v>
      </c>
      <c r="HD15">
        <f>IF(Ischemia_25percent_output_edgel!1266:1266,"AAAAAHBT/NM=",0)</f>
        <v>0</v>
      </c>
      <c r="HE15" t="e">
        <f>AND(Ischemia_25percent_output_edgel!A1266,"AAAAAHBT/NQ=")</f>
        <v>#VALUE!</v>
      </c>
      <c r="HF15" t="e">
        <f>AND(Ischemia_25percent_output_edgel!B1266,"AAAAAHBT/NU=")</f>
        <v>#VALUE!</v>
      </c>
      <c r="HG15">
        <f>IF(Ischemia_25percent_output_edgel!1267:1267,"AAAAAHBT/NY=",0)</f>
        <v>0</v>
      </c>
      <c r="HH15" t="e">
        <f>AND(Ischemia_25percent_output_edgel!A1267,"AAAAAHBT/Nc=")</f>
        <v>#VALUE!</v>
      </c>
      <c r="HI15" t="e">
        <f>AND(Ischemia_25percent_output_edgel!B1267,"AAAAAHBT/Ng=")</f>
        <v>#VALUE!</v>
      </c>
      <c r="HJ15">
        <f>IF(Ischemia_25percent_output_edgel!1268:1268,"AAAAAHBT/Nk=",0)</f>
        <v>0</v>
      </c>
      <c r="HK15" t="e">
        <f>AND(Ischemia_25percent_output_edgel!A1268,"AAAAAHBT/No=")</f>
        <v>#VALUE!</v>
      </c>
      <c r="HL15" t="e">
        <f>AND(Ischemia_25percent_output_edgel!B1268,"AAAAAHBT/Ns=")</f>
        <v>#VALUE!</v>
      </c>
      <c r="HM15">
        <f>IF(Ischemia_25percent_output_edgel!1269:1269,"AAAAAHBT/Nw=",0)</f>
        <v>0</v>
      </c>
      <c r="HN15" t="e">
        <f>AND(Ischemia_25percent_output_edgel!A1269,"AAAAAHBT/N0=")</f>
        <v>#VALUE!</v>
      </c>
      <c r="HO15" t="e">
        <f>AND(Ischemia_25percent_output_edgel!B1269,"AAAAAHBT/N4=")</f>
        <v>#VALUE!</v>
      </c>
      <c r="HP15">
        <f>IF(Ischemia_25percent_output_edgel!1270:1270,"AAAAAHBT/N8=",0)</f>
        <v>0</v>
      </c>
      <c r="HQ15" t="e">
        <f>AND(Ischemia_25percent_output_edgel!A1270,"AAAAAHBT/OA=")</f>
        <v>#VALUE!</v>
      </c>
      <c r="HR15" t="e">
        <f>AND(Ischemia_25percent_output_edgel!B1270,"AAAAAHBT/OE=")</f>
        <v>#VALUE!</v>
      </c>
      <c r="HS15">
        <f>IF(Ischemia_25percent_output_edgel!1271:1271,"AAAAAHBT/OI=",0)</f>
        <v>0</v>
      </c>
      <c r="HT15" t="e">
        <f>AND(Ischemia_25percent_output_edgel!A1271,"AAAAAHBT/OM=")</f>
        <v>#VALUE!</v>
      </c>
      <c r="HU15" t="e">
        <f>AND(Ischemia_25percent_output_edgel!B1271,"AAAAAHBT/OQ=")</f>
        <v>#VALUE!</v>
      </c>
      <c r="HV15">
        <f>IF(Ischemia_25percent_output_edgel!1272:1272,"AAAAAHBT/OU=",0)</f>
        <v>0</v>
      </c>
      <c r="HW15" t="e">
        <f>AND(Ischemia_25percent_output_edgel!A1272,"AAAAAHBT/OY=")</f>
        <v>#VALUE!</v>
      </c>
      <c r="HX15" t="e">
        <f>AND(Ischemia_25percent_output_edgel!B1272,"AAAAAHBT/Oc=")</f>
        <v>#VALUE!</v>
      </c>
      <c r="HY15">
        <f>IF(Ischemia_25percent_output_edgel!1273:1273,"AAAAAHBT/Og=",0)</f>
        <v>0</v>
      </c>
      <c r="HZ15" t="e">
        <f>AND(Ischemia_25percent_output_edgel!A1273,"AAAAAHBT/Ok=")</f>
        <v>#VALUE!</v>
      </c>
      <c r="IA15" t="e">
        <f>AND(Ischemia_25percent_output_edgel!B1273,"AAAAAHBT/Oo=")</f>
        <v>#VALUE!</v>
      </c>
      <c r="IB15">
        <f>IF(Ischemia_25percent_output_edgel!1274:1274,"AAAAAHBT/Os=",0)</f>
        <v>0</v>
      </c>
      <c r="IC15" t="e">
        <f>AND(Ischemia_25percent_output_edgel!A1274,"AAAAAHBT/Ow=")</f>
        <v>#VALUE!</v>
      </c>
      <c r="ID15" t="e">
        <f>AND(Ischemia_25percent_output_edgel!B1274,"AAAAAHBT/O0=")</f>
        <v>#VALUE!</v>
      </c>
      <c r="IE15">
        <f>IF(Ischemia_25percent_output_edgel!1275:1275,"AAAAAHBT/O4=",0)</f>
        <v>0</v>
      </c>
      <c r="IF15" t="e">
        <f>AND(Ischemia_25percent_output_edgel!A1275,"AAAAAHBT/O8=")</f>
        <v>#VALUE!</v>
      </c>
      <c r="IG15" t="e">
        <f>AND(Ischemia_25percent_output_edgel!B1275,"AAAAAHBT/PA=")</f>
        <v>#VALUE!</v>
      </c>
      <c r="IH15">
        <f>IF(Ischemia_25percent_output_edgel!1276:1276,"AAAAAHBT/PE=",0)</f>
        <v>0</v>
      </c>
      <c r="II15" t="e">
        <f>AND(Ischemia_25percent_output_edgel!A1276,"AAAAAHBT/PI=")</f>
        <v>#VALUE!</v>
      </c>
      <c r="IJ15" t="e">
        <f>AND(Ischemia_25percent_output_edgel!B1276,"AAAAAHBT/PM=")</f>
        <v>#VALUE!</v>
      </c>
      <c r="IK15">
        <f>IF(Ischemia_25percent_output_edgel!1277:1277,"AAAAAHBT/PQ=",0)</f>
        <v>0</v>
      </c>
      <c r="IL15" t="e">
        <f>AND(Ischemia_25percent_output_edgel!A1277,"AAAAAHBT/PU=")</f>
        <v>#VALUE!</v>
      </c>
      <c r="IM15" t="e">
        <f>AND(Ischemia_25percent_output_edgel!B1277,"AAAAAHBT/PY=")</f>
        <v>#VALUE!</v>
      </c>
      <c r="IN15">
        <f>IF(Ischemia_25percent_output_edgel!1278:1278,"AAAAAHBT/Pc=",0)</f>
        <v>0</v>
      </c>
      <c r="IO15" t="e">
        <f>AND(Ischemia_25percent_output_edgel!A1278,"AAAAAHBT/Pg=")</f>
        <v>#VALUE!</v>
      </c>
      <c r="IP15" t="e">
        <f>AND(Ischemia_25percent_output_edgel!B1278,"AAAAAHBT/Pk=")</f>
        <v>#VALUE!</v>
      </c>
      <c r="IQ15">
        <f>IF(Ischemia_25percent_output_edgel!1279:1279,"AAAAAHBT/Po=",0)</f>
        <v>0</v>
      </c>
      <c r="IR15" t="e">
        <f>AND(Ischemia_25percent_output_edgel!A1279,"AAAAAHBT/Ps=")</f>
        <v>#VALUE!</v>
      </c>
      <c r="IS15" t="e">
        <f>AND(Ischemia_25percent_output_edgel!B1279,"AAAAAHBT/Pw=")</f>
        <v>#VALUE!</v>
      </c>
      <c r="IT15">
        <f>IF(Ischemia_25percent_output_edgel!1280:1280,"AAAAAHBT/P0=",0)</f>
        <v>0</v>
      </c>
      <c r="IU15" t="e">
        <f>AND(Ischemia_25percent_output_edgel!A1280,"AAAAAHBT/P4=")</f>
        <v>#VALUE!</v>
      </c>
      <c r="IV15" t="e">
        <f>AND(Ischemia_25percent_output_edgel!B1280,"AAAAAHBT/P8=")</f>
        <v>#VALUE!</v>
      </c>
    </row>
    <row r="16" spans="1:256">
      <c r="A16" t="e">
        <f>IF(Ischemia_25percent_output_edgel!1281:1281,"AAAAAC/u9QA=",0)</f>
        <v>#VALUE!</v>
      </c>
      <c r="B16" t="e">
        <f>AND(Ischemia_25percent_output_edgel!A1281,"AAAAAC/u9QE=")</f>
        <v>#VALUE!</v>
      </c>
      <c r="C16" t="e">
        <f>AND(Ischemia_25percent_output_edgel!B1281,"AAAAAC/u9QI=")</f>
        <v>#VALUE!</v>
      </c>
      <c r="D16">
        <f>IF(Ischemia_25percent_output_edgel!1282:1282,"AAAAAC/u9QM=",0)</f>
        <v>0</v>
      </c>
      <c r="E16" t="e">
        <f>AND(Ischemia_25percent_output_edgel!A1282,"AAAAAC/u9QQ=")</f>
        <v>#VALUE!</v>
      </c>
      <c r="F16" t="e">
        <f>AND(Ischemia_25percent_output_edgel!B1282,"AAAAAC/u9QU=")</f>
        <v>#VALUE!</v>
      </c>
      <c r="G16">
        <f>IF(Ischemia_25percent_output_edgel!1283:1283,"AAAAAC/u9QY=",0)</f>
        <v>0</v>
      </c>
      <c r="H16" t="e">
        <f>AND(Ischemia_25percent_output_edgel!A1283,"AAAAAC/u9Qc=")</f>
        <v>#VALUE!</v>
      </c>
      <c r="I16" t="e">
        <f>AND(Ischemia_25percent_output_edgel!B1283,"AAAAAC/u9Qg=")</f>
        <v>#VALUE!</v>
      </c>
      <c r="J16">
        <f>IF(Ischemia_25percent_output_edgel!1284:1284,"AAAAAC/u9Qk=",0)</f>
        <v>0</v>
      </c>
      <c r="K16" t="e">
        <f>AND(Ischemia_25percent_output_edgel!A1284,"AAAAAC/u9Qo=")</f>
        <v>#VALUE!</v>
      </c>
      <c r="L16" t="e">
        <f>AND(Ischemia_25percent_output_edgel!B1284,"AAAAAC/u9Qs=")</f>
        <v>#VALUE!</v>
      </c>
      <c r="M16">
        <f>IF(Ischemia_25percent_output_edgel!1285:1285,"AAAAAC/u9Qw=",0)</f>
        <v>0</v>
      </c>
      <c r="N16" t="e">
        <f>AND(Ischemia_25percent_output_edgel!A1285,"AAAAAC/u9Q0=")</f>
        <v>#VALUE!</v>
      </c>
      <c r="O16" t="e">
        <f>AND(Ischemia_25percent_output_edgel!B1285,"AAAAAC/u9Q4=")</f>
        <v>#VALUE!</v>
      </c>
      <c r="P16">
        <f>IF(Ischemia_25percent_output_edgel!1286:1286,"AAAAAC/u9Q8=",0)</f>
        <v>0</v>
      </c>
      <c r="Q16" t="e">
        <f>AND(Ischemia_25percent_output_edgel!A1286,"AAAAAC/u9RA=")</f>
        <v>#VALUE!</v>
      </c>
      <c r="R16" t="e">
        <f>AND(Ischemia_25percent_output_edgel!B1286,"AAAAAC/u9RE=")</f>
        <v>#VALUE!</v>
      </c>
      <c r="S16">
        <f>IF(Ischemia_25percent_output_edgel!1287:1287,"AAAAAC/u9RI=",0)</f>
        <v>0</v>
      </c>
      <c r="T16" t="e">
        <f>AND(Ischemia_25percent_output_edgel!A1287,"AAAAAC/u9RM=")</f>
        <v>#VALUE!</v>
      </c>
      <c r="U16" t="e">
        <f>AND(Ischemia_25percent_output_edgel!B1287,"AAAAAC/u9RQ=")</f>
        <v>#VALUE!</v>
      </c>
      <c r="V16">
        <f>IF(Ischemia_25percent_output_edgel!1288:1288,"AAAAAC/u9RU=",0)</f>
        <v>0</v>
      </c>
      <c r="W16" t="e">
        <f>AND(Ischemia_25percent_output_edgel!A1288,"AAAAAC/u9RY=")</f>
        <v>#VALUE!</v>
      </c>
      <c r="X16" t="e">
        <f>AND(Ischemia_25percent_output_edgel!B1288,"AAAAAC/u9Rc=")</f>
        <v>#VALUE!</v>
      </c>
      <c r="Y16">
        <f>IF(Ischemia_25percent_output_edgel!1289:1289,"AAAAAC/u9Rg=",0)</f>
        <v>0</v>
      </c>
      <c r="Z16" t="e">
        <f>AND(Ischemia_25percent_output_edgel!A1289,"AAAAAC/u9Rk=")</f>
        <v>#VALUE!</v>
      </c>
      <c r="AA16" t="e">
        <f>AND(Ischemia_25percent_output_edgel!B1289,"AAAAAC/u9Ro=")</f>
        <v>#VALUE!</v>
      </c>
      <c r="AB16">
        <f>IF(Ischemia_25percent_output_edgel!1290:1290,"AAAAAC/u9Rs=",0)</f>
        <v>0</v>
      </c>
      <c r="AC16" t="e">
        <f>AND(Ischemia_25percent_output_edgel!A1290,"AAAAAC/u9Rw=")</f>
        <v>#VALUE!</v>
      </c>
      <c r="AD16" t="e">
        <f>AND(Ischemia_25percent_output_edgel!B1290,"AAAAAC/u9R0=")</f>
        <v>#VALUE!</v>
      </c>
      <c r="AE16">
        <f>IF(Ischemia_25percent_output_edgel!1291:1291,"AAAAAC/u9R4=",0)</f>
        <v>0</v>
      </c>
      <c r="AF16" t="e">
        <f>AND(Ischemia_25percent_output_edgel!A1291,"AAAAAC/u9R8=")</f>
        <v>#VALUE!</v>
      </c>
      <c r="AG16" t="e">
        <f>AND(Ischemia_25percent_output_edgel!B1291,"AAAAAC/u9SA=")</f>
        <v>#VALUE!</v>
      </c>
      <c r="AH16">
        <f>IF(Ischemia_25percent_output_edgel!1292:1292,"AAAAAC/u9SE=",0)</f>
        <v>0</v>
      </c>
      <c r="AI16" t="e">
        <f>AND(Ischemia_25percent_output_edgel!A1292,"AAAAAC/u9SI=")</f>
        <v>#VALUE!</v>
      </c>
      <c r="AJ16" t="e">
        <f>AND(Ischemia_25percent_output_edgel!B1292,"AAAAAC/u9SM=")</f>
        <v>#VALUE!</v>
      </c>
      <c r="AK16">
        <f>IF(Ischemia_25percent_output_edgel!1293:1293,"AAAAAC/u9SQ=",0)</f>
        <v>0</v>
      </c>
      <c r="AL16" t="e">
        <f>AND(Ischemia_25percent_output_edgel!A1293,"AAAAAC/u9SU=")</f>
        <v>#VALUE!</v>
      </c>
      <c r="AM16" t="e">
        <f>AND(Ischemia_25percent_output_edgel!B1293,"AAAAAC/u9SY=")</f>
        <v>#VALUE!</v>
      </c>
      <c r="AN16">
        <f>IF(Ischemia_25percent_output_edgel!1294:1294,"AAAAAC/u9Sc=",0)</f>
        <v>0</v>
      </c>
      <c r="AO16" t="e">
        <f>AND(Ischemia_25percent_output_edgel!A1294,"AAAAAC/u9Sg=")</f>
        <v>#VALUE!</v>
      </c>
      <c r="AP16" t="e">
        <f>AND(Ischemia_25percent_output_edgel!B1294,"AAAAAC/u9Sk=")</f>
        <v>#VALUE!</v>
      </c>
      <c r="AQ16">
        <f>IF(Ischemia_25percent_output_edgel!1295:1295,"AAAAAC/u9So=",0)</f>
        <v>0</v>
      </c>
      <c r="AR16" t="e">
        <f>AND(Ischemia_25percent_output_edgel!A1295,"AAAAAC/u9Ss=")</f>
        <v>#VALUE!</v>
      </c>
      <c r="AS16" t="e">
        <f>AND(Ischemia_25percent_output_edgel!B1295,"AAAAAC/u9Sw=")</f>
        <v>#VALUE!</v>
      </c>
      <c r="AT16">
        <f>IF(Ischemia_25percent_output_edgel!1296:1296,"AAAAAC/u9S0=",0)</f>
        <v>0</v>
      </c>
      <c r="AU16" t="e">
        <f>AND(Ischemia_25percent_output_edgel!A1296,"AAAAAC/u9S4=")</f>
        <v>#VALUE!</v>
      </c>
      <c r="AV16" t="e">
        <f>AND(Ischemia_25percent_output_edgel!B1296,"AAAAAC/u9S8=")</f>
        <v>#VALUE!</v>
      </c>
      <c r="AW16">
        <f>IF(Ischemia_25percent_output_edgel!1297:1297,"AAAAAC/u9TA=",0)</f>
        <v>0</v>
      </c>
      <c r="AX16" t="e">
        <f>AND(Ischemia_25percent_output_edgel!A1297,"AAAAAC/u9TE=")</f>
        <v>#VALUE!</v>
      </c>
      <c r="AY16" t="e">
        <f>AND(Ischemia_25percent_output_edgel!B1297,"AAAAAC/u9TI=")</f>
        <v>#VALUE!</v>
      </c>
      <c r="AZ16">
        <f>IF(Ischemia_25percent_output_edgel!1298:1298,"AAAAAC/u9TM=",0)</f>
        <v>0</v>
      </c>
      <c r="BA16" t="e">
        <f>AND(Ischemia_25percent_output_edgel!A1298,"AAAAAC/u9TQ=")</f>
        <v>#VALUE!</v>
      </c>
      <c r="BB16" t="e">
        <f>AND(Ischemia_25percent_output_edgel!B1298,"AAAAAC/u9TU=")</f>
        <v>#VALUE!</v>
      </c>
      <c r="BC16">
        <f>IF(Ischemia_25percent_output_edgel!1299:1299,"AAAAAC/u9TY=",0)</f>
        <v>0</v>
      </c>
      <c r="BD16" t="e">
        <f>AND(Ischemia_25percent_output_edgel!A1299,"AAAAAC/u9Tc=")</f>
        <v>#VALUE!</v>
      </c>
      <c r="BE16" t="e">
        <f>AND(Ischemia_25percent_output_edgel!B1299,"AAAAAC/u9Tg=")</f>
        <v>#VALUE!</v>
      </c>
      <c r="BF16">
        <f>IF(Ischemia_25percent_output_edgel!1300:1300,"AAAAAC/u9Tk=",0)</f>
        <v>0</v>
      </c>
      <c r="BG16" t="e">
        <f>AND(Ischemia_25percent_output_edgel!A1300,"AAAAAC/u9To=")</f>
        <v>#VALUE!</v>
      </c>
      <c r="BH16" t="e">
        <f>AND(Ischemia_25percent_output_edgel!B1300,"AAAAAC/u9Ts=")</f>
        <v>#VALUE!</v>
      </c>
      <c r="BI16">
        <f>IF(Ischemia_25percent_output_edgel!1301:1301,"AAAAAC/u9Tw=",0)</f>
        <v>0</v>
      </c>
      <c r="BJ16" t="e">
        <f>AND(Ischemia_25percent_output_edgel!A1301,"AAAAAC/u9T0=")</f>
        <v>#VALUE!</v>
      </c>
      <c r="BK16" t="e">
        <f>AND(Ischemia_25percent_output_edgel!B1301,"AAAAAC/u9T4=")</f>
        <v>#VALUE!</v>
      </c>
      <c r="BL16">
        <f>IF(Ischemia_25percent_output_edgel!1302:1302,"AAAAAC/u9T8=",0)</f>
        <v>0</v>
      </c>
      <c r="BM16" t="e">
        <f>AND(Ischemia_25percent_output_edgel!A1302,"AAAAAC/u9UA=")</f>
        <v>#VALUE!</v>
      </c>
      <c r="BN16" t="e">
        <f>AND(Ischemia_25percent_output_edgel!B1302,"AAAAAC/u9UE=")</f>
        <v>#VALUE!</v>
      </c>
      <c r="BO16">
        <f>IF(Ischemia_25percent_output_edgel!1303:1303,"AAAAAC/u9UI=",0)</f>
        <v>0</v>
      </c>
      <c r="BP16" t="e">
        <f>AND(Ischemia_25percent_output_edgel!A1303,"AAAAAC/u9UM=")</f>
        <v>#VALUE!</v>
      </c>
      <c r="BQ16" t="e">
        <f>AND(Ischemia_25percent_output_edgel!B1303,"AAAAAC/u9UQ=")</f>
        <v>#VALUE!</v>
      </c>
      <c r="BR16">
        <f>IF(Ischemia_25percent_output_edgel!1304:1304,"AAAAAC/u9UU=",0)</f>
        <v>0</v>
      </c>
      <c r="BS16" t="e">
        <f>AND(Ischemia_25percent_output_edgel!A1304,"AAAAAC/u9UY=")</f>
        <v>#VALUE!</v>
      </c>
      <c r="BT16" t="e">
        <f>AND(Ischemia_25percent_output_edgel!B1304,"AAAAAC/u9Uc=")</f>
        <v>#VALUE!</v>
      </c>
      <c r="BU16">
        <f>IF(Ischemia_25percent_output_edgel!1305:1305,"AAAAAC/u9Ug=",0)</f>
        <v>0</v>
      </c>
      <c r="BV16" t="e">
        <f>AND(Ischemia_25percent_output_edgel!A1305,"AAAAAC/u9Uk=")</f>
        <v>#VALUE!</v>
      </c>
      <c r="BW16" t="e">
        <f>AND(Ischemia_25percent_output_edgel!B1305,"AAAAAC/u9Uo=")</f>
        <v>#VALUE!</v>
      </c>
      <c r="BX16">
        <f>IF(Ischemia_25percent_output_edgel!1306:1306,"AAAAAC/u9Us=",0)</f>
        <v>0</v>
      </c>
      <c r="BY16" t="e">
        <f>AND(Ischemia_25percent_output_edgel!A1306,"AAAAAC/u9Uw=")</f>
        <v>#VALUE!</v>
      </c>
      <c r="BZ16" t="e">
        <f>AND(Ischemia_25percent_output_edgel!B1306,"AAAAAC/u9U0=")</f>
        <v>#VALUE!</v>
      </c>
      <c r="CA16">
        <f>IF(Ischemia_25percent_output_edgel!1307:1307,"AAAAAC/u9U4=",0)</f>
        <v>0</v>
      </c>
      <c r="CB16" t="e">
        <f>AND(Ischemia_25percent_output_edgel!A1307,"AAAAAC/u9U8=")</f>
        <v>#VALUE!</v>
      </c>
      <c r="CC16" t="e">
        <f>AND(Ischemia_25percent_output_edgel!B1307,"AAAAAC/u9VA=")</f>
        <v>#VALUE!</v>
      </c>
      <c r="CD16">
        <f>IF(Ischemia_25percent_output_edgel!1308:1308,"AAAAAC/u9VE=",0)</f>
        <v>0</v>
      </c>
      <c r="CE16" t="e">
        <f>AND(Ischemia_25percent_output_edgel!A1308,"AAAAAC/u9VI=")</f>
        <v>#VALUE!</v>
      </c>
      <c r="CF16" t="e">
        <f>AND(Ischemia_25percent_output_edgel!B1308,"AAAAAC/u9VM=")</f>
        <v>#VALUE!</v>
      </c>
      <c r="CG16">
        <f>IF(Ischemia_25percent_output_edgel!1309:1309,"AAAAAC/u9VQ=",0)</f>
        <v>0</v>
      </c>
      <c r="CH16" t="e">
        <f>AND(Ischemia_25percent_output_edgel!A1309,"AAAAAC/u9VU=")</f>
        <v>#VALUE!</v>
      </c>
      <c r="CI16" t="e">
        <f>AND(Ischemia_25percent_output_edgel!B1309,"AAAAAC/u9VY=")</f>
        <v>#VALUE!</v>
      </c>
      <c r="CJ16">
        <f>IF(Ischemia_25percent_output_edgel!1310:1310,"AAAAAC/u9Vc=",0)</f>
        <v>0</v>
      </c>
      <c r="CK16" t="e">
        <f>AND(Ischemia_25percent_output_edgel!A1310,"AAAAAC/u9Vg=")</f>
        <v>#VALUE!</v>
      </c>
      <c r="CL16" t="e">
        <f>AND(Ischemia_25percent_output_edgel!B1310,"AAAAAC/u9Vk=")</f>
        <v>#VALUE!</v>
      </c>
      <c r="CM16">
        <f>IF(Ischemia_25percent_output_edgel!1311:1311,"AAAAAC/u9Vo=",0)</f>
        <v>0</v>
      </c>
      <c r="CN16" t="e">
        <f>AND(Ischemia_25percent_output_edgel!A1311,"AAAAAC/u9Vs=")</f>
        <v>#VALUE!</v>
      </c>
      <c r="CO16" t="e">
        <f>AND(Ischemia_25percent_output_edgel!B1311,"AAAAAC/u9Vw=")</f>
        <v>#VALUE!</v>
      </c>
      <c r="CP16">
        <f>IF(Ischemia_25percent_output_edgel!1312:1312,"AAAAAC/u9V0=",0)</f>
        <v>0</v>
      </c>
      <c r="CQ16" t="e">
        <f>AND(Ischemia_25percent_output_edgel!A1312,"AAAAAC/u9V4=")</f>
        <v>#VALUE!</v>
      </c>
      <c r="CR16" t="e">
        <f>AND(Ischemia_25percent_output_edgel!B1312,"AAAAAC/u9V8=")</f>
        <v>#VALUE!</v>
      </c>
      <c r="CS16">
        <f>IF(Ischemia_25percent_output_edgel!1313:1313,"AAAAAC/u9WA=",0)</f>
        <v>0</v>
      </c>
      <c r="CT16" t="e">
        <f>AND(Ischemia_25percent_output_edgel!A1313,"AAAAAC/u9WE=")</f>
        <v>#VALUE!</v>
      </c>
      <c r="CU16" t="e">
        <f>AND(Ischemia_25percent_output_edgel!B1313,"AAAAAC/u9WI=")</f>
        <v>#VALUE!</v>
      </c>
      <c r="CV16">
        <f>IF(Ischemia_25percent_output_edgel!1314:1314,"AAAAAC/u9WM=",0)</f>
        <v>0</v>
      </c>
      <c r="CW16" t="e">
        <f>AND(Ischemia_25percent_output_edgel!A1314,"AAAAAC/u9WQ=")</f>
        <v>#VALUE!</v>
      </c>
      <c r="CX16" t="e">
        <f>AND(Ischemia_25percent_output_edgel!B1314,"AAAAAC/u9WU=")</f>
        <v>#VALUE!</v>
      </c>
      <c r="CY16">
        <f>IF(Ischemia_25percent_output_edgel!1315:1315,"AAAAAC/u9WY=",0)</f>
        <v>0</v>
      </c>
      <c r="CZ16" t="e">
        <f>AND(Ischemia_25percent_output_edgel!A1315,"AAAAAC/u9Wc=")</f>
        <v>#VALUE!</v>
      </c>
      <c r="DA16" t="e">
        <f>AND(Ischemia_25percent_output_edgel!B1315,"AAAAAC/u9Wg=")</f>
        <v>#VALUE!</v>
      </c>
      <c r="DB16">
        <f>IF(Ischemia_25percent_output_edgel!1316:1316,"AAAAAC/u9Wk=",0)</f>
        <v>0</v>
      </c>
      <c r="DC16" t="e">
        <f>AND(Ischemia_25percent_output_edgel!A1316,"AAAAAC/u9Wo=")</f>
        <v>#VALUE!</v>
      </c>
      <c r="DD16" t="e">
        <f>AND(Ischemia_25percent_output_edgel!B1316,"AAAAAC/u9Ws=")</f>
        <v>#VALUE!</v>
      </c>
      <c r="DE16">
        <f>IF(Ischemia_25percent_output_edgel!1317:1317,"AAAAAC/u9Ww=",0)</f>
        <v>0</v>
      </c>
      <c r="DF16" t="e">
        <f>AND(Ischemia_25percent_output_edgel!A1317,"AAAAAC/u9W0=")</f>
        <v>#VALUE!</v>
      </c>
      <c r="DG16" t="e">
        <f>AND(Ischemia_25percent_output_edgel!B1317,"AAAAAC/u9W4=")</f>
        <v>#VALUE!</v>
      </c>
      <c r="DH16">
        <f>IF(Ischemia_25percent_output_edgel!1318:1318,"AAAAAC/u9W8=",0)</f>
        <v>0</v>
      </c>
      <c r="DI16" t="e">
        <f>AND(Ischemia_25percent_output_edgel!A1318,"AAAAAC/u9XA=")</f>
        <v>#VALUE!</v>
      </c>
      <c r="DJ16" t="e">
        <f>AND(Ischemia_25percent_output_edgel!B1318,"AAAAAC/u9XE=")</f>
        <v>#VALUE!</v>
      </c>
      <c r="DK16">
        <f>IF(Ischemia_25percent_output_edgel!1319:1319,"AAAAAC/u9XI=",0)</f>
        <v>0</v>
      </c>
      <c r="DL16" t="e">
        <f>AND(Ischemia_25percent_output_edgel!A1319,"AAAAAC/u9XM=")</f>
        <v>#VALUE!</v>
      </c>
      <c r="DM16" t="e">
        <f>AND(Ischemia_25percent_output_edgel!B1319,"AAAAAC/u9XQ=")</f>
        <v>#VALUE!</v>
      </c>
      <c r="DN16">
        <f>IF(Ischemia_25percent_output_edgel!1320:1320,"AAAAAC/u9XU=",0)</f>
        <v>0</v>
      </c>
      <c r="DO16" t="e">
        <f>AND(Ischemia_25percent_output_edgel!A1320,"AAAAAC/u9XY=")</f>
        <v>#VALUE!</v>
      </c>
      <c r="DP16" t="e">
        <f>AND(Ischemia_25percent_output_edgel!B1320,"AAAAAC/u9Xc=")</f>
        <v>#VALUE!</v>
      </c>
      <c r="DQ16">
        <f>IF(Ischemia_25percent_output_edgel!1321:1321,"AAAAAC/u9Xg=",0)</f>
        <v>0</v>
      </c>
      <c r="DR16" t="e">
        <f>AND(Ischemia_25percent_output_edgel!A1321,"AAAAAC/u9Xk=")</f>
        <v>#VALUE!</v>
      </c>
      <c r="DS16" t="e">
        <f>AND(Ischemia_25percent_output_edgel!B1321,"AAAAAC/u9Xo=")</f>
        <v>#VALUE!</v>
      </c>
      <c r="DT16">
        <f>IF(Ischemia_25percent_output_edgel!1322:1322,"AAAAAC/u9Xs=",0)</f>
        <v>0</v>
      </c>
      <c r="DU16" t="e">
        <f>AND(Ischemia_25percent_output_edgel!A1322,"AAAAAC/u9Xw=")</f>
        <v>#VALUE!</v>
      </c>
      <c r="DV16" t="e">
        <f>AND(Ischemia_25percent_output_edgel!B1322,"AAAAAC/u9X0=")</f>
        <v>#VALUE!</v>
      </c>
      <c r="DW16">
        <f>IF(Ischemia_25percent_output_edgel!1323:1323,"AAAAAC/u9X4=",0)</f>
        <v>0</v>
      </c>
      <c r="DX16" t="e">
        <f>AND(Ischemia_25percent_output_edgel!A1323,"AAAAAC/u9X8=")</f>
        <v>#VALUE!</v>
      </c>
      <c r="DY16" t="e">
        <f>AND(Ischemia_25percent_output_edgel!B1323,"AAAAAC/u9YA=")</f>
        <v>#VALUE!</v>
      </c>
      <c r="DZ16">
        <f>IF(Ischemia_25percent_output_edgel!1324:1324,"AAAAAC/u9YE=",0)</f>
        <v>0</v>
      </c>
      <c r="EA16" t="e">
        <f>AND(Ischemia_25percent_output_edgel!A1324,"AAAAAC/u9YI=")</f>
        <v>#VALUE!</v>
      </c>
      <c r="EB16" t="e">
        <f>AND(Ischemia_25percent_output_edgel!B1324,"AAAAAC/u9YM=")</f>
        <v>#VALUE!</v>
      </c>
      <c r="EC16">
        <f>IF(Ischemia_25percent_output_edgel!1325:1325,"AAAAAC/u9YQ=",0)</f>
        <v>0</v>
      </c>
      <c r="ED16" t="e">
        <f>AND(Ischemia_25percent_output_edgel!A1325,"AAAAAC/u9YU=")</f>
        <v>#VALUE!</v>
      </c>
      <c r="EE16" t="e">
        <f>AND(Ischemia_25percent_output_edgel!B1325,"AAAAAC/u9YY=")</f>
        <v>#VALUE!</v>
      </c>
      <c r="EF16">
        <f>IF(Ischemia_25percent_output_edgel!1326:1326,"AAAAAC/u9Yc=",0)</f>
        <v>0</v>
      </c>
      <c r="EG16" t="e">
        <f>AND(Ischemia_25percent_output_edgel!A1326,"AAAAAC/u9Yg=")</f>
        <v>#VALUE!</v>
      </c>
      <c r="EH16" t="e">
        <f>AND(Ischemia_25percent_output_edgel!B1326,"AAAAAC/u9Yk=")</f>
        <v>#VALUE!</v>
      </c>
      <c r="EI16">
        <f>IF(Ischemia_25percent_output_edgel!1327:1327,"AAAAAC/u9Yo=",0)</f>
        <v>0</v>
      </c>
      <c r="EJ16" t="e">
        <f>AND(Ischemia_25percent_output_edgel!A1327,"AAAAAC/u9Ys=")</f>
        <v>#VALUE!</v>
      </c>
      <c r="EK16" t="e">
        <f>AND(Ischemia_25percent_output_edgel!B1327,"AAAAAC/u9Yw=")</f>
        <v>#VALUE!</v>
      </c>
      <c r="EL16">
        <f>IF(Ischemia_25percent_output_edgel!1328:1328,"AAAAAC/u9Y0=",0)</f>
        <v>0</v>
      </c>
      <c r="EM16" t="e">
        <f>AND(Ischemia_25percent_output_edgel!A1328,"AAAAAC/u9Y4=")</f>
        <v>#VALUE!</v>
      </c>
      <c r="EN16" t="e">
        <f>AND(Ischemia_25percent_output_edgel!B1328,"AAAAAC/u9Y8=")</f>
        <v>#VALUE!</v>
      </c>
      <c r="EO16">
        <f>IF(Ischemia_25percent_output_edgel!1329:1329,"AAAAAC/u9ZA=",0)</f>
        <v>0</v>
      </c>
      <c r="EP16" t="e">
        <f>AND(Ischemia_25percent_output_edgel!A1329,"AAAAAC/u9ZE=")</f>
        <v>#VALUE!</v>
      </c>
      <c r="EQ16" t="e">
        <f>AND(Ischemia_25percent_output_edgel!B1329,"AAAAAC/u9ZI=")</f>
        <v>#VALUE!</v>
      </c>
      <c r="ER16">
        <f>IF(Ischemia_25percent_output_edgel!1330:1330,"AAAAAC/u9ZM=",0)</f>
        <v>0</v>
      </c>
      <c r="ES16" t="e">
        <f>AND(Ischemia_25percent_output_edgel!A1330,"AAAAAC/u9ZQ=")</f>
        <v>#VALUE!</v>
      </c>
      <c r="ET16" t="e">
        <f>AND(Ischemia_25percent_output_edgel!B1330,"AAAAAC/u9ZU=")</f>
        <v>#VALUE!</v>
      </c>
      <c r="EU16">
        <f>IF(Ischemia_25percent_output_edgel!1331:1331,"AAAAAC/u9ZY=",0)</f>
        <v>0</v>
      </c>
      <c r="EV16" t="e">
        <f>AND(Ischemia_25percent_output_edgel!A1331,"AAAAAC/u9Zc=")</f>
        <v>#VALUE!</v>
      </c>
      <c r="EW16" t="e">
        <f>AND(Ischemia_25percent_output_edgel!B1331,"AAAAAC/u9Zg=")</f>
        <v>#VALUE!</v>
      </c>
      <c r="EX16">
        <f>IF(Ischemia_25percent_output_edgel!1332:1332,"AAAAAC/u9Zk=",0)</f>
        <v>0</v>
      </c>
      <c r="EY16" t="e">
        <f>AND(Ischemia_25percent_output_edgel!A1332,"AAAAAC/u9Zo=")</f>
        <v>#VALUE!</v>
      </c>
      <c r="EZ16" t="e">
        <f>AND(Ischemia_25percent_output_edgel!B1332,"AAAAAC/u9Zs=")</f>
        <v>#VALUE!</v>
      </c>
      <c r="FA16">
        <f>IF(Ischemia_25percent_output_edgel!1333:1333,"AAAAAC/u9Zw=",0)</f>
        <v>0</v>
      </c>
      <c r="FB16" t="e">
        <f>AND(Ischemia_25percent_output_edgel!A1333,"AAAAAC/u9Z0=")</f>
        <v>#VALUE!</v>
      </c>
      <c r="FC16" t="e">
        <f>AND(Ischemia_25percent_output_edgel!B1333,"AAAAAC/u9Z4=")</f>
        <v>#VALUE!</v>
      </c>
      <c r="FD16">
        <f>IF(Ischemia_25percent_output_edgel!1334:1334,"AAAAAC/u9Z8=",0)</f>
        <v>0</v>
      </c>
      <c r="FE16" t="e">
        <f>AND(Ischemia_25percent_output_edgel!A1334,"AAAAAC/u9aA=")</f>
        <v>#VALUE!</v>
      </c>
      <c r="FF16" t="e">
        <f>AND(Ischemia_25percent_output_edgel!B1334,"AAAAAC/u9aE=")</f>
        <v>#VALUE!</v>
      </c>
      <c r="FG16">
        <f>IF(Ischemia_25percent_output_edgel!1335:1335,"AAAAAC/u9aI=",0)</f>
        <v>0</v>
      </c>
      <c r="FH16" t="e">
        <f>AND(Ischemia_25percent_output_edgel!A1335,"AAAAAC/u9aM=")</f>
        <v>#VALUE!</v>
      </c>
      <c r="FI16" t="e">
        <f>AND(Ischemia_25percent_output_edgel!B1335,"AAAAAC/u9aQ=")</f>
        <v>#VALUE!</v>
      </c>
      <c r="FJ16">
        <f>IF(Ischemia_25percent_output_edgel!1336:1336,"AAAAAC/u9aU=",0)</f>
        <v>0</v>
      </c>
      <c r="FK16" t="e">
        <f>AND(Ischemia_25percent_output_edgel!A1336,"AAAAAC/u9aY=")</f>
        <v>#VALUE!</v>
      </c>
      <c r="FL16" t="e">
        <f>AND(Ischemia_25percent_output_edgel!B1336,"AAAAAC/u9ac=")</f>
        <v>#VALUE!</v>
      </c>
      <c r="FM16">
        <f>IF(Ischemia_25percent_output_edgel!1337:1337,"AAAAAC/u9ag=",0)</f>
        <v>0</v>
      </c>
      <c r="FN16" t="e">
        <f>AND(Ischemia_25percent_output_edgel!A1337,"AAAAAC/u9ak=")</f>
        <v>#VALUE!</v>
      </c>
      <c r="FO16" t="e">
        <f>AND(Ischemia_25percent_output_edgel!B1337,"AAAAAC/u9ao=")</f>
        <v>#VALUE!</v>
      </c>
      <c r="FP16">
        <f>IF(Ischemia_25percent_output_edgel!1338:1338,"AAAAAC/u9as=",0)</f>
        <v>0</v>
      </c>
      <c r="FQ16" t="e">
        <f>AND(Ischemia_25percent_output_edgel!A1338,"AAAAAC/u9aw=")</f>
        <v>#VALUE!</v>
      </c>
      <c r="FR16" t="e">
        <f>AND(Ischemia_25percent_output_edgel!B1338,"AAAAAC/u9a0=")</f>
        <v>#VALUE!</v>
      </c>
      <c r="FS16">
        <f>IF(Ischemia_25percent_output_edgel!1339:1339,"AAAAAC/u9a4=",0)</f>
        <v>0</v>
      </c>
      <c r="FT16" t="e">
        <f>AND(Ischemia_25percent_output_edgel!A1339,"AAAAAC/u9a8=")</f>
        <v>#VALUE!</v>
      </c>
      <c r="FU16" t="e">
        <f>AND(Ischemia_25percent_output_edgel!B1339,"AAAAAC/u9bA=")</f>
        <v>#VALUE!</v>
      </c>
      <c r="FV16">
        <f>IF(Ischemia_25percent_output_edgel!1340:1340,"AAAAAC/u9bE=",0)</f>
        <v>0</v>
      </c>
      <c r="FW16" t="e">
        <f>AND(Ischemia_25percent_output_edgel!A1340,"AAAAAC/u9bI=")</f>
        <v>#VALUE!</v>
      </c>
      <c r="FX16" t="e">
        <f>AND(Ischemia_25percent_output_edgel!B1340,"AAAAAC/u9bM=")</f>
        <v>#VALUE!</v>
      </c>
      <c r="FY16">
        <f>IF(Ischemia_25percent_output_edgel!1341:1341,"AAAAAC/u9bQ=",0)</f>
        <v>0</v>
      </c>
      <c r="FZ16" t="e">
        <f>AND(Ischemia_25percent_output_edgel!A1341,"AAAAAC/u9bU=")</f>
        <v>#VALUE!</v>
      </c>
      <c r="GA16" t="e">
        <f>AND(Ischemia_25percent_output_edgel!B1341,"AAAAAC/u9bY=")</f>
        <v>#VALUE!</v>
      </c>
      <c r="GB16">
        <f>IF(Ischemia_25percent_output_edgel!1342:1342,"AAAAAC/u9bc=",0)</f>
        <v>0</v>
      </c>
      <c r="GC16" t="e">
        <f>AND(Ischemia_25percent_output_edgel!A1342,"AAAAAC/u9bg=")</f>
        <v>#VALUE!</v>
      </c>
      <c r="GD16" t="e">
        <f>AND(Ischemia_25percent_output_edgel!B1342,"AAAAAC/u9bk=")</f>
        <v>#VALUE!</v>
      </c>
      <c r="GE16">
        <f>IF(Ischemia_25percent_output_edgel!1343:1343,"AAAAAC/u9bo=",0)</f>
        <v>0</v>
      </c>
      <c r="GF16" t="e">
        <f>AND(Ischemia_25percent_output_edgel!A1343,"AAAAAC/u9bs=")</f>
        <v>#VALUE!</v>
      </c>
      <c r="GG16" t="e">
        <f>AND(Ischemia_25percent_output_edgel!B1343,"AAAAAC/u9bw=")</f>
        <v>#VALUE!</v>
      </c>
      <c r="GH16">
        <f>IF(Ischemia_25percent_output_edgel!1344:1344,"AAAAAC/u9b0=",0)</f>
        <v>0</v>
      </c>
      <c r="GI16" t="e">
        <f>AND(Ischemia_25percent_output_edgel!A1344,"AAAAAC/u9b4=")</f>
        <v>#VALUE!</v>
      </c>
      <c r="GJ16" t="e">
        <f>AND(Ischemia_25percent_output_edgel!B1344,"AAAAAC/u9b8=")</f>
        <v>#VALUE!</v>
      </c>
      <c r="GK16">
        <f>IF(Ischemia_25percent_output_edgel!1345:1345,"AAAAAC/u9cA=",0)</f>
        <v>0</v>
      </c>
      <c r="GL16" t="e">
        <f>AND(Ischemia_25percent_output_edgel!A1345,"AAAAAC/u9cE=")</f>
        <v>#VALUE!</v>
      </c>
      <c r="GM16" t="e">
        <f>AND(Ischemia_25percent_output_edgel!B1345,"AAAAAC/u9cI=")</f>
        <v>#VALUE!</v>
      </c>
      <c r="GN16">
        <f>IF(Ischemia_25percent_output_edgel!1346:1346,"AAAAAC/u9cM=",0)</f>
        <v>0</v>
      </c>
      <c r="GO16" t="e">
        <f>AND(Ischemia_25percent_output_edgel!A1346,"AAAAAC/u9cQ=")</f>
        <v>#VALUE!</v>
      </c>
      <c r="GP16" t="e">
        <f>AND(Ischemia_25percent_output_edgel!B1346,"AAAAAC/u9cU=")</f>
        <v>#VALUE!</v>
      </c>
      <c r="GQ16">
        <f>IF(Ischemia_25percent_output_edgel!1347:1347,"AAAAAC/u9cY=",0)</f>
        <v>0</v>
      </c>
      <c r="GR16" t="e">
        <f>AND(Ischemia_25percent_output_edgel!A1347,"AAAAAC/u9cc=")</f>
        <v>#VALUE!</v>
      </c>
      <c r="GS16" t="e">
        <f>AND(Ischemia_25percent_output_edgel!B1347,"AAAAAC/u9cg=")</f>
        <v>#VALUE!</v>
      </c>
      <c r="GT16">
        <f>IF(Ischemia_25percent_output_edgel!1348:1348,"AAAAAC/u9ck=",0)</f>
        <v>0</v>
      </c>
      <c r="GU16" t="e">
        <f>AND(Ischemia_25percent_output_edgel!A1348,"AAAAAC/u9co=")</f>
        <v>#VALUE!</v>
      </c>
      <c r="GV16" t="e">
        <f>AND(Ischemia_25percent_output_edgel!B1348,"AAAAAC/u9cs=")</f>
        <v>#VALUE!</v>
      </c>
      <c r="GW16">
        <f>IF(Ischemia_25percent_output_edgel!1349:1349,"AAAAAC/u9cw=",0)</f>
        <v>0</v>
      </c>
      <c r="GX16" t="e">
        <f>AND(Ischemia_25percent_output_edgel!A1349,"AAAAAC/u9c0=")</f>
        <v>#VALUE!</v>
      </c>
      <c r="GY16" t="e">
        <f>AND(Ischemia_25percent_output_edgel!B1349,"AAAAAC/u9c4=")</f>
        <v>#VALUE!</v>
      </c>
      <c r="GZ16">
        <f>IF(Ischemia_25percent_output_edgel!1350:1350,"AAAAAC/u9c8=",0)</f>
        <v>0</v>
      </c>
      <c r="HA16" t="e">
        <f>AND(Ischemia_25percent_output_edgel!A1350,"AAAAAC/u9dA=")</f>
        <v>#VALUE!</v>
      </c>
      <c r="HB16" t="e">
        <f>AND(Ischemia_25percent_output_edgel!B1350,"AAAAAC/u9dE=")</f>
        <v>#VALUE!</v>
      </c>
      <c r="HC16">
        <f>IF(Ischemia_25percent_output_edgel!1351:1351,"AAAAAC/u9dI=",0)</f>
        <v>0</v>
      </c>
      <c r="HD16" t="e">
        <f>AND(Ischemia_25percent_output_edgel!A1351,"AAAAAC/u9dM=")</f>
        <v>#VALUE!</v>
      </c>
      <c r="HE16" t="e">
        <f>AND(Ischemia_25percent_output_edgel!B1351,"AAAAAC/u9dQ=")</f>
        <v>#VALUE!</v>
      </c>
      <c r="HF16">
        <f>IF(Ischemia_25percent_output_edgel!1352:1352,"AAAAAC/u9dU=",0)</f>
        <v>0</v>
      </c>
      <c r="HG16" t="e">
        <f>AND(Ischemia_25percent_output_edgel!A1352,"AAAAAC/u9dY=")</f>
        <v>#VALUE!</v>
      </c>
      <c r="HH16" t="e">
        <f>AND(Ischemia_25percent_output_edgel!B1352,"AAAAAC/u9dc=")</f>
        <v>#VALUE!</v>
      </c>
      <c r="HI16">
        <f>IF(Ischemia_25percent_output_edgel!1353:1353,"AAAAAC/u9dg=",0)</f>
        <v>0</v>
      </c>
      <c r="HJ16" t="e">
        <f>AND(Ischemia_25percent_output_edgel!A1353,"AAAAAC/u9dk=")</f>
        <v>#VALUE!</v>
      </c>
      <c r="HK16" t="e">
        <f>AND(Ischemia_25percent_output_edgel!B1353,"AAAAAC/u9do=")</f>
        <v>#VALUE!</v>
      </c>
      <c r="HL16">
        <f>IF(Ischemia_25percent_output_edgel!1354:1354,"AAAAAC/u9ds=",0)</f>
        <v>0</v>
      </c>
      <c r="HM16" t="e">
        <f>AND(Ischemia_25percent_output_edgel!A1354,"AAAAAC/u9dw=")</f>
        <v>#VALUE!</v>
      </c>
      <c r="HN16" t="e">
        <f>AND(Ischemia_25percent_output_edgel!B1354,"AAAAAC/u9d0=")</f>
        <v>#VALUE!</v>
      </c>
      <c r="HO16">
        <f>IF(Ischemia_25percent_output_edgel!1355:1355,"AAAAAC/u9d4=",0)</f>
        <v>0</v>
      </c>
      <c r="HP16" t="e">
        <f>AND(Ischemia_25percent_output_edgel!A1355,"AAAAAC/u9d8=")</f>
        <v>#VALUE!</v>
      </c>
      <c r="HQ16" t="e">
        <f>AND(Ischemia_25percent_output_edgel!B1355,"AAAAAC/u9eA=")</f>
        <v>#VALUE!</v>
      </c>
      <c r="HR16">
        <f>IF(Ischemia_25percent_output_edgel!1356:1356,"AAAAAC/u9eE=",0)</f>
        <v>0</v>
      </c>
      <c r="HS16" t="e">
        <f>AND(Ischemia_25percent_output_edgel!A1356,"AAAAAC/u9eI=")</f>
        <v>#VALUE!</v>
      </c>
      <c r="HT16" t="e">
        <f>AND(Ischemia_25percent_output_edgel!B1356,"AAAAAC/u9eM=")</f>
        <v>#VALUE!</v>
      </c>
      <c r="HU16">
        <f>IF(Ischemia_25percent_output_edgel!1357:1357,"AAAAAC/u9eQ=",0)</f>
        <v>0</v>
      </c>
      <c r="HV16" t="e">
        <f>AND(Ischemia_25percent_output_edgel!A1357,"AAAAAC/u9eU=")</f>
        <v>#VALUE!</v>
      </c>
      <c r="HW16" t="e">
        <f>AND(Ischemia_25percent_output_edgel!B1357,"AAAAAC/u9eY=")</f>
        <v>#VALUE!</v>
      </c>
      <c r="HX16">
        <f>IF(Ischemia_25percent_output_edgel!1358:1358,"AAAAAC/u9ec=",0)</f>
        <v>0</v>
      </c>
      <c r="HY16" t="e">
        <f>AND(Ischemia_25percent_output_edgel!A1358,"AAAAAC/u9eg=")</f>
        <v>#VALUE!</v>
      </c>
      <c r="HZ16" t="e">
        <f>AND(Ischemia_25percent_output_edgel!B1358,"AAAAAC/u9ek=")</f>
        <v>#VALUE!</v>
      </c>
      <c r="IA16">
        <f>IF(Ischemia_25percent_output_edgel!1359:1359,"AAAAAC/u9eo=",0)</f>
        <v>0</v>
      </c>
      <c r="IB16" t="e">
        <f>AND(Ischemia_25percent_output_edgel!A1359,"AAAAAC/u9es=")</f>
        <v>#VALUE!</v>
      </c>
      <c r="IC16" t="e">
        <f>AND(Ischemia_25percent_output_edgel!B1359,"AAAAAC/u9ew=")</f>
        <v>#VALUE!</v>
      </c>
      <c r="ID16">
        <f>IF(Ischemia_25percent_output_edgel!1360:1360,"AAAAAC/u9e0=",0)</f>
        <v>0</v>
      </c>
      <c r="IE16" t="e">
        <f>AND(Ischemia_25percent_output_edgel!A1360,"AAAAAC/u9e4=")</f>
        <v>#VALUE!</v>
      </c>
      <c r="IF16" t="e">
        <f>AND(Ischemia_25percent_output_edgel!B1360,"AAAAAC/u9e8=")</f>
        <v>#VALUE!</v>
      </c>
      <c r="IG16">
        <f>IF(Ischemia_25percent_output_edgel!1361:1361,"AAAAAC/u9fA=",0)</f>
        <v>0</v>
      </c>
      <c r="IH16" t="e">
        <f>AND(Ischemia_25percent_output_edgel!A1361,"AAAAAC/u9fE=")</f>
        <v>#VALUE!</v>
      </c>
      <c r="II16" t="e">
        <f>AND(Ischemia_25percent_output_edgel!B1361,"AAAAAC/u9fI=")</f>
        <v>#VALUE!</v>
      </c>
      <c r="IJ16">
        <f>IF(Ischemia_25percent_output_edgel!1362:1362,"AAAAAC/u9fM=",0)</f>
        <v>0</v>
      </c>
      <c r="IK16" t="e">
        <f>AND(Ischemia_25percent_output_edgel!A1362,"AAAAAC/u9fQ=")</f>
        <v>#VALUE!</v>
      </c>
      <c r="IL16" t="e">
        <f>AND(Ischemia_25percent_output_edgel!B1362,"AAAAAC/u9fU=")</f>
        <v>#VALUE!</v>
      </c>
      <c r="IM16">
        <f>IF(Ischemia_25percent_output_edgel!1363:1363,"AAAAAC/u9fY=",0)</f>
        <v>0</v>
      </c>
      <c r="IN16" t="e">
        <f>AND(Ischemia_25percent_output_edgel!A1363,"AAAAAC/u9fc=")</f>
        <v>#VALUE!</v>
      </c>
      <c r="IO16" t="e">
        <f>AND(Ischemia_25percent_output_edgel!B1363,"AAAAAC/u9fg=")</f>
        <v>#VALUE!</v>
      </c>
      <c r="IP16">
        <f>IF(Ischemia_25percent_output_edgel!1364:1364,"AAAAAC/u9fk=",0)</f>
        <v>0</v>
      </c>
      <c r="IQ16" t="e">
        <f>AND(Ischemia_25percent_output_edgel!A1364,"AAAAAC/u9fo=")</f>
        <v>#VALUE!</v>
      </c>
      <c r="IR16" t="e">
        <f>AND(Ischemia_25percent_output_edgel!B1364,"AAAAAC/u9fs=")</f>
        <v>#VALUE!</v>
      </c>
      <c r="IS16">
        <f>IF(Ischemia_25percent_output_edgel!1365:1365,"AAAAAC/u9fw=",0)</f>
        <v>0</v>
      </c>
      <c r="IT16" t="e">
        <f>AND(Ischemia_25percent_output_edgel!A1365,"AAAAAC/u9f0=")</f>
        <v>#VALUE!</v>
      </c>
      <c r="IU16" t="e">
        <f>AND(Ischemia_25percent_output_edgel!B1365,"AAAAAC/u9f4=")</f>
        <v>#VALUE!</v>
      </c>
      <c r="IV16">
        <f>IF(Ischemia_25percent_output_edgel!1366:1366,"AAAAAC/u9f8=",0)</f>
        <v>0</v>
      </c>
    </row>
    <row r="17" spans="1:256">
      <c r="A17" t="e">
        <f>AND(Ischemia_25percent_output_edgel!A1366,"AAAAAEn+NwA=")</f>
        <v>#VALUE!</v>
      </c>
      <c r="B17" t="e">
        <f>AND(Ischemia_25percent_output_edgel!B1366,"AAAAAEn+NwE=")</f>
        <v>#VALUE!</v>
      </c>
      <c r="C17">
        <f>IF(Ischemia_25percent_output_edgel!1367:1367,"AAAAAEn+NwI=",0)</f>
        <v>0</v>
      </c>
      <c r="D17" t="e">
        <f>AND(Ischemia_25percent_output_edgel!A1367,"AAAAAEn+NwM=")</f>
        <v>#VALUE!</v>
      </c>
      <c r="E17" t="e">
        <f>AND(Ischemia_25percent_output_edgel!B1367,"AAAAAEn+NwQ=")</f>
        <v>#VALUE!</v>
      </c>
      <c r="F17">
        <f>IF(Ischemia_25percent_output_edgel!1368:1368,"AAAAAEn+NwU=",0)</f>
        <v>0</v>
      </c>
      <c r="G17" t="e">
        <f>AND(Ischemia_25percent_output_edgel!A1368,"AAAAAEn+NwY=")</f>
        <v>#VALUE!</v>
      </c>
      <c r="H17" t="e">
        <f>AND(Ischemia_25percent_output_edgel!B1368,"AAAAAEn+Nwc=")</f>
        <v>#VALUE!</v>
      </c>
      <c r="I17">
        <f>IF(Ischemia_25percent_output_edgel!1369:1369,"AAAAAEn+Nwg=",0)</f>
        <v>0</v>
      </c>
      <c r="J17" t="e">
        <f>AND(Ischemia_25percent_output_edgel!A1369,"AAAAAEn+Nwk=")</f>
        <v>#VALUE!</v>
      </c>
      <c r="K17" t="e">
        <f>AND(Ischemia_25percent_output_edgel!B1369,"AAAAAEn+Nwo=")</f>
        <v>#VALUE!</v>
      </c>
      <c r="L17">
        <f>IF(Ischemia_25percent_output_edgel!1370:1370,"AAAAAEn+Nws=",0)</f>
        <v>0</v>
      </c>
      <c r="M17" t="e">
        <f>AND(Ischemia_25percent_output_edgel!A1370,"AAAAAEn+Nww=")</f>
        <v>#VALUE!</v>
      </c>
      <c r="N17" t="e">
        <f>AND(Ischemia_25percent_output_edgel!B1370,"AAAAAEn+Nw0=")</f>
        <v>#VALUE!</v>
      </c>
      <c r="O17">
        <f>IF(Ischemia_25percent_output_edgel!1371:1371,"AAAAAEn+Nw4=",0)</f>
        <v>0</v>
      </c>
      <c r="P17" t="e">
        <f>AND(Ischemia_25percent_output_edgel!A1371,"AAAAAEn+Nw8=")</f>
        <v>#VALUE!</v>
      </c>
      <c r="Q17" t="e">
        <f>AND(Ischemia_25percent_output_edgel!B1371,"AAAAAEn+NxA=")</f>
        <v>#VALUE!</v>
      </c>
      <c r="R17">
        <f>IF(Ischemia_25percent_output_edgel!1372:1372,"AAAAAEn+NxE=",0)</f>
        <v>0</v>
      </c>
      <c r="S17" t="e">
        <f>AND(Ischemia_25percent_output_edgel!A1372,"AAAAAEn+NxI=")</f>
        <v>#VALUE!</v>
      </c>
      <c r="T17" t="e">
        <f>AND(Ischemia_25percent_output_edgel!B1372,"AAAAAEn+NxM=")</f>
        <v>#VALUE!</v>
      </c>
      <c r="U17">
        <f>IF(Ischemia_25percent_output_edgel!1373:1373,"AAAAAEn+NxQ=",0)</f>
        <v>0</v>
      </c>
      <c r="V17" t="e">
        <f>AND(Ischemia_25percent_output_edgel!A1373,"AAAAAEn+NxU=")</f>
        <v>#VALUE!</v>
      </c>
      <c r="W17" t="e">
        <f>AND(Ischemia_25percent_output_edgel!B1373,"AAAAAEn+NxY=")</f>
        <v>#VALUE!</v>
      </c>
      <c r="X17">
        <f>IF(Ischemia_25percent_output_edgel!1374:1374,"AAAAAEn+Nxc=",0)</f>
        <v>0</v>
      </c>
      <c r="Y17" t="e">
        <f>AND(Ischemia_25percent_output_edgel!A1374,"AAAAAEn+Nxg=")</f>
        <v>#VALUE!</v>
      </c>
      <c r="Z17" t="e">
        <f>AND(Ischemia_25percent_output_edgel!B1374,"AAAAAEn+Nxk=")</f>
        <v>#VALUE!</v>
      </c>
      <c r="AA17">
        <f>IF(Ischemia_25percent_output_edgel!1375:1375,"AAAAAEn+Nxo=",0)</f>
        <v>0</v>
      </c>
      <c r="AB17" t="e">
        <f>AND(Ischemia_25percent_output_edgel!A1375,"AAAAAEn+Nxs=")</f>
        <v>#VALUE!</v>
      </c>
      <c r="AC17" t="e">
        <f>AND(Ischemia_25percent_output_edgel!B1375,"AAAAAEn+Nxw=")</f>
        <v>#VALUE!</v>
      </c>
      <c r="AD17">
        <f>IF(Ischemia_25percent_output_edgel!1376:1376,"AAAAAEn+Nx0=",0)</f>
        <v>0</v>
      </c>
      <c r="AE17" t="e">
        <f>AND(Ischemia_25percent_output_edgel!A1376,"AAAAAEn+Nx4=")</f>
        <v>#VALUE!</v>
      </c>
      <c r="AF17" t="e">
        <f>AND(Ischemia_25percent_output_edgel!B1376,"AAAAAEn+Nx8=")</f>
        <v>#VALUE!</v>
      </c>
      <c r="AG17">
        <f>IF(Ischemia_25percent_output_edgel!1377:1377,"AAAAAEn+NyA=",0)</f>
        <v>0</v>
      </c>
      <c r="AH17" t="e">
        <f>AND(Ischemia_25percent_output_edgel!A1377,"AAAAAEn+NyE=")</f>
        <v>#VALUE!</v>
      </c>
      <c r="AI17" t="e">
        <f>AND(Ischemia_25percent_output_edgel!B1377,"AAAAAEn+NyI=")</f>
        <v>#VALUE!</v>
      </c>
      <c r="AJ17">
        <f>IF(Ischemia_25percent_output_edgel!1378:1378,"AAAAAEn+NyM=",0)</f>
        <v>0</v>
      </c>
      <c r="AK17" t="e">
        <f>AND(Ischemia_25percent_output_edgel!A1378,"AAAAAEn+NyQ=")</f>
        <v>#VALUE!</v>
      </c>
      <c r="AL17" t="e">
        <f>AND(Ischemia_25percent_output_edgel!B1378,"AAAAAEn+NyU=")</f>
        <v>#VALUE!</v>
      </c>
      <c r="AM17">
        <f>IF(Ischemia_25percent_output_edgel!1379:1379,"AAAAAEn+NyY=",0)</f>
        <v>0</v>
      </c>
      <c r="AN17" t="e">
        <f>AND(Ischemia_25percent_output_edgel!A1379,"AAAAAEn+Nyc=")</f>
        <v>#VALUE!</v>
      </c>
      <c r="AO17" t="e">
        <f>AND(Ischemia_25percent_output_edgel!B1379,"AAAAAEn+Nyg=")</f>
        <v>#VALUE!</v>
      </c>
      <c r="AP17">
        <f>IF(Ischemia_25percent_output_edgel!1380:1380,"AAAAAEn+Nyk=",0)</f>
        <v>0</v>
      </c>
      <c r="AQ17" t="e">
        <f>AND(Ischemia_25percent_output_edgel!A1380,"AAAAAEn+Nyo=")</f>
        <v>#VALUE!</v>
      </c>
      <c r="AR17" t="e">
        <f>AND(Ischemia_25percent_output_edgel!B1380,"AAAAAEn+Nys=")</f>
        <v>#VALUE!</v>
      </c>
      <c r="AS17">
        <f>IF(Ischemia_25percent_output_edgel!1381:1381,"AAAAAEn+Nyw=",0)</f>
        <v>0</v>
      </c>
      <c r="AT17" t="e">
        <f>AND(Ischemia_25percent_output_edgel!A1381,"AAAAAEn+Ny0=")</f>
        <v>#VALUE!</v>
      </c>
      <c r="AU17" t="e">
        <f>AND(Ischemia_25percent_output_edgel!B1381,"AAAAAEn+Ny4=")</f>
        <v>#VALUE!</v>
      </c>
      <c r="AV17">
        <f>IF(Ischemia_25percent_output_edgel!1382:1382,"AAAAAEn+Ny8=",0)</f>
        <v>0</v>
      </c>
      <c r="AW17" t="e">
        <f>AND(Ischemia_25percent_output_edgel!A1382,"AAAAAEn+NzA=")</f>
        <v>#VALUE!</v>
      </c>
      <c r="AX17" t="e">
        <f>AND(Ischemia_25percent_output_edgel!B1382,"AAAAAEn+NzE=")</f>
        <v>#VALUE!</v>
      </c>
      <c r="AY17">
        <f>IF(Ischemia_25percent_output_edgel!1383:1383,"AAAAAEn+NzI=",0)</f>
        <v>0</v>
      </c>
      <c r="AZ17" t="e">
        <f>AND(Ischemia_25percent_output_edgel!A1383,"AAAAAEn+NzM=")</f>
        <v>#VALUE!</v>
      </c>
      <c r="BA17" t="e">
        <f>AND(Ischemia_25percent_output_edgel!B1383,"AAAAAEn+NzQ=")</f>
        <v>#VALUE!</v>
      </c>
      <c r="BB17">
        <f>IF(Ischemia_25percent_output_edgel!1384:1384,"AAAAAEn+NzU=",0)</f>
        <v>0</v>
      </c>
      <c r="BC17" t="e">
        <f>AND(Ischemia_25percent_output_edgel!A1384,"AAAAAEn+NzY=")</f>
        <v>#VALUE!</v>
      </c>
      <c r="BD17" t="e">
        <f>AND(Ischemia_25percent_output_edgel!B1384,"AAAAAEn+Nzc=")</f>
        <v>#VALUE!</v>
      </c>
      <c r="BE17">
        <f>IF(Ischemia_25percent_output_edgel!1385:1385,"AAAAAEn+Nzg=",0)</f>
        <v>0</v>
      </c>
      <c r="BF17" t="e">
        <f>AND(Ischemia_25percent_output_edgel!A1385,"AAAAAEn+Nzk=")</f>
        <v>#VALUE!</v>
      </c>
      <c r="BG17" t="e">
        <f>AND(Ischemia_25percent_output_edgel!B1385,"AAAAAEn+Nzo=")</f>
        <v>#VALUE!</v>
      </c>
      <c r="BH17">
        <f>IF(Ischemia_25percent_output_edgel!1386:1386,"AAAAAEn+Nzs=",0)</f>
        <v>0</v>
      </c>
      <c r="BI17" t="e">
        <f>AND(Ischemia_25percent_output_edgel!A1386,"AAAAAEn+Nzw=")</f>
        <v>#VALUE!</v>
      </c>
      <c r="BJ17" t="e">
        <f>AND(Ischemia_25percent_output_edgel!B1386,"AAAAAEn+Nz0=")</f>
        <v>#VALUE!</v>
      </c>
      <c r="BK17">
        <f>IF(Ischemia_25percent_output_edgel!1387:1387,"AAAAAEn+Nz4=",0)</f>
        <v>0</v>
      </c>
      <c r="BL17" t="e">
        <f>AND(Ischemia_25percent_output_edgel!A1387,"AAAAAEn+Nz8=")</f>
        <v>#VALUE!</v>
      </c>
      <c r="BM17" t="e">
        <f>AND(Ischemia_25percent_output_edgel!B1387,"AAAAAEn+N0A=")</f>
        <v>#VALUE!</v>
      </c>
      <c r="BN17">
        <f>IF(Ischemia_25percent_output_edgel!1388:1388,"AAAAAEn+N0E=",0)</f>
        <v>0</v>
      </c>
      <c r="BO17" t="e">
        <f>AND(Ischemia_25percent_output_edgel!A1388,"AAAAAEn+N0I=")</f>
        <v>#VALUE!</v>
      </c>
      <c r="BP17" t="e">
        <f>AND(Ischemia_25percent_output_edgel!B1388,"AAAAAEn+N0M=")</f>
        <v>#VALUE!</v>
      </c>
      <c r="BQ17">
        <f>IF(Ischemia_25percent_output_edgel!1389:1389,"AAAAAEn+N0Q=",0)</f>
        <v>0</v>
      </c>
      <c r="BR17" t="e">
        <f>AND(Ischemia_25percent_output_edgel!A1389,"AAAAAEn+N0U=")</f>
        <v>#VALUE!</v>
      </c>
      <c r="BS17" t="e">
        <f>AND(Ischemia_25percent_output_edgel!B1389,"AAAAAEn+N0Y=")</f>
        <v>#VALUE!</v>
      </c>
      <c r="BT17">
        <f>IF(Ischemia_25percent_output_edgel!1390:1390,"AAAAAEn+N0c=",0)</f>
        <v>0</v>
      </c>
      <c r="BU17" t="e">
        <f>AND(Ischemia_25percent_output_edgel!A1390,"AAAAAEn+N0g=")</f>
        <v>#VALUE!</v>
      </c>
      <c r="BV17" t="e">
        <f>AND(Ischemia_25percent_output_edgel!B1390,"AAAAAEn+N0k=")</f>
        <v>#VALUE!</v>
      </c>
      <c r="BW17">
        <f>IF(Ischemia_25percent_output_edgel!1391:1391,"AAAAAEn+N0o=",0)</f>
        <v>0</v>
      </c>
      <c r="BX17" t="e">
        <f>AND(Ischemia_25percent_output_edgel!A1391,"AAAAAEn+N0s=")</f>
        <v>#VALUE!</v>
      </c>
      <c r="BY17" t="e">
        <f>AND(Ischemia_25percent_output_edgel!B1391,"AAAAAEn+N0w=")</f>
        <v>#VALUE!</v>
      </c>
      <c r="BZ17">
        <f>IF(Ischemia_25percent_output_edgel!1392:1392,"AAAAAEn+N00=",0)</f>
        <v>0</v>
      </c>
      <c r="CA17" t="e">
        <f>AND(Ischemia_25percent_output_edgel!A1392,"AAAAAEn+N04=")</f>
        <v>#VALUE!</v>
      </c>
      <c r="CB17" t="e">
        <f>AND(Ischemia_25percent_output_edgel!B1392,"AAAAAEn+N08=")</f>
        <v>#VALUE!</v>
      </c>
      <c r="CC17">
        <f>IF(Ischemia_25percent_output_edgel!1393:1393,"AAAAAEn+N1A=",0)</f>
        <v>0</v>
      </c>
      <c r="CD17" t="e">
        <f>AND(Ischemia_25percent_output_edgel!A1393,"AAAAAEn+N1E=")</f>
        <v>#VALUE!</v>
      </c>
      <c r="CE17" t="e">
        <f>AND(Ischemia_25percent_output_edgel!B1393,"AAAAAEn+N1I=")</f>
        <v>#VALUE!</v>
      </c>
      <c r="CF17">
        <f>IF(Ischemia_25percent_output_edgel!1394:1394,"AAAAAEn+N1M=",0)</f>
        <v>0</v>
      </c>
      <c r="CG17" t="e">
        <f>AND(Ischemia_25percent_output_edgel!A1394,"AAAAAEn+N1Q=")</f>
        <v>#VALUE!</v>
      </c>
      <c r="CH17" t="e">
        <f>AND(Ischemia_25percent_output_edgel!B1394,"AAAAAEn+N1U=")</f>
        <v>#VALUE!</v>
      </c>
      <c r="CI17">
        <f>IF(Ischemia_25percent_output_edgel!1395:1395,"AAAAAEn+N1Y=",0)</f>
        <v>0</v>
      </c>
      <c r="CJ17" t="e">
        <f>AND(Ischemia_25percent_output_edgel!A1395,"AAAAAEn+N1c=")</f>
        <v>#VALUE!</v>
      </c>
      <c r="CK17" t="e">
        <f>AND(Ischemia_25percent_output_edgel!B1395,"AAAAAEn+N1g=")</f>
        <v>#VALUE!</v>
      </c>
      <c r="CL17">
        <f>IF(Ischemia_25percent_output_edgel!1396:1396,"AAAAAEn+N1k=",0)</f>
        <v>0</v>
      </c>
      <c r="CM17" t="e">
        <f>AND(Ischemia_25percent_output_edgel!A1396,"AAAAAEn+N1o=")</f>
        <v>#VALUE!</v>
      </c>
      <c r="CN17" t="e">
        <f>AND(Ischemia_25percent_output_edgel!B1396,"AAAAAEn+N1s=")</f>
        <v>#VALUE!</v>
      </c>
      <c r="CO17">
        <f>IF(Ischemia_25percent_output_edgel!1397:1397,"AAAAAEn+N1w=",0)</f>
        <v>0</v>
      </c>
      <c r="CP17" t="e">
        <f>AND(Ischemia_25percent_output_edgel!A1397,"AAAAAEn+N10=")</f>
        <v>#VALUE!</v>
      </c>
      <c r="CQ17" t="e">
        <f>AND(Ischemia_25percent_output_edgel!B1397,"AAAAAEn+N14=")</f>
        <v>#VALUE!</v>
      </c>
      <c r="CR17">
        <f>IF(Ischemia_25percent_output_edgel!1398:1398,"AAAAAEn+N18=",0)</f>
        <v>0</v>
      </c>
      <c r="CS17" t="e">
        <f>AND(Ischemia_25percent_output_edgel!A1398,"AAAAAEn+N2A=")</f>
        <v>#VALUE!</v>
      </c>
      <c r="CT17" t="e">
        <f>AND(Ischemia_25percent_output_edgel!B1398,"AAAAAEn+N2E=")</f>
        <v>#VALUE!</v>
      </c>
      <c r="CU17">
        <f>IF(Ischemia_25percent_output_edgel!1399:1399,"AAAAAEn+N2I=",0)</f>
        <v>0</v>
      </c>
      <c r="CV17" t="e">
        <f>AND(Ischemia_25percent_output_edgel!A1399,"AAAAAEn+N2M=")</f>
        <v>#VALUE!</v>
      </c>
      <c r="CW17" t="e">
        <f>AND(Ischemia_25percent_output_edgel!B1399,"AAAAAEn+N2Q=")</f>
        <v>#VALUE!</v>
      </c>
      <c r="CX17">
        <f>IF(Ischemia_25percent_output_edgel!1400:1400,"AAAAAEn+N2U=",0)</f>
        <v>0</v>
      </c>
      <c r="CY17" t="e">
        <f>AND(Ischemia_25percent_output_edgel!A1400,"AAAAAEn+N2Y=")</f>
        <v>#VALUE!</v>
      </c>
      <c r="CZ17" t="e">
        <f>AND(Ischemia_25percent_output_edgel!B1400,"AAAAAEn+N2c=")</f>
        <v>#VALUE!</v>
      </c>
      <c r="DA17">
        <f>IF(Ischemia_25percent_output_edgel!1401:1401,"AAAAAEn+N2g=",0)</f>
        <v>0</v>
      </c>
      <c r="DB17" t="e">
        <f>AND(Ischemia_25percent_output_edgel!A1401,"AAAAAEn+N2k=")</f>
        <v>#VALUE!</v>
      </c>
      <c r="DC17" t="e">
        <f>AND(Ischemia_25percent_output_edgel!B1401,"AAAAAEn+N2o=")</f>
        <v>#VALUE!</v>
      </c>
      <c r="DD17">
        <f>IF(Ischemia_25percent_output_edgel!1402:1402,"AAAAAEn+N2s=",0)</f>
        <v>0</v>
      </c>
      <c r="DE17" t="e">
        <f>AND(Ischemia_25percent_output_edgel!A1402,"AAAAAEn+N2w=")</f>
        <v>#VALUE!</v>
      </c>
      <c r="DF17" t="e">
        <f>AND(Ischemia_25percent_output_edgel!B1402,"AAAAAEn+N20=")</f>
        <v>#VALUE!</v>
      </c>
      <c r="DG17">
        <f>IF(Ischemia_25percent_output_edgel!1403:1403,"AAAAAEn+N24=",0)</f>
        <v>0</v>
      </c>
      <c r="DH17" t="e">
        <f>AND(Ischemia_25percent_output_edgel!A1403,"AAAAAEn+N28=")</f>
        <v>#VALUE!</v>
      </c>
      <c r="DI17" t="e">
        <f>AND(Ischemia_25percent_output_edgel!B1403,"AAAAAEn+N3A=")</f>
        <v>#VALUE!</v>
      </c>
      <c r="DJ17">
        <f>IF(Ischemia_25percent_output_edgel!1404:1404,"AAAAAEn+N3E=",0)</f>
        <v>0</v>
      </c>
      <c r="DK17" t="e">
        <f>AND(Ischemia_25percent_output_edgel!A1404,"AAAAAEn+N3I=")</f>
        <v>#VALUE!</v>
      </c>
      <c r="DL17" t="e">
        <f>AND(Ischemia_25percent_output_edgel!B1404,"AAAAAEn+N3M=")</f>
        <v>#VALUE!</v>
      </c>
      <c r="DM17">
        <f>IF(Ischemia_25percent_output_edgel!1405:1405,"AAAAAEn+N3Q=",0)</f>
        <v>0</v>
      </c>
      <c r="DN17" t="e">
        <f>AND(Ischemia_25percent_output_edgel!A1405,"AAAAAEn+N3U=")</f>
        <v>#VALUE!</v>
      </c>
      <c r="DO17" t="e">
        <f>AND(Ischemia_25percent_output_edgel!B1405,"AAAAAEn+N3Y=")</f>
        <v>#VALUE!</v>
      </c>
      <c r="DP17">
        <f>IF(Ischemia_25percent_output_edgel!1406:1406,"AAAAAEn+N3c=",0)</f>
        <v>0</v>
      </c>
      <c r="DQ17" t="e">
        <f>AND(Ischemia_25percent_output_edgel!A1406,"AAAAAEn+N3g=")</f>
        <v>#VALUE!</v>
      </c>
      <c r="DR17" t="e">
        <f>AND(Ischemia_25percent_output_edgel!B1406,"AAAAAEn+N3k=")</f>
        <v>#VALUE!</v>
      </c>
      <c r="DS17">
        <f>IF(Ischemia_25percent_output_edgel!1407:1407,"AAAAAEn+N3o=",0)</f>
        <v>0</v>
      </c>
      <c r="DT17" t="e">
        <f>AND(Ischemia_25percent_output_edgel!A1407,"AAAAAEn+N3s=")</f>
        <v>#VALUE!</v>
      </c>
      <c r="DU17" t="e">
        <f>AND(Ischemia_25percent_output_edgel!B1407,"AAAAAEn+N3w=")</f>
        <v>#VALUE!</v>
      </c>
      <c r="DV17">
        <f>IF(Ischemia_25percent_output_edgel!1408:1408,"AAAAAEn+N30=",0)</f>
        <v>0</v>
      </c>
      <c r="DW17" t="e">
        <f>AND(Ischemia_25percent_output_edgel!A1408,"AAAAAEn+N34=")</f>
        <v>#VALUE!</v>
      </c>
      <c r="DX17" t="e">
        <f>AND(Ischemia_25percent_output_edgel!B1408,"AAAAAEn+N38=")</f>
        <v>#VALUE!</v>
      </c>
      <c r="DY17">
        <f>IF(Ischemia_25percent_output_edgel!1409:1409,"AAAAAEn+N4A=",0)</f>
        <v>0</v>
      </c>
      <c r="DZ17" t="e">
        <f>AND(Ischemia_25percent_output_edgel!A1409,"AAAAAEn+N4E=")</f>
        <v>#VALUE!</v>
      </c>
      <c r="EA17" t="e">
        <f>AND(Ischemia_25percent_output_edgel!B1409,"AAAAAEn+N4I=")</f>
        <v>#VALUE!</v>
      </c>
      <c r="EB17">
        <f>IF(Ischemia_25percent_output_edgel!1410:1410,"AAAAAEn+N4M=",0)</f>
        <v>0</v>
      </c>
      <c r="EC17" t="e">
        <f>AND(Ischemia_25percent_output_edgel!A1410,"AAAAAEn+N4Q=")</f>
        <v>#VALUE!</v>
      </c>
      <c r="ED17" t="e">
        <f>AND(Ischemia_25percent_output_edgel!B1410,"AAAAAEn+N4U=")</f>
        <v>#VALUE!</v>
      </c>
      <c r="EE17">
        <f>IF(Ischemia_25percent_output_edgel!1411:1411,"AAAAAEn+N4Y=",0)</f>
        <v>0</v>
      </c>
      <c r="EF17" t="e">
        <f>AND(Ischemia_25percent_output_edgel!A1411,"AAAAAEn+N4c=")</f>
        <v>#VALUE!</v>
      </c>
      <c r="EG17" t="e">
        <f>AND(Ischemia_25percent_output_edgel!B1411,"AAAAAEn+N4g=")</f>
        <v>#VALUE!</v>
      </c>
      <c r="EH17">
        <f>IF(Ischemia_25percent_output_edgel!1412:1412,"AAAAAEn+N4k=",0)</f>
        <v>0</v>
      </c>
      <c r="EI17" t="e">
        <f>AND(Ischemia_25percent_output_edgel!A1412,"AAAAAEn+N4o=")</f>
        <v>#VALUE!</v>
      </c>
      <c r="EJ17" t="e">
        <f>AND(Ischemia_25percent_output_edgel!B1412,"AAAAAEn+N4s=")</f>
        <v>#VALUE!</v>
      </c>
      <c r="EK17">
        <f>IF(Ischemia_25percent_output_edgel!1413:1413,"AAAAAEn+N4w=",0)</f>
        <v>0</v>
      </c>
      <c r="EL17" t="e">
        <f>AND(Ischemia_25percent_output_edgel!A1413,"AAAAAEn+N40=")</f>
        <v>#VALUE!</v>
      </c>
      <c r="EM17" t="e">
        <f>AND(Ischemia_25percent_output_edgel!B1413,"AAAAAEn+N44=")</f>
        <v>#VALUE!</v>
      </c>
      <c r="EN17">
        <f>IF(Ischemia_25percent_output_edgel!1414:1414,"AAAAAEn+N48=",0)</f>
        <v>0</v>
      </c>
      <c r="EO17" t="e">
        <f>AND(Ischemia_25percent_output_edgel!A1414,"AAAAAEn+N5A=")</f>
        <v>#VALUE!</v>
      </c>
      <c r="EP17" t="e">
        <f>AND(Ischemia_25percent_output_edgel!B1414,"AAAAAEn+N5E=")</f>
        <v>#VALUE!</v>
      </c>
      <c r="EQ17">
        <f>IF(Ischemia_25percent_output_edgel!1415:1415,"AAAAAEn+N5I=",0)</f>
        <v>0</v>
      </c>
      <c r="ER17" t="e">
        <f>AND(Ischemia_25percent_output_edgel!A1415,"AAAAAEn+N5M=")</f>
        <v>#VALUE!</v>
      </c>
      <c r="ES17" t="e">
        <f>AND(Ischemia_25percent_output_edgel!B1415,"AAAAAEn+N5Q=")</f>
        <v>#VALUE!</v>
      </c>
      <c r="ET17">
        <f>IF(Ischemia_25percent_output_edgel!1416:1416,"AAAAAEn+N5U=",0)</f>
        <v>0</v>
      </c>
      <c r="EU17" t="e">
        <f>AND(Ischemia_25percent_output_edgel!A1416,"AAAAAEn+N5Y=")</f>
        <v>#VALUE!</v>
      </c>
      <c r="EV17" t="e">
        <f>AND(Ischemia_25percent_output_edgel!B1416,"AAAAAEn+N5c=")</f>
        <v>#VALUE!</v>
      </c>
      <c r="EW17">
        <f>IF(Ischemia_25percent_output_edgel!1417:1417,"AAAAAEn+N5g=",0)</f>
        <v>0</v>
      </c>
      <c r="EX17" t="e">
        <f>AND(Ischemia_25percent_output_edgel!A1417,"AAAAAEn+N5k=")</f>
        <v>#VALUE!</v>
      </c>
      <c r="EY17" t="e">
        <f>AND(Ischemia_25percent_output_edgel!B1417,"AAAAAEn+N5o=")</f>
        <v>#VALUE!</v>
      </c>
      <c r="EZ17">
        <f>IF(Ischemia_25percent_output_edgel!1418:1418,"AAAAAEn+N5s=",0)</f>
        <v>0</v>
      </c>
      <c r="FA17" t="e">
        <f>AND(Ischemia_25percent_output_edgel!A1418,"AAAAAEn+N5w=")</f>
        <v>#VALUE!</v>
      </c>
      <c r="FB17" t="e">
        <f>AND(Ischemia_25percent_output_edgel!B1418,"AAAAAEn+N50=")</f>
        <v>#VALUE!</v>
      </c>
      <c r="FC17">
        <f>IF(Ischemia_25percent_output_edgel!1419:1419,"AAAAAEn+N54=",0)</f>
        <v>0</v>
      </c>
      <c r="FD17" t="e">
        <f>AND(Ischemia_25percent_output_edgel!A1419,"AAAAAEn+N58=")</f>
        <v>#VALUE!</v>
      </c>
      <c r="FE17" t="e">
        <f>AND(Ischemia_25percent_output_edgel!B1419,"AAAAAEn+N6A=")</f>
        <v>#VALUE!</v>
      </c>
      <c r="FF17">
        <f>IF(Ischemia_25percent_output_edgel!1420:1420,"AAAAAEn+N6E=",0)</f>
        <v>0</v>
      </c>
      <c r="FG17" t="e">
        <f>AND(Ischemia_25percent_output_edgel!A1420,"AAAAAEn+N6I=")</f>
        <v>#VALUE!</v>
      </c>
      <c r="FH17" t="e">
        <f>AND(Ischemia_25percent_output_edgel!B1420,"AAAAAEn+N6M=")</f>
        <v>#VALUE!</v>
      </c>
      <c r="FI17">
        <f>IF(Ischemia_25percent_output_edgel!1421:1421,"AAAAAEn+N6Q=",0)</f>
        <v>0</v>
      </c>
      <c r="FJ17" t="e">
        <f>AND(Ischemia_25percent_output_edgel!A1421,"AAAAAEn+N6U=")</f>
        <v>#VALUE!</v>
      </c>
      <c r="FK17" t="e">
        <f>AND(Ischemia_25percent_output_edgel!B1421,"AAAAAEn+N6Y=")</f>
        <v>#VALUE!</v>
      </c>
      <c r="FL17">
        <f>IF(Ischemia_25percent_output_edgel!1422:1422,"AAAAAEn+N6c=",0)</f>
        <v>0</v>
      </c>
      <c r="FM17" t="e">
        <f>AND(Ischemia_25percent_output_edgel!A1422,"AAAAAEn+N6g=")</f>
        <v>#VALUE!</v>
      </c>
      <c r="FN17" t="e">
        <f>AND(Ischemia_25percent_output_edgel!B1422,"AAAAAEn+N6k=")</f>
        <v>#VALUE!</v>
      </c>
      <c r="FO17">
        <f>IF(Ischemia_25percent_output_edgel!1423:1423,"AAAAAEn+N6o=",0)</f>
        <v>0</v>
      </c>
      <c r="FP17" t="e">
        <f>AND(Ischemia_25percent_output_edgel!A1423,"AAAAAEn+N6s=")</f>
        <v>#VALUE!</v>
      </c>
      <c r="FQ17" t="e">
        <f>AND(Ischemia_25percent_output_edgel!B1423,"AAAAAEn+N6w=")</f>
        <v>#VALUE!</v>
      </c>
      <c r="FR17">
        <f>IF(Ischemia_25percent_output_edgel!1424:1424,"AAAAAEn+N60=",0)</f>
        <v>0</v>
      </c>
      <c r="FS17" t="e">
        <f>AND(Ischemia_25percent_output_edgel!A1424,"AAAAAEn+N64=")</f>
        <v>#VALUE!</v>
      </c>
      <c r="FT17" t="e">
        <f>AND(Ischemia_25percent_output_edgel!B1424,"AAAAAEn+N68=")</f>
        <v>#VALUE!</v>
      </c>
      <c r="FU17">
        <f>IF(Ischemia_25percent_output_edgel!1425:1425,"AAAAAEn+N7A=",0)</f>
        <v>0</v>
      </c>
      <c r="FV17" t="e">
        <f>AND(Ischemia_25percent_output_edgel!A1425,"AAAAAEn+N7E=")</f>
        <v>#VALUE!</v>
      </c>
      <c r="FW17" t="e">
        <f>AND(Ischemia_25percent_output_edgel!B1425,"AAAAAEn+N7I=")</f>
        <v>#VALUE!</v>
      </c>
      <c r="FX17">
        <f>IF(Ischemia_25percent_output_edgel!1426:1426,"AAAAAEn+N7M=",0)</f>
        <v>0</v>
      </c>
      <c r="FY17" t="e">
        <f>AND(Ischemia_25percent_output_edgel!A1426,"AAAAAEn+N7Q=")</f>
        <v>#VALUE!</v>
      </c>
      <c r="FZ17" t="e">
        <f>AND(Ischemia_25percent_output_edgel!B1426,"AAAAAEn+N7U=")</f>
        <v>#VALUE!</v>
      </c>
      <c r="GA17">
        <f>IF(Ischemia_25percent_output_edgel!1427:1427,"AAAAAEn+N7Y=",0)</f>
        <v>0</v>
      </c>
      <c r="GB17" t="e">
        <f>AND(Ischemia_25percent_output_edgel!A1427,"AAAAAEn+N7c=")</f>
        <v>#VALUE!</v>
      </c>
      <c r="GC17" t="e">
        <f>AND(Ischemia_25percent_output_edgel!B1427,"AAAAAEn+N7g=")</f>
        <v>#VALUE!</v>
      </c>
      <c r="GD17">
        <f>IF(Ischemia_25percent_output_edgel!1428:1428,"AAAAAEn+N7k=",0)</f>
        <v>0</v>
      </c>
      <c r="GE17" t="e">
        <f>AND(Ischemia_25percent_output_edgel!A1428,"AAAAAEn+N7o=")</f>
        <v>#VALUE!</v>
      </c>
      <c r="GF17" t="e">
        <f>AND(Ischemia_25percent_output_edgel!B1428,"AAAAAEn+N7s=")</f>
        <v>#VALUE!</v>
      </c>
      <c r="GG17">
        <f>IF(Ischemia_25percent_output_edgel!1429:1429,"AAAAAEn+N7w=",0)</f>
        <v>0</v>
      </c>
      <c r="GH17" t="e">
        <f>AND(Ischemia_25percent_output_edgel!A1429,"AAAAAEn+N70=")</f>
        <v>#VALUE!</v>
      </c>
      <c r="GI17" t="e">
        <f>AND(Ischemia_25percent_output_edgel!B1429,"AAAAAEn+N74=")</f>
        <v>#VALUE!</v>
      </c>
      <c r="GJ17">
        <f>IF(Ischemia_25percent_output_edgel!1430:1430,"AAAAAEn+N78=",0)</f>
        <v>0</v>
      </c>
      <c r="GK17" t="e">
        <f>AND(Ischemia_25percent_output_edgel!A1430,"AAAAAEn+N8A=")</f>
        <v>#VALUE!</v>
      </c>
      <c r="GL17" t="e">
        <f>AND(Ischemia_25percent_output_edgel!B1430,"AAAAAEn+N8E=")</f>
        <v>#VALUE!</v>
      </c>
      <c r="GM17">
        <f>IF(Ischemia_25percent_output_edgel!1431:1431,"AAAAAEn+N8I=",0)</f>
        <v>0</v>
      </c>
      <c r="GN17" t="e">
        <f>AND(Ischemia_25percent_output_edgel!A1431,"AAAAAEn+N8M=")</f>
        <v>#VALUE!</v>
      </c>
      <c r="GO17" t="e">
        <f>AND(Ischemia_25percent_output_edgel!B1431,"AAAAAEn+N8Q=")</f>
        <v>#VALUE!</v>
      </c>
      <c r="GP17">
        <f>IF(Ischemia_25percent_output_edgel!1432:1432,"AAAAAEn+N8U=",0)</f>
        <v>0</v>
      </c>
      <c r="GQ17" t="e">
        <f>AND(Ischemia_25percent_output_edgel!A1432,"AAAAAEn+N8Y=")</f>
        <v>#VALUE!</v>
      </c>
      <c r="GR17" t="e">
        <f>AND(Ischemia_25percent_output_edgel!B1432,"AAAAAEn+N8c=")</f>
        <v>#VALUE!</v>
      </c>
      <c r="GS17">
        <f>IF(Ischemia_25percent_output_edgel!1433:1433,"AAAAAEn+N8g=",0)</f>
        <v>0</v>
      </c>
      <c r="GT17" t="e">
        <f>AND(Ischemia_25percent_output_edgel!A1433,"AAAAAEn+N8k=")</f>
        <v>#VALUE!</v>
      </c>
      <c r="GU17" t="e">
        <f>AND(Ischemia_25percent_output_edgel!B1433,"AAAAAEn+N8o=")</f>
        <v>#VALUE!</v>
      </c>
      <c r="GV17">
        <f>IF(Ischemia_25percent_output_edgel!1434:1434,"AAAAAEn+N8s=",0)</f>
        <v>0</v>
      </c>
      <c r="GW17" t="e">
        <f>AND(Ischemia_25percent_output_edgel!A1434,"AAAAAEn+N8w=")</f>
        <v>#VALUE!</v>
      </c>
      <c r="GX17" t="e">
        <f>AND(Ischemia_25percent_output_edgel!B1434,"AAAAAEn+N80=")</f>
        <v>#VALUE!</v>
      </c>
      <c r="GY17">
        <f>IF(Ischemia_25percent_output_edgel!1435:1435,"AAAAAEn+N84=",0)</f>
        <v>0</v>
      </c>
      <c r="GZ17" t="e">
        <f>AND(Ischemia_25percent_output_edgel!A1435,"AAAAAEn+N88=")</f>
        <v>#VALUE!</v>
      </c>
      <c r="HA17" t="e">
        <f>AND(Ischemia_25percent_output_edgel!B1435,"AAAAAEn+N9A=")</f>
        <v>#VALUE!</v>
      </c>
      <c r="HB17">
        <f>IF(Ischemia_25percent_output_edgel!1436:1436,"AAAAAEn+N9E=",0)</f>
        <v>0</v>
      </c>
      <c r="HC17" t="e">
        <f>AND(Ischemia_25percent_output_edgel!A1436,"AAAAAEn+N9I=")</f>
        <v>#VALUE!</v>
      </c>
      <c r="HD17" t="e">
        <f>AND(Ischemia_25percent_output_edgel!B1436,"AAAAAEn+N9M=")</f>
        <v>#VALUE!</v>
      </c>
      <c r="HE17">
        <f>IF(Ischemia_25percent_output_edgel!1437:1437,"AAAAAEn+N9Q=",0)</f>
        <v>0</v>
      </c>
      <c r="HF17" t="e">
        <f>AND(Ischemia_25percent_output_edgel!A1437,"AAAAAEn+N9U=")</f>
        <v>#VALUE!</v>
      </c>
      <c r="HG17" t="e">
        <f>AND(Ischemia_25percent_output_edgel!B1437,"AAAAAEn+N9Y=")</f>
        <v>#VALUE!</v>
      </c>
      <c r="HH17">
        <f>IF(Ischemia_25percent_output_edgel!1438:1438,"AAAAAEn+N9c=",0)</f>
        <v>0</v>
      </c>
      <c r="HI17" t="e">
        <f>AND(Ischemia_25percent_output_edgel!A1438,"AAAAAEn+N9g=")</f>
        <v>#VALUE!</v>
      </c>
      <c r="HJ17" t="e">
        <f>AND(Ischemia_25percent_output_edgel!B1438,"AAAAAEn+N9k=")</f>
        <v>#VALUE!</v>
      </c>
      <c r="HK17">
        <f>IF(Ischemia_25percent_output_edgel!1439:1439,"AAAAAEn+N9o=",0)</f>
        <v>0</v>
      </c>
      <c r="HL17" t="e">
        <f>AND(Ischemia_25percent_output_edgel!A1439,"AAAAAEn+N9s=")</f>
        <v>#VALUE!</v>
      </c>
      <c r="HM17" t="e">
        <f>AND(Ischemia_25percent_output_edgel!B1439,"AAAAAEn+N9w=")</f>
        <v>#VALUE!</v>
      </c>
      <c r="HN17">
        <f>IF(Ischemia_25percent_output_edgel!1440:1440,"AAAAAEn+N90=",0)</f>
        <v>0</v>
      </c>
      <c r="HO17" t="e">
        <f>AND(Ischemia_25percent_output_edgel!A1440,"AAAAAEn+N94=")</f>
        <v>#VALUE!</v>
      </c>
      <c r="HP17" t="e">
        <f>AND(Ischemia_25percent_output_edgel!B1440,"AAAAAEn+N98=")</f>
        <v>#VALUE!</v>
      </c>
      <c r="HQ17">
        <f>IF(Ischemia_25percent_output_edgel!1441:1441,"AAAAAEn+N+A=",0)</f>
        <v>0</v>
      </c>
      <c r="HR17" t="e">
        <f>AND(Ischemia_25percent_output_edgel!A1441,"AAAAAEn+N+E=")</f>
        <v>#VALUE!</v>
      </c>
      <c r="HS17" t="e">
        <f>AND(Ischemia_25percent_output_edgel!B1441,"AAAAAEn+N+I=")</f>
        <v>#VALUE!</v>
      </c>
      <c r="HT17">
        <f>IF(Ischemia_25percent_output_edgel!1442:1442,"AAAAAEn+N+M=",0)</f>
        <v>0</v>
      </c>
      <c r="HU17" t="e">
        <f>AND(Ischemia_25percent_output_edgel!A1442,"AAAAAEn+N+Q=")</f>
        <v>#VALUE!</v>
      </c>
      <c r="HV17" t="e">
        <f>AND(Ischemia_25percent_output_edgel!B1442,"AAAAAEn+N+U=")</f>
        <v>#VALUE!</v>
      </c>
      <c r="HW17">
        <f>IF(Ischemia_25percent_output_edgel!1443:1443,"AAAAAEn+N+Y=",0)</f>
        <v>0</v>
      </c>
      <c r="HX17" t="e">
        <f>AND(Ischemia_25percent_output_edgel!A1443,"AAAAAEn+N+c=")</f>
        <v>#VALUE!</v>
      </c>
      <c r="HY17" t="e">
        <f>AND(Ischemia_25percent_output_edgel!B1443,"AAAAAEn+N+g=")</f>
        <v>#VALUE!</v>
      </c>
      <c r="HZ17">
        <f>IF(Ischemia_25percent_output_edgel!1444:1444,"AAAAAEn+N+k=",0)</f>
        <v>0</v>
      </c>
      <c r="IA17" t="e">
        <f>AND(Ischemia_25percent_output_edgel!A1444,"AAAAAEn+N+o=")</f>
        <v>#VALUE!</v>
      </c>
      <c r="IB17" t="e">
        <f>AND(Ischemia_25percent_output_edgel!B1444,"AAAAAEn+N+s=")</f>
        <v>#VALUE!</v>
      </c>
      <c r="IC17">
        <f>IF(Ischemia_25percent_output_edgel!1445:1445,"AAAAAEn+N+w=",0)</f>
        <v>0</v>
      </c>
      <c r="ID17" t="e">
        <f>AND(Ischemia_25percent_output_edgel!A1445,"AAAAAEn+N+0=")</f>
        <v>#VALUE!</v>
      </c>
      <c r="IE17" t="e">
        <f>AND(Ischemia_25percent_output_edgel!B1445,"AAAAAEn+N+4=")</f>
        <v>#VALUE!</v>
      </c>
      <c r="IF17">
        <f>IF(Ischemia_25percent_output_edgel!1446:1446,"AAAAAEn+N+8=",0)</f>
        <v>0</v>
      </c>
      <c r="IG17" t="e">
        <f>AND(Ischemia_25percent_output_edgel!A1446,"AAAAAEn+N/A=")</f>
        <v>#VALUE!</v>
      </c>
      <c r="IH17" t="e">
        <f>AND(Ischemia_25percent_output_edgel!B1446,"AAAAAEn+N/E=")</f>
        <v>#VALUE!</v>
      </c>
      <c r="II17">
        <f>IF(Ischemia_25percent_output_edgel!1447:1447,"AAAAAEn+N/I=",0)</f>
        <v>0</v>
      </c>
      <c r="IJ17" t="e">
        <f>AND(Ischemia_25percent_output_edgel!A1447,"AAAAAEn+N/M=")</f>
        <v>#VALUE!</v>
      </c>
      <c r="IK17" t="e">
        <f>AND(Ischemia_25percent_output_edgel!B1447,"AAAAAEn+N/Q=")</f>
        <v>#VALUE!</v>
      </c>
      <c r="IL17">
        <f>IF(Ischemia_25percent_output_edgel!1448:1448,"AAAAAEn+N/U=",0)</f>
        <v>0</v>
      </c>
      <c r="IM17" t="e">
        <f>AND(Ischemia_25percent_output_edgel!A1448,"AAAAAEn+N/Y=")</f>
        <v>#VALUE!</v>
      </c>
      <c r="IN17" t="e">
        <f>AND(Ischemia_25percent_output_edgel!B1448,"AAAAAEn+N/c=")</f>
        <v>#VALUE!</v>
      </c>
      <c r="IO17">
        <f>IF(Ischemia_25percent_output_edgel!1449:1449,"AAAAAEn+N/g=",0)</f>
        <v>0</v>
      </c>
      <c r="IP17" t="e">
        <f>AND(Ischemia_25percent_output_edgel!A1449,"AAAAAEn+N/k=")</f>
        <v>#VALUE!</v>
      </c>
      <c r="IQ17" t="e">
        <f>AND(Ischemia_25percent_output_edgel!B1449,"AAAAAEn+N/o=")</f>
        <v>#VALUE!</v>
      </c>
      <c r="IR17">
        <f>IF(Ischemia_25percent_output_edgel!1450:1450,"AAAAAEn+N/s=",0)</f>
        <v>0</v>
      </c>
      <c r="IS17" t="e">
        <f>AND(Ischemia_25percent_output_edgel!A1450,"AAAAAEn+N/w=")</f>
        <v>#VALUE!</v>
      </c>
      <c r="IT17" t="e">
        <f>AND(Ischemia_25percent_output_edgel!B1450,"AAAAAEn+N/0=")</f>
        <v>#VALUE!</v>
      </c>
      <c r="IU17">
        <f>IF(Ischemia_25percent_output_edgel!1451:1451,"AAAAAEn+N/4=",0)</f>
        <v>0</v>
      </c>
      <c r="IV17" t="e">
        <f>AND(Ischemia_25percent_output_edgel!A1451,"AAAAAEn+N/8=")</f>
        <v>#VALUE!</v>
      </c>
    </row>
    <row r="18" spans="1:256">
      <c r="A18" t="e">
        <f>AND(Ischemia_25percent_output_edgel!B1451,"AAAAAE/dLQA=")</f>
        <v>#VALUE!</v>
      </c>
      <c r="B18" t="e">
        <f>IF(Ischemia_25percent_output_edgel!1452:1452,"AAAAAE/dLQE=",0)</f>
        <v>#VALUE!</v>
      </c>
      <c r="C18" t="e">
        <f>AND(Ischemia_25percent_output_edgel!A1452,"AAAAAE/dLQI=")</f>
        <v>#VALUE!</v>
      </c>
      <c r="D18" t="e">
        <f>AND(Ischemia_25percent_output_edgel!B1452,"AAAAAE/dLQM=")</f>
        <v>#VALUE!</v>
      </c>
      <c r="E18">
        <f>IF(Ischemia_25percent_output_edgel!1453:1453,"AAAAAE/dLQQ=",0)</f>
        <v>0</v>
      </c>
      <c r="F18" t="e">
        <f>AND(Ischemia_25percent_output_edgel!A1453,"AAAAAE/dLQU=")</f>
        <v>#VALUE!</v>
      </c>
      <c r="G18" t="e">
        <f>AND(Ischemia_25percent_output_edgel!B1453,"AAAAAE/dLQY=")</f>
        <v>#VALUE!</v>
      </c>
      <c r="H18">
        <f>IF(Ischemia_25percent_output_edgel!1454:1454,"AAAAAE/dLQc=",0)</f>
        <v>0</v>
      </c>
      <c r="I18" t="e">
        <f>AND(Ischemia_25percent_output_edgel!A1454,"AAAAAE/dLQg=")</f>
        <v>#VALUE!</v>
      </c>
      <c r="J18" t="e">
        <f>AND(Ischemia_25percent_output_edgel!B1454,"AAAAAE/dLQk=")</f>
        <v>#VALUE!</v>
      </c>
      <c r="K18">
        <f>IF(Ischemia_25percent_output_edgel!1455:1455,"AAAAAE/dLQo=",0)</f>
        <v>0</v>
      </c>
      <c r="L18" t="e">
        <f>AND(Ischemia_25percent_output_edgel!A1455,"AAAAAE/dLQs=")</f>
        <v>#VALUE!</v>
      </c>
      <c r="M18" t="e">
        <f>AND(Ischemia_25percent_output_edgel!B1455,"AAAAAE/dLQw=")</f>
        <v>#VALUE!</v>
      </c>
      <c r="N18">
        <f>IF(Ischemia_25percent_output_edgel!1456:1456,"AAAAAE/dLQ0=",0)</f>
        <v>0</v>
      </c>
      <c r="O18" t="e">
        <f>AND(Ischemia_25percent_output_edgel!A1456,"AAAAAE/dLQ4=")</f>
        <v>#VALUE!</v>
      </c>
      <c r="P18" t="e">
        <f>AND(Ischemia_25percent_output_edgel!B1456,"AAAAAE/dLQ8=")</f>
        <v>#VALUE!</v>
      </c>
      <c r="Q18">
        <f>IF(Ischemia_25percent_output_edgel!1457:1457,"AAAAAE/dLRA=",0)</f>
        <v>0</v>
      </c>
      <c r="R18" t="e">
        <f>AND(Ischemia_25percent_output_edgel!A1457,"AAAAAE/dLRE=")</f>
        <v>#VALUE!</v>
      </c>
      <c r="S18" t="e">
        <f>AND(Ischemia_25percent_output_edgel!B1457,"AAAAAE/dLRI=")</f>
        <v>#VALUE!</v>
      </c>
      <c r="T18">
        <f>IF(Ischemia_25percent_output_edgel!1458:1458,"AAAAAE/dLRM=",0)</f>
        <v>0</v>
      </c>
      <c r="U18" t="e">
        <f>AND(Ischemia_25percent_output_edgel!A1458,"AAAAAE/dLRQ=")</f>
        <v>#VALUE!</v>
      </c>
      <c r="V18" t="e">
        <f>AND(Ischemia_25percent_output_edgel!B1458,"AAAAAE/dLRU=")</f>
        <v>#VALUE!</v>
      </c>
      <c r="W18">
        <f>IF(Ischemia_25percent_output_edgel!1459:1459,"AAAAAE/dLRY=",0)</f>
        <v>0</v>
      </c>
      <c r="X18" t="e">
        <f>AND(Ischemia_25percent_output_edgel!A1459,"AAAAAE/dLRc=")</f>
        <v>#VALUE!</v>
      </c>
      <c r="Y18" t="e">
        <f>AND(Ischemia_25percent_output_edgel!B1459,"AAAAAE/dLRg=")</f>
        <v>#VALUE!</v>
      </c>
      <c r="Z18">
        <f>IF(Ischemia_25percent_output_edgel!1460:1460,"AAAAAE/dLRk=",0)</f>
        <v>0</v>
      </c>
      <c r="AA18" t="e">
        <f>AND(Ischemia_25percent_output_edgel!A1460,"AAAAAE/dLRo=")</f>
        <v>#VALUE!</v>
      </c>
      <c r="AB18" t="e">
        <f>AND(Ischemia_25percent_output_edgel!B1460,"AAAAAE/dLRs=")</f>
        <v>#VALUE!</v>
      </c>
      <c r="AC18">
        <f>IF(Ischemia_25percent_output_edgel!1461:1461,"AAAAAE/dLRw=",0)</f>
        <v>0</v>
      </c>
      <c r="AD18" t="e">
        <f>AND(Ischemia_25percent_output_edgel!A1461,"AAAAAE/dLR0=")</f>
        <v>#VALUE!</v>
      </c>
      <c r="AE18" t="e">
        <f>AND(Ischemia_25percent_output_edgel!B1461,"AAAAAE/dLR4=")</f>
        <v>#VALUE!</v>
      </c>
      <c r="AF18">
        <f>IF(Ischemia_25percent_output_edgel!1462:1462,"AAAAAE/dLR8=",0)</f>
        <v>0</v>
      </c>
      <c r="AG18" t="e">
        <f>AND(Ischemia_25percent_output_edgel!A1462,"AAAAAE/dLSA=")</f>
        <v>#VALUE!</v>
      </c>
      <c r="AH18" t="e">
        <f>AND(Ischemia_25percent_output_edgel!B1462,"AAAAAE/dLSE=")</f>
        <v>#VALUE!</v>
      </c>
      <c r="AI18">
        <f>IF(Ischemia_25percent_output_edgel!1463:1463,"AAAAAE/dLSI=",0)</f>
        <v>0</v>
      </c>
      <c r="AJ18" t="e">
        <f>AND(Ischemia_25percent_output_edgel!A1463,"AAAAAE/dLSM=")</f>
        <v>#VALUE!</v>
      </c>
      <c r="AK18" t="e">
        <f>AND(Ischemia_25percent_output_edgel!B1463,"AAAAAE/dLSQ=")</f>
        <v>#VALUE!</v>
      </c>
      <c r="AL18">
        <f>IF(Ischemia_25percent_output_edgel!1464:1464,"AAAAAE/dLSU=",0)</f>
        <v>0</v>
      </c>
      <c r="AM18" t="e">
        <f>AND(Ischemia_25percent_output_edgel!A1464,"AAAAAE/dLSY=")</f>
        <v>#VALUE!</v>
      </c>
      <c r="AN18" t="e">
        <f>AND(Ischemia_25percent_output_edgel!B1464,"AAAAAE/dLSc=")</f>
        <v>#VALUE!</v>
      </c>
      <c r="AO18">
        <f>IF(Ischemia_25percent_output_edgel!1465:1465,"AAAAAE/dLSg=",0)</f>
        <v>0</v>
      </c>
      <c r="AP18" t="e">
        <f>AND(Ischemia_25percent_output_edgel!A1465,"AAAAAE/dLSk=")</f>
        <v>#VALUE!</v>
      </c>
      <c r="AQ18" t="e">
        <f>AND(Ischemia_25percent_output_edgel!B1465,"AAAAAE/dLSo=")</f>
        <v>#VALUE!</v>
      </c>
      <c r="AR18">
        <f>IF(Ischemia_25percent_output_edgel!1466:1466,"AAAAAE/dLSs=",0)</f>
        <v>0</v>
      </c>
      <c r="AS18" t="e">
        <f>AND(Ischemia_25percent_output_edgel!A1466,"AAAAAE/dLSw=")</f>
        <v>#VALUE!</v>
      </c>
      <c r="AT18" t="e">
        <f>AND(Ischemia_25percent_output_edgel!B1466,"AAAAAE/dLS0=")</f>
        <v>#VALUE!</v>
      </c>
      <c r="AU18">
        <f>IF(Ischemia_25percent_output_edgel!1467:1467,"AAAAAE/dLS4=",0)</f>
        <v>0</v>
      </c>
      <c r="AV18" t="e">
        <f>AND(Ischemia_25percent_output_edgel!A1467,"AAAAAE/dLS8=")</f>
        <v>#VALUE!</v>
      </c>
      <c r="AW18" t="e">
        <f>AND(Ischemia_25percent_output_edgel!B1467,"AAAAAE/dLTA=")</f>
        <v>#VALUE!</v>
      </c>
      <c r="AX18">
        <f>IF(Ischemia_25percent_output_edgel!1468:1468,"AAAAAE/dLTE=",0)</f>
        <v>0</v>
      </c>
      <c r="AY18" t="e">
        <f>AND(Ischemia_25percent_output_edgel!A1468,"AAAAAE/dLTI=")</f>
        <v>#VALUE!</v>
      </c>
      <c r="AZ18" t="e">
        <f>AND(Ischemia_25percent_output_edgel!B1468,"AAAAAE/dLTM=")</f>
        <v>#VALUE!</v>
      </c>
      <c r="BA18">
        <f>IF(Ischemia_25percent_output_edgel!1469:1469,"AAAAAE/dLTQ=",0)</f>
        <v>0</v>
      </c>
      <c r="BB18" t="e">
        <f>AND(Ischemia_25percent_output_edgel!A1469,"AAAAAE/dLTU=")</f>
        <v>#VALUE!</v>
      </c>
      <c r="BC18" t="e">
        <f>AND(Ischemia_25percent_output_edgel!B1469,"AAAAAE/dLTY=")</f>
        <v>#VALUE!</v>
      </c>
      <c r="BD18">
        <f>IF(Ischemia_25percent_output_edgel!1470:1470,"AAAAAE/dLTc=",0)</f>
        <v>0</v>
      </c>
      <c r="BE18" t="e">
        <f>AND(Ischemia_25percent_output_edgel!A1470,"AAAAAE/dLTg=")</f>
        <v>#VALUE!</v>
      </c>
      <c r="BF18" t="e">
        <f>AND(Ischemia_25percent_output_edgel!B1470,"AAAAAE/dLTk=")</f>
        <v>#VALUE!</v>
      </c>
      <c r="BG18">
        <f>IF(Ischemia_25percent_output_edgel!1471:1471,"AAAAAE/dLTo=",0)</f>
        <v>0</v>
      </c>
      <c r="BH18" t="e">
        <f>AND(Ischemia_25percent_output_edgel!A1471,"AAAAAE/dLTs=")</f>
        <v>#VALUE!</v>
      </c>
      <c r="BI18" t="e">
        <f>AND(Ischemia_25percent_output_edgel!B1471,"AAAAAE/dLTw=")</f>
        <v>#VALUE!</v>
      </c>
      <c r="BJ18">
        <f>IF(Ischemia_25percent_output_edgel!1472:1472,"AAAAAE/dLT0=",0)</f>
        <v>0</v>
      </c>
      <c r="BK18" t="e">
        <f>AND(Ischemia_25percent_output_edgel!A1472,"AAAAAE/dLT4=")</f>
        <v>#VALUE!</v>
      </c>
      <c r="BL18" t="e">
        <f>AND(Ischemia_25percent_output_edgel!B1472,"AAAAAE/dLT8=")</f>
        <v>#VALUE!</v>
      </c>
      <c r="BM18">
        <f>IF(Ischemia_25percent_output_edgel!1473:1473,"AAAAAE/dLUA=",0)</f>
        <v>0</v>
      </c>
      <c r="BN18" t="e">
        <f>AND(Ischemia_25percent_output_edgel!A1473,"AAAAAE/dLUE=")</f>
        <v>#VALUE!</v>
      </c>
      <c r="BO18" t="e">
        <f>AND(Ischemia_25percent_output_edgel!B1473,"AAAAAE/dLUI=")</f>
        <v>#VALUE!</v>
      </c>
      <c r="BP18">
        <f>IF(Ischemia_25percent_output_edgel!1474:1474,"AAAAAE/dLUM=",0)</f>
        <v>0</v>
      </c>
      <c r="BQ18" t="e">
        <f>AND(Ischemia_25percent_output_edgel!A1474,"AAAAAE/dLUQ=")</f>
        <v>#VALUE!</v>
      </c>
      <c r="BR18" t="e">
        <f>AND(Ischemia_25percent_output_edgel!B1474,"AAAAAE/dLUU=")</f>
        <v>#VALUE!</v>
      </c>
      <c r="BS18">
        <f>IF(Ischemia_25percent_output_edgel!1475:1475,"AAAAAE/dLUY=",0)</f>
        <v>0</v>
      </c>
      <c r="BT18" t="e">
        <f>AND(Ischemia_25percent_output_edgel!A1475,"AAAAAE/dLUc=")</f>
        <v>#VALUE!</v>
      </c>
      <c r="BU18" t="e">
        <f>AND(Ischemia_25percent_output_edgel!B1475,"AAAAAE/dLUg=")</f>
        <v>#VALUE!</v>
      </c>
      <c r="BV18">
        <f>IF(Ischemia_25percent_output_edgel!1476:1476,"AAAAAE/dLUk=",0)</f>
        <v>0</v>
      </c>
      <c r="BW18" t="e">
        <f>AND(Ischemia_25percent_output_edgel!A1476,"AAAAAE/dLUo=")</f>
        <v>#VALUE!</v>
      </c>
      <c r="BX18" t="e">
        <f>AND(Ischemia_25percent_output_edgel!B1476,"AAAAAE/dLUs=")</f>
        <v>#VALUE!</v>
      </c>
      <c r="BY18">
        <f>IF(Ischemia_25percent_output_edgel!1477:1477,"AAAAAE/dLUw=",0)</f>
        <v>0</v>
      </c>
      <c r="BZ18" t="e">
        <f>AND(Ischemia_25percent_output_edgel!A1477,"AAAAAE/dLU0=")</f>
        <v>#VALUE!</v>
      </c>
      <c r="CA18" t="e">
        <f>AND(Ischemia_25percent_output_edgel!B1477,"AAAAAE/dLU4=")</f>
        <v>#VALUE!</v>
      </c>
      <c r="CB18">
        <f>IF(Ischemia_25percent_output_edgel!1478:1478,"AAAAAE/dLU8=",0)</f>
        <v>0</v>
      </c>
      <c r="CC18" t="e">
        <f>AND(Ischemia_25percent_output_edgel!A1478,"AAAAAE/dLVA=")</f>
        <v>#VALUE!</v>
      </c>
      <c r="CD18" t="e">
        <f>AND(Ischemia_25percent_output_edgel!B1478,"AAAAAE/dLVE=")</f>
        <v>#VALUE!</v>
      </c>
      <c r="CE18">
        <f>IF(Ischemia_25percent_output_edgel!1479:1479,"AAAAAE/dLVI=",0)</f>
        <v>0</v>
      </c>
      <c r="CF18" t="e">
        <f>AND(Ischemia_25percent_output_edgel!A1479,"AAAAAE/dLVM=")</f>
        <v>#VALUE!</v>
      </c>
      <c r="CG18" t="e">
        <f>AND(Ischemia_25percent_output_edgel!B1479,"AAAAAE/dLVQ=")</f>
        <v>#VALUE!</v>
      </c>
      <c r="CH18">
        <f>IF(Ischemia_25percent_output_edgel!1480:1480,"AAAAAE/dLVU=",0)</f>
        <v>0</v>
      </c>
      <c r="CI18" t="e">
        <f>AND(Ischemia_25percent_output_edgel!A1480,"AAAAAE/dLVY=")</f>
        <v>#VALUE!</v>
      </c>
      <c r="CJ18" t="e">
        <f>AND(Ischemia_25percent_output_edgel!B1480,"AAAAAE/dLVc=")</f>
        <v>#VALUE!</v>
      </c>
      <c r="CK18">
        <f>IF(Ischemia_25percent_output_edgel!1481:1481,"AAAAAE/dLVg=",0)</f>
        <v>0</v>
      </c>
      <c r="CL18" t="e">
        <f>AND(Ischemia_25percent_output_edgel!A1481,"AAAAAE/dLVk=")</f>
        <v>#VALUE!</v>
      </c>
      <c r="CM18" t="e">
        <f>AND(Ischemia_25percent_output_edgel!B1481,"AAAAAE/dLVo=")</f>
        <v>#VALUE!</v>
      </c>
      <c r="CN18">
        <f>IF(Ischemia_25percent_output_edgel!1482:1482,"AAAAAE/dLVs=",0)</f>
        <v>0</v>
      </c>
      <c r="CO18" t="e">
        <f>AND(Ischemia_25percent_output_edgel!A1482,"AAAAAE/dLVw=")</f>
        <v>#VALUE!</v>
      </c>
      <c r="CP18" t="e">
        <f>AND(Ischemia_25percent_output_edgel!B1482,"AAAAAE/dLV0=")</f>
        <v>#VALUE!</v>
      </c>
      <c r="CQ18">
        <f>IF(Ischemia_25percent_output_edgel!1483:1483,"AAAAAE/dLV4=",0)</f>
        <v>0</v>
      </c>
      <c r="CR18" t="e">
        <f>AND(Ischemia_25percent_output_edgel!A1483,"AAAAAE/dLV8=")</f>
        <v>#VALUE!</v>
      </c>
      <c r="CS18" t="e">
        <f>AND(Ischemia_25percent_output_edgel!B1483,"AAAAAE/dLWA=")</f>
        <v>#VALUE!</v>
      </c>
      <c r="CT18">
        <f>IF(Ischemia_25percent_output_edgel!1484:1484,"AAAAAE/dLWE=",0)</f>
        <v>0</v>
      </c>
      <c r="CU18" t="e">
        <f>AND(Ischemia_25percent_output_edgel!A1484,"AAAAAE/dLWI=")</f>
        <v>#VALUE!</v>
      </c>
      <c r="CV18" t="e">
        <f>AND(Ischemia_25percent_output_edgel!B1484,"AAAAAE/dLWM=")</f>
        <v>#VALUE!</v>
      </c>
      <c r="CW18">
        <f>IF(Ischemia_25percent_output_edgel!1485:1485,"AAAAAE/dLWQ=",0)</f>
        <v>0</v>
      </c>
      <c r="CX18" t="e">
        <f>AND(Ischemia_25percent_output_edgel!A1485,"AAAAAE/dLWU=")</f>
        <v>#VALUE!</v>
      </c>
      <c r="CY18" t="e">
        <f>AND(Ischemia_25percent_output_edgel!B1485,"AAAAAE/dLWY=")</f>
        <v>#VALUE!</v>
      </c>
      <c r="CZ18">
        <f>IF(Ischemia_25percent_output_edgel!1486:1486,"AAAAAE/dLWc=",0)</f>
        <v>0</v>
      </c>
      <c r="DA18" t="e">
        <f>AND(Ischemia_25percent_output_edgel!A1486,"AAAAAE/dLWg=")</f>
        <v>#VALUE!</v>
      </c>
      <c r="DB18" t="e">
        <f>AND(Ischemia_25percent_output_edgel!B1486,"AAAAAE/dLWk=")</f>
        <v>#VALUE!</v>
      </c>
      <c r="DC18">
        <f>IF(Ischemia_25percent_output_edgel!1487:1487,"AAAAAE/dLWo=",0)</f>
        <v>0</v>
      </c>
      <c r="DD18" t="e">
        <f>AND(Ischemia_25percent_output_edgel!A1487,"AAAAAE/dLWs=")</f>
        <v>#VALUE!</v>
      </c>
      <c r="DE18" t="e">
        <f>AND(Ischemia_25percent_output_edgel!B1487,"AAAAAE/dLWw=")</f>
        <v>#VALUE!</v>
      </c>
      <c r="DF18">
        <f>IF(Ischemia_25percent_output_edgel!1488:1488,"AAAAAE/dLW0=",0)</f>
        <v>0</v>
      </c>
      <c r="DG18" t="e">
        <f>AND(Ischemia_25percent_output_edgel!A1488,"AAAAAE/dLW4=")</f>
        <v>#VALUE!</v>
      </c>
      <c r="DH18" t="e">
        <f>AND(Ischemia_25percent_output_edgel!B1488,"AAAAAE/dLW8=")</f>
        <v>#VALUE!</v>
      </c>
      <c r="DI18">
        <f>IF(Ischemia_25percent_output_edgel!1489:1489,"AAAAAE/dLXA=",0)</f>
        <v>0</v>
      </c>
      <c r="DJ18" t="e">
        <f>AND(Ischemia_25percent_output_edgel!A1489,"AAAAAE/dLXE=")</f>
        <v>#VALUE!</v>
      </c>
      <c r="DK18" t="e">
        <f>AND(Ischemia_25percent_output_edgel!B1489,"AAAAAE/dLXI=")</f>
        <v>#VALUE!</v>
      </c>
      <c r="DL18">
        <f>IF(Ischemia_25percent_output_edgel!1490:1490,"AAAAAE/dLXM=",0)</f>
        <v>0</v>
      </c>
      <c r="DM18" t="e">
        <f>AND(Ischemia_25percent_output_edgel!A1490,"AAAAAE/dLXQ=")</f>
        <v>#VALUE!</v>
      </c>
      <c r="DN18" t="e">
        <f>AND(Ischemia_25percent_output_edgel!B1490,"AAAAAE/dLXU=")</f>
        <v>#VALUE!</v>
      </c>
      <c r="DO18">
        <f>IF(Ischemia_25percent_output_edgel!1491:1491,"AAAAAE/dLXY=",0)</f>
        <v>0</v>
      </c>
      <c r="DP18" t="e">
        <f>AND(Ischemia_25percent_output_edgel!A1491,"AAAAAE/dLXc=")</f>
        <v>#VALUE!</v>
      </c>
      <c r="DQ18" t="e">
        <f>AND(Ischemia_25percent_output_edgel!B1491,"AAAAAE/dLXg=")</f>
        <v>#VALUE!</v>
      </c>
      <c r="DR18">
        <f>IF(Ischemia_25percent_output_edgel!1492:1492,"AAAAAE/dLXk=",0)</f>
        <v>0</v>
      </c>
      <c r="DS18" t="e">
        <f>AND(Ischemia_25percent_output_edgel!A1492,"AAAAAE/dLXo=")</f>
        <v>#VALUE!</v>
      </c>
      <c r="DT18" t="e">
        <f>AND(Ischemia_25percent_output_edgel!B1492,"AAAAAE/dLXs=")</f>
        <v>#VALUE!</v>
      </c>
      <c r="DU18">
        <f>IF(Ischemia_25percent_output_edgel!1493:1493,"AAAAAE/dLXw=",0)</f>
        <v>0</v>
      </c>
      <c r="DV18" t="e">
        <f>AND(Ischemia_25percent_output_edgel!A1493,"AAAAAE/dLX0=")</f>
        <v>#VALUE!</v>
      </c>
      <c r="DW18" t="e">
        <f>AND(Ischemia_25percent_output_edgel!B1493,"AAAAAE/dLX4=")</f>
        <v>#VALUE!</v>
      </c>
      <c r="DX18">
        <f>IF(Ischemia_25percent_output_edgel!1494:1494,"AAAAAE/dLX8=",0)</f>
        <v>0</v>
      </c>
      <c r="DY18" t="e">
        <f>AND(Ischemia_25percent_output_edgel!A1494,"AAAAAE/dLYA=")</f>
        <v>#VALUE!</v>
      </c>
      <c r="DZ18" t="e">
        <f>AND(Ischemia_25percent_output_edgel!B1494,"AAAAAE/dLYE=")</f>
        <v>#VALUE!</v>
      </c>
      <c r="EA18">
        <f>IF(Ischemia_25percent_output_edgel!1495:1495,"AAAAAE/dLYI=",0)</f>
        <v>0</v>
      </c>
      <c r="EB18" t="e">
        <f>AND(Ischemia_25percent_output_edgel!A1495,"AAAAAE/dLYM=")</f>
        <v>#VALUE!</v>
      </c>
      <c r="EC18" t="e">
        <f>AND(Ischemia_25percent_output_edgel!B1495,"AAAAAE/dLYQ=")</f>
        <v>#VALUE!</v>
      </c>
      <c r="ED18">
        <f>IF(Ischemia_25percent_output_edgel!1496:1496,"AAAAAE/dLYU=",0)</f>
        <v>0</v>
      </c>
      <c r="EE18" t="e">
        <f>AND(Ischemia_25percent_output_edgel!A1496,"AAAAAE/dLYY=")</f>
        <v>#VALUE!</v>
      </c>
      <c r="EF18" t="e">
        <f>AND(Ischemia_25percent_output_edgel!B1496,"AAAAAE/dLYc=")</f>
        <v>#VALUE!</v>
      </c>
      <c r="EG18">
        <f>IF(Ischemia_25percent_output_edgel!1497:1497,"AAAAAE/dLYg=",0)</f>
        <v>0</v>
      </c>
      <c r="EH18" t="e">
        <f>AND(Ischemia_25percent_output_edgel!A1497,"AAAAAE/dLYk=")</f>
        <v>#VALUE!</v>
      </c>
      <c r="EI18" t="e">
        <f>AND(Ischemia_25percent_output_edgel!B1497,"AAAAAE/dLYo=")</f>
        <v>#VALUE!</v>
      </c>
      <c r="EJ18">
        <f>IF(Ischemia_25percent_output_edgel!1498:1498,"AAAAAE/dLYs=",0)</f>
        <v>0</v>
      </c>
      <c r="EK18" t="e">
        <f>AND(Ischemia_25percent_output_edgel!A1498,"AAAAAE/dLYw=")</f>
        <v>#VALUE!</v>
      </c>
      <c r="EL18" t="e">
        <f>AND(Ischemia_25percent_output_edgel!B1498,"AAAAAE/dLY0=")</f>
        <v>#VALUE!</v>
      </c>
      <c r="EM18">
        <f>IF(Ischemia_25percent_output_edgel!1499:1499,"AAAAAE/dLY4=",0)</f>
        <v>0</v>
      </c>
      <c r="EN18" t="e">
        <f>AND(Ischemia_25percent_output_edgel!A1499,"AAAAAE/dLY8=")</f>
        <v>#VALUE!</v>
      </c>
      <c r="EO18" t="e">
        <f>AND(Ischemia_25percent_output_edgel!B1499,"AAAAAE/dLZA=")</f>
        <v>#VALUE!</v>
      </c>
      <c r="EP18">
        <f>IF(Ischemia_25percent_output_edgel!1500:1500,"AAAAAE/dLZE=",0)</f>
        <v>0</v>
      </c>
      <c r="EQ18" t="e">
        <f>AND(Ischemia_25percent_output_edgel!A1500,"AAAAAE/dLZI=")</f>
        <v>#VALUE!</v>
      </c>
      <c r="ER18" t="e">
        <f>AND(Ischemia_25percent_output_edgel!B1500,"AAAAAE/dLZM=")</f>
        <v>#VALUE!</v>
      </c>
      <c r="ES18">
        <f>IF(Ischemia_25percent_output_edgel!1501:1501,"AAAAAE/dLZQ=",0)</f>
        <v>0</v>
      </c>
      <c r="ET18" t="e">
        <f>AND(Ischemia_25percent_output_edgel!A1501,"AAAAAE/dLZU=")</f>
        <v>#VALUE!</v>
      </c>
      <c r="EU18" t="e">
        <f>AND(Ischemia_25percent_output_edgel!B1501,"AAAAAE/dLZY=")</f>
        <v>#VALUE!</v>
      </c>
      <c r="EV18">
        <f>IF(Ischemia_25percent_output_edgel!1502:1502,"AAAAAE/dLZc=",0)</f>
        <v>0</v>
      </c>
      <c r="EW18" t="e">
        <f>AND(Ischemia_25percent_output_edgel!A1502,"AAAAAE/dLZg=")</f>
        <v>#VALUE!</v>
      </c>
      <c r="EX18" t="e">
        <f>AND(Ischemia_25percent_output_edgel!B1502,"AAAAAE/dLZk=")</f>
        <v>#VALUE!</v>
      </c>
      <c r="EY18">
        <f>IF(Ischemia_25percent_output_edgel!1503:1503,"AAAAAE/dLZo=",0)</f>
        <v>0</v>
      </c>
      <c r="EZ18" t="e">
        <f>AND(Ischemia_25percent_output_edgel!A1503,"AAAAAE/dLZs=")</f>
        <v>#VALUE!</v>
      </c>
      <c r="FA18" t="e">
        <f>AND(Ischemia_25percent_output_edgel!B1503,"AAAAAE/dLZw=")</f>
        <v>#VALUE!</v>
      </c>
      <c r="FB18">
        <f>IF(Ischemia_25percent_output_edgel!1504:1504,"AAAAAE/dLZ0=",0)</f>
        <v>0</v>
      </c>
      <c r="FC18" t="e">
        <f>AND(Ischemia_25percent_output_edgel!A1504,"AAAAAE/dLZ4=")</f>
        <v>#VALUE!</v>
      </c>
      <c r="FD18" t="e">
        <f>AND(Ischemia_25percent_output_edgel!B1504,"AAAAAE/dLZ8=")</f>
        <v>#VALUE!</v>
      </c>
      <c r="FE18">
        <f>IF(Ischemia_25percent_output_edgel!1505:1505,"AAAAAE/dLaA=",0)</f>
        <v>0</v>
      </c>
      <c r="FF18" t="e">
        <f>AND(Ischemia_25percent_output_edgel!A1505,"AAAAAE/dLaE=")</f>
        <v>#VALUE!</v>
      </c>
      <c r="FG18" t="e">
        <f>AND(Ischemia_25percent_output_edgel!B1505,"AAAAAE/dLaI=")</f>
        <v>#VALUE!</v>
      </c>
      <c r="FH18">
        <f>IF(Ischemia_25percent_output_edgel!1506:1506,"AAAAAE/dLaM=",0)</f>
        <v>0</v>
      </c>
      <c r="FI18" t="e">
        <f>AND(Ischemia_25percent_output_edgel!A1506,"AAAAAE/dLaQ=")</f>
        <v>#VALUE!</v>
      </c>
      <c r="FJ18" t="e">
        <f>AND(Ischemia_25percent_output_edgel!B1506,"AAAAAE/dLaU=")</f>
        <v>#VALUE!</v>
      </c>
      <c r="FK18">
        <f>IF(Ischemia_25percent_output_edgel!1507:1507,"AAAAAE/dLaY=",0)</f>
        <v>0</v>
      </c>
      <c r="FL18" t="e">
        <f>AND(Ischemia_25percent_output_edgel!A1507,"AAAAAE/dLac=")</f>
        <v>#VALUE!</v>
      </c>
      <c r="FM18" t="e">
        <f>AND(Ischemia_25percent_output_edgel!B1507,"AAAAAE/dLag=")</f>
        <v>#VALUE!</v>
      </c>
      <c r="FN18">
        <f>IF(Ischemia_25percent_output_edgel!1508:1508,"AAAAAE/dLak=",0)</f>
        <v>0</v>
      </c>
      <c r="FO18" t="e">
        <f>AND(Ischemia_25percent_output_edgel!A1508,"AAAAAE/dLao=")</f>
        <v>#VALUE!</v>
      </c>
      <c r="FP18" t="e">
        <f>AND(Ischemia_25percent_output_edgel!B1508,"AAAAAE/dLas=")</f>
        <v>#VALUE!</v>
      </c>
      <c r="FQ18">
        <f>IF(Ischemia_25percent_output_edgel!1509:1509,"AAAAAE/dLaw=",0)</f>
        <v>0</v>
      </c>
      <c r="FR18" t="e">
        <f>AND(Ischemia_25percent_output_edgel!A1509,"AAAAAE/dLa0=")</f>
        <v>#VALUE!</v>
      </c>
      <c r="FS18" t="e">
        <f>AND(Ischemia_25percent_output_edgel!B1509,"AAAAAE/dLa4=")</f>
        <v>#VALUE!</v>
      </c>
      <c r="FT18">
        <f>IF(Ischemia_25percent_output_edgel!1510:1510,"AAAAAE/dLa8=",0)</f>
        <v>0</v>
      </c>
      <c r="FU18" t="e">
        <f>AND(Ischemia_25percent_output_edgel!A1510,"AAAAAE/dLbA=")</f>
        <v>#VALUE!</v>
      </c>
      <c r="FV18" t="e">
        <f>AND(Ischemia_25percent_output_edgel!B1510,"AAAAAE/dLbE=")</f>
        <v>#VALUE!</v>
      </c>
      <c r="FW18">
        <f>IF(Ischemia_25percent_output_edgel!1511:1511,"AAAAAE/dLbI=",0)</f>
        <v>0</v>
      </c>
      <c r="FX18" t="e">
        <f>AND(Ischemia_25percent_output_edgel!A1511,"AAAAAE/dLbM=")</f>
        <v>#VALUE!</v>
      </c>
      <c r="FY18" t="e">
        <f>AND(Ischemia_25percent_output_edgel!B1511,"AAAAAE/dLbQ=")</f>
        <v>#VALUE!</v>
      </c>
      <c r="FZ18">
        <f>IF(Ischemia_25percent_output_edgel!1512:1512,"AAAAAE/dLbU=",0)</f>
        <v>0</v>
      </c>
      <c r="GA18" t="e">
        <f>AND(Ischemia_25percent_output_edgel!A1512,"AAAAAE/dLbY=")</f>
        <v>#VALUE!</v>
      </c>
      <c r="GB18" t="e">
        <f>AND(Ischemia_25percent_output_edgel!B1512,"AAAAAE/dLbc=")</f>
        <v>#VALUE!</v>
      </c>
      <c r="GC18">
        <f>IF(Ischemia_25percent_output_edgel!1513:1513,"AAAAAE/dLbg=",0)</f>
        <v>0</v>
      </c>
      <c r="GD18" t="e">
        <f>AND(Ischemia_25percent_output_edgel!A1513,"AAAAAE/dLbk=")</f>
        <v>#VALUE!</v>
      </c>
      <c r="GE18" t="e">
        <f>AND(Ischemia_25percent_output_edgel!B1513,"AAAAAE/dLbo=")</f>
        <v>#VALUE!</v>
      </c>
      <c r="GF18">
        <f>IF(Ischemia_25percent_output_edgel!1514:1514,"AAAAAE/dLbs=",0)</f>
        <v>0</v>
      </c>
      <c r="GG18" t="e">
        <f>AND(Ischemia_25percent_output_edgel!A1514,"AAAAAE/dLbw=")</f>
        <v>#VALUE!</v>
      </c>
      <c r="GH18" t="e">
        <f>AND(Ischemia_25percent_output_edgel!B1514,"AAAAAE/dLb0=")</f>
        <v>#VALUE!</v>
      </c>
      <c r="GI18">
        <f>IF(Ischemia_25percent_output_edgel!1515:1515,"AAAAAE/dLb4=",0)</f>
        <v>0</v>
      </c>
      <c r="GJ18" t="e">
        <f>AND(Ischemia_25percent_output_edgel!A1515,"AAAAAE/dLb8=")</f>
        <v>#VALUE!</v>
      </c>
      <c r="GK18" t="e">
        <f>AND(Ischemia_25percent_output_edgel!B1515,"AAAAAE/dLcA=")</f>
        <v>#VALUE!</v>
      </c>
      <c r="GL18">
        <f>IF(Ischemia_25percent_output_edgel!1516:1516,"AAAAAE/dLcE=",0)</f>
        <v>0</v>
      </c>
      <c r="GM18" t="e">
        <f>AND(Ischemia_25percent_output_edgel!A1516,"AAAAAE/dLcI=")</f>
        <v>#VALUE!</v>
      </c>
      <c r="GN18" t="e">
        <f>AND(Ischemia_25percent_output_edgel!B1516,"AAAAAE/dLcM=")</f>
        <v>#VALUE!</v>
      </c>
      <c r="GO18">
        <f>IF(Ischemia_25percent_output_edgel!1517:1517,"AAAAAE/dLcQ=",0)</f>
        <v>0</v>
      </c>
      <c r="GP18" t="e">
        <f>AND(Ischemia_25percent_output_edgel!A1517,"AAAAAE/dLcU=")</f>
        <v>#VALUE!</v>
      </c>
      <c r="GQ18" t="e">
        <f>AND(Ischemia_25percent_output_edgel!B1517,"AAAAAE/dLcY=")</f>
        <v>#VALUE!</v>
      </c>
      <c r="GR18">
        <f>IF(Ischemia_25percent_output_edgel!1518:1518,"AAAAAE/dLcc=",0)</f>
        <v>0</v>
      </c>
      <c r="GS18" t="e">
        <f>AND(Ischemia_25percent_output_edgel!A1518,"AAAAAE/dLcg=")</f>
        <v>#VALUE!</v>
      </c>
      <c r="GT18" t="e">
        <f>AND(Ischemia_25percent_output_edgel!B1518,"AAAAAE/dLck=")</f>
        <v>#VALUE!</v>
      </c>
      <c r="GU18">
        <f>IF(Ischemia_25percent_output_edgel!1519:1519,"AAAAAE/dLco=",0)</f>
        <v>0</v>
      </c>
      <c r="GV18" t="e">
        <f>AND(Ischemia_25percent_output_edgel!A1519,"AAAAAE/dLcs=")</f>
        <v>#VALUE!</v>
      </c>
      <c r="GW18" t="e">
        <f>AND(Ischemia_25percent_output_edgel!B1519,"AAAAAE/dLcw=")</f>
        <v>#VALUE!</v>
      </c>
      <c r="GX18">
        <f>IF(Ischemia_25percent_output_edgel!1520:1520,"AAAAAE/dLc0=",0)</f>
        <v>0</v>
      </c>
      <c r="GY18" t="e">
        <f>AND(Ischemia_25percent_output_edgel!A1520,"AAAAAE/dLc4=")</f>
        <v>#VALUE!</v>
      </c>
      <c r="GZ18" t="e">
        <f>AND(Ischemia_25percent_output_edgel!B1520,"AAAAAE/dLc8=")</f>
        <v>#VALUE!</v>
      </c>
      <c r="HA18">
        <f>IF(Ischemia_25percent_output_edgel!1521:1521,"AAAAAE/dLdA=",0)</f>
        <v>0</v>
      </c>
      <c r="HB18" t="e">
        <f>AND(Ischemia_25percent_output_edgel!A1521,"AAAAAE/dLdE=")</f>
        <v>#VALUE!</v>
      </c>
      <c r="HC18" t="e">
        <f>AND(Ischemia_25percent_output_edgel!B1521,"AAAAAE/dLdI=")</f>
        <v>#VALUE!</v>
      </c>
      <c r="HD18">
        <f>IF(Ischemia_25percent_output_edgel!1522:1522,"AAAAAE/dLdM=",0)</f>
        <v>0</v>
      </c>
      <c r="HE18" t="e">
        <f>AND(Ischemia_25percent_output_edgel!A1522,"AAAAAE/dLdQ=")</f>
        <v>#VALUE!</v>
      </c>
      <c r="HF18" t="e">
        <f>AND(Ischemia_25percent_output_edgel!B1522,"AAAAAE/dLdU=")</f>
        <v>#VALUE!</v>
      </c>
      <c r="HG18">
        <f>IF(Ischemia_25percent_output_edgel!1523:1523,"AAAAAE/dLdY=",0)</f>
        <v>0</v>
      </c>
      <c r="HH18" t="e">
        <f>AND(Ischemia_25percent_output_edgel!A1523,"AAAAAE/dLdc=")</f>
        <v>#VALUE!</v>
      </c>
      <c r="HI18" t="e">
        <f>AND(Ischemia_25percent_output_edgel!B1523,"AAAAAE/dLdg=")</f>
        <v>#VALUE!</v>
      </c>
      <c r="HJ18">
        <f>IF(Ischemia_25percent_output_edgel!1524:1524,"AAAAAE/dLdk=",0)</f>
        <v>0</v>
      </c>
      <c r="HK18" t="e">
        <f>AND(Ischemia_25percent_output_edgel!A1524,"AAAAAE/dLdo=")</f>
        <v>#VALUE!</v>
      </c>
      <c r="HL18" t="e">
        <f>AND(Ischemia_25percent_output_edgel!B1524,"AAAAAE/dLds=")</f>
        <v>#VALUE!</v>
      </c>
      <c r="HM18">
        <f>IF(Ischemia_25percent_output_edgel!1525:1525,"AAAAAE/dLdw=",0)</f>
        <v>0</v>
      </c>
      <c r="HN18" t="e">
        <f>AND(Ischemia_25percent_output_edgel!A1525,"AAAAAE/dLd0=")</f>
        <v>#VALUE!</v>
      </c>
      <c r="HO18" t="e">
        <f>AND(Ischemia_25percent_output_edgel!B1525,"AAAAAE/dLd4=")</f>
        <v>#VALUE!</v>
      </c>
      <c r="HP18">
        <f>IF(Ischemia_25percent_output_edgel!1526:1526,"AAAAAE/dLd8=",0)</f>
        <v>0</v>
      </c>
      <c r="HQ18" t="e">
        <f>AND(Ischemia_25percent_output_edgel!A1526,"AAAAAE/dLeA=")</f>
        <v>#VALUE!</v>
      </c>
      <c r="HR18" t="e">
        <f>AND(Ischemia_25percent_output_edgel!B1526,"AAAAAE/dLeE=")</f>
        <v>#VALUE!</v>
      </c>
      <c r="HS18">
        <f>IF(Ischemia_25percent_output_edgel!1527:1527,"AAAAAE/dLeI=",0)</f>
        <v>0</v>
      </c>
      <c r="HT18" t="e">
        <f>AND(Ischemia_25percent_output_edgel!A1527,"AAAAAE/dLeM=")</f>
        <v>#VALUE!</v>
      </c>
      <c r="HU18" t="e">
        <f>AND(Ischemia_25percent_output_edgel!B1527,"AAAAAE/dLeQ=")</f>
        <v>#VALUE!</v>
      </c>
      <c r="HV18">
        <f>IF(Ischemia_25percent_output_edgel!1528:1528,"AAAAAE/dLeU=",0)</f>
        <v>0</v>
      </c>
      <c r="HW18" t="e">
        <f>AND(Ischemia_25percent_output_edgel!A1528,"AAAAAE/dLeY=")</f>
        <v>#VALUE!</v>
      </c>
      <c r="HX18" t="e">
        <f>AND(Ischemia_25percent_output_edgel!B1528,"AAAAAE/dLec=")</f>
        <v>#VALUE!</v>
      </c>
      <c r="HY18">
        <f>IF(Ischemia_25percent_output_edgel!1529:1529,"AAAAAE/dLeg=",0)</f>
        <v>0</v>
      </c>
      <c r="HZ18" t="e">
        <f>AND(Ischemia_25percent_output_edgel!A1529,"AAAAAE/dLek=")</f>
        <v>#VALUE!</v>
      </c>
      <c r="IA18" t="e">
        <f>AND(Ischemia_25percent_output_edgel!B1529,"AAAAAE/dLeo=")</f>
        <v>#VALUE!</v>
      </c>
      <c r="IB18">
        <f>IF(Ischemia_25percent_output_edgel!1530:1530,"AAAAAE/dLes=",0)</f>
        <v>0</v>
      </c>
      <c r="IC18" t="e">
        <f>AND(Ischemia_25percent_output_edgel!A1530,"AAAAAE/dLew=")</f>
        <v>#VALUE!</v>
      </c>
      <c r="ID18" t="e">
        <f>AND(Ischemia_25percent_output_edgel!B1530,"AAAAAE/dLe0=")</f>
        <v>#VALUE!</v>
      </c>
      <c r="IE18">
        <f>IF(Ischemia_25percent_output_edgel!1531:1531,"AAAAAE/dLe4=",0)</f>
        <v>0</v>
      </c>
      <c r="IF18" t="e">
        <f>AND(Ischemia_25percent_output_edgel!A1531,"AAAAAE/dLe8=")</f>
        <v>#VALUE!</v>
      </c>
      <c r="IG18" t="e">
        <f>AND(Ischemia_25percent_output_edgel!B1531,"AAAAAE/dLfA=")</f>
        <v>#VALUE!</v>
      </c>
      <c r="IH18">
        <f>IF(Ischemia_25percent_output_edgel!1532:1532,"AAAAAE/dLfE=",0)</f>
        <v>0</v>
      </c>
      <c r="II18" t="e">
        <f>AND(Ischemia_25percent_output_edgel!A1532,"AAAAAE/dLfI=")</f>
        <v>#VALUE!</v>
      </c>
      <c r="IJ18" t="e">
        <f>AND(Ischemia_25percent_output_edgel!B1532,"AAAAAE/dLfM=")</f>
        <v>#VALUE!</v>
      </c>
      <c r="IK18">
        <f>IF(Ischemia_25percent_output_edgel!1533:1533,"AAAAAE/dLfQ=",0)</f>
        <v>0</v>
      </c>
      <c r="IL18" t="e">
        <f>AND(Ischemia_25percent_output_edgel!A1533,"AAAAAE/dLfU=")</f>
        <v>#VALUE!</v>
      </c>
      <c r="IM18" t="e">
        <f>AND(Ischemia_25percent_output_edgel!B1533,"AAAAAE/dLfY=")</f>
        <v>#VALUE!</v>
      </c>
      <c r="IN18">
        <f>IF(Ischemia_25percent_output_edgel!1534:1534,"AAAAAE/dLfc=",0)</f>
        <v>0</v>
      </c>
      <c r="IO18" t="e">
        <f>AND(Ischemia_25percent_output_edgel!A1534,"AAAAAE/dLfg=")</f>
        <v>#VALUE!</v>
      </c>
      <c r="IP18" t="e">
        <f>AND(Ischemia_25percent_output_edgel!B1534,"AAAAAE/dLfk=")</f>
        <v>#VALUE!</v>
      </c>
      <c r="IQ18">
        <f>IF(Ischemia_25percent_output_edgel!1535:1535,"AAAAAE/dLfo=",0)</f>
        <v>0</v>
      </c>
      <c r="IR18" t="e">
        <f>AND(Ischemia_25percent_output_edgel!A1535,"AAAAAE/dLfs=")</f>
        <v>#VALUE!</v>
      </c>
      <c r="IS18" t="e">
        <f>AND(Ischemia_25percent_output_edgel!B1535,"AAAAAE/dLfw=")</f>
        <v>#VALUE!</v>
      </c>
      <c r="IT18">
        <f>IF(Ischemia_25percent_output_edgel!1536:1536,"AAAAAE/dLf0=",0)</f>
        <v>0</v>
      </c>
      <c r="IU18" t="e">
        <f>AND(Ischemia_25percent_output_edgel!A1536,"AAAAAE/dLf4=")</f>
        <v>#VALUE!</v>
      </c>
      <c r="IV18" t="e">
        <f>AND(Ischemia_25percent_output_edgel!B1536,"AAAAAE/dLf8=")</f>
        <v>#VALUE!</v>
      </c>
    </row>
    <row r="19" spans="1:256">
      <c r="A19" t="e">
        <f>IF(Ischemia_25percent_output_edgel!1537:1537,"AAAAAC87eQA=",0)</f>
        <v>#VALUE!</v>
      </c>
      <c r="B19" t="e">
        <f>AND(Ischemia_25percent_output_edgel!A1537,"AAAAAC87eQE=")</f>
        <v>#VALUE!</v>
      </c>
      <c r="C19" t="e">
        <f>AND(Ischemia_25percent_output_edgel!B1537,"AAAAAC87eQI=")</f>
        <v>#VALUE!</v>
      </c>
      <c r="D19">
        <f>IF(Ischemia_25percent_output_edgel!1538:1538,"AAAAAC87eQM=",0)</f>
        <v>0</v>
      </c>
      <c r="E19" t="e">
        <f>AND(Ischemia_25percent_output_edgel!A1538,"AAAAAC87eQQ=")</f>
        <v>#VALUE!</v>
      </c>
      <c r="F19" t="e">
        <f>AND(Ischemia_25percent_output_edgel!B1538,"AAAAAC87eQU=")</f>
        <v>#VALUE!</v>
      </c>
      <c r="G19">
        <f>IF(Ischemia_25percent_output_edgel!1539:1539,"AAAAAC87eQY=",0)</f>
        <v>0</v>
      </c>
      <c r="H19" t="e">
        <f>AND(Ischemia_25percent_output_edgel!A1539,"AAAAAC87eQc=")</f>
        <v>#VALUE!</v>
      </c>
      <c r="I19" t="e">
        <f>AND(Ischemia_25percent_output_edgel!B1539,"AAAAAC87eQg=")</f>
        <v>#VALUE!</v>
      </c>
      <c r="J19">
        <f>IF(Ischemia_25percent_output_edgel!1540:1540,"AAAAAC87eQk=",0)</f>
        <v>0</v>
      </c>
      <c r="K19" t="e">
        <f>AND(Ischemia_25percent_output_edgel!A1540,"AAAAAC87eQo=")</f>
        <v>#VALUE!</v>
      </c>
      <c r="L19" t="e">
        <f>AND(Ischemia_25percent_output_edgel!B1540,"AAAAAC87eQs=")</f>
        <v>#VALUE!</v>
      </c>
      <c r="M19">
        <f>IF(Ischemia_25percent_output_edgel!1541:1541,"AAAAAC87eQw=",0)</f>
        <v>0</v>
      </c>
      <c r="N19" t="e">
        <f>AND(Ischemia_25percent_output_edgel!A1541,"AAAAAC87eQ0=")</f>
        <v>#VALUE!</v>
      </c>
      <c r="O19" t="e">
        <f>AND(Ischemia_25percent_output_edgel!B1541,"AAAAAC87eQ4=")</f>
        <v>#VALUE!</v>
      </c>
      <c r="P19">
        <f>IF(Ischemia_25percent_output_edgel!1542:1542,"AAAAAC87eQ8=",0)</f>
        <v>0</v>
      </c>
      <c r="Q19" t="e">
        <f>AND(Ischemia_25percent_output_edgel!A1542,"AAAAAC87eRA=")</f>
        <v>#VALUE!</v>
      </c>
      <c r="R19" t="e">
        <f>AND(Ischemia_25percent_output_edgel!B1542,"AAAAAC87eRE=")</f>
        <v>#VALUE!</v>
      </c>
      <c r="S19">
        <f>IF(Ischemia_25percent_output_edgel!1543:1543,"AAAAAC87eRI=",0)</f>
        <v>0</v>
      </c>
      <c r="T19" t="e">
        <f>AND(Ischemia_25percent_output_edgel!A1543,"AAAAAC87eRM=")</f>
        <v>#VALUE!</v>
      </c>
      <c r="U19" t="e">
        <f>AND(Ischemia_25percent_output_edgel!B1543,"AAAAAC87eRQ=")</f>
        <v>#VALUE!</v>
      </c>
      <c r="V19">
        <f>IF(Ischemia_25percent_output_edgel!1544:1544,"AAAAAC87eRU=",0)</f>
        <v>0</v>
      </c>
      <c r="W19" t="e">
        <f>AND(Ischemia_25percent_output_edgel!A1544,"AAAAAC87eRY=")</f>
        <v>#VALUE!</v>
      </c>
      <c r="X19" t="e">
        <f>AND(Ischemia_25percent_output_edgel!B1544,"AAAAAC87eRc=")</f>
        <v>#VALUE!</v>
      </c>
      <c r="Y19">
        <f>IF(Ischemia_25percent_output_edgel!1545:1545,"AAAAAC87eRg=",0)</f>
        <v>0</v>
      </c>
      <c r="Z19" t="e">
        <f>AND(Ischemia_25percent_output_edgel!A1545,"AAAAAC87eRk=")</f>
        <v>#VALUE!</v>
      </c>
      <c r="AA19" t="e">
        <f>AND(Ischemia_25percent_output_edgel!B1545,"AAAAAC87eRo=")</f>
        <v>#VALUE!</v>
      </c>
      <c r="AB19">
        <f>IF(Ischemia_25percent_output_edgel!1546:1546,"AAAAAC87eRs=",0)</f>
        <v>0</v>
      </c>
      <c r="AC19" t="e">
        <f>AND(Ischemia_25percent_output_edgel!A1546,"AAAAAC87eRw=")</f>
        <v>#VALUE!</v>
      </c>
      <c r="AD19" t="e">
        <f>AND(Ischemia_25percent_output_edgel!B1546,"AAAAAC87eR0=")</f>
        <v>#VALUE!</v>
      </c>
      <c r="AE19">
        <f>IF(Ischemia_25percent_output_edgel!1547:1547,"AAAAAC87eR4=",0)</f>
        <v>0</v>
      </c>
      <c r="AF19" t="e">
        <f>AND(Ischemia_25percent_output_edgel!A1547,"AAAAAC87eR8=")</f>
        <v>#VALUE!</v>
      </c>
      <c r="AG19" t="e">
        <f>AND(Ischemia_25percent_output_edgel!B1547,"AAAAAC87eSA=")</f>
        <v>#VALUE!</v>
      </c>
      <c r="AH19">
        <f>IF(Ischemia_25percent_output_edgel!1548:1548,"AAAAAC87eSE=",0)</f>
        <v>0</v>
      </c>
      <c r="AI19" t="e">
        <f>AND(Ischemia_25percent_output_edgel!A1548,"AAAAAC87eSI=")</f>
        <v>#VALUE!</v>
      </c>
      <c r="AJ19" t="e">
        <f>AND(Ischemia_25percent_output_edgel!B1548,"AAAAAC87eSM=")</f>
        <v>#VALUE!</v>
      </c>
      <c r="AK19">
        <f>IF(Ischemia_25percent_output_edgel!1549:1549,"AAAAAC87eSQ=",0)</f>
        <v>0</v>
      </c>
      <c r="AL19" t="e">
        <f>AND(Ischemia_25percent_output_edgel!A1549,"AAAAAC87eSU=")</f>
        <v>#VALUE!</v>
      </c>
      <c r="AM19" t="e">
        <f>AND(Ischemia_25percent_output_edgel!B1549,"AAAAAC87eSY=")</f>
        <v>#VALUE!</v>
      </c>
      <c r="AN19">
        <f>IF(Ischemia_25percent_output_edgel!1550:1550,"AAAAAC87eSc=",0)</f>
        <v>0</v>
      </c>
      <c r="AO19" t="e">
        <f>AND(Ischemia_25percent_output_edgel!A1550,"AAAAAC87eSg=")</f>
        <v>#VALUE!</v>
      </c>
      <c r="AP19" t="e">
        <f>AND(Ischemia_25percent_output_edgel!B1550,"AAAAAC87eSk=")</f>
        <v>#VALUE!</v>
      </c>
      <c r="AQ19">
        <f>IF(Ischemia_25percent_output_edgel!1551:1551,"AAAAAC87eSo=",0)</f>
        <v>0</v>
      </c>
      <c r="AR19" t="e">
        <f>AND(Ischemia_25percent_output_edgel!A1551,"AAAAAC87eSs=")</f>
        <v>#VALUE!</v>
      </c>
      <c r="AS19" t="e">
        <f>AND(Ischemia_25percent_output_edgel!B1551,"AAAAAC87eSw=")</f>
        <v>#VALUE!</v>
      </c>
      <c r="AT19">
        <f>IF(Ischemia_25percent_output_edgel!1552:1552,"AAAAAC87eS0=",0)</f>
        <v>0</v>
      </c>
      <c r="AU19" t="e">
        <f>AND(Ischemia_25percent_output_edgel!A1552,"AAAAAC87eS4=")</f>
        <v>#VALUE!</v>
      </c>
      <c r="AV19" t="e">
        <f>AND(Ischemia_25percent_output_edgel!B1552,"AAAAAC87eS8=")</f>
        <v>#VALUE!</v>
      </c>
      <c r="AW19">
        <f>IF(Ischemia_25percent_output_edgel!1553:1553,"AAAAAC87eTA=",0)</f>
        <v>0</v>
      </c>
      <c r="AX19" t="e">
        <f>AND(Ischemia_25percent_output_edgel!A1553,"AAAAAC87eTE=")</f>
        <v>#VALUE!</v>
      </c>
      <c r="AY19" t="e">
        <f>AND(Ischemia_25percent_output_edgel!B1553,"AAAAAC87eTI=")</f>
        <v>#VALUE!</v>
      </c>
      <c r="AZ19">
        <f>IF(Ischemia_25percent_output_edgel!1554:1554,"AAAAAC87eTM=",0)</f>
        <v>0</v>
      </c>
      <c r="BA19" t="e">
        <f>AND(Ischemia_25percent_output_edgel!A1554,"AAAAAC87eTQ=")</f>
        <v>#VALUE!</v>
      </c>
      <c r="BB19" t="e">
        <f>AND(Ischemia_25percent_output_edgel!B1554,"AAAAAC87eTU=")</f>
        <v>#VALUE!</v>
      </c>
      <c r="BC19">
        <f>IF(Ischemia_25percent_output_edgel!1555:1555,"AAAAAC87eTY=",0)</f>
        <v>0</v>
      </c>
      <c r="BD19" t="e">
        <f>AND(Ischemia_25percent_output_edgel!A1555,"AAAAAC87eTc=")</f>
        <v>#VALUE!</v>
      </c>
      <c r="BE19" t="e">
        <f>AND(Ischemia_25percent_output_edgel!B1555,"AAAAAC87eTg=")</f>
        <v>#VALUE!</v>
      </c>
      <c r="BF19">
        <f>IF(Ischemia_25percent_output_edgel!1556:1556,"AAAAAC87eTk=",0)</f>
        <v>0</v>
      </c>
      <c r="BG19" t="e">
        <f>AND(Ischemia_25percent_output_edgel!A1556,"AAAAAC87eTo=")</f>
        <v>#VALUE!</v>
      </c>
      <c r="BH19" t="e">
        <f>AND(Ischemia_25percent_output_edgel!B1556,"AAAAAC87eTs=")</f>
        <v>#VALUE!</v>
      </c>
      <c r="BI19">
        <f>IF(Ischemia_25percent_output_edgel!1557:1557,"AAAAAC87eTw=",0)</f>
        <v>0</v>
      </c>
      <c r="BJ19" t="e">
        <f>AND(Ischemia_25percent_output_edgel!A1557,"AAAAAC87eT0=")</f>
        <v>#VALUE!</v>
      </c>
      <c r="BK19" t="e">
        <f>AND(Ischemia_25percent_output_edgel!B1557,"AAAAAC87eT4=")</f>
        <v>#VALUE!</v>
      </c>
      <c r="BL19">
        <f>IF(Ischemia_25percent_output_edgel!1558:1558,"AAAAAC87eT8=",0)</f>
        <v>0</v>
      </c>
      <c r="BM19" t="e">
        <f>AND(Ischemia_25percent_output_edgel!A1558,"AAAAAC87eUA=")</f>
        <v>#VALUE!</v>
      </c>
      <c r="BN19" t="e">
        <f>AND(Ischemia_25percent_output_edgel!B1558,"AAAAAC87eUE=")</f>
        <v>#VALUE!</v>
      </c>
      <c r="BO19">
        <f>IF(Ischemia_25percent_output_edgel!1559:1559,"AAAAAC87eUI=",0)</f>
        <v>0</v>
      </c>
      <c r="BP19" t="e">
        <f>AND(Ischemia_25percent_output_edgel!A1559,"AAAAAC87eUM=")</f>
        <v>#VALUE!</v>
      </c>
      <c r="BQ19" t="e">
        <f>AND(Ischemia_25percent_output_edgel!B1559,"AAAAAC87eUQ=")</f>
        <v>#VALUE!</v>
      </c>
      <c r="BR19">
        <f>IF(Ischemia_25percent_output_edgel!1560:1560,"AAAAAC87eUU=",0)</f>
        <v>0</v>
      </c>
      <c r="BS19" t="e">
        <f>AND(Ischemia_25percent_output_edgel!A1560,"AAAAAC87eUY=")</f>
        <v>#VALUE!</v>
      </c>
      <c r="BT19" t="e">
        <f>AND(Ischemia_25percent_output_edgel!B1560,"AAAAAC87eUc=")</f>
        <v>#VALUE!</v>
      </c>
      <c r="BU19">
        <f>IF(Ischemia_25percent_output_edgel!1561:1561,"AAAAAC87eUg=",0)</f>
        <v>0</v>
      </c>
      <c r="BV19" t="e">
        <f>AND(Ischemia_25percent_output_edgel!A1561,"AAAAAC87eUk=")</f>
        <v>#VALUE!</v>
      </c>
      <c r="BW19" t="e">
        <f>AND(Ischemia_25percent_output_edgel!B1561,"AAAAAC87eUo=")</f>
        <v>#VALUE!</v>
      </c>
      <c r="BX19">
        <f>IF(Ischemia_25percent_output_edgel!1562:1562,"AAAAAC87eUs=",0)</f>
        <v>0</v>
      </c>
      <c r="BY19" t="e">
        <f>AND(Ischemia_25percent_output_edgel!A1562,"AAAAAC87eUw=")</f>
        <v>#VALUE!</v>
      </c>
      <c r="BZ19" t="e">
        <f>AND(Ischemia_25percent_output_edgel!B1562,"AAAAAC87eU0=")</f>
        <v>#VALUE!</v>
      </c>
      <c r="CA19">
        <f>IF(Ischemia_25percent_output_edgel!1563:1563,"AAAAAC87eU4=",0)</f>
        <v>0</v>
      </c>
      <c r="CB19" t="e">
        <f>AND(Ischemia_25percent_output_edgel!A1563,"AAAAAC87eU8=")</f>
        <v>#VALUE!</v>
      </c>
      <c r="CC19" t="e">
        <f>AND(Ischemia_25percent_output_edgel!B1563,"AAAAAC87eVA=")</f>
        <v>#VALUE!</v>
      </c>
      <c r="CD19">
        <f>IF(Ischemia_25percent_output_edgel!1564:1564,"AAAAAC87eVE=",0)</f>
        <v>0</v>
      </c>
      <c r="CE19" t="e">
        <f>AND(Ischemia_25percent_output_edgel!A1564,"AAAAAC87eVI=")</f>
        <v>#VALUE!</v>
      </c>
      <c r="CF19" t="e">
        <f>AND(Ischemia_25percent_output_edgel!B1564,"AAAAAC87eVM=")</f>
        <v>#VALUE!</v>
      </c>
      <c r="CG19">
        <f>IF(Ischemia_25percent_output_edgel!1565:1565,"AAAAAC87eVQ=",0)</f>
        <v>0</v>
      </c>
      <c r="CH19" t="e">
        <f>AND(Ischemia_25percent_output_edgel!A1565,"AAAAAC87eVU=")</f>
        <v>#VALUE!</v>
      </c>
      <c r="CI19" t="e">
        <f>AND(Ischemia_25percent_output_edgel!B1565,"AAAAAC87eVY=")</f>
        <v>#VALUE!</v>
      </c>
      <c r="CJ19">
        <f>IF(Ischemia_25percent_output_edgel!1566:1566,"AAAAAC87eVc=",0)</f>
        <v>0</v>
      </c>
      <c r="CK19" t="e">
        <f>AND(Ischemia_25percent_output_edgel!A1566,"AAAAAC87eVg=")</f>
        <v>#VALUE!</v>
      </c>
      <c r="CL19" t="e">
        <f>AND(Ischemia_25percent_output_edgel!B1566,"AAAAAC87eVk=")</f>
        <v>#VALUE!</v>
      </c>
      <c r="CM19">
        <f>IF(Ischemia_25percent_output_edgel!1567:1567,"AAAAAC87eVo=",0)</f>
        <v>0</v>
      </c>
      <c r="CN19" t="e">
        <f>AND(Ischemia_25percent_output_edgel!A1567,"AAAAAC87eVs=")</f>
        <v>#VALUE!</v>
      </c>
      <c r="CO19" t="e">
        <f>AND(Ischemia_25percent_output_edgel!B1567,"AAAAAC87eVw=")</f>
        <v>#VALUE!</v>
      </c>
      <c r="CP19">
        <f>IF(Ischemia_25percent_output_edgel!1568:1568,"AAAAAC87eV0=",0)</f>
        <v>0</v>
      </c>
      <c r="CQ19" t="e">
        <f>AND(Ischemia_25percent_output_edgel!A1568,"AAAAAC87eV4=")</f>
        <v>#VALUE!</v>
      </c>
      <c r="CR19" t="e">
        <f>AND(Ischemia_25percent_output_edgel!B1568,"AAAAAC87eV8=")</f>
        <v>#VALUE!</v>
      </c>
      <c r="CS19">
        <f>IF(Ischemia_25percent_output_edgel!1569:1569,"AAAAAC87eWA=",0)</f>
        <v>0</v>
      </c>
      <c r="CT19" t="e">
        <f>AND(Ischemia_25percent_output_edgel!A1569,"AAAAAC87eWE=")</f>
        <v>#VALUE!</v>
      </c>
      <c r="CU19" t="e">
        <f>AND(Ischemia_25percent_output_edgel!B1569,"AAAAAC87eWI=")</f>
        <v>#VALUE!</v>
      </c>
      <c r="CV19">
        <f>IF(Ischemia_25percent_output_edgel!1570:1570,"AAAAAC87eWM=",0)</f>
        <v>0</v>
      </c>
      <c r="CW19" t="e">
        <f>AND(Ischemia_25percent_output_edgel!A1570,"AAAAAC87eWQ=")</f>
        <v>#VALUE!</v>
      </c>
      <c r="CX19" t="e">
        <f>AND(Ischemia_25percent_output_edgel!B1570,"AAAAAC87eWU=")</f>
        <v>#VALUE!</v>
      </c>
      <c r="CY19">
        <f>IF(Ischemia_25percent_output_edgel!1571:1571,"AAAAAC87eWY=",0)</f>
        <v>0</v>
      </c>
      <c r="CZ19" t="e">
        <f>AND(Ischemia_25percent_output_edgel!A1571,"AAAAAC87eWc=")</f>
        <v>#VALUE!</v>
      </c>
      <c r="DA19" t="e">
        <f>AND(Ischemia_25percent_output_edgel!B1571,"AAAAAC87eWg=")</f>
        <v>#VALUE!</v>
      </c>
      <c r="DB19">
        <f>IF(Ischemia_25percent_output_edgel!1572:1572,"AAAAAC87eWk=",0)</f>
        <v>0</v>
      </c>
      <c r="DC19" t="e">
        <f>AND(Ischemia_25percent_output_edgel!A1572,"AAAAAC87eWo=")</f>
        <v>#VALUE!</v>
      </c>
      <c r="DD19" t="e">
        <f>AND(Ischemia_25percent_output_edgel!B1572,"AAAAAC87eWs=")</f>
        <v>#VALUE!</v>
      </c>
      <c r="DE19">
        <f>IF(Ischemia_25percent_output_edgel!1573:1573,"AAAAAC87eWw=",0)</f>
        <v>0</v>
      </c>
      <c r="DF19" t="e">
        <f>AND(Ischemia_25percent_output_edgel!A1573,"AAAAAC87eW0=")</f>
        <v>#VALUE!</v>
      </c>
      <c r="DG19" t="e">
        <f>AND(Ischemia_25percent_output_edgel!B1573,"AAAAAC87eW4=")</f>
        <v>#VALUE!</v>
      </c>
      <c r="DH19">
        <f>IF(Ischemia_25percent_output_edgel!1574:1574,"AAAAAC87eW8=",0)</f>
        <v>0</v>
      </c>
      <c r="DI19" t="e">
        <f>AND(Ischemia_25percent_output_edgel!A1574,"AAAAAC87eXA=")</f>
        <v>#VALUE!</v>
      </c>
      <c r="DJ19" t="e">
        <f>AND(Ischemia_25percent_output_edgel!B1574,"AAAAAC87eXE=")</f>
        <v>#VALUE!</v>
      </c>
      <c r="DK19">
        <f>IF(Ischemia_25percent_output_edgel!1575:1575,"AAAAAC87eXI=",0)</f>
        <v>0</v>
      </c>
      <c r="DL19" t="e">
        <f>AND(Ischemia_25percent_output_edgel!A1575,"AAAAAC87eXM=")</f>
        <v>#VALUE!</v>
      </c>
      <c r="DM19" t="e">
        <f>AND(Ischemia_25percent_output_edgel!B1575,"AAAAAC87eXQ=")</f>
        <v>#VALUE!</v>
      </c>
      <c r="DN19">
        <f>IF(Ischemia_25percent_output_edgel!1576:1576,"AAAAAC87eXU=",0)</f>
        <v>0</v>
      </c>
      <c r="DO19" t="e">
        <f>AND(Ischemia_25percent_output_edgel!A1576,"AAAAAC87eXY=")</f>
        <v>#VALUE!</v>
      </c>
      <c r="DP19" t="e">
        <f>AND(Ischemia_25percent_output_edgel!B1576,"AAAAAC87eXc=")</f>
        <v>#VALUE!</v>
      </c>
      <c r="DQ19">
        <f>IF(Ischemia_25percent_output_edgel!1577:1577,"AAAAAC87eXg=",0)</f>
        <v>0</v>
      </c>
      <c r="DR19" t="e">
        <f>AND(Ischemia_25percent_output_edgel!A1577,"AAAAAC87eXk=")</f>
        <v>#VALUE!</v>
      </c>
      <c r="DS19" t="e">
        <f>AND(Ischemia_25percent_output_edgel!B1577,"AAAAAC87eXo=")</f>
        <v>#VALUE!</v>
      </c>
      <c r="DT19">
        <f>IF(Ischemia_25percent_output_edgel!1578:1578,"AAAAAC87eXs=",0)</f>
        <v>0</v>
      </c>
      <c r="DU19" t="e">
        <f>AND(Ischemia_25percent_output_edgel!A1578,"AAAAAC87eXw=")</f>
        <v>#VALUE!</v>
      </c>
      <c r="DV19" t="e">
        <f>AND(Ischemia_25percent_output_edgel!B1578,"AAAAAC87eX0=")</f>
        <v>#VALUE!</v>
      </c>
      <c r="DW19">
        <f>IF(Ischemia_25percent_output_edgel!1579:1579,"AAAAAC87eX4=",0)</f>
        <v>0</v>
      </c>
      <c r="DX19" t="e">
        <f>AND(Ischemia_25percent_output_edgel!A1579,"AAAAAC87eX8=")</f>
        <v>#VALUE!</v>
      </c>
      <c r="DY19" t="e">
        <f>AND(Ischemia_25percent_output_edgel!B1579,"AAAAAC87eYA=")</f>
        <v>#VALUE!</v>
      </c>
      <c r="DZ19">
        <f>IF(Ischemia_25percent_output_edgel!1580:1580,"AAAAAC87eYE=",0)</f>
        <v>0</v>
      </c>
      <c r="EA19" t="e">
        <f>AND(Ischemia_25percent_output_edgel!A1580,"AAAAAC87eYI=")</f>
        <v>#VALUE!</v>
      </c>
      <c r="EB19" t="e">
        <f>AND(Ischemia_25percent_output_edgel!B1580,"AAAAAC87eYM=")</f>
        <v>#VALUE!</v>
      </c>
      <c r="EC19">
        <f>IF(Ischemia_25percent_output_edgel!1581:1581,"AAAAAC87eYQ=",0)</f>
        <v>0</v>
      </c>
      <c r="ED19" t="e">
        <f>AND(Ischemia_25percent_output_edgel!A1581,"AAAAAC87eYU=")</f>
        <v>#VALUE!</v>
      </c>
      <c r="EE19" t="e">
        <f>AND(Ischemia_25percent_output_edgel!B1581,"AAAAAC87eYY=")</f>
        <v>#VALUE!</v>
      </c>
      <c r="EF19">
        <f>IF(Ischemia_25percent_output_edgel!1582:1582,"AAAAAC87eYc=",0)</f>
        <v>0</v>
      </c>
      <c r="EG19" t="e">
        <f>AND(Ischemia_25percent_output_edgel!A1582,"AAAAAC87eYg=")</f>
        <v>#VALUE!</v>
      </c>
      <c r="EH19" t="e">
        <f>AND(Ischemia_25percent_output_edgel!B1582,"AAAAAC87eYk=")</f>
        <v>#VALUE!</v>
      </c>
      <c r="EI19">
        <f>IF(Ischemia_25percent_output_edgel!1583:1583,"AAAAAC87eYo=",0)</f>
        <v>0</v>
      </c>
      <c r="EJ19" t="e">
        <f>AND(Ischemia_25percent_output_edgel!A1583,"AAAAAC87eYs=")</f>
        <v>#VALUE!</v>
      </c>
      <c r="EK19" t="e">
        <f>AND(Ischemia_25percent_output_edgel!B1583,"AAAAAC87eYw=")</f>
        <v>#VALUE!</v>
      </c>
      <c r="EL19">
        <f>IF(Ischemia_25percent_output_edgel!1584:1584,"AAAAAC87eY0=",0)</f>
        <v>0</v>
      </c>
      <c r="EM19" t="e">
        <f>AND(Ischemia_25percent_output_edgel!A1584,"AAAAAC87eY4=")</f>
        <v>#VALUE!</v>
      </c>
      <c r="EN19" t="e">
        <f>AND(Ischemia_25percent_output_edgel!B1584,"AAAAAC87eY8=")</f>
        <v>#VALUE!</v>
      </c>
      <c r="EO19">
        <f>IF(Ischemia_25percent_output_edgel!1585:1585,"AAAAAC87eZA=",0)</f>
        <v>0</v>
      </c>
      <c r="EP19" t="e">
        <f>AND(Ischemia_25percent_output_edgel!A1585,"AAAAAC87eZE=")</f>
        <v>#VALUE!</v>
      </c>
      <c r="EQ19" t="e">
        <f>AND(Ischemia_25percent_output_edgel!B1585,"AAAAAC87eZI=")</f>
        <v>#VALUE!</v>
      </c>
      <c r="ER19">
        <f>IF(Ischemia_25percent_output_edgel!1586:1586,"AAAAAC87eZM=",0)</f>
        <v>0</v>
      </c>
      <c r="ES19" t="e">
        <f>AND(Ischemia_25percent_output_edgel!A1586,"AAAAAC87eZQ=")</f>
        <v>#VALUE!</v>
      </c>
      <c r="ET19" t="e">
        <f>AND(Ischemia_25percent_output_edgel!B1586,"AAAAAC87eZU=")</f>
        <v>#VALUE!</v>
      </c>
      <c r="EU19">
        <f>IF(Ischemia_25percent_output_edgel!1587:1587,"AAAAAC87eZY=",0)</f>
        <v>0</v>
      </c>
      <c r="EV19" t="e">
        <f>AND(Ischemia_25percent_output_edgel!A1587,"AAAAAC87eZc=")</f>
        <v>#VALUE!</v>
      </c>
      <c r="EW19" t="e">
        <f>AND(Ischemia_25percent_output_edgel!B1587,"AAAAAC87eZg=")</f>
        <v>#VALUE!</v>
      </c>
      <c r="EX19">
        <f>IF(Ischemia_25percent_output_edgel!1588:1588,"AAAAAC87eZk=",0)</f>
        <v>0</v>
      </c>
      <c r="EY19" t="e">
        <f>AND(Ischemia_25percent_output_edgel!A1588,"AAAAAC87eZo=")</f>
        <v>#VALUE!</v>
      </c>
      <c r="EZ19" t="e">
        <f>AND(Ischemia_25percent_output_edgel!B1588,"AAAAAC87eZs=")</f>
        <v>#VALUE!</v>
      </c>
      <c r="FA19">
        <f>IF(Ischemia_25percent_output_edgel!1589:1589,"AAAAAC87eZw=",0)</f>
        <v>0</v>
      </c>
      <c r="FB19" t="e">
        <f>AND(Ischemia_25percent_output_edgel!A1589,"AAAAAC87eZ0=")</f>
        <v>#VALUE!</v>
      </c>
      <c r="FC19" t="e">
        <f>AND(Ischemia_25percent_output_edgel!B1589,"AAAAAC87eZ4=")</f>
        <v>#VALUE!</v>
      </c>
      <c r="FD19">
        <f>IF(Ischemia_25percent_output_edgel!1590:1590,"AAAAAC87eZ8=",0)</f>
        <v>0</v>
      </c>
      <c r="FE19" t="e">
        <f>AND(Ischemia_25percent_output_edgel!A1590,"AAAAAC87eaA=")</f>
        <v>#VALUE!</v>
      </c>
      <c r="FF19" t="e">
        <f>AND(Ischemia_25percent_output_edgel!B1590,"AAAAAC87eaE=")</f>
        <v>#VALUE!</v>
      </c>
      <c r="FG19">
        <f>IF(Ischemia_25percent_output_edgel!1591:1591,"AAAAAC87eaI=",0)</f>
        <v>0</v>
      </c>
      <c r="FH19" t="e">
        <f>AND(Ischemia_25percent_output_edgel!A1591,"AAAAAC87eaM=")</f>
        <v>#VALUE!</v>
      </c>
      <c r="FI19" t="e">
        <f>AND(Ischemia_25percent_output_edgel!B1591,"AAAAAC87eaQ=")</f>
        <v>#VALUE!</v>
      </c>
      <c r="FJ19">
        <f>IF(Ischemia_25percent_output_edgel!1592:1592,"AAAAAC87eaU=",0)</f>
        <v>0</v>
      </c>
      <c r="FK19" t="e">
        <f>AND(Ischemia_25percent_output_edgel!A1592,"AAAAAC87eaY=")</f>
        <v>#VALUE!</v>
      </c>
      <c r="FL19" t="e">
        <f>AND(Ischemia_25percent_output_edgel!B1592,"AAAAAC87eac=")</f>
        <v>#VALUE!</v>
      </c>
      <c r="FM19">
        <f>IF(Ischemia_25percent_output_edgel!1593:1593,"AAAAAC87eag=",0)</f>
        <v>0</v>
      </c>
      <c r="FN19" t="e">
        <f>AND(Ischemia_25percent_output_edgel!A1593,"AAAAAC87eak=")</f>
        <v>#VALUE!</v>
      </c>
      <c r="FO19" t="e">
        <f>AND(Ischemia_25percent_output_edgel!B1593,"AAAAAC87eao=")</f>
        <v>#VALUE!</v>
      </c>
      <c r="FP19">
        <f>IF(Ischemia_25percent_output_edgel!1594:1594,"AAAAAC87eas=",0)</f>
        <v>0</v>
      </c>
      <c r="FQ19" t="e">
        <f>AND(Ischemia_25percent_output_edgel!A1594,"AAAAAC87eaw=")</f>
        <v>#VALUE!</v>
      </c>
      <c r="FR19" t="e">
        <f>AND(Ischemia_25percent_output_edgel!B1594,"AAAAAC87ea0=")</f>
        <v>#VALUE!</v>
      </c>
      <c r="FS19">
        <f>IF(Ischemia_25percent_output_edgel!1595:1595,"AAAAAC87ea4=",0)</f>
        <v>0</v>
      </c>
      <c r="FT19" t="e">
        <f>AND(Ischemia_25percent_output_edgel!A1595,"AAAAAC87ea8=")</f>
        <v>#VALUE!</v>
      </c>
      <c r="FU19" t="e">
        <f>AND(Ischemia_25percent_output_edgel!B1595,"AAAAAC87ebA=")</f>
        <v>#VALUE!</v>
      </c>
      <c r="FV19">
        <f>IF(Ischemia_25percent_output_edgel!1596:1596,"AAAAAC87ebE=",0)</f>
        <v>0</v>
      </c>
      <c r="FW19" t="e">
        <f>AND(Ischemia_25percent_output_edgel!A1596,"AAAAAC87ebI=")</f>
        <v>#VALUE!</v>
      </c>
      <c r="FX19" t="e">
        <f>AND(Ischemia_25percent_output_edgel!B1596,"AAAAAC87ebM=")</f>
        <v>#VALUE!</v>
      </c>
      <c r="FY19">
        <f>IF(Ischemia_25percent_output_edgel!1597:1597,"AAAAAC87ebQ=",0)</f>
        <v>0</v>
      </c>
      <c r="FZ19" t="e">
        <f>AND(Ischemia_25percent_output_edgel!A1597,"AAAAAC87ebU=")</f>
        <v>#VALUE!</v>
      </c>
      <c r="GA19" t="e">
        <f>AND(Ischemia_25percent_output_edgel!B1597,"AAAAAC87ebY=")</f>
        <v>#VALUE!</v>
      </c>
      <c r="GB19">
        <f>IF(Ischemia_25percent_output_edgel!1598:1598,"AAAAAC87ebc=",0)</f>
        <v>0</v>
      </c>
      <c r="GC19" t="e">
        <f>AND(Ischemia_25percent_output_edgel!A1598,"AAAAAC87ebg=")</f>
        <v>#VALUE!</v>
      </c>
      <c r="GD19" t="e">
        <f>AND(Ischemia_25percent_output_edgel!B1598,"AAAAAC87ebk=")</f>
        <v>#VALUE!</v>
      </c>
      <c r="GE19">
        <f>IF(Ischemia_25percent_output_edgel!1599:1599,"AAAAAC87ebo=",0)</f>
        <v>0</v>
      </c>
      <c r="GF19" t="e">
        <f>AND(Ischemia_25percent_output_edgel!A1599,"AAAAAC87ebs=")</f>
        <v>#VALUE!</v>
      </c>
      <c r="GG19" t="e">
        <f>AND(Ischemia_25percent_output_edgel!B1599,"AAAAAC87ebw=")</f>
        <v>#VALUE!</v>
      </c>
      <c r="GH19">
        <f>IF(Ischemia_25percent_output_edgel!1600:1600,"AAAAAC87eb0=",0)</f>
        <v>0</v>
      </c>
      <c r="GI19" t="e">
        <f>AND(Ischemia_25percent_output_edgel!A1600,"AAAAAC87eb4=")</f>
        <v>#VALUE!</v>
      </c>
      <c r="GJ19" t="e">
        <f>AND(Ischemia_25percent_output_edgel!B1600,"AAAAAC87eb8=")</f>
        <v>#VALUE!</v>
      </c>
      <c r="GK19">
        <f>IF(Ischemia_25percent_output_edgel!1601:1601,"AAAAAC87ecA=",0)</f>
        <v>0</v>
      </c>
      <c r="GL19" t="e">
        <f>AND(Ischemia_25percent_output_edgel!A1601,"AAAAAC87ecE=")</f>
        <v>#VALUE!</v>
      </c>
      <c r="GM19" t="e">
        <f>AND(Ischemia_25percent_output_edgel!B1601,"AAAAAC87ecI=")</f>
        <v>#VALUE!</v>
      </c>
      <c r="GN19">
        <f>IF(Ischemia_25percent_output_edgel!1602:1602,"AAAAAC87ecM=",0)</f>
        <v>0</v>
      </c>
      <c r="GO19" t="e">
        <f>AND(Ischemia_25percent_output_edgel!A1602,"AAAAAC87ecQ=")</f>
        <v>#VALUE!</v>
      </c>
      <c r="GP19" t="e">
        <f>AND(Ischemia_25percent_output_edgel!B1602,"AAAAAC87ecU=")</f>
        <v>#VALUE!</v>
      </c>
      <c r="GQ19">
        <f>IF(Ischemia_25percent_output_edgel!1603:1603,"AAAAAC87ecY=",0)</f>
        <v>0</v>
      </c>
      <c r="GR19" t="e">
        <f>AND(Ischemia_25percent_output_edgel!A1603,"AAAAAC87ecc=")</f>
        <v>#VALUE!</v>
      </c>
      <c r="GS19" t="e">
        <f>AND(Ischemia_25percent_output_edgel!B1603,"AAAAAC87ecg=")</f>
        <v>#VALUE!</v>
      </c>
      <c r="GT19">
        <f>IF(Ischemia_25percent_output_edgel!1604:1604,"AAAAAC87eck=",0)</f>
        <v>0</v>
      </c>
      <c r="GU19" t="e">
        <f>AND(Ischemia_25percent_output_edgel!A1604,"AAAAAC87eco=")</f>
        <v>#VALUE!</v>
      </c>
      <c r="GV19" t="e">
        <f>AND(Ischemia_25percent_output_edgel!B1604,"AAAAAC87ecs=")</f>
        <v>#VALUE!</v>
      </c>
      <c r="GW19">
        <f>IF(Ischemia_25percent_output_edgel!1605:1605,"AAAAAC87ecw=",0)</f>
        <v>0</v>
      </c>
      <c r="GX19" t="e">
        <f>AND(Ischemia_25percent_output_edgel!A1605,"AAAAAC87ec0=")</f>
        <v>#VALUE!</v>
      </c>
      <c r="GY19" t="e">
        <f>AND(Ischemia_25percent_output_edgel!B1605,"AAAAAC87ec4=")</f>
        <v>#VALUE!</v>
      </c>
      <c r="GZ19">
        <f>IF(Ischemia_25percent_output_edgel!1606:1606,"AAAAAC87ec8=",0)</f>
        <v>0</v>
      </c>
      <c r="HA19" t="e">
        <f>AND(Ischemia_25percent_output_edgel!A1606,"AAAAAC87edA=")</f>
        <v>#VALUE!</v>
      </c>
      <c r="HB19" t="e">
        <f>AND(Ischemia_25percent_output_edgel!B1606,"AAAAAC87edE=")</f>
        <v>#VALUE!</v>
      </c>
      <c r="HC19">
        <f>IF(Ischemia_25percent_output_edgel!1607:1607,"AAAAAC87edI=",0)</f>
        <v>0</v>
      </c>
      <c r="HD19" t="e">
        <f>AND(Ischemia_25percent_output_edgel!A1607,"AAAAAC87edM=")</f>
        <v>#VALUE!</v>
      </c>
      <c r="HE19" t="e">
        <f>AND(Ischemia_25percent_output_edgel!B1607,"AAAAAC87edQ=")</f>
        <v>#VALUE!</v>
      </c>
      <c r="HF19">
        <f>IF(Ischemia_25percent_output_edgel!1608:1608,"AAAAAC87edU=",0)</f>
        <v>0</v>
      </c>
      <c r="HG19" t="e">
        <f>AND(Ischemia_25percent_output_edgel!A1608,"AAAAAC87edY=")</f>
        <v>#VALUE!</v>
      </c>
      <c r="HH19" t="e">
        <f>AND(Ischemia_25percent_output_edgel!B1608,"AAAAAC87edc=")</f>
        <v>#VALUE!</v>
      </c>
      <c r="HI19">
        <f>IF(Ischemia_25percent_output_edgel!1609:1609,"AAAAAC87edg=",0)</f>
        <v>0</v>
      </c>
      <c r="HJ19" t="e">
        <f>AND(Ischemia_25percent_output_edgel!A1609,"AAAAAC87edk=")</f>
        <v>#VALUE!</v>
      </c>
      <c r="HK19" t="e">
        <f>AND(Ischemia_25percent_output_edgel!B1609,"AAAAAC87edo=")</f>
        <v>#VALUE!</v>
      </c>
      <c r="HL19">
        <f>IF(Ischemia_25percent_output_edgel!1610:1610,"AAAAAC87eds=",0)</f>
        <v>0</v>
      </c>
      <c r="HM19" t="e">
        <f>AND(Ischemia_25percent_output_edgel!A1610,"AAAAAC87edw=")</f>
        <v>#VALUE!</v>
      </c>
      <c r="HN19" t="e">
        <f>AND(Ischemia_25percent_output_edgel!B1610,"AAAAAC87ed0=")</f>
        <v>#VALUE!</v>
      </c>
      <c r="HO19">
        <f>IF(Ischemia_25percent_output_edgel!1611:1611,"AAAAAC87ed4=",0)</f>
        <v>0</v>
      </c>
      <c r="HP19" t="e">
        <f>AND(Ischemia_25percent_output_edgel!A1611,"AAAAAC87ed8=")</f>
        <v>#VALUE!</v>
      </c>
      <c r="HQ19" t="e">
        <f>AND(Ischemia_25percent_output_edgel!B1611,"AAAAAC87eeA=")</f>
        <v>#VALUE!</v>
      </c>
      <c r="HR19">
        <f>IF(Ischemia_25percent_output_edgel!1612:1612,"AAAAAC87eeE=",0)</f>
        <v>0</v>
      </c>
      <c r="HS19" t="e">
        <f>AND(Ischemia_25percent_output_edgel!A1612,"AAAAAC87eeI=")</f>
        <v>#VALUE!</v>
      </c>
      <c r="HT19" t="e">
        <f>AND(Ischemia_25percent_output_edgel!B1612,"AAAAAC87eeM=")</f>
        <v>#VALUE!</v>
      </c>
      <c r="HU19">
        <f>IF(Ischemia_25percent_output_edgel!1613:1613,"AAAAAC87eeQ=",0)</f>
        <v>0</v>
      </c>
      <c r="HV19" t="e">
        <f>AND(Ischemia_25percent_output_edgel!A1613,"AAAAAC87eeU=")</f>
        <v>#VALUE!</v>
      </c>
      <c r="HW19" t="e">
        <f>AND(Ischemia_25percent_output_edgel!B1613,"AAAAAC87eeY=")</f>
        <v>#VALUE!</v>
      </c>
      <c r="HX19">
        <f>IF(Ischemia_25percent_output_edgel!1614:1614,"AAAAAC87eec=",0)</f>
        <v>0</v>
      </c>
      <c r="HY19" t="e">
        <f>AND(Ischemia_25percent_output_edgel!A1614,"AAAAAC87eeg=")</f>
        <v>#VALUE!</v>
      </c>
      <c r="HZ19" t="e">
        <f>AND(Ischemia_25percent_output_edgel!B1614,"AAAAAC87eek=")</f>
        <v>#VALUE!</v>
      </c>
      <c r="IA19">
        <f>IF(Ischemia_25percent_output_edgel!1615:1615,"AAAAAC87eeo=",0)</f>
        <v>0</v>
      </c>
      <c r="IB19" t="e">
        <f>AND(Ischemia_25percent_output_edgel!A1615,"AAAAAC87ees=")</f>
        <v>#VALUE!</v>
      </c>
      <c r="IC19" t="e">
        <f>AND(Ischemia_25percent_output_edgel!B1615,"AAAAAC87eew=")</f>
        <v>#VALUE!</v>
      </c>
      <c r="ID19">
        <f>IF(Ischemia_25percent_output_edgel!1616:1616,"AAAAAC87ee0=",0)</f>
        <v>0</v>
      </c>
      <c r="IE19" t="e">
        <f>AND(Ischemia_25percent_output_edgel!A1616,"AAAAAC87ee4=")</f>
        <v>#VALUE!</v>
      </c>
      <c r="IF19" t="e">
        <f>AND(Ischemia_25percent_output_edgel!B1616,"AAAAAC87ee8=")</f>
        <v>#VALUE!</v>
      </c>
      <c r="IG19">
        <f>IF(Ischemia_25percent_output_edgel!1617:1617,"AAAAAC87efA=",0)</f>
        <v>0</v>
      </c>
      <c r="IH19" t="e">
        <f>AND(Ischemia_25percent_output_edgel!A1617,"AAAAAC87efE=")</f>
        <v>#VALUE!</v>
      </c>
      <c r="II19" t="e">
        <f>AND(Ischemia_25percent_output_edgel!B1617,"AAAAAC87efI=")</f>
        <v>#VALUE!</v>
      </c>
      <c r="IJ19">
        <f>IF(Ischemia_25percent_output_edgel!1618:1618,"AAAAAC87efM=",0)</f>
        <v>0</v>
      </c>
      <c r="IK19" t="e">
        <f>AND(Ischemia_25percent_output_edgel!A1618,"AAAAAC87efQ=")</f>
        <v>#VALUE!</v>
      </c>
      <c r="IL19" t="e">
        <f>AND(Ischemia_25percent_output_edgel!B1618,"AAAAAC87efU=")</f>
        <v>#VALUE!</v>
      </c>
      <c r="IM19">
        <f>IF(Ischemia_25percent_output_edgel!1619:1619,"AAAAAC87efY=",0)</f>
        <v>0</v>
      </c>
      <c r="IN19" t="e">
        <f>AND(Ischemia_25percent_output_edgel!A1619,"AAAAAC87efc=")</f>
        <v>#VALUE!</v>
      </c>
      <c r="IO19" t="e">
        <f>AND(Ischemia_25percent_output_edgel!B1619,"AAAAAC87efg=")</f>
        <v>#VALUE!</v>
      </c>
      <c r="IP19">
        <f>IF(Ischemia_25percent_output_edgel!1620:1620,"AAAAAC87efk=",0)</f>
        <v>0</v>
      </c>
      <c r="IQ19" t="e">
        <f>AND(Ischemia_25percent_output_edgel!A1620,"AAAAAC87efo=")</f>
        <v>#VALUE!</v>
      </c>
      <c r="IR19" t="e">
        <f>AND(Ischemia_25percent_output_edgel!B1620,"AAAAAC87efs=")</f>
        <v>#VALUE!</v>
      </c>
      <c r="IS19">
        <f>IF(Ischemia_25percent_output_edgel!1621:1621,"AAAAAC87efw=",0)</f>
        <v>0</v>
      </c>
      <c r="IT19" t="e">
        <f>AND(Ischemia_25percent_output_edgel!A1621,"AAAAAC87ef0=")</f>
        <v>#VALUE!</v>
      </c>
      <c r="IU19" t="e">
        <f>AND(Ischemia_25percent_output_edgel!B1621,"AAAAAC87ef4=")</f>
        <v>#VALUE!</v>
      </c>
      <c r="IV19">
        <f>IF(Ischemia_25percent_output_edgel!1622:1622,"AAAAAC87ef8=",0)</f>
        <v>0</v>
      </c>
    </row>
    <row r="20" spans="1:256">
      <c r="A20" t="e">
        <f>AND(Ischemia_25percent_output_edgel!A1622,"AAAAAA+13gA=")</f>
        <v>#VALUE!</v>
      </c>
      <c r="B20" t="e">
        <f>AND(Ischemia_25percent_output_edgel!B1622,"AAAAAA+13gE=")</f>
        <v>#VALUE!</v>
      </c>
      <c r="C20">
        <f>IF(Ischemia_25percent_output_edgel!1623:1623,"AAAAAA+13gI=",0)</f>
        <v>0</v>
      </c>
      <c r="D20" t="e">
        <f>AND(Ischemia_25percent_output_edgel!A1623,"AAAAAA+13gM=")</f>
        <v>#VALUE!</v>
      </c>
      <c r="E20" t="e">
        <f>AND(Ischemia_25percent_output_edgel!B1623,"AAAAAA+13gQ=")</f>
        <v>#VALUE!</v>
      </c>
      <c r="F20">
        <f>IF(Ischemia_25percent_output_edgel!1624:1624,"AAAAAA+13gU=",0)</f>
        <v>0</v>
      </c>
      <c r="G20" t="e">
        <f>AND(Ischemia_25percent_output_edgel!A1624,"AAAAAA+13gY=")</f>
        <v>#VALUE!</v>
      </c>
      <c r="H20" t="e">
        <f>AND(Ischemia_25percent_output_edgel!B1624,"AAAAAA+13gc=")</f>
        <v>#VALUE!</v>
      </c>
      <c r="I20">
        <f>IF(Ischemia_25percent_output_edgel!1625:1625,"AAAAAA+13gg=",0)</f>
        <v>0</v>
      </c>
      <c r="J20" t="e">
        <f>AND(Ischemia_25percent_output_edgel!A1625,"AAAAAA+13gk=")</f>
        <v>#VALUE!</v>
      </c>
      <c r="K20" t="e">
        <f>AND(Ischemia_25percent_output_edgel!B1625,"AAAAAA+13go=")</f>
        <v>#VALUE!</v>
      </c>
      <c r="L20">
        <f>IF(Ischemia_25percent_output_edgel!1626:1626,"AAAAAA+13gs=",0)</f>
        <v>0</v>
      </c>
      <c r="M20" t="e">
        <f>AND(Ischemia_25percent_output_edgel!A1626,"AAAAAA+13gw=")</f>
        <v>#VALUE!</v>
      </c>
      <c r="N20" t="e">
        <f>AND(Ischemia_25percent_output_edgel!B1626,"AAAAAA+13g0=")</f>
        <v>#VALUE!</v>
      </c>
      <c r="O20">
        <f>IF(Ischemia_25percent_output_edgel!1627:1627,"AAAAAA+13g4=",0)</f>
        <v>0</v>
      </c>
      <c r="P20" t="e">
        <f>AND(Ischemia_25percent_output_edgel!A1627,"AAAAAA+13g8=")</f>
        <v>#VALUE!</v>
      </c>
      <c r="Q20" t="e">
        <f>AND(Ischemia_25percent_output_edgel!B1627,"AAAAAA+13hA=")</f>
        <v>#VALUE!</v>
      </c>
      <c r="R20">
        <f>IF(Ischemia_25percent_output_edgel!1628:1628,"AAAAAA+13hE=",0)</f>
        <v>0</v>
      </c>
      <c r="S20" t="e">
        <f>AND(Ischemia_25percent_output_edgel!A1628,"AAAAAA+13hI=")</f>
        <v>#VALUE!</v>
      </c>
      <c r="T20" t="e">
        <f>AND(Ischemia_25percent_output_edgel!B1628,"AAAAAA+13hM=")</f>
        <v>#VALUE!</v>
      </c>
      <c r="U20">
        <f>IF(Ischemia_25percent_output_edgel!1629:1629,"AAAAAA+13hQ=",0)</f>
        <v>0</v>
      </c>
      <c r="V20" t="e">
        <f>AND(Ischemia_25percent_output_edgel!A1629,"AAAAAA+13hU=")</f>
        <v>#VALUE!</v>
      </c>
      <c r="W20" t="e">
        <f>AND(Ischemia_25percent_output_edgel!B1629,"AAAAAA+13hY=")</f>
        <v>#VALUE!</v>
      </c>
      <c r="X20">
        <f>IF(Ischemia_25percent_output_edgel!1630:1630,"AAAAAA+13hc=",0)</f>
        <v>0</v>
      </c>
      <c r="Y20" t="e">
        <f>AND(Ischemia_25percent_output_edgel!A1630,"AAAAAA+13hg=")</f>
        <v>#VALUE!</v>
      </c>
      <c r="Z20" t="e">
        <f>AND(Ischemia_25percent_output_edgel!B1630,"AAAAAA+13hk=")</f>
        <v>#VALUE!</v>
      </c>
      <c r="AA20">
        <f>IF(Ischemia_25percent_output_edgel!1631:1631,"AAAAAA+13ho=",0)</f>
        <v>0</v>
      </c>
      <c r="AB20" t="e">
        <f>AND(Ischemia_25percent_output_edgel!A1631,"AAAAAA+13hs=")</f>
        <v>#VALUE!</v>
      </c>
      <c r="AC20" t="e">
        <f>AND(Ischemia_25percent_output_edgel!B1631,"AAAAAA+13hw=")</f>
        <v>#VALUE!</v>
      </c>
      <c r="AD20">
        <f>IF(Ischemia_25percent_output_edgel!1632:1632,"AAAAAA+13h0=",0)</f>
        <v>0</v>
      </c>
      <c r="AE20" t="e">
        <f>AND(Ischemia_25percent_output_edgel!A1632,"AAAAAA+13h4=")</f>
        <v>#VALUE!</v>
      </c>
      <c r="AF20" t="e">
        <f>AND(Ischemia_25percent_output_edgel!B1632,"AAAAAA+13h8=")</f>
        <v>#VALUE!</v>
      </c>
      <c r="AG20">
        <f>IF(Ischemia_25percent_output_edgel!1633:1633,"AAAAAA+13iA=",0)</f>
        <v>0</v>
      </c>
      <c r="AH20" t="e">
        <f>AND(Ischemia_25percent_output_edgel!A1633,"AAAAAA+13iE=")</f>
        <v>#VALUE!</v>
      </c>
      <c r="AI20" t="e">
        <f>AND(Ischemia_25percent_output_edgel!B1633,"AAAAAA+13iI=")</f>
        <v>#VALUE!</v>
      </c>
      <c r="AJ20">
        <f>IF(Ischemia_25percent_output_edgel!1634:1634,"AAAAAA+13iM=",0)</f>
        <v>0</v>
      </c>
      <c r="AK20" t="e">
        <f>AND(Ischemia_25percent_output_edgel!A1634,"AAAAAA+13iQ=")</f>
        <v>#VALUE!</v>
      </c>
      <c r="AL20" t="e">
        <f>AND(Ischemia_25percent_output_edgel!B1634,"AAAAAA+13iU=")</f>
        <v>#VALUE!</v>
      </c>
      <c r="AM20">
        <f>IF(Ischemia_25percent_output_edgel!1635:1635,"AAAAAA+13iY=",0)</f>
        <v>0</v>
      </c>
      <c r="AN20" t="e">
        <f>AND(Ischemia_25percent_output_edgel!A1635,"AAAAAA+13ic=")</f>
        <v>#VALUE!</v>
      </c>
      <c r="AO20" t="e">
        <f>AND(Ischemia_25percent_output_edgel!B1635,"AAAAAA+13ig=")</f>
        <v>#VALUE!</v>
      </c>
      <c r="AP20">
        <f>IF(Ischemia_25percent_output_edgel!1636:1636,"AAAAAA+13ik=",0)</f>
        <v>0</v>
      </c>
      <c r="AQ20" t="e">
        <f>AND(Ischemia_25percent_output_edgel!A1636,"AAAAAA+13io=")</f>
        <v>#VALUE!</v>
      </c>
      <c r="AR20" t="e">
        <f>AND(Ischemia_25percent_output_edgel!B1636,"AAAAAA+13is=")</f>
        <v>#VALUE!</v>
      </c>
      <c r="AS20">
        <f>IF(Ischemia_25percent_output_edgel!1637:1637,"AAAAAA+13iw=",0)</f>
        <v>0</v>
      </c>
      <c r="AT20" t="e">
        <f>AND(Ischemia_25percent_output_edgel!A1637,"AAAAAA+13i0=")</f>
        <v>#VALUE!</v>
      </c>
      <c r="AU20" t="e">
        <f>AND(Ischemia_25percent_output_edgel!B1637,"AAAAAA+13i4=")</f>
        <v>#VALUE!</v>
      </c>
      <c r="AV20">
        <f>IF(Ischemia_25percent_output_edgel!1638:1638,"AAAAAA+13i8=",0)</f>
        <v>0</v>
      </c>
      <c r="AW20" t="e">
        <f>AND(Ischemia_25percent_output_edgel!A1638,"AAAAAA+13jA=")</f>
        <v>#VALUE!</v>
      </c>
      <c r="AX20" t="e">
        <f>AND(Ischemia_25percent_output_edgel!B1638,"AAAAAA+13jE=")</f>
        <v>#VALUE!</v>
      </c>
      <c r="AY20">
        <f>IF(Ischemia_25percent_output_edgel!1639:1639,"AAAAAA+13jI=",0)</f>
        <v>0</v>
      </c>
      <c r="AZ20" t="e">
        <f>AND(Ischemia_25percent_output_edgel!A1639,"AAAAAA+13jM=")</f>
        <v>#VALUE!</v>
      </c>
      <c r="BA20" t="e">
        <f>AND(Ischemia_25percent_output_edgel!B1639,"AAAAAA+13jQ=")</f>
        <v>#VALUE!</v>
      </c>
      <c r="BB20">
        <f>IF(Ischemia_25percent_output_edgel!1640:1640,"AAAAAA+13jU=",0)</f>
        <v>0</v>
      </c>
      <c r="BC20" t="e">
        <f>AND(Ischemia_25percent_output_edgel!A1640,"AAAAAA+13jY=")</f>
        <v>#VALUE!</v>
      </c>
      <c r="BD20" t="e">
        <f>AND(Ischemia_25percent_output_edgel!B1640,"AAAAAA+13jc=")</f>
        <v>#VALUE!</v>
      </c>
      <c r="BE20">
        <f>IF(Ischemia_25percent_output_edgel!1641:1641,"AAAAAA+13jg=",0)</f>
        <v>0</v>
      </c>
      <c r="BF20" t="e">
        <f>AND(Ischemia_25percent_output_edgel!A1641,"AAAAAA+13jk=")</f>
        <v>#VALUE!</v>
      </c>
      <c r="BG20" t="e">
        <f>AND(Ischemia_25percent_output_edgel!B1641,"AAAAAA+13jo=")</f>
        <v>#VALUE!</v>
      </c>
      <c r="BH20">
        <f>IF(Ischemia_25percent_output_edgel!1642:1642,"AAAAAA+13js=",0)</f>
        <v>0</v>
      </c>
      <c r="BI20" t="e">
        <f>AND(Ischemia_25percent_output_edgel!A1642,"AAAAAA+13jw=")</f>
        <v>#VALUE!</v>
      </c>
      <c r="BJ20" t="e">
        <f>AND(Ischemia_25percent_output_edgel!B1642,"AAAAAA+13j0=")</f>
        <v>#VALUE!</v>
      </c>
      <c r="BK20">
        <f>IF(Ischemia_25percent_output_edgel!1643:1643,"AAAAAA+13j4=",0)</f>
        <v>0</v>
      </c>
      <c r="BL20" t="e">
        <f>AND(Ischemia_25percent_output_edgel!A1643,"AAAAAA+13j8=")</f>
        <v>#VALUE!</v>
      </c>
      <c r="BM20" t="e">
        <f>AND(Ischemia_25percent_output_edgel!B1643,"AAAAAA+13kA=")</f>
        <v>#VALUE!</v>
      </c>
      <c r="BN20">
        <f>IF(Ischemia_25percent_output_edgel!1644:1644,"AAAAAA+13kE=",0)</f>
        <v>0</v>
      </c>
      <c r="BO20" t="e">
        <f>AND(Ischemia_25percent_output_edgel!A1644,"AAAAAA+13kI=")</f>
        <v>#VALUE!</v>
      </c>
      <c r="BP20" t="e">
        <f>AND(Ischemia_25percent_output_edgel!B1644,"AAAAAA+13kM=")</f>
        <v>#VALUE!</v>
      </c>
      <c r="BQ20">
        <f>IF(Ischemia_25percent_output_edgel!1645:1645,"AAAAAA+13kQ=",0)</f>
        <v>0</v>
      </c>
      <c r="BR20" t="e">
        <f>AND(Ischemia_25percent_output_edgel!A1645,"AAAAAA+13kU=")</f>
        <v>#VALUE!</v>
      </c>
      <c r="BS20" t="e">
        <f>AND(Ischemia_25percent_output_edgel!B1645,"AAAAAA+13kY=")</f>
        <v>#VALUE!</v>
      </c>
      <c r="BT20">
        <f>IF(Ischemia_25percent_output_edgel!1646:1646,"AAAAAA+13kc=",0)</f>
        <v>0</v>
      </c>
      <c r="BU20" t="e">
        <f>AND(Ischemia_25percent_output_edgel!A1646,"AAAAAA+13kg=")</f>
        <v>#VALUE!</v>
      </c>
      <c r="BV20" t="e">
        <f>AND(Ischemia_25percent_output_edgel!B1646,"AAAAAA+13kk=")</f>
        <v>#VALUE!</v>
      </c>
      <c r="BW20">
        <f>IF(Ischemia_25percent_output_edgel!1647:1647,"AAAAAA+13ko=",0)</f>
        <v>0</v>
      </c>
      <c r="BX20" t="e">
        <f>AND(Ischemia_25percent_output_edgel!A1647,"AAAAAA+13ks=")</f>
        <v>#VALUE!</v>
      </c>
      <c r="BY20" t="e">
        <f>AND(Ischemia_25percent_output_edgel!B1647,"AAAAAA+13kw=")</f>
        <v>#VALUE!</v>
      </c>
      <c r="BZ20">
        <f>IF(Ischemia_25percent_output_edgel!1648:1648,"AAAAAA+13k0=",0)</f>
        <v>0</v>
      </c>
      <c r="CA20" t="e">
        <f>AND(Ischemia_25percent_output_edgel!A1648,"AAAAAA+13k4=")</f>
        <v>#VALUE!</v>
      </c>
      <c r="CB20" t="e">
        <f>AND(Ischemia_25percent_output_edgel!B1648,"AAAAAA+13k8=")</f>
        <v>#VALUE!</v>
      </c>
      <c r="CC20">
        <f>IF(Ischemia_25percent_output_edgel!1649:1649,"AAAAAA+13lA=",0)</f>
        <v>0</v>
      </c>
      <c r="CD20" t="e">
        <f>AND(Ischemia_25percent_output_edgel!A1649,"AAAAAA+13lE=")</f>
        <v>#VALUE!</v>
      </c>
      <c r="CE20" t="e">
        <f>AND(Ischemia_25percent_output_edgel!B1649,"AAAAAA+13lI=")</f>
        <v>#VALUE!</v>
      </c>
      <c r="CF20">
        <f>IF(Ischemia_25percent_output_edgel!1650:1650,"AAAAAA+13lM=",0)</f>
        <v>0</v>
      </c>
      <c r="CG20" t="e">
        <f>AND(Ischemia_25percent_output_edgel!A1650,"AAAAAA+13lQ=")</f>
        <v>#VALUE!</v>
      </c>
      <c r="CH20" t="e">
        <f>AND(Ischemia_25percent_output_edgel!B1650,"AAAAAA+13lU=")</f>
        <v>#VALUE!</v>
      </c>
      <c r="CI20">
        <f>IF(Ischemia_25percent_output_edgel!1651:1651,"AAAAAA+13lY=",0)</f>
        <v>0</v>
      </c>
      <c r="CJ20" t="e">
        <f>AND(Ischemia_25percent_output_edgel!A1651,"AAAAAA+13lc=")</f>
        <v>#VALUE!</v>
      </c>
      <c r="CK20" t="e">
        <f>AND(Ischemia_25percent_output_edgel!B1651,"AAAAAA+13lg=")</f>
        <v>#VALUE!</v>
      </c>
      <c r="CL20">
        <f>IF(Ischemia_25percent_output_edgel!1652:1652,"AAAAAA+13lk=",0)</f>
        <v>0</v>
      </c>
      <c r="CM20" t="e">
        <f>AND(Ischemia_25percent_output_edgel!A1652,"AAAAAA+13lo=")</f>
        <v>#VALUE!</v>
      </c>
      <c r="CN20" t="e">
        <f>AND(Ischemia_25percent_output_edgel!B1652,"AAAAAA+13ls=")</f>
        <v>#VALUE!</v>
      </c>
      <c r="CO20">
        <f>IF(Ischemia_25percent_output_edgel!1653:1653,"AAAAAA+13lw=",0)</f>
        <v>0</v>
      </c>
      <c r="CP20" t="e">
        <f>AND(Ischemia_25percent_output_edgel!A1653,"AAAAAA+13l0=")</f>
        <v>#VALUE!</v>
      </c>
      <c r="CQ20" t="e">
        <f>AND(Ischemia_25percent_output_edgel!B1653,"AAAAAA+13l4=")</f>
        <v>#VALUE!</v>
      </c>
      <c r="CR20">
        <f>IF(Ischemia_25percent_output_edgel!1654:1654,"AAAAAA+13l8=",0)</f>
        <v>0</v>
      </c>
      <c r="CS20" t="e">
        <f>AND(Ischemia_25percent_output_edgel!A1654,"AAAAAA+13mA=")</f>
        <v>#VALUE!</v>
      </c>
      <c r="CT20" t="e">
        <f>AND(Ischemia_25percent_output_edgel!B1654,"AAAAAA+13mE=")</f>
        <v>#VALUE!</v>
      </c>
      <c r="CU20">
        <f>IF(Ischemia_25percent_output_edgel!1655:1655,"AAAAAA+13mI=",0)</f>
        <v>0</v>
      </c>
      <c r="CV20" t="e">
        <f>AND(Ischemia_25percent_output_edgel!A1655,"AAAAAA+13mM=")</f>
        <v>#VALUE!</v>
      </c>
      <c r="CW20" t="e">
        <f>AND(Ischemia_25percent_output_edgel!B1655,"AAAAAA+13mQ=")</f>
        <v>#VALUE!</v>
      </c>
      <c r="CX20">
        <f>IF(Ischemia_25percent_output_edgel!1656:1656,"AAAAAA+13mU=",0)</f>
        <v>0</v>
      </c>
      <c r="CY20" t="e">
        <f>AND(Ischemia_25percent_output_edgel!A1656,"AAAAAA+13mY=")</f>
        <v>#VALUE!</v>
      </c>
      <c r="CZ20" t="e">
        <f>AND(Ischemia_25percent_output_edgel!B1656,"AAAAAA+13mc=")</f>
        <v>#VALUE!</v>
      </c>
      <c r="DA20">
        <f>IF(Ischemia_25percent_output_edgel!1657:1657,"AAAAAA+13mg=",0)</f>
        <v>0</v>
      </c>
      <c r="DB20" t="e">
        <f>AND(Ischemia_25percent_output_edgel!A1657,"AAAAAA+13mk=")</f>
        <v>#VALUE!</v>
      </c>
      <c r="DC20" t="e">
        <f>AND(Ischemia_25percent_output_edgel!B1657,"AAAAAA+13mo=")</f>
        <v>#VALUE!</v>
      </c>
      <c r="DD20">
        <f>IF(Ischemia_25percent_output_edgel!1658:1658,"AAAAAA+13ms=",0)</f>
        <v>0</v>
      </c>
      <c r="DE20" t="e">
        <f>AND(Ischemia_25percent_output_edgel!A1658,"AAAAAA+13mw=")</f>
        <v>#VALUE!</v>
      </c>
      <c r="DF20" t="e">
        <f>AND(Ischemia_25percent_output_edgel!B1658,"AAAAAA+13m0=")</f>
        <v>#VALUE!</v>
      </c>
      <c r="DG20">
        <f>IF(Ischemia_25percent_output_edgel!1659:1659,"AAAAAA+13m4=",0)</f>
        <v>0</v>
      </c>
      <c r="DH20" t="e">
        <f>AND(Ischemia_25percent_output_edgel!A1659,"AAAAAA+13m8=")</f>
        <v>#VALUE!</v>
      </c>
      <c r="DI20" t="e">
        <f>AND(Ischemia_25percent_output_edgel!B1659,"AAAAAA+13nA=")</f>
        <v>#VALUE!</v>
      </c>
      <c r="DJ20">
        <f>IF(Ischemia_25percent_output_edgel!1660:1660,"AAAAAA+13nE=",0)</f>
        <v>0</v>
      </c>
      <c r="DK20" t="e">
        <f>AND(Ischemia_25percent_output_edgel!A1660,"AAAAAA+13nI=")</f>
        <v>#VALUE!</v>
      </c>
      <c r="DL20" t="e">
        <f>AND(Ischemia_25percent_output_edgel!B1660,"AAAAAA+13nM=")</f>
        <v>#VALUE!</v>
      </c>
      <c r="DM20">
        <f>IF(Ischemia_25percent_output_edgel!1661:1661,"AAAAAA+13nQ=",0)</f>
        <v>0</v>
      </c>
      <c r="DN20" t="e">
        <f>AND(Ischemia_25percent_output_edgel!A1661,"AAAAAA+13nU=")</f>
        <v>#VALUE!</v>
      </c>
      <c r="DO20" t="e">
        <f>AND(Ischemia_25percent_output_edgel!B1661,"AAAAAA+13nY=")</f>
        <v>#VALUE!</v>
      </c>
      <c r="DP20">
        <f>IF(Ischemia_25percent_output_edgel!1662:1662,"AAAAAA+13nc=",0)</f>
        <v>0</v>
      </c>
      <c r="DQ20" t="e">
        <f>AND(Ischemia_25percent_output_edgel!A1662,"AAAAAA+13ng=")</f>
        <v>#VALUE!</v>
      </c>
      <c r="DR20" t="e">
        <f>AND(Ischemia_25percent_output_edgel!B1662,"AAAAAA+13nk=")</f>
        <v>#VALUE!</v>
      </c>
      <c r="DS20">
        <f>IF(Ischemia_25percent_output_edgel!1663:1663,"AAAAAA+13no=",0)</f>
        <v>0</v>
      </c>
      <c r="DT20" t="e">
        <f>AND(Ischemia_25percent_output_edgel!A1663,"AAAAAA+13ns=")</f>
        <v>#VALUE!</v>
      </c>
      <c r="DU20" t="e">
        <f>AND(Ischemia_25percent_output_edgel!B1663,"AAAAAA+13nw=")</f>
        <v>#VALUE!</v>
      </c>
      <c r="DV20">
        <f>IF(Ischemia_25percent_output_edgel!1664:1664,"AAAAAA+13n0=",0)</f>
        <v>0</v>
      </c>
      <c r="DW20" t="e">
        <f>AND(Ischemia_25percent_output_edgel!A1664,"AAAAAA+13n4=")</f>
        <v>#VALUE!</v>
      </c>
      <c r="DX20" t="e">
        <f>AND(Ischemia_25percent_output_edgel!B1664,"AAAAAA+13n8=")</f>
        <v>#VALUE!</v>
      </c>
      <c r="DY20">
        <f>IF(Ischemia_25percent_output_edgel!1665:1665,"AAAAAA+13oA=",0)</f>
        <v>0</v>
      </c>
      <c r="DZ20" t="e">
        <f>AND(Ischemia_25percent_output_edgel!A1665,"AAAAAA+13oE=")</f>
        <v>#VALUE!</v>
      </c>
      <c r="EA20" t="e">
        <f>AND(Ischemia_25percent_output_edgel!B1665,"AAAAAA+13oI=")</f>
        <v>#VALUE!</v>
      </c>
      <c r="EB20">
        <f>IF(Ischemia_25percent_output_edgel!1666:1666,"AAAAAA+13oM=",0)</f>
        <v>0</v>
      </c>
      <c r="EC20" t="e">
        <f>AND(Ischemia_25percent_output_edgel!A1666,"AAAAAA+13oQ=")</f>
        <v>#VALUE!</v>
      </c>
      <c r="ED20" t="e">
        <f>AND(Ischemia_25percent_output_edgel!B1666,"AAAAAA+13oU=")</f>
        <v>#VALUE!</v>
      </c>
      <c r="EE20">
        <f>IF(Ischemia_25percent_output_edgel!1667:1667,"AAAAAA+13oY=",0)</f>
        <v>0</v>
      </c>
      <c r="EF20" t="e">
        <f>AND(Ischemia_25percent_output_edgel!A1667,"AAAAAA+13oc=")</f>
        <v>#VALUE!</v>
      </c>
      <c r="EG20" t="e">
        <f>AND(Ischemia_25percent_output_edgel!B1667,"AAAAAA+13og=")</f>
        <v>#VALUE!</v>
      </c>
      <c r="EH20">
        <f>IF(Ischemia_25percent_output_edgel!1668:1668,"AAAAAA+13ok=",0)</f>
        <v>0</v>
      </c>
      <c r="EI20" t="e">
        <f>AND(Ischemia_25percent_output_edgel!A1668,"AAAAAA+13oo=")</f>
        <v>#VALUE!</v>
      </c>
      <c r="EJ20" t="e">
        <f>AND(Ischemia_25percent_output_edgel!B1668,"AAAAAA+13os=")</f>
        <v>#VALUE!</v>
      </c>
      <c r="EK20">
        <f>IF(Ischemia_25percent_output_edgel!1669:1669,"AAAAAA+13ow=",0)</f>
        <v>0</v>
      </c>
      <c r="EL20" t="e">
        <f>AND(Ischemia_25percent_output_edgel!A1669,"AAAAAA+13o0=")</f>
        <v>#VALUE!</v>
      </c>
      <c r="EM20" t="e">
        <f>AND(Ischemia_25percent_output_edgel!B1669,"AAAAAA+13o4=")</f>
        <v>#VALUE!</v>
      </c>
      <c r="EN20">
        <f>IF(Ischemia_25percent_output_edgel!1670:1670,"AAAAAA+13o8=",0)</f>
        <v>0</v>
      </c>
      <c r="EO20" t="e">
        <f>AND(Ischemia_25percent_output_edgel!A1670,"AAAAAA+13pA=")</f>
        <v>#VALUE!</v>
      </c>
      <c r="EP20" t="e">
        <f>AND(Ischemia_25percent_output_edgel!B1670,"AAAAAA+13pE=")</f>
        <v>#VALUE!</v>
      </c>
      <c r="EQ20">
        <f>IF(Ischemia_25percent_output_edgel!1671:1671,"AAAAAA+13pI=",0)</f>
        <v>0</v>
      </c>
      <c r="ER20" t="e">
        <f>AND(Ischemia_25percent_output_edgel!A1671,"AAAAAA+13pM=")</f>
        <v>#VALUE!</v>
      </c>
      <c r="ES20" t="e">
        <f>AND(Ischemia_25percent_output_edgel!B1671,"AAAAAA+13pQ=")</f>
        <v>#VALUE!</v>
      </c>
      <c r="ET20">
        <f>IF(Ischemia_25percent_output_edgel!1672:1672,"AAAAAA+13pU=",0)</f>
        <v>0</v>
      </c>
      <c r="EU20" t="e">
        <f>AND(Ischemia_25percent_output_edgel!A1672,"AAAAAA+13pY=")</f>
        <v>#VALUE!</v>
      </c>
      <c r="EV20" t="e">
        <f>AND(Ischemia_25percent_output_edgel!B1672,"AAAAAA+13pc=")</f>
        <v>#VALUE!</v>
      </c>
      <c r="EW20">
        <f>IF(Ischemia_25percent_output_edgel!1673:1673,"AAAAAA+13pg=",0)</f>
        <v>0</v>
      </c>
      <c r="EX20" t="e">
        <f>AND(Ischemia_25percent_output_edgel!A1673,"AAAAAA+13pk=")</f>
        <v>#VALUE!</v>
      </c>
      <c r="EY20" t="e">
        <f>AND(Ischemia_25percent_output_edgel!B1673,"AAAAAA+13po=")</f>
        <v>#VALUE!</v>
      </c>
      <c r="EZ20">
        <f>IF(Ischemia_25percent_output_edgel!1674:1674,"AAAAAA+13ps=",0)</f>
        <v>0</v>
      </c>
      <c r="FA20" t="e">
        <f>AND(Ischemia_25percent_output_edgel!A1674,"AAAAAA+13pw=")</f>
        <v>#VALUE!</v>
      </c>
      <c r="FB20" t="e">
        <f>AND(Ischemia_25percent_output_edgel!B1674,"AAAAAA+13p0=")</f>
        <v>#VALUE!</v>
      </c>
      <c r="FC20">
        <f>IF(Ischemia_25percent_output_edgel!1675:1675,"AAAAAA+13p4=",0)</f>
        <v>0</v>
      </c>
      <c r="FD20" t="e">
        <f>AND(Ischemia_25percent_output_edgel!A1675,"AAAAAA+13p8=")</f>
        <v>#VALUE!</v>
      </c>
      <c r="FE20" t="e">
        <f>AND(Ischemia_25percent_output_edgel!B1675,"AAAAAA+13qA=")</f>
        <v>#VALUE!</v>
      </c>
      <c r="FF20">
        <f>IF(Ischemia_25percent_output_edgel!1676:1676,"AAAAAA+13qE=",0)</f>
        <v>0</v>
      </c>
      <c r="FG20" t="e">
        <f>AND(Ischemia_25percent_output_edgel!A1676,"AAAAAA+13qI=")</f>
        <v>#VALUE!</v>
      </c>
      <c r="FH20" t="e">
        <f>AND(Ischemia_25percent_output_edgel!B1676,"AAAAAA+13qM=")</f>
        <v>#VALUE!</v>
      </c>
      <c r="FI20">
        <f>IF(Ischemia_25percent_output_edgel!1677:1677,"AAAAAA+13qQ=",0)</f>
        <v>0</v>
      </c>
      <c r="FJ20" t="e">
        <f>AND(Ischemia_25percent_output_edgel!A1677,"AAAAAA+13qU=")</f>
        <v>#VALUE!</v>
      </c>
      <c r="FK20" t="e">
        <f>AND(Ischemia_25percent_output_edgel!B1677,"AAAAAA+13qY=")</f>
        <v>#VALUE!</v>
      </c>
      <c r="FL20">
        <f>IF(Ischemia_25percent_output_edgel!1678:1678,"AAAAAA+13qc=",0)</f>
        <v>0</v>
      </c>
      <c r="FM20" t="e">
        <f>AND(Ischemia_25percent_output_edgel!A1678,"AAAAAA+13qg=")</f>
        <v>#VALUE!</v>
      </c>
      <c r="FN20" t="e">
        <f>AND(Ischemia_25percent_output_edgel!B1678,"AAAAAA+13qk=")</f>
        <v>#VALUE!</v>
      </c>
      <c r="FO20">
        <f>IF(Ischemia_25percent_output_edgel!1679:1679,"AAAAAA+13qo=",0)</f>
        <v>0</v>
      </c>
      <c r="FP20" t="e">
        <f>AND(Ischemia_25percent_output_edgel!A1679,"AAAAAA+13qs=")</f>
        <v>#VALUE!</v>
      </c>
      <c r="FQ20" t="e">
        <f>AND(Ischemia_25percent_output_edgel!B1679,"AAAAAA+13qw=")</f>
        <v>#VALUE!</v>
      </c>
      <c r="FR20">
        <f>IF(Ischemia_25percent_output_edgel!1680:1680,"AAAAAA+13q0=",0)</f>
        <v>0</v>
      </c>
      <c r="FS20" t="e">
        <f>AND(Ischemia_25percent_output_edgel!A1680,"AAAAAA+13q4=")</f>
        <v>#VALUE!</v>
      </c>
      <c r="FT20" t="e">
        <f>AND(Ischemia_25percent_output_edgel!B1680,"AAAAAA+13q8=")</f>
        <v>#VALUE!</v>
      </c>
      <c r="FU20">
        <f>IF(Ischemia_25percent_output_edgel!1681:1681,"AAAAAA+13rA=",0)</f>
        <v>0</v>
      </c>
      <c r="FV20" t="e">
        <f>AND(Ischemia_25percent_output_edgel!A1681,"AAAAAA+13rE=")</f>
        <v>#VALUE!</v>
      </c>
      <c r="FW20" t="e">
        <f>AND(Ischemia_25percent_output_edgel!B1681,"AAAAAA+13rI=")</f>
        <v>#VALUE!</v>
      </c>
      <c r="FX20">
        <f>IF(Ischemia_25percent_output_edgel!1682:1682,"AAAAAA+13rM=",0)</f>
        <v>0</v>
      </c>
      <c r="FY20" t="e">
        <f>AND(Ischemia_25percent_output_edgel!A1682,"AAAAAA+13rQ=")</f>
        <v>#VALUE!</v>
      </c>
      <c r="FZ20" t="e">
        <f>AND(Ischemia_25percent_output_edgel!B1682,"AAAAAA+13rU=")</f>
        <v>#VALUE!</v>
      </c>
      <c r="GA20">
        <f>IF(Ischemia_25percent_output_edgel!1683:1683,"AAAAAA+13rY=",0)</f>
        <v>0</v>
      </c>
      <c r="GB20" t="e">
        <f>AND(Ischemia_25percent_output_edgel!A1683,"AAAAAA+13rc=")</f>
        <v>#VALUE!</v>
      </c>
      <c r="GC20" t="e">
        <f>AND(Ischemia_25percent_output_edgel!B1683,"AAAAAA+13rg=")</f>
        <v>#VALUE!</v>
      </c>
      <c r="GD20">
        <f>IF(Ischemia_25percent_output_edgel!1684:1684,"AAAAAA+13rk=",0)</f>
        <v>0</v>
      </c>
      <c r="GE20" t="e">
        <f>AND(Ischemia_25percent_output_edgel!A1684,"AAAAAA+13ro=")</f>
        <v>#VALUE!</v>
      </c>
      <c r="GF20" t="e">
        <f>AND(Ischemia_25percent_output_edgel!B1684,"AAAAAA+13rs=")</f>
        <v>#VALUE!</v>
      </c>
      <c r="GG20">
        <f>IF(Ischemia_25percent_output_edgel!1685:1685,"AAAAAA+13rw=",0)</f>
        <v>0</v>
      </c>
      <c r="GH20" t="e">
        <f>AND(Ischemia_25percent_output_edgel!A1685,"AAAAAA+13r0=")</f>
        <v>#VALUE!</v>
      </c>
      <c r="GI20" t="e">
        <f>AND(Ischemia_25percent_output_edgel!B1685,"AAAAAA+13r4=")</f>
        <v>#VALUE!</v>
      </c>
      <c r="GJ20">
        <f>IF(Ischemia_25percent_output_edgel!1686:1686,"AAAAAA+13r8=",0)</f>
        <v>0</v>
      </c>
      <c r="GK20" t="e">
        <f>AND(Ischemia_25percent_output_edgel!A1686,"AAAAAA+13sA=")</f>
        <v>#VALUE!</v>
      </c>
      <c r="GL20" t="e">
        <f>AND(Ischemia_25percent_output_edgel!B1686,"AAAAAA+13sE=")</f>
        <v>#VALUE!</v>
      </c>
      <c r="GM20">
        <f>IF(Ischemia_25percent_output_edgel!1687:1687,"AAAAAA+13sI=",0)</f>
        <v>0</v>
      </c>
      <c r="GN20" t="e">
        <f>AND(Ischemia_25percent_output_edgel!A1687,"AAAAAA+13sM=")</f>
        <v>#VALUE!</v>
      </c>
      <c r="GO20" t="e">
        <f>AND(Ischemia_25percent_output_edgel!B1687,"AAAAAA+13sQ=")</f>
        <v>#VALUE!</v>
      </c>
      <c r="GP20">
        <f>IF(Ischemia_25percent_output_edgel!1688:1688,"AAAAAA+13sU=",0)</f>
        <v>0</v>
      </c>
      <c r="GQ20" t="e">
        <f>AND(Ischemia_25percent_output_edgel!A1688,"AAAAAA+13sY=")</f>
        <v>#VALUE!</v>
      </c>
      <c r="GR20" t="e">
        <f>AND(Ischemia_25percent_output_edgel!B1688,"AAAAAA+13sc=")</f>
        <v>#VALUE!</v>
      </c>
      <c r="GS20">
        <f>IF(Ischemia_25percent_output_edgel!1689:1689,"AAAAAA+13sg=",0)</f>
        <v>0</v>
      </c>
      <c r="GT20" t="e">
        <f>AND(Ischemia_25percent_output_edgel!A1689,"AAAAAA+13sk=")</f>
        <v>#VALUE!</v>
      </c>
      <c r="GU20" t="e">
        <f>AND(Ischemia_25percent_output_edgel!B1689,"AAAAAA+13so=")</f>
        <v>#VALUE!</v>
      </c>
      <c r="GV20">
        <f>IF(Ischemia_25percent_output_edgel!1690:1690,"AAAAAA+13ss=",0)</f>
        <v>0</v>
      </c>
      <c r="GW20" t="e">
        <f>AND(Ischemia_25percent_output_edgel!A1690,"AAAAAA+13sw=")</f>
        <v>#VALUE!</v>
      </c>
      <c r="GX20" t="e">
        <f>AND(Ischemia_25percent_output_edgel!B1690,"AAAAAA+13s0=")</f>
        <v>#VALUE!</v>
      </c>
      <c r="GY20">
        <f>IF(Ischemia_25percent_output_edgel!1691:1691,"AAAAAA+13s4=",0)</f>
        <v>0</v>
      </c>
      <c r="GZ20" t="e">
        <f>AND(Ischemia_25percent_output_edgel!A1691,"AAAAAA+13s8=")</f>
        <v>#VALUE!</v>
      </c>
      <c r="HA20" t="e">
        <f>AND(Ischemia_25percent_output_edgel!B1691,"AAAAAA+13tA=")</f>
        <v>#VALUE!</v>
      </c>
      <c r="HB20">
        <f>IF(Ischemia_25percent_output_edgel!1692:1692,"AAAAAA+13tE=",0)</f>
        <v>0</v>
      </c>
      <c r="HC20" t="e">
        <f>AND(Ischemia_25percent_output_edgel!A1692,"AAAAAA+13tI=")</f>
        <v>#VALUE!</v>
      </c>
      <c r="HD20" t="e">
        <f>AND(Ischemia_25percent_output_edgel!B1692,"AAAAAA+13tM=")</f>
        <v>#VALUE!</v>
      </c>
      <c r="HE20">
        <f>IF(Ischemia_25percent_output_edgel!1693:1693,"AAAAAA+13tQ=",0)</f>
        <v>0</v>
      </c>
      <c r="HF20" t="e">
        <f>AND(Ischemia_25percent_output_edgel!A1693,"AAAAAA+13tU=")</f>
        <v>#VALUE!</v>
      </c>
      <c r="HG20" t="e">
        <f>AND(Ischemia_25percent_output_edgel!B1693,"AAAAAA+13tY=")</f>
        <v>#VALUE!</v>
      </c>
      <c r="HH20">
        <f>IF(Ischemia_25percent_output_edgel!1694:1694,"AAAAAA+13tc=",0)</f>
        <v>0</v>
      </c>
      <c r="HI20" t="e">
        <f>AND(Ischemia_25percent_output_edgel!A1694,"AAAAAA+13tg=")</f>
        <v>#VALUE!</v>
      </c>
      <c r="HJ20" t="e">
        <f>AND(Ischemia_25percent_output_edgel!B1694,"AAAAAA+13tk=")</f>
        <v>#VALUE!</v>
      </c>
      <c r="HK20">
        <f>IF(Ischemia_25percent_output_edgel!1695:1695,"AAAAAA+13to=",0)</f>
        <v>0</v>
      </c>
      <c r="HL20" t="e">
        <f>AND(Ischemia_25percent_output_edgel!A1695,"AAAAAA+13ts=")</f>
        <v>#VALUE!</v>
      </c>
      <c r="HM20" t="e">
        <f>AND(Ischemia_25percent_output_edgel!B1695,"AAAAAA+13tw=")</f>
        <v>#VALUE!</v>
      </c>
      <c r="HN20">
        <f>IF(Ischemia_25percent_output_edgel!1696:1696,"AAAAAA+13t0=",0)</f>
        <v>0</v>
      </c>
      <c r="HO20" t="e">
        <f>AND(Ischemia_25percent_output_edgel!A1696,"AAAAAA+13t4=")</f>
        <v>#VALUE!</v>
      </c>
      <c r="HP20" t="e">
        <f>AND(Ischemia_25percent_output_edgel!B1696,"AAAAAA+13t8=")</f>
        <v>#VALUE!</v>
      </c>
      <c r="HQ20">
        <f>IF(Ischemia_25percent_output_edgel!1697:1697,"AAAAAA+13uA=",0)</f>
        <v>0</v>
      </c>
      <c r="HR20" t="e">
        <f>AND(Ischemia_25percent_output_edgel!A1697,"AAAAAA+13uE=")</f>
        <v>#VALUE!</v>
      </c>
      <c r="HS20" t="e">
        <f>AND(Ischemia_25percent_output_edgel!B1697,"AAAAAA+13uI=")</f>
        <v>#VALUE!</v>
      </c>
      <c r="HT20">
        <f>IF(Ischemia_25percent_output_edgel!1698:1698,"AAAAAA+13uM=",0)</f>
        <v>0</v>
      </c>
      <c r="HU20" t="e">
        <f>AND(Ischemia_25percent_output_edgel!A1698,"AAAAAA+13uQ=")</f>
        <v>#VALUE!</v>
      </c>
      <c r="HV20" t="e">
        <f>AND(Ischemia_25percent_output_edgel!B1698,"AAAAAA+13uU=")</f>
        <v>#VALUE!</v>
      </c>
      <c r="HW20">
        <f>IF(Ischemia_25percent_output_edgel!1699:1699,"AAAAAA+13uY=",0)</f>
        <v>0</v>
      </c>
      <c r="HX20" t="e">
        <f>AND(Ischemia_25percent_output_edgel!A1699,"AAAAAA+13uc=")</f>
        <v>#VALUE!</v>
      </c>
      <c r="HY20" t="e">
        <f>AND(Ischemia_25percent_output_edgel!B1699,"AAAAAA+13ug=")</f>
        <v>#VALUE!</v>
      </c>
      <c r="HZ20">
        <f>IF(Ischemia_25percent_output_edgel!1700:1700,"AAAAAA+13uk=",0)</f>
        <v>0</v>
      </c>
      <c r="IA20" t="e">
        <f>AND(Ischemia_25percent_output_edgel!A1700,"AAAAAA+13uo=")</f>
        <v>#VALUE!</v>
      </c>
      <c r="IB20" t="e">
        <f>AND(Ischemia_25percent_output_edgel!B1700,"AAAAAA+13us=")</f>
        <v>#VALUE!</v>
      </c>
      <c r="IC20">
        <f>IF(Ischemia_25percent_output_edgel!1701:1701,"AAAAAA+13uw=",0)</f>
        <v>0</v>
      </c>
      <c r="ID20" t="e">
        <f>AND(Ischemia_25percent_output_edgel!A1701,"AAAAAA+13u0=")</f>
        <v>#VALUE!</v>
      </c>
      <c r="IE20" t="e">
        <f>AND(Ischemia_25percent_output_edgel!B1701,"AAAAAA+13u4=")</f>
        <v>#VALUE!</v>
      </c>
      <c r="IF20">
        <f>IF(Ischemia_25percent_output_edgel!1702:1702,"AAAAAA+13u8=",0)</f>
        <v>0</v>
      </c>
      <c r="IG20" t="e">
        <f>AND(Ischemia_25percent_output_edgel!A1702,"AAAAAA+13vA=")</f>
        <v>#VALUE!</v>
      </c>
      <c r="IH20" t="e">
        <f>AND(Ischemia_25percent_output_edgel!B1702,"AAAAAA+13vE=")</f>
        <v>#VALUE!</v>
      </c>
      <c r="II20">
        <f>IF(Ischemia_25percent_output_edgel!1703:1703,"AAAAAA+13vI=",0)</f>
        <v>0</v>
      </c>
      <c r="IJ20" t="e">
        <f>AND(Ischemia_25percent_output_edgel!A1703,"AAAAAA+13vM=")</f>
        <v>#VALUE!</v>
      </c>
      <c r="IK20" t="e">
        <f>AND(Ischemia_25percent_output_edgel!B1703,"AAAAAA+13vQ=")</f>
        <v>#VALUE!</v>
      </c>
      <c r="IL20">
        <f>IF(Ischemia_25percent_output_edgel!1704:1704,"AAAAAA+13vU=",0)</f>
        <v>0</v>
      </c>
      <c r="IM20" t="e">
        <f>AND(Ischemia_25percent_output_edgel!A1704,"AAAAAA+13vY=")</f>
        <v>#VALUE!</v>
      </c>
      <c r="IN20" t="e">
        <f>AND(Ischemia_25percent_output_edgel!B1704,"AAAAAA+13vc=")</f>
        <v>#VALUE!</v>
      </c>
      <c r="IO20">
        <f>IF(Ischemia_25percent_output_edgel!1705:1705,"AAAAAA+13vg=",0)</f>
        <v>0</v>
      </c>
      <c r="IP20" t="e">
        <f>AND(Ischemia_25percent_output_edgel!A1705,"AAAAAA+13vk=")</f>
        <v>#VALUE!</v>
      </c>
      <c r="IQ20" t="e">
        <f>AND(Ischemia_25percent_output_edgel!B1705,"AAAAAA+13vo=")</f>
        <v>#VALUE!</v>
      </c>
      <c r="IR20">
        <f>IF(Ischemia_25percent_output_edgel!1706:1706,"AAAAAA+13vs=",0)</f>
        <v>0</v>
      </c>
      <c r="IS20" t="e">
        <f>AND(Ischemia_25percent_output_edgel!A1706,"AAAAAA+13vw=")</f>
        <v>#VALUE!</v>
      </c>
      <c r="IT20" t="e">
        <f>AND(Ischemia_25percent_output_edgel!B1706,"AAAAAA+13v0=")</f>
        <v>#VALUE!</v>
      </c>
      <c r="IU20">
        <f>IF(Ischemia_25percent_output_edgel!1707:1707,"AAAAAA+13v4=",0)</f>
        <v>0</v>
      </c>
      <c r="IV20" t="e">
        <f>AND(Ischemia_25percent_output_edgel!A1707,"AAAAAA+13v8=")</f>
        <v>#VALUE!</v>
      </c>
    </row>
    <row r="21" spans="1:256">
      <c r="A21" t="e">
        <f>AND(Ischemia_25percent_output_edgel!B1707,"AAAAACnt/wA=")</f>
        <v>#VALUE!</v>
      </c>
      <c r="B21" t="e">
        <f>IF(Ischemia_25percent_output_edgel!1708:1708,"AAAAACnt/wE=",0)</f>
        <v>#VALUE!</v>
      </c>
      <c r="C21" t="e">
        <f>AND(Ischemia_25percent_output_edgel!A1708,"AAAAACnt/wI=")</f>
        <v>#VALUE!</v>
      </c>
      <c r="D21" t="e">
        <f>AND(Ischemia_25percent_output_edgel!B1708,"AAAAACnt/wM=")</f>
        <v>#VALUE!</v>
      </c>
      <c r="E21">
        <f>IF(Ischemia_25percent_output_edgel!1709:1709,"AAAAACnt/wQ=",0)</f>
        <v>0</v>
      </c>
      <c r="F21" t="e">
        <f>AND(Ischemia_25percent_output_edgel!A1709,"AAAAACnt/wU=")</f>
        <v>#VALUE!</v>
      </c>
      <c r="G21" t="e">
        <f>AND(Ischemia_25percent_output_edgel!B1709,"AAAAACnt/wY=")</f>
        <v>#VALUE!</v>
      </c>
      <c r="H21">
        <f>IF(Ischemia_25percent_output_edgel!1710:1710,"AAAAACnt/wc=",0)</f>
        <v>0</v>
      </c>
      <c r="I21" t="e">
        <f>AND(Ischemia_25percent_output_edgel!A1710,"AAAAACnt/wg=")</f>
        <v>#VALUE!</v>
      </c>
      <c r="J21" t="e">
        <f>AND(Ischemia_25percent_output_edgel!B1710,"AAAAACnt/wk=")</f>
        <v>#VALUE!</v>
      </c>
      <c r="K21">
        <f>IF(Ischemia_25percent_output_edgel!1711:1711,"AAAAACnt/wo=",0)</f>
        <v>0</v>
      </c>
      <c r="L21" t="e">
        <f>AND(Ischemia_25percent_output_edgel!A1711,"AAAAACnt/ws=")</f>
        <v>#VALUE!</v>
      </c>
      <c r="M21" t="e">
        <f>AND(Ischemia_25percent_output_edgel!B1711,"AAAAACnt/ww=")</f>
        <v>#VALUE!</v>
      </c>
      <c r="N21">
        <f>IF(Ischemia_25percent_output_edgel!1712:1712,"AAAAACnt/w0=",0)</f>
        <v>0</v>
      </c>
      <c r="O21" t="e">
        <f>AND(Ischemia_25percent_output_edgel!A1712,"AAAAACnt/w4=")</f>
        <v>#VALUE!</v>
      </c>
      <c r="P21" t="e">
        <f>AND(Ischemia_25percent_output_edgel!B1712,"AAAAACnt/w8=")</f>
        <v>#VALUE!</v>
      </c>
      <c r="Q21">
        <f>IF(Ischemia_25percent_output_edgel!1713:1713,"AAAAACnt/xA=",0)</f>
        <v>0</v>
      </c>
      <c r="R21" t="e">
        <f>AND(Ischemia_25percent_output_edgel!A1713,"AAAAACnt/xE=")</f>
        <v>#VALUE!</v>
      </c>
      <c r="S21" t="e">
        <f>AND(Ischemia_25percent_output_edgel!B1713,"AAAAACnt/xI=")</f>
        <v>#VALUE!</v>
      </c>
      <c r="T21">
        <f>IF(Ischemia_25percent_output_edgel!1714:1714,"AAAAACnt/xM=",0)</f>
        <v>0</v>
      </c>
      <c r="U21" t="e">
        <f>AND(Ischemia_25percent_output_edgel!A1714,"AAAAACnt/xQ=")</f>
        <v>#VALUE!</v>
      </c>
      <c r="V21" t="e">
        <f>AND(Ischemia_25percent_output_edgel!B1714,"AAAAACnt/xU=")</f>
        <v>#VALUE!</v>
      </c>
      <c r="W21">
        <f>IF(Ischemia_25percent_output_edgel!1715:1715,"AAAAACnt/xY=",0)</f>
        <v>0</v>
      </c>
      <c r="X21" t="e">
        <f>AND(Ischemia_25percent_output_edgel!A1715,"AAAAACnt/xc=")</f>
        <v>#VALUE!</v>
      </c>
      <c r="Y21" t="e">
        <f>AND(Ischemia_25percent_output_edgel!B1715,"AAAAACnt/xg=")</f>
        <v>#VALUE!</v>
      </c>
      <c r="Z21">
        <f>IF(Ischemia_25percent_output_edgel!1716:1716,"AAAAACnt/xk=",0)</f>
        <v>0</v>
      </c>
      <c r="AA21" t="e">
        <f>AND(Ischemia_25percent_output_edgel!A1716,"AAAAACnt/xo=")</f>
        <v>#VALUE!</v>
      </c>
      <c r="AB21" t="e">
        <f>AND(Ischemia_25percent_output_edgel!B1716,"AAAAACnt/xs=")</f>
        <v>#VALUE!</v>
      </c>
      <c r="AC21">
        <f>IF(Ischemia_25percent_output_edgel!1717:1717,"AAAAACnt/xw=",0)</f>
        <v>0</v>
      </c>
      <c r="AD21" t="e">
        <f>AND(Ischemia_25percent_output_edgel!A1717,"AAAAACnt/x0=")</f>
        <v>#VALUE!</v>
      </c>
      <c r="AE21" t="e">
        <f>AND(Ischemia_25percent_output_edgel!B1717,"AAAAACnt/x4=")</f>
        <v>#VALUE!</v>
      </c>
      <c r="AF21">
        <f>IF(Ischemia_25percent_output_edgel!1718:1718,"AAAAACnt/x8=",0)</f>
        <v>0</v>
      </c>
      <c r="AG21" t="e">
        <f>AND(Ischemia_25percent_output_edgel!A1718,"AAAAACnt/yA=")</f>
        <v>#VALUE!</v>
      </c>
      <c r="AH21" t="e">
        <f>AND(Ischemia_25percent_output_edgel!B1718,"AAAAACnt/yE=")</f>
        <v>#VALUE!</v>
      </c>
      <c r="AI21">
        <f>IF(Ischemia_25percent_output_edgel!1719:1719,"AAAAACnt/yI=",0)</f>
        <v>0</v>
      </c>
      <c r="AJ21" t="e">
        <f>AND(Ischemia_25percent_output_edgel!A1719,"AAAAACnt/yM=")</f>
        <v>#VALUE!</v>
      </c>
      <c r="AK21" t="e">
        <f>AND(Ischemia_25percent_output_edgel!B1719,"AAAAACnt/yQ=")</f>
        <v>#VALUE!</v>
      </c>
      <c r="AL21">
        <f>IF(Ischemia_25percent_output_edgel!1720:1720,"AAAAACnt/yU=",0)</f>
        <v>0</v>
      </c>
      <c r="AM21" t="e">
        <f>AND(Ischemia_25percent_output_edgel!A1720,"AAAAACnt/yY=")</f>
        <v>#VALUE!</v>
      </c>
      <c r="AN21" t="e">
        <f>AND(Ischemia_25percent_output_edgel!B1720,"AAAAACnt/yc=")</f>
        <v>#VALUE!</v>
      </c>
      <c r="AO21">
        <f>IF(Ischemia_25percent_output_edgel!1721:1721,"AAAAACnt/yg=",0)</f>
        <v>0</v>
      </c>
      <c r="AP21" t="e">
        <f>AND(Ischemia_25percent_output_edgel!A1721,"AAAAACnt/yk=")</f>
        <v>#VALUE!</v>
      </c>
      <c r="AQ21" t="e">
        <f>AND(Ischemia_25percent_output_edgel!B1721,"AAAAACnt/yo=")</f>
        <v>#VALUE!</v>
      </c>
      <c r="AR21">
        <f>IF(Ischemia_25percent_output_edgel!1722:1722,"AAAAACnt/ys=",0)</f>
        <v>0</v>
      </c>
      <c r="AS21" t="e">
        <f>AND(Ischemia_25percent_output_edgel!A1722,"AAAAACnt/yw=")</f>
        <v>#VALUE!</v>
      </c>
      <c r="AT21" t="e">
        <f>AND(Ischemia_25percent_output_edgel!B1722,"AAAAACnt/y0=")</f>
        <v>#VALUE!</v>
      </c>
      <c r="AU21">
        <f>IF(Ischemia_25percent_output_edgel!1723:1723,"AAAAACnt/y4=",0)</f>
        <v>0</v>
      </c>
      <c r="AV21" t="e">
        <f>AND(Ischemia_25percent_output_edgel!A1723,"AAAAACnt/y8=")</f>
        <v>#VALUE!</v>
      </c>
      <c r="AW21" t="e">
        <f>AND(Ischemia_25percent_output_edgel!B1723,"AAAAACnt/zA=")</f>
        <v>#VALUE!</v>
      </c>
      <c r="AX21">
        <f>IF(Ischemia_25percent_output_edgel!1724:1724,"AAAAACnt/zE=",0)</f>
        <v>0</v>
      </c>
      <c r="AY21" t="e">
        <f>AND(Ischemia_25percent_output_edgel!A1724,"AAAAACnt/zI=")</f>
        <v>#VALUE!</v>
      </c>
      <c r="AZ21" t="e">
        <f>AND(Ischemia_25percent_output_edgel!B1724,"AAAAACnt/zM=")</f>
        <v>#VALUE!</v>
      </c>
      <c r="BA21">
        <f>IF(Ischemia_25percent_output_edgel!1725:1725,"AAAAACnt/zQ=",0)</f>
        <v>0</v>
      </c>
      <c r="BB21" t="e">
        <f>AND(Ischemia_25percent_output_edgel!A1725,"AAAAACnt/zU=")</f>
        <v>#VALUE!</v>
      </c>
      <c r="BC21" t="e">
        <f>AND(Ischemia_25percent_output_edgel!B1725,"AAAAACnt/zY=")</f>
        <v>#VALUE!</v>
      </c>
      <c r="BD21">
        <f>IF(Ischemia_25percent_output_edgel!1726:1726,"AAAAACnt/zc=",0)</f>
        <v>0</v>
      </c>
      <c r="BE21" t="e">
        <f>AND(Ischemia_25percent_output_edgel!A1726,"AAAAACnt/zg=")</f>
        <v>#VALUE!</v>
      </c>
      <c r="BF21" t="e">
        <f>AND(Ischemia_25percent_output_edgel!B1726,"AAAAACnt/zk=")</f>
        <v>#VALUE!</v>
      </c>
      <c r="BG21">
        <f>IF(Ischemia_25percent_output_edgel!1727:1727,"AAAAACnt/zo=",0)</f>
        <v>0</v>
      </c>
      <c r="BH21" t="e">
        <f>AND(Ischemia_25percent_output_edgel!A1727,"AAAAACnt/zs=")</f>
        <v>#VALUE!</v>
      </c>
      <c r="BI21" t="e">
        <f>AND(Ischemia_25percent_output_edgel!B1727,"AAAAACnt/zw=")</f>
        <v>#VALUE!</v>
      </c>
      <c r="BJ21">
        <f>IF(Ischemia_25percent_output_edgel!1728:1728,"AAAAACnt/z0=",0)</f>
        <v>0</v>
      </c>
      <c r="BK21" t="e">
        <f>AND(Ischemia_25percent_output_edgel!A1728,"AAAAACnt/z4=")</f>
        <v>#VALUE!</v>
      </c>
      <c r="BL21" t="e">
        <f>AND(Ischemia_25percent_output_edgel!B1728,"AAAAACnt/z8=")</f>
        <v>#VALUE!</v>
      </c>
      <c r="BM21">
        <f>IF(Ischemia_25percent_output_edgel!1729:1729,"AAAAACnt/0A=",0)</f>
        <v>0</v>
      </c>
      <c r="BN21" t="e">
        <f>AND(Ischemia_25percent_output_edgel!A1729,"AAAAACnt/0E=")</f>
        <v>#VALUE!</v>
      </c>
      <c r="BO21" t="e">
        <f>AND(Ischemia_25percent_output_edgel!B1729,"AAAAACnt/0I=")</f>
        <v>#VALUE!</v>
      </c>
      <c r="BP21">
        <f>IF(Ischemia_25percent_output_edgel!1730:1730,"AAAAACnt/0M=",0)</f>
        <v>0</v>
      </c>
      <c r="BQ21" t="e">
        <f>AND(Ischemia_25percent_output_edgel!A1730,"AAAAACnt/0Q=")</f>
        <v>#VALUE!</v>
      </c>
      <c r="BR21" t="e">
        <f>AND(Ischemia_25percent_output_edgel!B1730,"AAAAACnt/0U=")</f>
        <v>#VALUE!</v>
      </c>
      <c r="BS21">
        <f>IF(Ischemia_25percent_output_edgel!1731:1731,"AAAAACnt/0Y=",0)</f>
        <v>0</v>
      </c>
      <c r="BT21" t="e">
        <f>AND(Ischemia_25percent_output_edgel!A1731,"AAAAACnt/0c=")</f>
        <v>#VALUE!</v>
      </c>
      <c r="BU21" t="e">
        <f>AND(Ischemia_25percent_output_edgel!B1731,"AAAAACnt/0g=")</f>
        <v>#VALUE!</v>
      </c>
      <c r="BV21">
        <f>IF(Ischemia_25percent_output_edgel!1732:1732,"AAAAACnt/0k=",0)</f>
        <v>0</v>
      </c>
      <c r="BW21" t="e">
        <f>AND(Ischemia_25percent_output_edgel!A1732,"AAAAACnt/0o=")</f>
        <v>#VALUE!</v>
      </c>
      <c r="BX21" t="e">
        <f>AND(Ischemia_25percent_output_edgel!B1732,"AAAAACnt/0s=")</f>
        <v>#VALUE!</v>
      </c>
      <c r="BY21">
        <f>IF(Ischemia_25percent_output_edgel!1733:1733,"AAAAACnt/0w=",0)</f>
        <v>0</v>
      </c>
      <c r="BZ21" t="e">
        <f>AND(Ischemia_25percent_output_edgel!A1733,"AAAAACnt/00=")</f>
        <v>#VALUE!</v>
      </c>
      <c r="CA21" t="e">
        <f>AND(Ischemia_25percent_output_edgel!B1733,"AAAAACnt/04=")</f>
        <v>#VALUE!</v>
      </c>
      <c r="CB21">
        <f>IF(Ischemia_25percent_output_edgel!1734:1734,"AAAAACnt/08=",0)</f>
        <v>0</v>
      </c>
      <c r="CC21" t="e">
        <f>AND(Ischemia_25percent_output_edgel!A1734,"AAAAACnt/1A=")</f>
        <v>#VALUE!</v>
      </c>
      <c r="CD21" t="e">
        <f>AND(Ischemia_25percent_output_edgel!B1734,"AAAAACnt/1E=")</f>
        <v>#VALUE!</v>
      </c>
      <c r="CE21">
        <f>IF(Ischemia_25percent_output_edgel!1735:1735,"AAAAACnt/1I=",0)</f>
        <v>0</v>
      </c>
      <c r="CF21" t="e">
        <f>AND(Ischemia_25percent_output_edgel!A1735,"AAAAACnt/1M=")</f>
        <v>#VALUE!</v>
      </c>
      <c r="CG21" t="e">
        <f>AND(Ischemia_25percent_output_edgel!B1735,"AAAAACnt/1Q=")</f>
        <v>#VALUE!</v>
      </c>
      <c r="CH21">
        <f>IF(Ischemia_25percent_output_edgel!1736:1736,"AAAAACnt/1U=",0)</f>
        <v>0</v>
      </c>
      <c r="CI21" t="e">
        <f>AND(Ischemia_25percent_output_edgel!A1736,"AAAAACnt/1Y=")</f>
        <v>#VALUE!</v>
      </c>
      <c r="CJ21" t="e">
        <f>AND(Ischemia_25percent_output_edgel!B1736,"AAAAACnt/1c=")</f>
        <v>#VALUE!</v>
      </c>
      <c r="CK21">
        <f>IF(Ischemia_25percent_output_edgel!1737:1737,"AAAAACnt/1g=",0)</f>
        <v>0</v>
      </c>
      <c r="CL21" t="e">
        <f>AND(Ischemia_25percent_output_edgel!A1737,"AAAAACnt/1k=")</f>
        <v>#VALUE!</v>
      </c>
      <c r="CM21" t="e">
        <f>AND(Ischemia_25percent_output_edgel!B1737,"AAAAACnt/1o=")</f>
        <v>#VALUE!</v>
      </c>
      <c r="CN21">
        <f>IF(Ischemia_25percent_output_edgel!1738:1738,"AAAAACnt/1s=",0)</f>
        <v>0</v>
      </c>
      <c r="CO21" t="e">
        <f>AND(Ischemia_25percent_output_edgel!A1738,"AAAAACnt/1w=")</f>
        <v>#VALUE!</v>
      </c>
      <c r="CP21" t="e">
        <f>AND(Ischemia_25percent_output_edgel!B1738,"AAAAACnt/10=")</f>
        <v>#VALUE!</v>
      </c>
      <c r="CQ21">
        <f>IF(Ischemia_25percent_output_edgel!1739:1739,"AAAAACnt/14=",0)</f>
        <v>0</v>
      </c>
      <c r="CR21" t="e">
        <f>AND(Ischemia_25percent_output_edgel!A1739,"AAAAACnt/18=")</f>
        <v>#VALUE!</v>
      </c>
      <c r="CS21" t="e">
        <f>AND(Ischemia_25percent_output_edgel!B1739,"AAAAACnt/2A=")</f>
        <v>#VALUE!</v>
      </c>
      <c r="CT21">
        <f>IF(Ischemia_25percent_output_edgel!1740:1740,"AAAAACnt/2E=",0)</f>
        <v>0</v>
      </c>
      <c r="CU21" t="e">
        <f>AND(Ischemia_25percent_output_edgel!A1740,"AAAAACnt/2I=")</f>
        <v>#VALUE!</v>
      </c>
      <c r="CV21" t="e">
        <f>AND(Ischemia_25percent_output_edgel!B1740,"AAAAACnt/2M=")</f>
        <v>#VALUE!</v>
      </c>
      <c r="CW21">
        <f>IF(Ischemia_25percent_output_edgel!1741:1741,"AAAAACnt/2Q=",0)</f>
        <v>0</v>
      </c>
      <c r="CX21" t="e">
        <f>AND(Ischemia_25percent_output_edgel!A1741,"AAAAACnt/2U=")</f>
        <v>#VALUE!</v>
      </c>
      <c r="CY21" t="e">
        <f>AND(Ischemia_25percent_output_edgel!B1741,"AAAAACnt/2Y=")</f>
        <v>#VALUE!</v>
      </c>
      <c r="CZ21">
        <f>IF(Ischemia_25percent_output_edgel!1742:1742,"AAAAACnt/2c=",0)</f>
        <v>0</v>
      </c>
      <c r="DA21" t="e">
        <f>AND(Ischemia_25percent_output_edgel!A1742,"AAAAACnt/2g=")</f>
        <v>#VALUE!</v>
      </c>
      <c r="DB21" t="e">
        <f>AND(Ischemia_25percent_output_edgel!B1742,"AAAAACnt/2k=")</f>
        <v>#VALUE!</v>
      </c>
      <c r="DC21">
        <f>IF(Ischemia_25percent_output_edgel!1743:1743,"AAAAACnt/2o=",0)</f>
        <v>0</v>
      </c>
      <c r="DD21" t="e">
        <f>AND(Ischemia_25percent_output_edgel!A1743,"AAAAACnt/2s=")</f>
        <v>#VALUE!</v>
      </c>
      <c r="DE21" t="e">
        <f>AND(Ischemia_25percent_output_edgel!B1743,"AAAAACnt/2w=")</f>
        <v>#VALUE!</v>
      </c>
      <c r="DF21">
        <f>IF(Ischemia_25percent_output_edgel!1744:1744,"AAAAACnt/20=",0)</f>
        <v>0</v>
      </c>
      <c r="DG21" t="e">
        <f>AND(Ischemia_25percent_output_edgel!A1744,"AAAAACnt/24=")</f>
        <v>#VALUE!</v>
      </c>
      <c r="DH21" t="e">
        <f>AND(Ischemia_25percent_output_edgel!B1744,"AAAAACnt/28=")</f>
        <v>#VALUE!</v>
      </c>
      <c r="DI21">
        <f>IF(Ischemia_25percent_output_edgel!1745:1745,"AAAAACnt/3A=",0)</f>
        <v>0</v>
      </c>
      <c r="DJ21" t="e">
        <f>AND(Ischemia_25percent_output_edgel!A1745,"AAAAACnt/3E=")</f>
        <v>#VALUE!</v>
      </c>
      <c r="DK21" t="e">
        <f>AND(Ischemia_25percent_output_edgel!B1745,"AAAAACnt/3I=")</f>
        <v>#VALUE!</v>
      </c>
      <c r="DL21">
        <f>IF(Ischemia_25percent_output_edgel!1746:1746,"AAAAACnt/3M=",0)</f>
        <v>0</v>
      </c>
      <c r="DM21" t="e">
        <f>AND(Ischemia_25percent_output_edgel!A1746,"AAAAACnt/3Q=")</f>
        <v>#VALUE!</v>
      </c>
      <c r="DN21" t="e">
        <f>AND(Ischemia_25percent_output_edgel!B1746,"AAAAACnt/3U=")</f>
        <v>#VALUE!</v>
      </c>
      <c r="DO21">
        <f>IF(Ischemia_25percent_output_edgel!1747:1747,"AAAAACnt/3Y=",0)</f>
        <v>0</v>
      </c>
      <c r="DP21" t="e">
        <f>AND(Ischemia_25percent_output_edgel!A1747,"AAAAACnt/3c=")</f>
        <v>#VALUE!</v>
      </c>
      <c r="DQ21" t="e">
        <f>AND(Ischemia_25percent_output_edgel!B1747,"AAAAACnt/3g=")</f>
        <v>#VALUE!</v>
      </c>
      <c r="DR21">
        <f>IF(Ischemia_25percent_output_edgel!1748:1748,"AAAAACnt/3k=",0)</f>
        <v>0</v>
      </c>
      <c r="DS21" t="e">
        <f>AND(Ischemia_25percent_output_edgel!A1748,"AAAAACnt/3o=")</f>
        <v>#VALUE!</v>
      </c>
      <c r="DT21" t="e">
        <f>AND(Ischemia_25percent_output_edgel!B1748,"AAAAACnt/3s=")</f>
        <v>#VALUE!</v>
      </c>
      <c r="DU21">
        <f>IF(Ischemia_25percent_output_edgel!1749:1749,"AAAAACnt/3w=",0)</f>
        <v>0</v>
      </c>
      <c r="DV21" t="e">
        <f>AND(Ischemia_25percent_output_edgel!A1749,"AAAAACnt/30=")</f>
        <v>#VALUE!</v>
      </c>
      <c r="DW21" t="e">
        <f>AND(Ischemia_25percent_output_edgel!B1749,"AAAAACnt/34=")</f>
        <v>#VALUE!</v>
      </c>
      <c r="DX21">
        <f>IF(Ischemia_25percent_output_edgel!1750:1750,"AAAAACnt/38=",0)</f>
        <v>0</v>
      </c>
      <c r="DY21" t="e">
        <f>AND(Ischemia_25percent_output_edgel!A1750,"AAAAACnt/4A=")</f>
        <v>#VALUE!</v>
      </c>
      <c r="DZ21" t="e">
        <f>AND(Ischemia_25percent_output_edgel!B1750,"AAAAACnt/4E=")</f>
        <v>#VALUE!</v>
      </c>
      <c r="EA21">
        <f>IF(Ischemia_25percent_output_edgel!1751:1751,"AAAAACnt/4I=",0)</f>
        <v>0</v>
      </c>
      <c r="EB21" t="e">
        <f>AND(Ischemia_25percent_output_edgel!A1751,"AAAAACnt/4M=")</f>
        <v>#VALUE!</v>
      </c>
      <c r="EC21" t="e">
        <f>AND(Ischemia_25percent_output_edgel!B1751,"AAAAACnt/4Q=")</f>
        <v>#VALUE!</v>
      </c>
      <c r="ED21">
        <f>IF(Ischemia_25percent_output_edgel!1752:1752,"AAAAACnt/4U=",0)</f>
        <v>0</v>
      </c>
      <c r="EE21" t="e">
        <f>AND(Ischemia_25percent_output_edgel!A1752,"AAAAACnt/4Y=")</f>
        <v>#VALUE!</v>
      </c>
      <c r="EF21" t="e">
        <f>AND(Ischemia_25percent_output_edgel!B1752,"AAAAACnt/4c=")</f>
        <v>#VALUE!</v>
      </c>
      <c r="EG21">
        <f>IF(Ischemia_25percent_output_edgel!1753:1753,"AAAAACnt/4g=",0)</f>
        <v>0</v>
      </c>
      <c r="EH21" t="e">
        <f>AND(Ischemia_25percent_output_edgel!A1753,"AAAAACnt/4k=")</f>
        <v>#VALUE!</v>
      </c>
      <c r="EI21" t="e">
        <f>AND(Ischemia_25percent_output_edgel!B1753,"AAAAACnt/4o=")</f>
        <v>#VALUE!</v>
      </c>
      <c r="EJ21">
        <f>IF(Ischemia_25percent_output_edgel!1754:1754,"AAAAACnt/4s=",0)</f>
        <v>0</v>
      </c>
      <c r="EK21" t="e">
        <f>AND(Ischemia_25percent_output_edgel!A1754,"AAAAACnt/4w=")</f>
        <v>#VALUE!</v>
      </c>
      <c r="EL21" t="e">
        <f>AND(Ischemia_25percent_output_edgel!B1754,"AAAAACnt/40=")</f>
        <v>#VALUE!</v>
      </c>
      <c r="EM21">
        <f>IF(Ischemia_25percent_output_edgel!1755:1755,"AAAAACnt/44=",0)</f>
        <v>0</v>
      </c>
      <c r="EN21" t="e">
        <f>AND(Ischemia_25percent_output_edgel!A1755,"AAAAACnt/48=")</f>
        <v>#VALUE!</v>
      </c>
      <c r="EO21" t="e">
        <f>AND(Ischemia_25percent_output_edgel!B1755,"AAAAACnt/5A=")</f>
        <v>#VALUE!</v>
      </c>
      <c r="EP21">
        <f>IF(Ischemia_25percent_output_edgel!1756:1756,"AAAAACnt/5E=",0)</f>
        <v>0</v>
      </c>
      <c r="EQ21" t="e">
        <f>AND(Ischemia_25percent_output_edgel!A1756,"AAAAACnt/5I=")</f>
        <v>#VALUE!</v>
      </c>
      <c r="ER21" t="e">
        <f>AND(Ischemia_25percent_output_edgel!B1756,"AAAAACnt/5M=")</f>
        <v>#VALUE!</v>
      </c>
      <c r="ES21">
        <f>IF(Ischemia_25percent_output_edgel!1757:1757,"AAAAACnt/5Q=",0)</f>
        <v>0</v>
      </c>
      <c r="ET21" t="e">
        <f>AND(Ischemia_25percent_output_edgel!A1757,"AAAAACnt/5U=")</f>
        <v>#VALUE!</v>
      </c>
      <c r="EU21" t="e">
        <f>AND(Ischemia_25percent_output_edgel!B1757,"AAAAACnt/5Y=")</f>
        <v>#VALUE!</v>
      </c>
      <c r="EV21">
        <f>IF(Ischemia_25percent_output_edgel!1758:1758,"AAAAACnt/5c=",0)</f>
        <v>0</v>
      </c>
      <c r="EW21" t="e">
        <f>AND(Ischemia_25percent_output_edgel!A1758,"AAAAACnt/5g=")</f>
        <v>#VALUE!</v>
      </c>
      <c r="EX21" t="e">
        <f>AND(Ischemia_25percent_output_edgel!B1758,"AAAAACnt/5k=")</f>
        <v>#VALUE!</v>
      </c>
      <c r="EY21">
        <f>IF(Ischemia_25percent_output_edgel!1759:1759,"AAAAACnt/5o=",0)</f>
        <v>0</v>
      </c>
      <c r="EZ21" t="e">
        <f>AND(Ischemia_25percent_output_edgel!A1759,"AAAAACnt/5s=")</f>
        <v>#VALUE!</v>
      </c>
      <c r="FA21" t="e">
        <f>AND(Ischemia_25percent_output_edgel!B1759,"AAAAACnt/5w=")</f>
        <v>#VALUE!</v>
      </c>
      <c r="FB21">
        <f>IF(Ischemia_25percent_output_edgel!1760:1760,"AAAAACnt/50=",0)</f>
        <v>0</v>
      </c>
      <c r="FC21" t="e">
        <f>AND(Ischemia_25percent_output_edgel!A1760,"AAAAACnt/54=")</f>
        <v>#VALUE!</v>
      </c>
      <c r="FD21" t="e">
        <f>AND(Ischemia_25percent_output_edgel!B1760,"AAAAACnt/58=")</f>
        <v>#VALUE!</v>
      </c>
      <c r="FE21">
        <f>IF(Ischemia_25percent_output_edgel!1761:1761,"AAAAACnt/6A=",0)</f>
        <v>0</v>
      </c>
      <c r="FF21" t="e">
        <f>AND(Ischemia_25percent_output_edgel!A1761,"AAAAACnt/6E=")</f>
        <v>#VALUE!</v>
      </c>
      <c r="FG21" t="e">
        <f>AND(Ischemia_25percent_output_edgel!B1761,"AAAAACnt/6I=")</f>
        <v>#VALUE!</v>
      </c>
      <c r="FH21">
        <f>IF(Ischemia_25percent_output_edgel!1762:1762,"AAAAACnt/6M=",0)</f>
        <v>0</v>
      </c>
      <c r="FI21" t="e">
        <f>AND(Ischemia_25percent_output_edgel!A1762,"AAAAACnt/6Q=")</f>
        <v>#VALUE!</v>
      </c>
      <c r="FJ21" t="e">
        <f>AND(Ischemia_25percent_output_edgel!B1762,"AAAAACnt/6U=")</f>
        <v>#VALUE!</v>
      </c>
      <c r="FK21">
        <f>IF(Ischemia_25percent_output_edgel!1763:1763,"AAAAACnt/6Y=",0)</f>
        <v>0</v>
      </c>
      <c r="FL21" t="e">
        <f>AND(Ischemia_25percent_output_edgel!A1763,"AAAAACnt/6c=")</f>
        <v>#VALUE!</v>
      </c>
      <c r="FM21" t="e">
        <f>AND(Ischemia_25percent_output_edgel!B1763,"AAAAACnt/6g=")</f>
        <v>#VALUE!</v>
      </c>
      <c r="FN21">
        <f>IF(Ischemia_25percent_output_edgel!1764:1764,"AAAAACnt/6k=",0)</f>
        <v>0</v>
      </c>
      <c r="FO21" t="e">
        <f>AND(Ischemia_25percent_output_edgel!A1764,"AAAAACnt/6o=")</f>
        <v>#VALUE!</v>
      </c>
      <c r="FP21" t="e">
        <f>AND(Ischemia_25percent_output_edgel!B1764,"AAAAACnt/6s=")</f>
        <v>#VALUE!</v>
      </c>
      <c r="FQ21">
        <f>IF(Ischemia_25percent_output_edgel!1765:1765,"AAAAACnt/6w=",0)</f>
        <v>0</v>
      </c>
      <c r="FR21" t="e">
        <f>AND(Ischemia_25percent_output_edgel!A1765,"AAAAACnt/60=")</f>
        <v>#VALUE!</v>
      </c>
      <c r="FS21" t="e">
        <f>AND(Ischemia_25percent_output_edgel!B1765,"AAAAACnt/64=")</f>
        <v>#VALUE!</v>
      </c>
      <c r="FT21">
        <f>IF(Ischemia_25percent_output_edgel!1766:1766,"AAAAACnt/68=",0)</f>
        <v>0</v>
      </c>
      <c r="FU21" t="e">
        <f>AND(Ischemia_25percent_output_edgel!A1766,"AAAAACnt/7A=")</f>
        <v>#VALUE!</v>
      </c>
      <c r="FV21" t="e">
        <f>AND(Ischemia_25percent_output_edgel!B1766,"AAAAACnt/7E=")</f>
        <v>#VALUE!</v>
      </c>
      <c r="FW21">
        <f>IF(Ischemia_25percent_output_edgel!1767:1767,"AAAAACnt/7I=",0)</f>
        <v>0</v>
      </c>
      <c r="FX21" t="e">
        <f>AND(Ischemia_25percent_output_edgel!A1767,"AAAAACnt/7M=")</f>
        <v>#VALUE!</v>
      </c>
      <c r="FY21" t="e">
        <f>AND(Ischemia_25percent_output_edgel!B1767,"AAAAACnt/7Q=")</f>
        <v>#VALUE!</v>
      </c>
      <c r="FZ21">
        <f>IF(Ischemia_25percent_output_edgel!1768:1768,"AAAAACnt/7U=",0)</f>
        <v>0</v>
      </c>
      <c r="GA21" t="e">
        <f>AND(Ischemia_25percent_output_edgel!A1768,"AAAAACnt/7Y=")</f>
        <v>#VALUE!</v>
      </c>
      <c r="GB21" t="e">
        <f>AND(Ischemia_25percent_output_edgel!B1768,"AAAAACnt/7c=")</f>
        <v>#VALUE!</v>
      </c>
      <c r="GC21">
        <f>IF(Ischemia_25percent_output_edgel!1769:1769,"AAAAACnt/7g=",0)</f>
        <v>0</v>
      </c>
      <c r="GD21" t="e">
        <f>AND(Ischemia_25percent_output_edgel!A1769,"AAAAACnt/7k=")</f>
        <v>#VALUE!</v>
      </c>
      <c r="GE21" t="e">
        <f>AND(Ischemia_25percent_output_edgel!B1769,"AAAAACnt/7o=")</f>
        <v>#VALUE!</v>
      </c>
      <c r="GF21">
        <f>IF(Ischemia_25percent_output_edgel!1770:1770,"AAAAACnt/7s=",0)</f>
        <v>0</v>
      </c>
      <c r="GG21" t="e">
        <f>AND(Ischemia_25percent_output_edgel!A1770,"AAAAACnt/7w=")</f>
        <v>#VALUE!</v>
      </c>
      <c r="GH21" t="e">
        <f>AND(Ischemia_25percent_output_edgel!B1770,"AAAAACnt/70=")</f>
        <v>#VALUE!</v>
      </c>
      <c r="GI21">
        <f>IF(Ischemia_25percent_output_edgel!1771:1771,"AAAAACnt/74=",0)</f>
        <v>0</v>
      </c>
      <c r="GJ21" t="e">
        <f>AND(Ischemia_25percent_output_edgel!A1771,"AAAAACnt/78=")</f>
        <v>#VALUE!</v>
      </c>
      <c r="GK21" t="e">
        <f>AND(Ischemia_25percent_output_edgel!B1771,"AAAAACnt/8A=")</f>
        <v>#VALUE!</v>
      </c>
      <c r="GL21">
        <f>IF(Ischemia_25percent_output_edgel!1772:1772,"AAAAACnt/8E=",0)</f>
        <v>0</v>
      </c>
      <c r="GM21" t="e">
        <f>AND(Ischemia_25percent_output_edgel!A1772,"AAAAACnt/8I=")</f>
        <v>#VALUE!</v>
      </c>
      <c r="GN21" t="e">
        <f>AND(Ischemia_25percent_output_edgel!B1772,"AAAAACnt/8M=")</f>
        <v>#VALUE!</v>
      </c>
      <c r="GO21">
        <f>IF(Ischemia_25percent_output_edgel!1773:1773,"AAAAACnt/8Q=",0)</f>
        <v>0</v>
      </c>
      <c r="GP21" t="e">
        <f>AND(Ischemia_25percent_output_edgel!A1773,"AAAAACnt/8U=")</f>
        <v>#VALUE!</v>
      </c>
      <c r="GQ21" t="e">
        <f>AND(Ischemia_25percent_output_edgel!B1773,"AAAAACnt/8Y=")</f>
        <v>#VALUE!</v>
      </c>
      <c r="GR21">
        <f>IF(Ischemia_25percent_output_edgel!1774:1774,"AAAAACnt/8c=",0)</f>
        <v>0</v>
      </c>
      <c r="GS21" t="e">
        <f>AND(Ischemia_25percent_output_edgel!A1774,"AAAAACnt/8g=")</f>
        <v>#VALUE!</v>
      </c>
      <c r="GT21" t="e">
        <f>AND(Ischemia_25percent_output_edgel!B1774,"AAAAACnt/8k=")</f>
        <v>#VALUE!</v>
      </c>
      <c r="GU21">
        <f>IF(Ischemia_25percent_output_edgel!1775:1775,"AAAAACnt/8o=",0)</f>
        <v>0</v>
      </c>
      <c r="GV21" t="e">
        <f>AND(Ischemia_25percent_output_edgel!A1775,"AAAAACnt/8s=")</f>
        <v>#VALUE!</v>
      </c>
      <c r="GW21" t="e">
        <f>AND(Ischemia_25percent_output_edgel!B1775,"AAAAACnt/8w=")</f>
        <v>#VALUE!</v>
      </c>
      <c r="GX21">
        <f>IF(Ischemia_25percent_output_edgel!1776:1776,"AAAAACnt/80=",0)</f>
        <v>0</v>
      </c>
      <c r="GY21" t="e">
        <f>AND(Ischemia_25percent_output_edgel!A1776,"AAAAACnt/84=")</f>
        <v>#VALUE!</v>
      </c>
      <c r="GZ21" t="e">
        <f>AND(Ischemia_25percent_output_edgel!B1776,"AAAAACnt/88=")</f>
        <v>#VALUE!</v>
      </c>
      <c r="HA21">
        <f>IF(Ischemia_25percent_output_edgel!1777:1777,"AAAAACnt/9A=",0)</f>
        <v>0</v>
      </c>
      <c r="HB21" t="e">
        <f>AND(Ischemia_25percent_output_edgel!A1777,"AAAAACnt/9E=")</f>
        <v>#VALUE!</v>
      </c>
      <c r="HC21" t="e">
        <f>AND(Ischemia_25percent_output_edgel!B1777,"AAAAACnt/9I=")</f>
        <v>#VALUE!</v>
      </c>
      <c r="HD21">
        <f>IF(Ischemia_25percent_output_edgel!1778:1778,"AAAAACnt/9M=",0)</f>
        <v>0</v>
      </c>
      <c r="HE21" t="e">
        <f>AND(Ischemia_25percent_output_edgel!A1778,"AAAAACnt/9Q=")</f>
        <v>#VALUE!</v>
      </c>
      <c r="HF21" t="e">
        <f>AND(Ischemia_25percent_output_edgel!B1778,"AAAAACnt/9U=")</f>
        <v>#VALUE!</v>
      </c>
      <c r="HG21">
        <f>IF(Ischemia_25percent_output_edgel!1779:1779,"AAAAACnt/9Y=",0)</f>
        <v>0</v>
      </c>
      <c r="HH21" t="e">
        <f>AND(Ischemia_25percent_output_edgel!A1779,"AAAAACnt/9c=")</f>
        <v>#VALUE!</v>
      </c>
      <c r="HI21" t="e">
        <f>AND(Ischemia_25percent_output_edgel!B1779,"AAAAACnt/9g=")</f>
        <v>#VALUE!</v>
      </c>
      <c r="HJ21">
        <f>IF(Ischemia_25percent_output_edgel!1780:1780,"AAAAACnt/9k=",0)</f>
        <v>0</v>
      </c>
      <c r="HK21" t="e">
        <f>AND(Ischemia_25percent_output_edgel!A1780,"AAAAACnt/9o=")</f>
        <v>#VALUE!</v>
      </c>
      <c r="HL21" t="e">
        <f>AND(Ischemia_25percent_output_edgel!B1780,"AAAAACnt/9s=")</f>
        <v>#VALUE!</v>
      </c>
      <c r="HM21">
        <f>IF(Ischemia_25percent_output_edgel!1781:1781,"AAAAACnt/9w=",0)</f>
        <v>0</v>
      </c>
      <c r="HN21" t="e">
        <f>AND(Ischemia_25percent_output_edgel!A1781,"AAAAACnt/90=")</f>
        <v>#VALUE!</v>
      </c>
      <c r="HO21" t="e">
        <f>AND(Ischemia_25percent_output_edgel!B1781,"AAAAACnt/94=")</f>
        <v>#VALUE!</v>
      </c>
      <c r="HP21">
        <f>IF(Ischemia_25percent_output_edgel!1782:1782,"AAAAACnt/98=",0)</f>
        <v>0</v>
      </c>
      <c r="HQ21" t="e">
        <f>AND(Ischemia_25percent_output_edgel!A1782,"AAAAACnt/+A=")</f>
        <v>#VALUE!</v>
      </c>
      <c r="HR21" t="e">
        <f>AND(Ischemia_25percent_output_edgel!B1782,"AAAAACnt/+E=")</f>
        <v>#VALUE!</v>
      </c>
      <c r="HS21">
        <f>IF(Ischemia_25percent_output_edgel!1783:1783,"AAAAACnt/+I=",0)</f>
        <v>0</v>
      </c>
      <c r="HT21" t="e">
        <f>AND(Ischemia_25percent_output_edgel!A1783,"AAAAACnt/+M=")</f>
        <v>#VALUE!</v>
      </c>
      <c r="HU21" t="e">
        <f>AND(Ischemia_25percent_output_edgel!B1783,"AAAAACnt/+Q=")</f>
        <v>#VALUE!</v>
      </c>
      <c r="HV21">
        <f>IF(Ischemia_25percent_output_edgel!1784:1784,"AAAAACnt/+U=",0)</f>
        <v>0</v>
      </c>
      <c r="HW21" t="e">
        <f>AND(Ischemia_25percent_output_edgel!A1784,"AAAAACnt/+Y=")</f>
        <v>#VALUE!</v>
      </c>
      <c r="HX21" t="e">
        <f>AND(Ischemia_25percent_output_edgel!B1784,"AAAAACnt/+c=")</f>
        <v>#VALUE!</v>
      </c>
      <c r="HY21">
        <f>IF(Ischemia_25percent_output_edgel!1785:1785,"AAAAACnt/+g=",0)</f>
        <v>0</v>
      </c>
      <c r="HZ21" t="e">
        <f>AND(Ischemia_25percent_output_edgel!A1785,"AAAAACnt/+k=")</f>
        <v>#VALUE!</v>
      </c>
      <c r="IA21" t="e">
        <f>AND(Ischemia_25percent_output_edgel!B1785,"AAAAACnt/+o=")</f>
        <v>#VALUE!</v>
      </c>
      <c r="IB21">
        <f>IF(Ischemia_25percent_output_edgel!1786:1786,"AAAAACnt/+s=",0)</f>
        <v>0</v>
      </c>
      <c r="IC21" t="e">
        <f>AND(Ischemia_25percent_output_edgel!A1786,"AAAAACnt/+w=")</f>
        <v>#VALUE!</v>
      </c>
      <c r="ID21" t="e">
        <f>AND(Ischemia_25percent_output_edgel!B1786,"AAAAACnt/+0=")</f>
        <v>#VALUE!</v>
      </c>
      <c r="IE21">
        <f>IF(Ischemia_25percent_output_edgel!1787:1787,"AAAAACnt/+4=",0)</f>
        <v>0</v>
      </c>
      <c r="IF21" t="e">
        <f>AND(Ischemia_25percent_output_edgel!A1787,"AAAAACnt/+8=")</f>
        <v>#VALUE!</v>
      </c>
      <c r="IG21" t="e">
        <f>AND(Ischemia_25percent_output_edgel!B1787,"AAAAACnt//A=")</f>
        <v>#VALUE!</v>
      </c>
      <c r="IH21">
        <f>IF(Ischemia_25percent_output_edgel!1788:1788,"AAAAACnt//E=",0)</f>
        <v>0</v>
      </c>
      <c r="II21" t="e">
        <f>AND(Ischemia_25percent_output_edgel!A1788,"AAAAACnt//I=")</f>
        <v>#VALUE!</v>
      </c>
      <c r="IJ21" t="e">
        <f>AND(Ischemia_25percent_output_edgel!B1788,"AAAAACnt//M=")</f>
        <v>#VALUE!</v>
      </c>
      <c r="IK21">
        <f>IF(Ischemia_25percent_output_edgel!1789:1789,"AAAAACnt//Q=",0)</f>
        <v>0</v>
      </c>
      <c r="IL21" t="e">
        <f>AND(Ischemia_25percent_output_edgel!A1789,"AAAAACnt//U=")</f>
        <v>#VALUE!</v>
      </c>
      <c r="IM21" t="e">
        <f>AND(Ischemia_25percent_output_edgel!B1789,"AAAAACnt//Y=")</f>
        <v>#VALUE!</v>
      </c>
      <c r="IN21">
        <f>IF(Ischemia_25percent_output_edgel!1790:1790,"AAAAACnt//c=",0)</f>
        <v>0</v>
      </c>
      <c r="IO21" t="e">
        <f>AND(Ischemia_25percent_output_edgel!A1790,"AAAAACnt//g=")</f>
        <v>#VALUE!</v>
      </c>
      <c r="IP21" t="e">
        <f>AND(Ischemia_25percent_output_edgel!B1790,"AAAAACnt//k=")</f>
        <v>#VALUE!</v>
      </c>
      <c r="IQ21">
        <f>IF(Ischemia_25percent_output_edgel!1791:1791,"AAAAACnt//o=",0)</f>
        <v>0</v>
      </c>
      <c r="IR21" t="e">
        <f>AND(Ischemia_25percent_output_edgel!A1791,"AAAAACnt//s=")</f>
        <v>#VALUE!</v>
      </c>
      <c r="IS21" t="e">
        <f>AND(Ischemia_25percent_output_edgel!B1791,"AAAAACnt//w=")</f>
        <v>#VALUE!</v>
      </c>
      <c r="IT21">
        <f>IF(Ischemia_25percent_output_edgel!1792:1792,"AAAAACnt//0=",0)</f>
        <v>0</v>
      </c>
      <c r="IU21" t="e">
        <f>AND(Ischemia_25percent_output_edgel!A1792,"AAAAACnt//4=")</f>
        <v>#VALUE!</v>
      </c>
      <c r="IV21" t="e">
        <f>AND(Ischemia_25percent_output_edgel!B1792,"AAAAACnt//8=")</f>
        <v>#VALUE!</v>
      </c>
    </row>
    <row r="22" spans="1:256">
      <c r="A22" t="e">
        <f>IF(Ischemia_25percent_output_edgel!1793:1793,"AAAAAF97+wA=",0)</f>
        <v>#VALUE!</v>
      </c>
      <c r="B22" t="e">
        <f>AND(Ischemia_25percent_output_edgel!A1793,"AAAAAF97+wE=")</f>
        <v>#VALUE!</v>
      </c>
      <c r="C22" t="e">
        <f>AND(Ischemia_25percent_output_edgel!B1793,"AAAAAF97+wI=")</f>
        <v>#VALUE!</v>
      </c>
      <c r="D22">
        <f>IF(Ischemia_25percent_output_edgel!1794:1794,"AAAAAF97+wM=",0)</f>
        <v>0</v>
      </c>
      <c r="E22" t="e">
        <f>AND(Ischemia_25percent_output_edgel!A1794,"AAAAAF97+wQ=")</f>
        <v>#VALUE!</v>
      </c>
      <c r="F22" t="e">
        <f>AND(Ischemia_25percent_output_edgel!B1794,"AAAAAF97+wU=")</f>
        <v>#VALUE!</v>
      </c>
      <c r="G22">
        <f>IF(Ischemia_25percent_output_edgel!1795:1795,"AAAAAF97+wY=",0)</f>
        <v>0</v>
      </c>
      <c r="H22" t="e">
        <f>AND(Ischemia_25percent_output_edgel!A1795,"AAAAAF97+wc=")</f>
        <v>#VALUE!</v>
      </c>
      <c r="I22" t="e">
        <f>AND(Ischemia_25percent_output_edgel!B1795,"AAAAAF97+wg=")</f>
        <v>#VALUE!</v>
      </c>
      <c r="J22">
        <f>IF(Ischemia_25percent_output_edgel!1796:1796,"AAAAAF97+wk=",0)</f>
        <v>0</v>
      </c>
      <c r="K22" t="e">
        <f>AND(Ischemia_25percent_output_edgel!A1796,"AAAAAF97+wo=")</f>
        <v>#VALUE!</v>
      </c>
      <c r="L22" t="e">
        <f>AND(Ischemia_25percent_output_edgel!B1796,"AAAAAF97+ws=")</f>
        <v>#VALUE!</v>
      </c>
      <c r="M22">
        <f>IF(Ischemia_25percent_output_edgel!1797:1797,"AAAAAF97+ww=",0)</f>
        <v>0</v>
      </c>
      <c r="N22" t="e">
        <f>AND(Ischemia_25percent_output_edgel!A1797,"AAAAAF97+w0=")</f>
        <v>#VALUE!</v>
      </c>
      <c r="O22" t="e">
        <f>AND(Ischemia_25percent_output_edgel!B1797,"AAAAAF97+w4=")</f>
        <v>#VALUE!</v>
      </c>
      <c r="P22">
        <f>IF(Ischemia_25percent_output_edgel!1798:1798,"AAAAAF97+w8=",0)</f>
        <v>0</v>
      </c>
      <c r="Q22" t="e">
        <f>AND(Ischemia_25percent_output_edgel!A1798,"AAAAAF97+xA=")</f>
        <v>#VALUE!</v>
      </c>
      <c r="R22" t="e">
        <f>AND(Ischemia_25percent_output_edgel!B1798,"AAAAAF97+xE=")</f>
        <v>#VALUE!</v>
      </c>
      <c r="S22">
        <f>IF(Ischemia_25percent_output_edgel!1799:1799,"AAAAAF97+xI=",0)</f>
        <v>0</v>
      </c>
      <c r="T22" t="e">
        <f>AND(Ischemia_25percent_output_edgel!A1799,"AAAAAF97+xM=")</f>
        <v>#VALUE!</v>
      </c>
      <c r="U22" t="e">
        <f>AND(Ischemia_25percent_output_edgel!B1799,"AAAAAF97+xQ=")</f>
        <v>#VALUE!</v>
      </c>
      <c r="V22">
        <f>IF(Ischemia_25percent_output_edgel!1800:1800,"AAAAAF97+xU=",0)</f>
        <v>0</v>
      </c>
      <c r="W22" t="e">
        <f>AND(Ischemia_25percent_output_edgel!A1800,"AAAAAF97+xY=")</f>
        <v>#VALUE!</v>
      </c>
      <c r="X22" t="e">
        <f>AND(Ischemia_25percent_output_edgel!B1800,"AAAAAF97+xc=")</f>
        <v>#VALUE!</v>
      </c>
      <c r="Y22">
        <f>IF(Ischemia_25percent_output_edgel!1801:1801,"AAAAAF97+xg=",0)</f>
        <v>0</v>
      </c>
      <c r="Z22" t="e">
        <f>AND(Ischemia_25percent_output_edgel!A1801,"AAAAAF97+xk=")</f>
        <v>#VALUE!</v>
      </c>
      <c r="AA22" t="e">
        <f>AND(Ischemia_25percent_output_edgel!B1801,"AAAAAF97+xo=")</f>
        <v>#VALUE!</v>
      </c>
      <c r="AB22">
        <f>IF(Ischemia_25percent_output_edgel!1802:1802,"AAAAAF97+xs=",0)</f>
        <v>0</v>
      </c>
      <c r="AC22" t="e">
        <f>AND(Ischemia_25percent_output_edgel!A1802,"AAAAAF97+xw=")</f>
        <v>#VALUE!</v>
      </c>
      <c r="AD22" t="e">
        <f>AND(Ischemia_25percent_output_edgel!B1802,"AAAAAF97+x0=")</f>
        <v>#VALUE!</v>
      </c>
      <c r="AE22">
        <f>IF(Ischemia_25percent_output_edgel!1803:1803,"AAAAAF97+x4=",0)</f>
        <v>0</v>
      </c>
      <c r="AF22" t="e">
        <f>AND(Ischemia_25percent_output_edgel!A1803,"AAAAAF97+x8=")</f>
        <v>#VALUE!</v>
      </c>
      <c r="AG22" t="e">
        <f>AND(Ischemia_25percent_output_edgel!B1803,"AAAAAF97+yA=")</f>
        <v>#VALUE!</v>
      </c>
      <c r="AH22">
        <f>IF(Ischemia_25percent_output_edgel!1804:1804,"AAAAAF97+yE=",0)</f>
        <v>0</v>
      </c>
      <c r="AI22" t="e">
        <f>AND(Ischemia_25percent_output_edgel!A1804,"AAAAAF97+yI=")</f>
        <v>#VALUE!</v>
      </c>
      <c r="AJ22" t="e">
        <f>AND(Ischemia_25percent_output_edgel!B1804,"AAAAAF97+yM=")</f>
        <v>#VALUE!</v>
      </c>
      <c r="AK22">
        <f>IF(Ischemia_25percent_output_edgel!1805:1805,"AAAAAF97+yQ=",0)</f>
        <v>0</v>
      </c>
      <c r="AL22" t="e">
        <f>AND(Ischemia_25percent_output_edgel!A1805,"AAAAAF97+yU=")</f>
        <v>#VALUE!</v>
      </c>
      <c r="AM22" t="e">
        <f>AND(Ischemia_25percent_output_edgel!B1805,"AAAAAF97+yY=")</f>
        <v>#VALUE!</v>
      </c>
      <c r="AN22">
        <f>IF(Ischemia_25percent_output_edgel!1806:1806,"AAAAAF97+yc=",0)</f>
        <v>0</v>
      </c>
      <c r="AO22" t="e">
        <f>AND(Ischemia_25percent_output_edgel!A1806,"AAAAAF97+yg=")</f>
        <v>#VALUE!</v>
      </c>
      <c r="AP22" t="e">
        <f>AND(Ischemia_25percent_output_edgel!B1806,"AAAAAF97+yk=")</f>
        <v>#VALUE!</v>
      </c>
      <c r="AQ22">
        <f>IF(Ischemia_25percent_output_edgel!1807:1807,"AAAAAF97+yo=",0)</f>
        <v>0</v>
      </c>
      <c r="AR22" t="e">
        <f>AND(Ischemia_25percent_output_edgel!A1807,"AAAAAF97+ys=")</f>
        <v>#VALUE!</v>
      </c>
      <c r="AS22" t="e">
        <f>AND(Ischemia_25percent_output_edgel!B1807,"AAAAAF97+yw=")</f>
        <v>#VALUE!</v>
      </c>
      <c r="AT22">
        <f>IF(Ischemia_25percent_output_edgel!1808:1808,"AAAAAF97+y0=",0)</f>
        <v>0</v>
      </c>
      <c r="AU22" t="e">
        <f>AND(Ischemia_25percent_output_edgel!A1808,"AAAAAF97+y4=")</f>
        <v>#VALUE!</v>
      </c>
      <c r="AV22" t="e">
        <f>AND(Ischemia_25percent_output_edgel!B1808,"AAAAAF97+y8=")</f>
        <v>#VALUE!</v>
      </c>
      <c r="AW22">
        <f>IF(Ischemia_25percent_output_edgel!1809:1809,"AAAAAF97+zA=",0)</f>
        <v>0</v>
      </c>
      <c r="AX22" t="e">
        <f>AND(Ischemia_25percent_output_edgel!A1809,"AAAAAF97+zE=")</f>
        <v>#VALUE!</v>
      </c>
      <c r="AY22" t="e">
        <f>AND(Ischemia_25percent_output_edgel!B1809,"AAAAAF97+zI=")</f>
        <v>#VALUE!</v>
      </c>
      <c r="AZ22">
        <f>IF(Ischemia_25percent_output_edgel!1810:1810,"AAAAAF97+zM=",0)</f>
        <v>0</v>
      </c>
      <c r="BA22" t="e">
        <f>AND(Ischemia_25percent_output_edgel!A1810,"AAAAAF97+zQ=")</f>
        <v>#VALUE!</v>
      </c>
      <c r="BB22" t="e">
        <f>AND(Ischemia_25percent_output_edgel!B1810,"AAAAAF97+zU=")</f>
        <v>#VALUE!</v>
      </c>
      <c r="BC22">
        <f>IF(Ischemia_25percent_output_edgel!1811:1811,"AAAAAF97+zY=",0)</f>
        <v>0</v>
      </c>
      <c r="BD22" t="e">
        <f>AND(Ischemia_25percent_output_edgel!A1811,"AAAAAF97+zc=")</f>
        <v>#VALUE!</v>
      </c>
      <c r="BE22" t="e">
        <f>AND(Ischemia_25percent_output_edgel!B1811,"AAAAAF97+zg=")</f>
        <v>#VALUE!</v>
      </c>
      <c r="BF22">
        <f>IF(Ischemia_25percent_output_edgel!1812:1812,"AAAAAF97+zk=",0)</f>
        <v>0</v>
      </c>
      <c r="BG22" t="e">
        <f>AND(Ischemia_25percent_output_edgel!A1812,"AAAAAF97+zo=")</f>
        <v>#VALUE!</v>
      </c>
      <c r="BH22" t="e">
        <f>AND(Ischemia_25percent_output_edgel!B1812,"AAAAAF97+zs=")</f>
        <v>#VALUE!</v>
      </c>
      <c r="BI22">
        <f>IF(Ischemia_25percent_output_edgel!1813:1813,"AAAAAF97+zw=",0)</f>
        <v>0</v>
      </c>
      <c r="BJ22" t="e">
        <f>AND(Ischemia_25percent_output_edgel!A1813,"AAAAAF97+z0=")</f>
        <v>#VALUE!</v>
      </c>
      <c r="BK22" t="e">
        <f>AND(Ischemia_25percent_output_edgel!B1813,"AAAAAF97+z4=")</f>
        <v>#VALUE!</v>
      </c>
      <c r="BL22">
        <f>IF(Ischemia_25percent_output_edgel!1814:1814,"AAAAAF97+z8=",0)</f>
        <v>0</v>
      </c>
      <c r="BM22" t="e">
        <f>AND(Ischemia_25percent_output_edgel!A1814,"AAAAAF97+0A=")</f>
        <v>#VALUE!</v>
      </c>
      <c r="BN22" t="e">
        <f>AND(Ischemia_25percent_output_edgel!B1814,"AAAAAF97+0E=")</f>
        <v>#VALUE!</v>
      </c>
      <c r="BO22">
        <f>IF(Ischemia_25percent_output_edgel!1815:1815,"AAAAAF97+0I=",0)</f>
        <v>0</v>
      </c>
      <c r="BP22" t="e">
        <f>AND(Ischemia_25percent_output_edgel!A1815,"AAAAAF97+0M=")</f>
        <v>#VALUE!</v>
      </c>
      <c r="BQ22" t="e">
        <f>AND(Ischemia_25percent_output_edgel!B1815,"AAAAAF97+0Q=")</f>
        <v>#VALUE!</v>
      </c>
      <c r="BR22">
        <f>IF(Ischemia_25percent_output_edgel!1816:1816,"AAAAAF97+0U=",0)</f>
        <v>0</v>
      </c>
      <c r="BS22" t="e">
        <f>AND(Ischemia_25percent_output_edgel!A1816,"AAAAAF97+0Y=")</f>
        <v>#VALUE!</v>
      </c>
      <c r="BT22" t="e">
        <f>AND(Ischemia_25percent_output_edgel!B1816,"AAAAAF97+0c=")</f>
        <v>#VALUE!</v>
      </c>
      <c r="BU22">
        <f>IF(Ischemia_25percent_output_edgel!1817:1817,"AAAAAF97+0g=",0)</f>
        <v>0</v>
      </c>
      <c r="BV22" t="e">
        <f>AND(Ischemia_25percent_output_edgel!A1817,"AAAAAF97+0k=")</f>
        <v>#VALUE!</v>
      </c>
      <c r="BW22" t="e">
        <f>AND(Ischemia_25percent_output_edgel!B1817,"AAAAAF97+0o=")</f>
        <v>#VALUE!</v>
      </c>
      <c r="BX22">
        <f>IF(Ischemia_25percent_output_edgel!1818:1818,"AAAAAF97+0s=",0)</f>
        <v>0</v>
      </c>
      <c r="BY22" t="e">
        <f>AND(Ischemia_25percent_output_edgel!A1818,"AAAAAF97+0w=")</f>
        <v>#VALUE!</v>
      </c>
      <c r="BZ22" t="e">
        <f>AND(Ischemia_25percent_output_edgel!B1818,"AAAAAF97+00=")</f>
        <v>#VALUE!</v>
      </c>
      <c r="CA22">
        <f>IF(Ischemia_25percent_output_edgel!1819:1819,"AAAAAF97+04=",0)</f>
        <v>0</v>
      </c>
      <c r="CB22" t="e">
        <f>AND(Ischemia_25percent_output_edgel!A1819,"AAAAAF97+08=")</f>
        <v>#VALUE!</v>
      </c>
      <c r="CC22" t="e">
        <f>AND(Ischemia_25percent_output_edgel!B1819,"AAAAAF97+1A=")</f>
        <v>#VALUE!</v>
      </c>
      <c r="CD22">
        <f>IF(Ischemia_25percent_output_edgel!1820:1820,"AAAAAF97+1E=",0)</f>
        <v>0</v>
      </c>
      <c r="CE22" t="e">
        <f>AND(Ischemia_25percent_output_edgel!A1820,"AAAAAF97+1I=")</f>
        <v>#VALUE!</v>
      </c>
      <c r="CF22" t="e">
        <f>AND(Ischemia_25percent_output_edgel!B1820,"AAAAAF97+1M=")</f>
        <v>#VALUE!</v>
      </c>
      <c r="CG22">
        <f>IF(Ischemia_25percent_output_edgel!1821:1821,"AAAAAF97+1Q=",0)</f>
        <v>0</v>
      </c>
      <c r="CH22" t="e">
        <f>AND(Ischemia_25percent_output_edgel!A1821,"AAAAAF97+1U=")</f>
        <v>#VALUE!</v>
      </c>
      <c r="CI22" t="e">
        <f>AND(Ischemia_25percent_output_edgel!B1821,"AAAAAF97+1Y=")</f>
        <v>#VALUE!</v>
      </c>
      <c r="CJ22">
        <f>IF(Ischemia_25percent_output_edgel!1822:1822,"AAAAAF97+1c=",0)</f>
        <v>0</v>
      </c>
      <c r="CK22" t="e">
        <f>AND(Ischemia_25percent_output_edgel!A1822,"AAAAAF97+1g=")</f>
        <v>#VALUE!</v>
      </c>
      <c r="CL22" t="e">
        <f>AND(Ischemia_25percent_output_edgel!B1822,"AAAAAF97+1k=")</f>
        <v>#VALUE!</v>
      </c>
      <c r="CM22">
        <f>IF(Ischemia_25percent_output_edgel!1823:1823,"AAAAAF97+1o=",0)</f>
        <v>0</v>
      </c>
      <c r="CN22" t="e">
        <f>AND(Ischemia_25percent_output_edgel!A1823,"AAAAAF97+1s=")</f>
        <v>#VALUE!</v>
      </c>
      <c r="CO22" t="e">
        <f>AND(Ischemia_25percent_output_edgel!B1823,"AAAAAF97+1w=")</f>
        <v>#VALUE!</v>
      </c>
      <c r="CP22">
        <f>IF(Ischemia_25percent_output_edgel!1824:1824,"AAAAAF97+10=",0)</f>
        <v>0</v>
      </c>
      <c r="CQ22" t="e">
        <f>AND(Ischemia_25percent_output_edgel!A1824,"AAAAAF97+14=")</f>
        <v>#VALUE!</v>
      </c>
      <c r="CR22" t="e">
        <f>AND(Ischemia_25percent_output_edgel!B1824,"AAAAAF97+18=")</f>
        <v>#VALUE!</v>
      </c>
      <c r="CS22">
        <f>IF(Ischemia_25percent_output_edgel!1825:1825,"AAAAAF97+2A=",0)</f>
        <v>0</v>
      </c>
      <c r="CT22" t="e">
        <f>AND(Ischemia_25percent_output_edgel!A1825,"AAAAAF97+2E=")</f>
        <v>#VALUE!</v>
      </c>
      <c r="CU22" t="e">
        <f>AND(Ischemia_25percent_output_edgel!B1825,"AAAAAF97+2I=")</f>
        <v>#VALUE!</v>
      </c>
      <c r="CV22">
        <f>IF(Ischemia_25percent_output_edgel!1826:1826,"AAAAAF97+2M=",0)</f>
        <v>0</v>
      </c>
      <c r="CW22" t="e">
        <f>AND(Ischemia_25percent_output_edgel!A1826,"AAAAAF97+2Q=")</f>
        <v>#VALUE!</v>
      </c>
      <c r="CX22" t="e">
        <f>AND(Ischemia_25percent_output_edgel!B1826,"AAAAAF97+2U=")</f>
        <v>#VALUE!</v>
      </c>
      <c r="CY22">
        <f>IF(Ischemia_25percent_output_edgel!1827:1827,"AAAAAF97+2Y=",0)</f>
        <v>0</v>
      </c>
      <c r="CZ22" t="e">
        <f>AND(Ischemia_25percent_output_edgel!A1827,"AAAAAF97+2c=")</f>
        <v>#VALUE!</v>
      </c>
      <c r="DA22" t="e">
        <f>AND(Ischemia_25percent_output_edgel!B1827,"AAAAAF97+2g=")</f>
        <v>#VALUE!</v>
      </c>
      <c r="DB22">
        <f>IF(Ischemia_25percent_output_edgel!1828:1828,"AAAAAF97+2k=",0)</f>
        <v>0</v>
      </c>
      <c r="DC22" t="e">
        <f>AND(Ischemia_25percent_output_edgel!A1828,"AAAAAF97+2o=")</f>
        <v>#VALUE!</v>
      </c>
      <c r="DD22" t="e">
        <f>AND(Ischemia_25percent_output_edgel!B1828,"AAAAAF97+2s=")</f>
        <v>#VALUE!</v>
      </c>
      <c r="DE22">
        <f>IF(Ischemia_25percent_output_edgel!1829:1829,"AAAAAF97+2w=",0)</f>
        <v>0</v>
      </c>
      <c r="DF22" t="e">
        <f>AND(Ischemia_25percent_output_edgel!A1829,"AAAAAF97+20=")</f>
        <v>#VALUE!</v>
      </c>
      <c r="DG22" t="e">
        <f>AND(Ischemia_25percent_output_edgel!B1829,"AAAAAF97+24=")</f>
        <v>#VALUE!</v>
      </c>
      <c r="DH22">
        <f>IF(Ischemia_25percent_output_edgel!1830:1830,"AAAAAF97+28=",0)</f>
        <v>0</v>
      </c>
      <c r="DI22" t="e">
        <f>AND(Ischemia_25percent_output_edgel!A1830,"AAAAAF97+3A=")</f>
        <v>#VALUE!</v>
      </c>
      <c r="DJ22" t="e">
        <f>AND(Ischemia_25percent_output_edgel!B1830,"AAAAAF97+3E=")</f>
        <v>#VALUE!</v>
      </c>
      <c r="DK22">
        <f>IF(Ischemia_25percent_output_edgel!1831:1831,"AAAAAF97+3I=",0)</f>
        <v>0</v>
      </c>
      <c r="DL22" t="e">
        <f>AND(Ischemia_25percent_output_edgel!A1831,"AAAAAF97+3M=")</f>
        <v>#VALUE!</v>
      </c>
      <c r="DM22" t="e">
        <f>AND(Ischemia_25percent_output_edgel!B1831,"AAAAAF97+3Q=")</f>
        <v>#VALUE!</v>
      </c>
      <c r="DN22">
        <f>IF(Ischemia_25percent_output_edgel!1832:1832,"AAAAAF97+3U=",0)</f>
        <v>0</v>
      </c>
      <c r="DO22" t="e">
        <f>AND(Ischemia_25percent_output_edgel!A1832,"AAAAAF97+3Y=")</f>
        <v>#VALUE!</v>
      </c>
      <c r="DP22" t="e">
        <f>AND(Ischemia_25percent_output_edgel!B1832,"AAAAAF97+3c=")</f>
        <v>#VALUE!</v>
      </c>
      <c r="DQ22">
        <f>IF(Ischemia_25percent_output_edgel!1833:1833,"AAAAAF97+3g=",0)</f>
        <v>0</v>
      </c>
      <c r="DR22" t="e">
        <f>AND(Ischemia_25percent_output_edgel!A1833,"AAAAAF97+3k=")</f>
        <v>#VALUE!</v>
      </c>
      <c r="DS22" t="e">
        <f>AND(Ischemia_25percent_output_edgel!B1833,"AAAAAF97+3o=")</f>
        <v>#VALUE!</v>
      </c>
      <c r="DT22">
        <f>IF(Ischemia_25percent_output_edgel!1834:1834,"AAAAAF97+3s=",0)</f>
        <v>0</v>
      </c>
      <c r="DU22" t="e">
        <f>AND(Ischemia_25percent_output_edgel!A1834,"AAAAAF97+3w=")</f>
        <v>#VALUE!</v>
      </c>
      <c r="DV22" t="e">
        <f>AND(Ischemia_25percent_output_edgel!B1834,"AAAAAF97+30=")</f>
        <v>#VALUE!</v>
      </c>
      <c r="DW22">
        <f>IF(Ischemia_25percent_output_edgel!1835:1835,"AAAAAF97+34=",0)</f>
        <v>0</v>
      </c>
      <c r="DX22" t="e">
        <f>AND(Ischemia_25percent_output_edgel!A1835,"AAAAAF97+38=")</f>
        <v>#VALUE!</v>
      </c>
      <c r="DY22" t="e">
        <f>AND(Ischemia_25percent_output_edgel!B1835,"AAAAAF97+4A=")</f>
        <v>#VALUE!</v>
      </c>
      <c r="DZ22">
        <f>IF(Ischemia_25percent_output_edgel!1836:1836,"AAAAAF97+4E=",0)</f>
        <v>0</v>
      </c>
      <c r="EA22" t="e">
        <f>AND(Ischemia_25percent_output_edgel!A1836,"AAAAAF97+4I=")</f>
        <v>#VALUE!</v>
      </c>
      <c r="EB22" t="e">
        <f>AND(Ischemia_25percent_output_edgel!B1836,"AAAAAF97+4M=")</f>
        <v>#VALUE!</v>
      </c>
      <c r="EC22">
        <f>IF(Ischemia_25percent_output_edgel!1837:1837,"AAAAAF97+4Q=",0)</f>
        <v>0</v>
      </c>
      <c r="ED22" t="e">
        <f>AND(Ischemia_25percent_output_edgel!A1837,"AAAAAF97+4U=")</f>
        <v>#VALUE!</v>
      </c>
      <c r="EE22" t="e">
        <f>AND(Ischemia_25percent_output_edgel!B1837,"AAAAAF97+4Y=")</f>
        <v>#VALUE!</v>
      </c>
      <c r="EF22">
        <f>IF(Ischemia_25percent_output_edgel!1838:1838,"AAAAAF97+4c=",0)</f>
        <v>0</v>
      </c>
      <c r="EG22" t="e">
        <f>AND(Ischemia_25percent_output_edgel!A1838,"AAAAAF97+4g=")</f>
        <v>#VALUE!</v>
      </c>
      <c r="EH22" t="e">
        <f>AND(Ischemia_25percent_output_edgel!B1838,"AAAAAF97+4k=")</f>
        <v>#VALUE!</v>
      </c>
      <c r="EI22">
        <f>IF(Ischemia_25percent_output_edgel!1839:1839,"AAAAAF97+4o=",0)</f>
        <v>0</v>
      </c>
      <c r="EJ22" t="e">
        <f>AND(Ischemia_25percent_output_edgel!A1839,"AAAAAF97+4s=")</f>
        <v>#VALUE!</v>
      </c>
      <c r="EK22" t="e">
        <f>AND(Ischemia_25percent_output_edgel!B1839,"AAAAAF97+4w=")</f>
        <v>#VALUE!</v>
      </c>
      <c r="EL22">
        <f>IF(Ischemia_25percent_output_edgel!1840:1840,"AAAAAF97+40=",0)</f>
        <v>0</v>
      </c>
      <c r="EM22" t="e">
        <f>AND(Ischemia_25percent_output_edgel!A1840,"AAAAAF97+44=")</f>
        <v>#VALUE!</v>
      </c>
      <c r="EN22" t="e">
        <f>AND(Ischemia_25percent_output_edgel!B1840,"AAAAAF97+48=")</f>
        <v>#VALUE!</v>
      </c>
      <c r="EO22">
        <f>IF(Ischemia_25percent_output_edgel!1841:1841,"AAAAAF97+5A=",0)</f>
        <v>0</v>
      </c>
      <c r="EP22" t="e">
        <f>AND(Ischemia_25percent_output_edgel!A1841,"AAAAAF97+5E=")</f>
        <v>#VALUE!</v>
      </c>
      <c r="EQ22" t="e">
        <f>AND(Ischemia_25percent_output_edgel!B1841,"AAAAAF97+5I=")</f>
        <v>#VALUE!</v>
      </c>
      <c r="ER22">
        <f>IF(Ischemia_25percent_output_edgel!1842:1842,"AAAAAF97+5M=",0)</f>
        <v>0</v>
      </c>
      <c r="ES22" t="e">
        <f>AND(Ischemia_25percent_output_edgel!A1842,"AAAAAF97+5Q=")</f>
        <v>#VALUE!</v>
      </c>
      <c r="ET22" t="e">
        <f>AND(Ischemia_25percent_output_edgel!B1842,"AAAAAF97+5U=")</f>
        <v>#VALUE!</v>
      </c>
      <c r="EU22">
        <f>IF(Ischemia_25percent_output_edgel!1843:1843,"AAAAAF97+5Y=",0)</f>
        <v>0</v>
      </c>
      <c r="EV22" t="e">
        <f>AND(Ischemia_25percent_output_edgel!A1843,"AAAAAF97+5c=")</f>
        <v>#VALUE!</v>
      </c>
      <c r="EW22" t="e">
        <f>AND(Ischemia_25percent_output_edgel!B1843,"AAAAAF97+5g=")</f>
        <v>#VALUE!</v>
      </c>
      <c r="EX22">
        <f>IF(Ischemia_25percent_output_edgel!1844:1844,"AAAAAF97+5k=",0)</f>
        <v>0</v>
      </c>
      <c r="EY22" t="e">
        <f>AND(Ischemia_25percent_output_edgel!A1844,"AAAAAF97+5o=")</f>
        <v>#VALUE!</v>
      </c>
      <c r="EZ22" t="e">
        <f>AND(Ischemia_25percent_output_edgel!B1844,"AAAAAF97+5s=")</f>
        <v>#VALUE!</v>
      </c>
      <c r="FA22">
        <f>IF(Ischemia_25percent_output_edgel!1845:1845,"AAAAAF97+5w=",0)</f>
        <v>0</v>
      </c>
      <c r="FB22" t="e">
        <f>AND(Ischemia_25percent_output_edgel!A1845,"AAAAAF97+50=")</f>
        <v>#VALUE!</v>
      </c>
      <c r="FC22" t="e">
        <f>AND(Ischemia_25percent_output_edgel!B1845,"AAAAAF97+54=")</f>
        <v>#VALUE!</v>
      </c>
      <c r="FD22">
        <f>IF(Ischemia_25percent_output_edgel!1846:1846,"AAAAAF97+58=",0)</f>
        <v>0</v>
      </c>
      <c r="FE22" t="e">
        <f>AND(Ischemia_25percent_output_edgel!A1846,"AAAAAF97+6A=")</f>
        <v>#VALUE!</v>
      </c>
      <c r="FF22" t="e">
        <f>AND(Ischemia_25percent_output_edgel!B1846,"AAAAAF97+6E=")</f>
        <v>#VALUE!</v>
      </c>
      <c r="FG22">
        <f>IF(Ischemia_25percent_output_edgel!1847:1847,"AAAAAF97+6I=",0)</f>
        <v>0</v>
      </c>
      <c r="FH22" t="e">
        <f>AND(Ischemia_25percent_output_edgel!A1847,"AAAAAF97+6M=")</f>
        <v>#VALUE!</v>
      </c>
      <c r="FI22" t="e">
        <f>AND(Ischemia_25percent_output_edgel!B1847,"AAAAAF97+6Q=")</f>
        <v>#VALUE!</v>
      </c>
      <c r="FJ22">
        <f>IF(Ischemia_25percent_output_edgel!1848:1848,"AAAAAF97+6U=",0)</f>
        <v>0</v>
      </c>
      <c r="FK22" t="e">
        <f>AND(Ischemia_25percent_output_edgel!A1848,"AAAAAF97+6Y=")</f>
        <v>#VALUE!</v>
      </c>
      <c r="FL22" t="e">
        <f>AND(Ischemia_25percent_output_edgel!B1848,"AAAAAF97+6c=")</f>
        <v>#VALUE!</v>
      </c>
      <c r="FM22">
        <f>IF(Ischemia_25percent_output_edgel!1849:1849,"AAAAAF97+6g=",0)</f>
        <v>0</v>
      </c>
      <c r="FN22" t="e">
        <f>AND(Ischemia_25percent_output_edgel!A1849,"AAAAAF97+6k=")</f>
        <v>#VALUE!</v>
      </c>
      <c r="FO22" t="e">
        <f>AND(Ischemia_25percent_output_edgel!B1849,"AAAAAF97+6o=")</f>
        <v>#VALUE!</v>
      </c>
      <c r="FP22">
        <f>IF(Ischemia_25percent_output_edgel!1850:1850,"AAAAAF97+6s=",0)</f>
        <v>0</v>
      </c>
      <c r="FQ22" t="e">
        <f>AND(Ischemia_25percent_output_edgel!A1850,"AAAAAF97+6w=")</f>
        <v>#VALUE!</v>
      </c>
      <c r="FR22" t="e">
        <f>AND(Ischemia_25percent_output_edgel!B1850,"AAAAAF97+60=")</f>
        <v>#VALUE!</v>
      </c>
      <c r="FS22">
        <f>IF(Ischemia_25percent_output_edgel!1851:1851,"AAAAAF97+64=",0)</f>
        <v>0</v>
      </c>
      <c r="FT22" t="e">
        <f>AND(Ischemia_25percent_output_edgel!A1851,"AAAAAF97+68=")</f>
        <v>#VALUE!</v>
      </c>
      <c r="FU22" t="e">
        <f>AND(Ischemia_25percent_output_edgel!B1851,"AAAAAF97+7A=")</f>
        <v>#VALUE!</v>
      </c>
      <c r="FV22">
        <f>IF(Ischemia_25percent_output_edgel!1852:1852,"AAAAAF97+7E=",0)</f>
        <v>0</v>
      </c>
      <c r="FW22" t="e">
        <f>AND(Ischemia_25percent_output_edgel!A1852,"AAAAAF97+7I=")</f>
        <v>#VALUE!</v>
      </c>
      <c r="FX22" t="e">
        <f>AND(Ischemia_25percent_output_edgel!B1852,"AAAAAF97+7M=")</f>
        <v>#VALUE!</v>
      </c>
      <c r="FY22">
        <f>IF(Ischemia_25percent_output_edgel!1853:1853,"AAAAAF97+7Q=",0)</f>
        <v>0</v>
      </c>
      <c r="FZ22" t="e">
        <f>AND(Ischemia_25percent_output_edgel!A1853,"AAAAAF97+7U=")</f>
        <v>#VALUE!</v>
      </c>
      <c r="GA22" t="e">
        <f>AND(Ischemia_25percent_output_edgel!B1853,"AAAAAF97+7Y=")</f>
        <v>#VALUE!</v>
      </c>
      <c r="GB22">
        <f>IF(Ischemia_25percent_output_edgel!1854:1854,"AAAAAF97+7c=",0)</f>
        <v>0</v>
      </c>
      <c r="GC22" t="e">
        <f>AND(Ischemia_25percent_output_edgel!A1854,"AAAAAF97+7g=")</f>
        <v>#VALUE!</v>
      </c>
      <c r="GD22" t="e">
        <f>AND(Ischemia_25percent_output_edgel!B1854,"AAAAAF97+7k=")</f>
        <v>#VALUE!</v>
      </c>
      <c r="GE22">
        <f>IF(Ischemia_25percent_output_edgel!1855:1855,"AAAAAF97+7o=",0)</f>
        <v>0</v>
      </c>
      <c r="GF22" t="e">
        <f>AND(Ischemia_25percent_output_edgel!A1855,"AAAAAF97+7s=")</f>
        <v>#VALUE!</v>
      </c>
      <c r="GG22" t="e">
        <f>AND(Ischemia_25percent_output_edgel!B1855,"AAAAAF97+7w=")</f>
        <v>#VALUE!</v>
      </c>
      <c r="GH22">
        <f>IF(Ischemia_25percent_output_edgel!1856:1856,"AAAAAF97+70=",0)</f>
        <v>0</v>
      </c>
      <c r="GI22" t="e">
        <f>AND(Ischemia_25percent_output_edgel!A1856,"AAAAAF97+74=")</f>
        <v>#VALUE!</v>
      </c>
      <c r="GJ22" t="e">
        <f>AND(Ischemia_25percent_output_edgel!B1856,"AAAAAF97+78=")</f>
        <v>#VALUE!</v>
      </c>
      <c r="GK22">
        <f>IF(Ischemia_25percent_output_edgel!1857:1857,"AAAAAF97+8A=",0)</f>
        <v>0</v>
      </c>
      <c r="GL22" t="e">
        <f>AND(Ischemia_25percent_output_edgel!A1857,"AAAAAF97+8E=")</f>
        <v>#VALUE!</v>
      </c>
      <c r="GM22" t="e">
        <f>AND(Ischemia_25percent_output_edgel!B1857,"AAAAAF97+8I=")</f>
        <v>#VALUE!</v>
      </c>
      <c r="GN22">
        <f>IF(Ischemia_25percent_output_edgel!1858:1858,"AAAAAF97+8M=",0)</f>
        <v>0</v>
      </c>
      <c r="GO22" t="e">
        <f>AND(Ischemia_25percent_output_edgel!A1858,"AAAAAF97+8Q=")</f>
        <v>#VALUE!</v>
      </c>
      <c r="GP22" t="e">
        <f>AND(Ischemia_25percent_output_edgel!B1858,"AAAAAF97+8U=")</f>
        <v>#VALUE!</v>
      </c>
      <c r="GQ22">
        <f>IF(Ischemia_25percent_output_edgel!1859:1859,"AAAAAF97+8Y=",0)</f>
        <v>0</v>
      </c>
      <c r="GR22" t="e">
        <f>AND(Ischemia_25percent_output_edgel!A1859,"AAAAAF97+8c=")</f>
        <v>#VALUE!</v>
      </c>
      <c r="GS22" t="e">
        <f>AND(Ischemia_25percent_output_edgel!B1859,"AAAAAF97+8g=")</f>
        <v>#VALUE!</v>
      </c>
      <c r="GT22">
        <f>IF(Ischemia_25percent_output_edgel!1860:1860,"AAAAAF97+8k=",0)</f>
        <v>0</v>
      </c>
      <c r="GU22" t="e">
        <f>AND(Ischemia_25percent_output_edgel!A1860,"AAAAAF97+8o=")</f>
        <v>#VALUE!</v>
      </c>
      <c r="GV22" t="e">
        <f>AND(Ischemia_25percent_output_edgel!B1860,"AAAAAF97+8s=")</f>
        <v>#VALUE!</v>
      </c>
      <c r="GW22">
        <f>IF(Ischemia_25percent_output_edgel!1861:1861,"AAAAAF97+8w=",0)</f>
        <v>0</v>
      </c>
      <c r="GX22" t="e">
        <f>AND(Ischemia_25percent_output_edgel!A1861,"AAAAAF97+80=")</f>
        <v>#VALUE!</v>
      </c>
      <c r="GY22" t="e">
        <f>AND(Ischemia_25percent_output_edgel!B1861,"AAAAAF97+84=")</f>
        <v>#VALUE!</v>
      </c>
      <c r="GZ22">
        <f>IF(Ischemia_25percent_output_edgel!1862:1862,"AAAAAF97+88=",0)</f>
        <v>0</v>
      </c>
      <c r="HA22" t="e">
        <f>AND(Ischemia_25percent_output_edgel!A1862,"AAAAAF97+9A=")</f>
        <v>#VALUE!</v>
      </c>
      <c r="HB22" t="e">
        <f>AND(Ischemia_25percent_output_edgel!B1862,"AAAAAF97+9E=")</f>
        <v>#VALUE!</v>
      </c>
      <c r="HC22">
        <f>IF(Ischemia_25percent_output_edgel!1863:1863,"AAAAAF97+9I=",0)</f>
        <v>0</v>
      </c>
      <c r="HD22" t="e">
        <f>AND(Ischemia_25percent_output_edgel!A1863,"AAAAAF97+9M=")</f>
        <v>#VALUE!</v>
      </c>
      <c r="HE22" t="e">
        <f>AND(Ischemia_25percent_output_edgel!B1863,"AAAAAF97+9Q=")</f>
        <v>#VALUE!</v>
      </c>
      <c r="HF22">
        <f>IF(Ischemia_25percent_output_edgel!1864:1864,"AAAAAF97+9U=",0)</f>
        <v>0</v>
      </c>
      <c r="HG22" t="e">
        <f>AND(Ischemia_25percent_output_edgel!A1864,"AAAAAF97+9Y=")</f>
        <v>#VALUE!</v>
      </c>
      <c r="HH22" t="e">
        <f>AND(Ischemia_25percent_output_edgel!B1864,"AAAAAF97+9c=")</f>
        <v>#VALUE!</v>
      </c>
      <c r="HI22">
        <f>IF(Ischemia_25percent_output_edgel!1865:1865,"AAAAAF97+9g=",0)</f>
        <v>0</v>
      </c>
      <c r="HJ22" t="e">
        <f>AND(Ischemia_25percent_output_edgel!A1865,"AAAAAF97+9k=")</f>
        <v>#VALUE!</v>
      </c>
      <c r="HK22" t="e">
        <f>AND(Ischemia_25percent_output_edgel!B1865,"AAAAAF97+9o=")</f>
        <v>#VALUE!</v>
      </c>
      <c r="HL22">
        <f>IF(Ischemia_25percent_output_edgel!1866:1866,"AAAAAF97+9s=",0)</f>
        <v>0</v>
      </c>
      <c r="HM22" t="e">
        <f>AND(Ischemia_25percent_output_edgel!A1866,"AAAAAF97+9w=")</f>
        <v>#VALUE!</v>
      </c>
      <c r="HN22" t="e">
        <f>AND(Ischemia_25percent_output_edgel!B1866,"AAAAAF97+90=")</f>
        <v>#VALUE!</v>
      </c>
      <c r="HO22">
        <f>IF(Ischemia_25percent_output_edgel!1867:1867,"AAAAAF97+94=",0)</f>
        <v>0</v>
      </c>
      <c r="HP22" t="e">
        <f>AND(Ischemia_25percent_output_edgel!A1867,"AAAAAF97+98=")</f>
        <v>#VALUE!</v>
      </c>
      <c r="HQ22" t="e">
        <f>AND(Ischemia_25percent_output_edgel!B1867,"AAAAAF97++A=")</f>
        <v>#VALUE!</v>
      </c>
      <c r="HR22">
        <f>IF(Ischemia_25percent_output_edgel!1868:1868,"AAAAAF97++E=",0)</f>
        <v>0</v>
      </c>
      <c r="HS22" t="e">
        <f>AND(Ischemia_25percent_output_edgel!A1868,"AAAAAF97++I=")</f>
        <v>#VALUE!</v>
      </c>
      <c r="HT22" t="e">
        <f>AND(Ischemia_25percent_output_edgel!B1868,"AAAAAF97++M=")</f>
        <v>#VALUE!</v>
      </c>
      <c r="HU22">
        <f>IF(Ischemia_25percent_output_edgel!1869:1869,"AAAAAF97++Q=",0)</f>
        <v>0</v>
      </c>
      <c r="HV22" t="e">
        <f>AND(Ischemia_25percent_output_edgel!A1869,"AAAAAF97++U=")</f>
        <v>#VALUE!</v>
      </c>
      <c r="HW22" t="e">
        <f>AND(Ischemia_25percent_output_edgel!B1869,"AAAAAF97++Y=")</f>
        <v>#VALUE!</v>
      </c>
      <c r="HX22">
        <f>IF(Ischemia_25percent_output_edgel!1870:1870,"AAAAAF97++c=",0)</f>
        <v>0</v>
      </c>
      <c r="HY22" t="e">
        <f>AND(Ischemia_25percent_output_edgel!A1870,"AAAAAF97++g=")</f>
        <v>#VALUE!</v>
      </c>
      <c r="HZ22" t="e">
        <f>AND(Ischemia_25percent_output_edgel!B1870,"AAAAAF97++k=")</f>
        <v>#VALUE!</v>
      </c>
      <c r="IA22">
        <f>IF(Ischemia_25percent_output_edgel!1871:1871,"AAAAAF97++o=",0)</f>
        <v>0</v>
      </c>
      <c r="IB22" t="e">
        <f>AND(Ischemia_25percent_output_edgel!A1871,"AAAAAF97++s=")</f>
        <v>#VALUE!</v>
      </c>
      <c r="IC22" t="e">
        <f>AND(Ischemia_25percent_output_edgel!B1871,"AAAAAF97++w=")</f>
        <v>#VALUE!</v>
      </c>
      <c r="ID22">
        <f>IF(Ischemia_25percent_output_edgel!1872:1872,"AAAAAF97++0=",0)</f>
        <v>0</v>
      </c>
      <c r="IE22" t="e">
        <f>AND(Ischemia_25percent_output_edgel!A1872,"AAAAAF97++4=")</f>
        <v>#VALUE!</v>
      </c>
      <c r="IF22" t="e">
        <f>AND(Ischemia_25percent_output_edgel!B1872,"AAAAAF97++8=")</f>
        <v>#VALUE!</v>
      </c>
      <c r="IG22">
        <f>IF(Ischemia_25percent_output_edgel!1873:1873,"AAAAAF97+/A=",0)</f>
        <v>0</v>
      </c>
      <c r="IH22" t="e">
        <f>AND(Ischemia_25percent_output_edgel!A1873,"AAAAAF97+/E=")</f>
        <v>#VALUE!</v>
      </c>
      <c r="II22" t="e">
        <f>AND(Ischemia_25percent_output_edgel!B1873,"AAAAAF97+/I=")</f>
        <v>#VALUE!</v>
      </c>
      <c r="IJ22">
        <f>IF(Ischemia_25percent_output_edgel!1874:1874,"AAAAAF97+/M=",0)</f>
        <v>0</v>
      </c>
      <c r="IK22" t="e">
        <f>AND(Ischemia_25percent_output_edgel!A1874,"AAAAAF97+/Q=")</f>
        <v>#VALUE!</v>
      </c>
      <c r="IL22" t="e">
        <f>AND(Ischemia_25percent_output_edgel!B1874,"AAAAAF97+/U=")</f>
        <v>#VALUE!</v>
      </c>
      <c r="IM22">
        <f>IF(Ischemia_25percent_output_edgel!1875:1875,"AAAAAF97+/Y=",0)</f>
        <v>0</v>
      </c>
      <c r="IN22" t="e">
        <f>AND(Ischemia_25percent_output_edgel!A1875,"AAAAAF97+/c=")</f>
        <v>#VALUE!</v>
      </c>
      <c r="IO22" t="e">
        <f>AND(Ischemia_25percent_output_edgel!B1875,"AAAAAF97+/g=")</f>
        <v>#VALUE!</v>
      </c>
      <c r="IP22">
        <f>IF(Ischemia_25percent_output_edgel!1876:1876,"AAAAAF97+/k=",0)</f>
        <v>0</v>
      </c>
      <c r="IQ22" t="e">
        <f>AND(Ischemia_25percent_output_edgel!A1876,"AAAAAF97+/o=")</f>
        <v>#VALUE!</v>
      </c>
      <c r="IR22" t="e">
        <f>AND(Ischemia_25percent_output_edgel!B1876,"AAAAAF97+/s=")</f>
        <v>#VALUE!</v>
      </c>
      <c r="IS22">
        <f>IF(Ischemia_25percent_output_edgel!1877:1877,"AAAAAF97+/w=",0)</f>
        <v>0</v>
      </c>
      <c r="IT22" t="e">
        <f>AND(Ischemia_25percent_output_edgel!A1877,"AAAAAF97+/0=")</f>
        <v>#VALUE!</v>
      </c>
      <c r="IU22" t="e">
        <f>AND(Ischemia_25percent_output_edgel!B1877,"AAAAAF97+/4=")</f>
        <v>#VALUE!</v>
      </c>
      <c r="IV22">
        <f>IF(Ischemia_25percent_output_edgel!1878:1878,"AAAAAF97+/8=",0)</f>
        <v>0</v>
      </c>
    </row>
    <row r="23" spans="1:256">
      <c r="A23" t="e">
        <f>AND(Ischemia_25percent_output_edgel!A1878,"AAAAAGd/vwA=")</f>
        <v>#VALUE!</v>
      </c>
      <c r="B23" t="e">
        <f>AND(Ischemia_25percent_output_edgel!B1878,"AAAAAGd/vwE=")</f>
        <v>#VALUE!</v>
      </c>
      <c r="C23">
        <f>IF(Ischemia_25percent_output_edgel!1879:1879,"AAAAAGd/vwI=",0)</f>
        <v>0</v>
      </c>
      <c r="D23" t="e">
        <f>AND(Ischemia_25percent_output_edgel!A1879,"AAAAAGd/vwM=")</f>
        <v>#VALUE!</v>
      </c>
      <c r="E23" t="e">
        <f>AND(Ischemia_25percent_output_edgel!B1879,"AAAAAGd/vwQ=")</f>
        <v>#VALUE!</v>
      </c>
      <c r="F23">
        <f>IF(Ischemia_25percent_output_edgel!1880:1880,"AAAAAGd/vwU=",0)</f>
        <v>0</v>
      </c>
      <c r="G23" t="e">
        <f>AND(Ischemia_25percent_output_edgel!A1880,"AAAAAGd/vwY=")</f>
        <v>#VALUE!</v>
      </c>
      <c r="H23" t="e">
        <f>AND(Ischemia_25percent_output_edgel!B1880,"AAAAAGd/vwc=")</f>
        <v>#VALUE!</v>
      </c>
      <c r="I23">
        <f>IF(Ischemia_25percent_output_edgel!1881:1881,"AAAAAGd/vwg=",0)</f>
        <v>0</v>
      </c>
      <c r="J23" t="e">
        <f>AND(Ischemia_25percent_output_edgel!A1881,"AAAAAGd/vwk=")</f>
        <v>#VALUE!</v>
      </c>
      <c r="K23" t="e">
        <f>AND(Ischemia_25percent_output_edgel!B1881,"AAAAAGd/vwo=")</f>
        <v>#VALUE!</v>
      </c>
      <c r="L23">
        <f>IF(Ischemia_25percent_output_edgel!1882:1882,"AAAAAGd/vws=",0)</f>
        <v>0</v>
      </c>
      <c r="M23" t="e">
        <f>AND(Ischemia_25percent_output_edgel!A1882,"AAAAAGd/vww=")</f>
        <v>#VALUE!</v>
      </c>
      <c r="N23" t="e">
        <f>AND(Ischemia_25percent_output_edgel!B1882,"AAAAAGd/vw0=")</f>
        <v>#VALUE!</v>
      </c>
      <c r="O23">
        <f>IF(Ischemia_25percent_output_edgel!1883:1883,"AAAAAGd/vw4=",0)</f>
        <v>0</v>
      </c>
      <c r="P23" t="e">
        <f>AND(Ischemia_25percent_output_edgel!A1883,"AAAAAGd/vw8=")</f>
        <v>#VALUE!</v>
      </c>
      <c r="Q23" t="e">
        <f>AND(Ischemia_25percent_output_edgel!B1883,"AAAAAGd/vxA=")</f>
        <v>#VALUE!</v>
      </c>
      <c r="R23">
        <f>IF(Ischemia_25percent_output_edgel!1884:1884,"AAAAAGd/vxE=",0)</f>
        <v>0</v>
      </c>
      <c r="S23" t="e">
        <f>AND(Ischemia_25percent_output_edgel!A1884,"AAAAAGd/vxI=")</f>
        <v>#VALUE!</v>
      </c>
      <c r="T23" t="e">
        <f>AND(Ischemia_25percent_output_edgel!B1884,"AAAAAGd/vxM=")</f>
        <v>#VALUE!</v>
      </c>
      <c r="U23">
        <f>IF(Ischemia_25percent_output_edgel!1885:1885,"AAAAAGd/vxQ=",0)</f>
        <v>0</v>
      </c>
      <c r="V23" t="e">
        <f>AND(Ischemia_25percent_output_edgel!A1885,"AAAAAGd/vxU=")</f>
        <v>#VALUE!</v>
      </c>
      <c r="W23" t="e">
        <f>AND(Ischemia_25percent_output_edgel!B1885,"AAAAAGd/vxY=")</f>
        <v>#VALUE!</v>
      </c>
      <c r="X23">
        <f>IF(Ischemia_25percent_output_edgel!1886:1886,"AAAAAGd/vxc=",0)</f>
        <v>0</v>
      </c>
      <c r="Y23" t="e">
        <f>AND(Ischemia_25percent_output_edgel!A1886,"AAAAAGd/vxg=")</f>
        <v>#VALUE!</v>
      </c>
      <c r="Z23" t="e">
        <f>AND(Ischemia_25percent_output_edgel!B1886,"AAAAAGd/vxk=")</f>
        <v>#VALUE!</v>
      </c>
      <c r="AA23">
        <f>IF(Ischemia_25percent_output_edgel!1887:1887,"AAAAAGd/vxo=",0)</f>
        <v>0</v>
      </c>
      <c r="AB23" t="e">
        <f>AND(Ischemia_25percent_output_edgel!A1887,"AAAAAGd/vxs=")</f>
        <v>#VALUE!</v>
      </c>
      <c r="AC23" t="e">
        <f>AND(Ischemia_25percent_output_edgel!B1887,"AAAAAGd/vxw=")</f>
        <v>#VALUE!</v>
      </c>
      <c r="AD23">
        <f>IF(Ischemia_25percent_output_edgel!1888:1888,"AAAAAGd/vx0=",0)</f>
        <v>0</v>
      </c>
      <c r="AE23" t="e">
        <f>AND(Ischemia_25percent_output_edgel!A1888,"AAAAAGd/vx4=")</f>
        <v>#VALUE!</v>
      </c>
      <c r="AF23" t="e">
        <f>AND(Ischemia_25percent_output_edgel!B1888,"AAAAAGd/vx8=")</f>
        <v>#VALUE!</v>
      </c>
      <c r="AG23">
        <f>IF(Ischemia_25percent_output_edgel!1889:1889,"AAAAAGd/vyA=",0)</f>
        <v>0</v>
      </c>
      <c r="AH23" t="e">
        <f>AND(Ischemia_25percent_output_edgel!A1889,"AAAAAGd/vyE=")</f>
        <v>#VALUE!</v>
      </c>
      <c r="AI23" t="e">
        <f>AND(Ischemia_25percent_output_edgel!B1889,"AAAAAGd/vyI=")</f>
        <v>#VALUE!</v>
      </c>
      <c r="AJ23">
        <f>IF(Ischemia_25percent_output_edgel!1890:1890,"AAAAAGd/vyM=",0)</f>
        <v>0</v>
      </c>
      <c r="AK23" t="e">
        <f>AND(Ischemia_25percent_output_edgel!A1890,"AAAAAGd/vyQ=")</f>
        <v>#VALUE!</v>
      </c>
      <c r="AL23" t="e">
        <f>AND(Ischemia_25percent_output_edgel!B1890,"AAAAAGd/vyU=")</f>
        <v>#VALUE!</v>
      </c>
      <c r="AM23">
        <f>IF(Ischemia_25percent_output_edgel!1891:1891,"AAAAAGd/vyY=",0)</f>
        <v>0</v>
      </c>
      <c r="AN23" t="e">
        <f>AND(Ischemia_25percent_output_edgel!A1891,"AAAAAGd/vyc=")</f>
        <v>#VALUE!</v>
      </c>
      <c r="AO23" t="e">
        <f>AND(Ischemia_25percent_output_edgel!B1891,"AAAAAGd/vyg=")</f>
        <v>#VALUE!</v>
      </c>
      <c r="AP23">
        <f>IF(Ischemia_25percent_output_edgel!1892:1892,"AAAAAGd/vyk=",0)</f>
        <v>0</v>
      </c>
      <c r="AQ23" t="e">
        <f>AND(Ischemia_25percent_output_edgel!A1892,"AAAAAGd/vyo=")</f>
        <v>#VALUE!</v>
      </c>
      <c r="AR23" t="e">
        <f>AND(Ischemia_25percent_output_edgel!B1892,"AAAAAGd/vys=")</f>
        <v>#VALUE!</v>
      </c>
      <c r="AS23">
        <f>IF(Ischemia_25percent_output_edgel!1893:1893,"AAAAAGd/vyw=",0)</f>
        <v>0</v>
      </c>
      <c r="AT23" t="e">
        <f>AND(Ischemia_25percent_output_edgel!A1893,"AAAAAGd/vy0=")</f>
        <v>#VALUE!</v>
      </c>
      <c r="AU23" t="e">
        <f>AND(Ischemia_25percent_output_edgel!B1893,"AAAAAGd/vy4=")</f>
        <v>#VALUE!</v>
      </c>
      <c r="AV23">
        <f>IF(Ischemia_25percent_output_edgel!1894:1894,"AAAAAGd/vy8=",0)</f>
        <v>0</v>
      </c>
      <c r="AW23" t="e">
        <f>AND(Ischemia_25percent_output_edgel!A1894,"AAAAAGd/vzA=")</f>
        <v>#VALUE!</v>
      </c>
      <c r="AX23" t="e">
        <f>AND(Ischemia_25percent_output_edgel!B1894,"AAAAAGd/vzE=")</f>
        <v>#VALUE!</v>
      </c>
      <c r="AY23">
        <f>IF(Ischemia_25percent_output_edgel!1895:1895,"AAAAAGd/vzI=",0)</f>
        <v>0</v>
      </c>
      <c r="AZ23" t="e">
        <f>AND(Ischemia_25percent_output_edgel!A1895,"AAAAAGd/vzM=")</f>
        <v>#VALUE!</v>
      </c>
      <c r="BA23" t="e">
        <f>AND(Ischemia_25percent_output_edgel!B1895,"AAAAAGd/vzQ=")</f>
        <v>#VALUE!</v>
      </c>
      <c r="BB23">
        <f>IF(Ischemia_25percent_output_edgel!1896:1896,"AAAAAGd/vzU=",0)</f>
        <v>0</v>
      </c>
      <c r="BC23" t="e">
        <f>AND(Ischemia_25percent_output_edgel!A1896,"AAAAAGd/vzY=")</f>
        <v>#VALUE!</v>
      </c>
      <c r="BD23" t="e">
        <f>AND(Ischemia_25percent_output_edgel!B1896,"AAAAAGd/vzc=")</f>
        <v>#VALUE!</v>
      </c>
      <c r="BE23">
        <f>IF(Ischemia_25percent_output_edgel!1897:1897,"AAAAAGd/vzg=",0)</f>
        <v>0</v>
      </c>
      <c r="BF23" t="e">
        <f>AND(Ischemia_25percent_output_edgel!A1897,"AAAAAGd/vzk=")</f>
        <v>#VALUE!</v>
      </c>
      <c r="BG23" t="e">
        <f>AND(Ischemia_25percent_output_edgel!B1897,"AAAAAGd/vzo=")</f>
        <v>#VALUE!</v>
      </c>
      <c r="BH23">
        <f>IF(Ischemia_25percent_output_edgel!1898:1898,"AAAAAGd/vzs=",0)</f>
        <v>0</v>
      </c>
      <c r="BI23" t="e">
        <f>AND(Ischemia_25percent_output_edgel!A1898,"AAAAAGd/vzw=")</f>
        <v>#VALUE!</v>
      </c>
      <c r="BJ23" t="e">
        <f>AND(Ischemia_25percent_output_edgel!B1898,"AAAAAGd/vz0=")</f>
        <v>#VALUE!</v>
      </c>
      <c r="BK23">
        <f>IF(Ischemia_25percent_output_edgel!1899:1899,"AAAAAGd/vz4=",0)</f>
        <v>0</v>
      </c>
      <c r="BL23" t="e">
        <f>AND(Ischemia_25percent_output_edgel!A1899,"AAAAAGd/vz8=")</f>
        <v>#VALUE!</v>
      </c>
      <c r="BM23" t="e">
        <f>AND(Ischemia_25percent_output_edgel!B1899,"AAAAAGd/v0A=")</f>
        <v>#VALUE!</v>
      </c>
      <c r="BN23">
        <f>IF(Ischemia_25percent_output_edgel!1900:1900,"AAAAAGd/v0E=",0)</f>
        <v>0</v>
      </c>
      <c r="BO23" t="e">
        <f>AND(Ischemia_25percent_output_edgel!A1900,"AAAAAGd/v0I=")</f>
        <v>#VALUE!</v>
      </c>
      <c r="BP23" t="e">
        <f>AND(Ischemia_25percent_output_edgel!B1900,"AAAAAGd/v0M=")</f>
        <v>#VALUE!</v>
      </c>
      <c r="BQ23">
        <f>IF(Ischemia_25percent_output_edgel!1901:1901,"AAAAAGd/v0Q=",0)</f>
        <v>0</v>
      </c>
      <c r="BR23" t="e">
        <f>AND(Ischemia_25percent_output_edgel!A1901,"AAAAAGd/v0U=")</f>
        <v>#VALUE!</v>
      </c>
      <c r="BS23" t="e">
        <f>AND(Ischemia_25percent_output_edgel!B1901,"AAAAAGd/v0Y=")</f>
        <v>#VALUE!</v>
      </c>
      <c r="BT23">
        <f>IF(Ischemia_25percent_output_edgel!1902:1902,"AAAAAGd/v0c=",0)</f>
        <v>0</v>
      </c>
      <c r="BU23" t="e">
        <f>AND(Ischemia_25percent_output_edgel!A1902,"AAAAAGd/v0g=")</f>
        <v>#VALUE!</v>
      </c>
      <c r="BV23" t="e">
        <f>AND(Ischemia_25percent_output_edgel!B1902,"AAAAAGd/v0k=")</f>
        <v>#VALUE!</v>
      </c>
      <c r="BW23">
        <f>IF(Ischemia_25percent_output_edgel!1903:1903,"AAAAAGd/v0o=",0)</f>
        <v>0</v>
      </c>
      <c r="BX23" t="e">
        <f>AND(Ischemia_25percent_output_edgel!A1903,"AAAAAGd/v0s=")</f>
        <v>#VALUE!</v>
      </c>
      <c r="BY23" t="e">
        <f>AND(Ischemia_25percent_output_edgel!B1903,"AAAAAGd/v0w=")</f>
        <v>#VALUE!</v>
      </c>
      <c r="BZ23">
        <f>IF(Ischemia_25percent_output_edgel!1904:1904,"AAAAAGd/v00=",0)</f>
        <v>0</v>
      </c>
      <c r="CA23" t="e">
        <f>AND(Ischemia_25percent_output_edgel!A1904,"AAAAAGd/v04=")</f>
        <v>#VALUE!</v>
      </c>
      <c r="CB23" t="e">
        <f>AND(Ischemia_25percent_output_edgel!B1904,"AAAAAGd/v08=")</f>
        <v>#VALUE!</v>
      </c>
      <c r="CC23">
        <f>IF(Ischemia_25percent_output_edgel!1905:1905,"AAAAAGd/v1A=",0)</f>
        <v>0</v>
      </c>
      <c r="CD23" t="e">
        <f>AND(Ischemia_25percent_output_edgel!A1905,"AAAAAGd/v1E=")</f>
        <v>#VALUE!</v>
      </c>
      <c r="CE23" t="e">
        <f>AND(Ischemia_25percent_output_edgel!B1905,"AAAAAGd/v1I=")</f>
        <v>#VALUE!</v>
      </c>
      <c r="CF23">
        <f>IF(Ischemia_25percent_output_edgel!1906:1906,"AAAAAGd/v1M=",0)</f>
        <v>0</v>
      </c>
      <c r="CG23" t="e">
        <f>AND(Ischemia_25percent_output_edgel!A1906,"AAAAAGd/v1Q=")</f>
        <v>#VALUE!</v>
      </c>
      <c r="CH23" t="e">
        <f>AND(Ischemia_25percent_output_edgel!B1906,"AAAAAGd/v1U=")</f>
        <v>#VALUE!</v>
      </c>
      <c r="CI23">
        <f>IF(Ischemia_25percent_output_edgel!1907:1907,"AAAAAGd/v1Y=",0)</f>
        <v>0</v>
      </c>
      <c r="CJ23" t="e">
        <f>AND(Ischemia_25percent_output_edgel!A1907,"AAAAAGd/v1c=")</f>
        <v>#VALUE!</v>
      </c>
      <c r="CK23" t="e">
        <f>AND(Ischemia_25percent_output_edgel!B1907,"AAAAAGd/v1g=")</f>
        <v>#VALUE!</v>
      </c>
      <c r="CL23">
        <f>IF(Ischemia_25percent_output_edgel!1908:1908,"AAAAAGd/v1k=",0)</f>
        <v>0</v>
      </c>
      <c r="CM23" t="e">
        <f>AND(Ischemia_25percent_output_edgel!A1908,"AAAAAGd/v1o=")</f>
        <v>#VALUE!</v>
      </c>
      <c r="CN23" t="e">
        <f>AND(Ischemia_25percent_output_edgel!B1908,"AAAAAGd/v1s=")</f>
        <v>#VALUE!</v>
      </c>
      <c r="CO23">
        <f>IF(Ischemia_25percent_output_edgel!1909:1909,"AAAAAGd/v1w=",0)</f>
        <v>0</v>
      </c>
      <c r="CP23" t="e">
        <f>AND(Ischemia_25percent_output_edgel!A1909,"AAAAAGd/v10=")</f>
        <v>#VALUE!</v>
      </c>
      <c r="CQ23" t="e">
        <f>AND(Ischemia_25percent_output_edgel!B1909,"AAAAAGd/v14=")</f>
        <v>#VALUE!</v>
      </c>
      <c r="CR23">
        <f>IF(Ischemia_25percent_output_edgel!1910:1910,"AAAAAGd/v18=",0)</f>
        <v>0</v>
      </c>
      <c r="CS23" t="e">
        <f>AND(Ischemia_25percent_output_edgel!A1910,"AAAAAGd/v2A=")</f>
        <v>#VALUE!</v>
      </c>
      <c r="CT23" t="e">
        <f>AND(Ischemia_25percent_output_edgel!B1910,"AAAAAGd/v2E=")</f>
        <v>#VALUE!</v>
      </c>
      <c r="CU23">
        <f>IF(Ischemia_25percent_output_edgel!1911:1911,"AAAAAGd/v2I=",0)</f>
        <v>0</v>
      </c>
      <c r="CV23" t="e">
        <f>AND(Ischemia_25percent_output_edgel!A1911,"AAAAAGd/v2M=")</f>
        <v>#VALUE!</v>
      </c>
      <c r="CW23" t="e">
        <f>AND(Ischemia_25percent_output_edgel!B1911,"AAAAAGd/v2Q=")</f>
        <v>#VALUE!</v>
      </c>
      <c r="CX23">
        <f>IF(Ischemia_25percent_output_edgel!1912:1912,"AAAAAGd/v2U=",0)</f>
        <v>0</v>
      </c>
      <c r="CY23" t="e">
        <f>AND(Ischemia_25percent_output_edgel!A1912,"AAAAAGd/v2Y=")</f>
        <v>#VALUE!</v>
      </c>
      <c r="CZ23" t="e">
        <f>AND(Ischemia_25percent_output_edgel!B1912,"AAAAAGd/v2c=")</f>
        <v>#VALUE!</v>
      </c>
      <c r="DA23">
        <f>IF(Ischemia_25percent_output_edgel!1913:1913,"AAAAAGd/v2g=",0)</f>
        <v>0</v>
      </c>
      <c r="DB23" t="e">
        <f>AND(Ischemia_25percent_output_edgel!A1913,"AAAAAGd/v2k=")</f>
        <v>#VALUE!</v>
      </c>
      <c r="DC23" t="e">
        <f>AND(Ischemia_25percent_output_edgel!B1913,"AAAAAGd/v2o=")</f>
        <v>#VALUE!</v>
      </c>
      <c r="DD23">
        <f>IF(Ischemia_25percent_output_edgel!1914:1914,"AAAAAGd/v2s=",0)</f>
        <v>0</v>
      </c>
      <c r="DE23" t="e">
        <f>AND(Ischemia_25percent_output_edgel!A1914,"AAAAAGd/v2w=")</f>
        <v>#VALUE!</v>
      </c>
      <c r="DF23" t="e">
        <f>AND(Ischemia_25percent_output_edgel!B1914,"AAAAAGd/v20=")</f>
        <v>#VALUE!</v>
      </c>
      <c r="DG23">
        <f>IF(Ischemia_25percent_output_edgel!1915:1915,"AAAAAGd/v24=",0)</f>
        <v>0</v>
      </c>
      <c r="DH23" t="e">
        <f>AND(Ischemia_25percent_output_edgel!A1915,"AAAAAGd/v28=")</f>
        <v>#VALUE!</v>
      </c>
      <c r="DI23" t="e">
        <f>AND(Ischemia_25percent_output_edgel!B1915,"AAAAAGd/v3A=")</f>
        <v>#VALUE!</v>
      </c>
      <c r="DJ23">
        <f>IF(Ischemia_25percent_output_edgel!1916:1916,"AAAAAGd/v3E=",0)</f>
        <v>0</v>
      </c>
      <c r="DK23" t="e">
        <f>AND(Ischemia_25percent_output_edgel!A1916,"AAAAAGd/v3I=")</f>
        <v>#VALUE!</v>
      </c>
      <c r="DL23" t="e">
        <f>AND(Ischemia_25percent_output_edgel!B1916,"AAAAAGd/v3M=")</f>
        <v>#VALUE!</v>
      </c>
      <c r="DM23">
        <f>IF(Ischemia_25percent_output_edgel!1917:1917,"AAAAAGd/v3Q=",0)</f>
        <v>0</v>
      </c>
      <c r="DN23" t="e">
        <f>AND(Ischemia_25percent_output_edgel!A1917,"AAAAAGd/v3U=")</f>
        <v>#VALUE!</v>
      </c>
      <c r="DO23" t="e">
        <f>AND(Ischemia_25percent_output_edgel!B1917,"AAAAAGd/v3Y=")</f>
        <v>#VALUE!</v>
      </c>
      <c r="DP23">
        <f>IF(Ischemia_25percent_output_edgel!1918:1918,"AAAAAGd/v3c=",0)</f>
        <v>0</v>
      </c>
      <c r="DQ23" t="e">
        <f>AND(Ischemia_25percent_output_edgel!A1918,"AAAAAGd/v3g=")</f>
        <v>#VALUE!</v>
      </c>
      <c r="DR23" t="e">
        <f>AND(Ischemia_25percent_output_edgel!B1918,"AAAAAGd/v3k=")</f>
        <v>#VALUE!</v>
      </c>
      <c r="DS23">
        <f>IF(Ischemia_25percent_output_edgel!1919:1919,"AAAAAGd/v3o=",0)</f>
        <v>0</v>
      </c>
      <c r="DT23" t="e">
        <f>AND(Ischemia_25percent_output_edgel!A1919,"AAAAAGd/v3s=")</f>
        <v>#VALUE!</v>
      </c>
      <c r="DU23" t="e">
        <f>AND(Ischemia_25percent_output_edgel!B1919,"AAAAAGd/v3w=")</f>
        <v>#VALUE!</v>
      </c>
      <c r="DV23">
        <f>IF(Ischemia_25percent_output_edgel!1920:1920,"AAAAAGd/v30=",0)</f>
        <v>0</v>
      </c>
      <c r="DW23" t="e">
        <f>AND(Ischemia_25percent_output_edgel!A1920,"AAAAAGd/v34=")</f>
        <v>#VALUE!</v>
      </c>
      <c r="DX23" t="e">
        <f>AND(Ischemia_25percent_output_edgel!B1920,"AAAAAGd/v38=")</f>
        <v>#VALUE!</v>
      </c>
      <c r="DY23">
        <f>IF(Ischemia_25percent_output_edgel!1921:1921,"AAAAAGd/v4A=",0)</f>
        <v>0</v>
      </c>
      <c r="DZ23" t="e">
        <f>AND(Ischemia_25percent_output_edgel!A1921,"AAAAAGd/v4E=")</f>
        <v>#VALUE!</v>
      </c>
      <c r="EA23" t="e">
        <f>AND(Ischemia_25percent_output_edgel!B1921,"AAAAAGd/v4I=")</f>
        <v>#VALUE!</v>
      </c>
      <c r="EB23">
        <f>IF(Ischemia_25percent_output_edgel!1922:1922,"AAAAAGd/v4M=",0)</f>
        <v>0</v>
      </c>
      <c r="EC23" t="e">
        <f>AND(Ischemia_25percent_output_edgel!A1922,"AAAAAGd/v4Q=")</f>
        <v>#VALUE!</v>
      </c>
      <c r="ED23" t="e">
        <f>AND(Ischemia_25percent_output_edgel!B1922,"AAAAAGd/v4U=")</f>
        <v>#VALUE!</v>
      </c>
      <c r="EE23">
        <f>IF(Ischemia_25percent_output_edgel!1923:1923,"AAAAAGd/v4Y=",0)</f>
        <v>0</v>
      </c>
      <c r="EF23" t="e">
        <f>AND(Ischemia_25percent_output_edgel!A1923,"AAAAAGd/v4c=")</f>
        <v>#VALUE!</v>
      </c>
      <c r="EG23" t="e">
        <f>AND(Ischemia_25percent_output_edgel!B1923,"AAAAAGd/v4g=")</f>
        <v>#VALUE!</v>
      </c>
      <c r="EH23">
        <f>IF(Ischemia_25percent_output_edgel!1924:1924,"AAAAAGd/v4k=",0)</f>
        <v>0</v>
      </c>
      <c r="EI23" t="e">
        <f>AND(Ischemia_25percent_output_edgel!A1924,"AAAAAGd/v4o=")</f>
        <v>#VALUE!</v>
      </c>
      <c r="EJ23" t="e">
        <f>AND(Ischemia_25percent_output_edgel!B1924,"AAAAAGd/v4s=")</f>
        <v>#VALUE!</v>
      </c>
      <c r="EK23">
        <f>IF(Ischemia_25percent_output_edgel!1925:1925,"AAAAAGd/v4w=",0)</f>
        <v>0</v>
      </c>
      <c r="EL23" t="e">
        <f>AND(Ischemia_25percent_output_edgel!A1925,"AAAAAGd/v40=")</f>
        <v>#VALUE!</v>
      </c>
      <c r="EM23" t="e">
        <f>AND(Ischemia_25percent_output_edgel!B1925,"AAAAAGd/v44=")</f>
        <v>#VALUE!</v>
      </c>
      <c r="EN23">
        <f>IF(Ischemia_25percent_output_edgel!1926:1926,"AAAAAGd/v48=",0)</f>
        <v>0</v>
      </c>
      <c r="EO23" t="e">
        <f>AND(Ischemia_25percent_output_edgel!A1926,"AAAAAGd/v5A=")</f>
        <v>#VALUE!</v>
      </c>
      <c r="EP23" t="e">
        <f>AND(Ischemia_25percent_output_edgel!B1926,"AAAAAGd/v5E=")</f>
        <v>#VALUE!</v>
      </c>
      <c r="EQ23">
        <f>IF(Ischemia_25percent_output_edgel!1927:1927,"AAAAAGd/v5I=",0)</f>
        <v>0</v>
      </c>
      <c r="ER23" t="e">
        <f>AND(Ischemia_25percent_output_edgel!A1927,"AAAAAGd/v5M=")</f>
        <v>#VALUE!</v>
      </c>
      <c r="ES23" t="e">
        <f>AND(Ischemia_25percent_output_edgel!B1927,"AAAAAGd/v5Q=")</f>
        <v>#VALUE!</v>
      </c>
      <c r="ET23">
        <f>IF(Ischemia_25percent_output_edgel!1928:1928,"AAAAAGd/v5U=",0)</f>
        <v>0</v>
      </c>
      <c r="EU23" t="e">
        <f>AND(Ischemia_25percent_output_edgel!A1928,"AAAAAGd/v5Y=")</f>
        <v>#VALUE!</v>
      </c>
      <c r="EV23" t="e">
        <f>AND(Ischemia_25percent_output_edgel!B1928,"AAAAAGd/v5c=")</f>
        <v>#VALUE!</v>
      </c>
      <c r="EW23">
        <f>IF(Ischemia_25percent_output_edgel!1929:1929,"AAAAAGd/v5g=",0)</f>
        <v>0</v>
      </c>
      <c r="EX23" t="e">
        <f>AND(Ischemia_25percent_output_edgel!A1929,"AAAAAGd/v5k=")</f>
        <v>#VALUE!</v>
      </c>
      <c r="EY23" t="e">
        <f>AND(Ischemia_25percent_output_edgel!B1929,"AAAAAGd/v5o=")</f>
        <v>#VALUE!</v>
      </c>
      <c r="EZ23">
        <f>IF(Ischemia_25percent_output_edgel!1930:1930,"AAAAAGd/v5s=",0)</f>
        <v>0</v>
      </c>
      <c r="FA23" t="e">
        <f>AND(Ischemia_25percent_output_edgel!A1930,"AAAAAGd/v5w=")</f>
        <v>#VALUE!</v>
      </c>
      <c r="FB23" t="e">
        <f>AND(Ischemia_25percent_output_edgel!B1930,"AAAAAGd/v50=")</f>
        <v>#VALUE!</v>
      </c>
      <c r="FC23">
        <f>IF(Ischemia_25percent_output_edgel!1931:1931,"AAAAAGd/v54=",0)</f>
        <v>0</v>
      </c>
      <c r="FD23" t="e">
        <f>AND(Ischemia_25percent_output_edgel!A1931,"AAAAAGd/v58=")</f>
        <v>#VALUE!</v>
      </c>
      <c r="FE23" t="e">
        <f>AND(Ischemia_25percent_output_edgel!B1931,"AAAAAGd/v6A=")</f>
        <v>#VALUE!</v>
      </c>
      <c r="FF23">
        <f>IF(Ischemia_25percent_output_edgel!1932:1932,"AAAAAGd/v6E=",0)</f>
        <v>0</v>
      </c>
      <c r="FG23" t="e">
        <f>AND(Ischemia_25percent_output_edgel!A1932,"AAAAAGd/v6I=")</f>
        <v>#VALUE!</v>
      </c>
      <c r="FH23" t="e">
        <f>AND(Ischemia_25percent_output_edgel!B1932,"AAAAAGd/v6M=")</f>
        <v>#VALUE!</v>
      </c>
      <c r="FI23">
        <f>IF(Ischemia_25percent_output_edgel!1933:1933,"AAAAAGd/v6Q=",0)</f>
        <v>0</v>
      </c>
      <c r="FJ23" t="e">
        <f>AND(Ischemia_25percent_output_edgel!A1933,"AAAAAGd/v6U=")</f>
        <v>#VALUE!</v>
      </c>
      <c r="FK23" t="e">
        <f>AND(Ischemia_25percent_output_edgel!B1933,"AAAAAGd/v6Y=")</f>
        <v>#VALUE!</v>
      </c>
      <c r="FL23">
        <f>IF(Ischemia_25percent_output_edgel!1934:1934,"AAAAAGd/v6c=",0)</f>
        <v>0</v>
      </c>
      <c r="FM23" t="e">
        <f>AND(Ischemia_25percent_output_edgel!A1934,"AAAAAGd/v6g=")</f>
        <v>#VALUE!</v>
      </c>
      <c r="FN23" t="e">
        <f>AND(Ischemia_25percent_output_edgel!B1934,"AAAAAGd/v6k=")</f>
        <v>#VALUE!</v>
      </c>
      <c r="FO23">
        <f>IF(Ischemia_25percent_output_edgel!1935:1935,"AAAAAGd/v6o=",0)</f>
        <v>0</v>
      </c>
      <c r="FP23" t="e">
        <f>AND(Ischemia_25percent_output_edgel!A1935,"AAAAAGd/v6s=")</f>
        <v>#VALUE!</v>
      </c>
      <c r="FQ23" t="e">
        <f>AND(Ischemia_25percent_output_edgel!B1935,"AAAAAGd/v6w=")</f>
        <v>#VALUE!</v>
      </c>
      <c r="FR23">
        <f>IF(Ischemia_25percent_output_edgel!1936:1936,"AAAAAGd/v60=",0)</f>
        <v>0</v>
      </c>
      <c r="FS23" t="e">
        <f>AND(Ischemia_25percent_output_edgel!A1936,"AAAAAGd/v64=")</f>
        <v>#VALUE!</v>
      </c>
      <c r="FT23" t="e">
        <f>AND(Ischemia_25percent_output_edgel!B1936,"AAAAAGd/v68=")</f>
        <v>#VALUE!</v>
      </c>
      <c r="FU23">
        <f>IF(Ischemia_25percent_output_edgel!1937:1937,"AAAAAGd/v7A=",0)</f>
        <v>0</v>
      </c>
      <c r="FV23" t="e">
        <f>AND(Ischemia_25percent_output_edgel!A1937,"AAAAAGd/v7E=")</f>
        <v>#VALUE!</v>
      </c>
      <c r="FW23" t="e">
        <f>AND(Ischemia_25percent_output_edgel!B1937,"AAAAAGd/v7I=")</f>
        <v>#VALUE!</v>
      </c>
      <c r="FX23">
        <f>IF(Ischemia_25percent_output_edgel!1938:1938,"AAAAAGd/v7M=",0)</f>
        <v>0</v>
      </c>
      <c r="FY23" t="e">
        <f>AND(Ischemia_25percent_output_edgel!A1938,"AAAAAGd/v7Q=")</f>
        <v>#VALUE!</v>
      </c>
      <c r="FZ23" t="e">
        <f>AND(Ischemia_25percent_output_edgel!B1938,"AAAAAGd/v7U=")</f>
        <v>#VALUE!</v>
      </c>
      <c r="GA23">
        <f>IF(Ischemia_25percent_output_edgel!1939:1939,"AAAAAGd/v7Y=",0)</f>
        <v>0</v>
      </c>
      <c r="GB23" t="e">
        <f>AND(Ischemia_25percent_output_edgel!A1939,"AAAAAGd/v7c=")</f>
        <v>#VALUE!</v>
      </c>
      <c r="GC23" t="e">
        <f>AND(Ischemia_25percent_output_edgel!B1939,"AAAAAGd/v7g=")</f>
        <v>#VALUE!</v>
      </c>
      <c r="GD23">
        <f>IF(Ischemia_25percent_output_edgel!1940:1940,"AAAAAGd/v7k=",0)</f>
        <v>0</v>
      </c>
      <c r="GE23" t="e">
        <f>AND(Ischemia_25percent_output_edgel!A1940,"AAAAAGd/v7o=")</f>
        <v>#VALUE!</v>
      </c>
      <c r="GF23" t="e">
        <f>AND(Ischemia_25percent_output_edgel!B1940,"AAAAAGd/v7s=")</f>
        <v>#VALUE!</v>
      </c>
      <c r="GG23">
        <f>IF(Ischemia_25percent_output_edgel!1941:1941,"AAAAAGd/v7w=",0)</f>
        <v>0</v>
      </c>
      <c r="GH23" t="e">
        <f>AND(Ischemia_25percent_output_edgel!A1941,"AAAAAGd/v70=")</f>
        <v>#VALUE!</v>
      </c>
      <c r="GI23" t="e">
        <f>AND(Ischemia_25percent_output_edgel!B1941,"AAAAAGd/v74=")</f>
        <v>#VALUE!</v>
      </c>
      <c r="GJ23">
        <f>IF(Ischemia_25percent_output_edgel!1942:1942,"AAAAAGd/v78=",0)</f>
        <v>0</v>
      </c>
      <c r="GK23" t="e">
        <f>AND(Ischemia_25percent_output_edgel!A1942,"AAAAAGd/v8A=")</f>
        <v>#VALUE!</v>
      </c>
      <c r="GL23" t="e">
        <f>AND(Ischemia_25percent_output_edgel!B1942,"AAAAAGd/v8E=")</f>
        <v>#VALUE!</v>
      </c>
      <c r="GM23">
        <f>IF(Ischemia_25percent_output_edgel!1943:1943,"AAAAAGd/v8I=",0)</f>
        <v>0</v>
      </c>
      <c r="GN23" t="e">
        <f>AND(Ischemia_25percent_output_edgel!A1943,"AAAAAGd/v8M=")</f>
        <v>#VALUE!</v>
      </c>
      <c r="GO23" t="e">
        <f>AND(Ischemia_25percent_output_edgel!B1943,"AAAAAGd/v8Q=")</f>
        <v>#VALUE!</v>
      </c>
      <c r="GP23">
        <f>IF(Ischemia_25percent_output_edgel!1944:1944,"AAAAAGd/v8U=",0)</f>
        <v>0</v>
      </c>
      <c r="GQ23" t="e">
        <f>AND(Ischemia_25percent_output_edgel!A1944,"AAAAAGd/v8Y=")</f>
        <v>#VALUE!</v>
      </c>
      <c r="GR23" t="e">
        <f>AND(Ischemia_25percent_output_edgel!B1944,"AAAAAGd/v8c=")</f>
        <v>#VALUE!</v>
      </c>
      <c r="GS23">
        <f>IF(Ischemia_25percent_output_edgel!1945:1945,"AAAAAGd/v8g=",0)</f>
        <v>0</v>
      </c>
      <c r="GT23" t="e">
        <f>AND(Ischemia_25percent_output_edgel!A1945,"AAAAAGd/v8k=")</f>
        <v>#VALUE!</v>
      </c>
      <c r="GU23" t="e">
        <f>AND(Ischemia_25percent_output_edgel!B1945,"AAAAAGd/v8o=")</f>
        <v>#VALUE!</v>
      </c>
      <c r="GV23">
        <f>IF(Ischemia_25percent_output_edgel!1946:1946,"AAAAAGd/v8s=",0)</f>
        <v>0</v>
      </c>
      <c r="GW23" t="e">
        <f>AND(Ischemia_25percent_output_edgel!A1946,"AAAAAGd/v8w=")</f>
        <v>#VALUE!</v>
      </c>
      <c r="GX23" t="e">
        <f>AND(Ischemia_25percent_output_edgel!B1946,"AAAAAGd/v80=")</f>
        <v>#VALUE!</v>
      </c>
      <c r="GY23">
        <f>IF(Ischemia_25percent_output_edgel!1947:1947,"AAAAAGd/v84=",0)</f>
        <v>0</v>
      </c>
      <c r="GZ23" t="e">
        <f>AND(Ischemia_25percent_output_edgel!A1947,"AAAAAGd/v88=")</f>
        <v>#VALUE!</v>
      </c>
      <c r="HA23" t="e">
        <f>AND(Ischemia_25percent_output_edgel!B1947,"AAAAAGd/v9A=")</f>
        <v>#VALUE!</v>
      </c>
      <c r="HB23">
        <f>IF(Ischemia_25percent_output_edgel!1948:1948,"AAAAAGd/v9E=",0)</f>
        <v>0</v>
      </c>
      <c r="HC23" t="e">
        <f>AND(Ischemia_25percent_output_edgel!A1948,"AAAAAGd/v9I=")</f>
        <v>#VALUE!</v>
      </c>
      <c r="HD23" t="e">
        <f>AND(Ischemia_25percent_output_edgel!B1948,"AAAAAGd/v9M=")</f>
        <v>#VALUE!</v>
      </c>
      <c r="HE23">
        <f>IF(Ischemia_25percent_output_edgel!1949:1949,"AAAAAGd/v9Q=",0)</f>
        <v>0</v>
      </c>
      <c r="HF23" t="e">
        <f>AND(Ischemia_25percent_output_edgel!A1949,"AAAAAGd/v9U=")</f>
        <v>#VALUE!</v>
      </c>
      <c r="HG23" t="e">
        <f>AND(Ischemia_25percent_output_edgel!B1949,"AAAAAGd/v9Y=")</f>
        <v>#VALUE!</v>
      </c>
      <c r="HH23">
        <f>IF(Ischemia_25percent_output_edgel!1950:1950,"AAAAAGd/v9c=",0)</f>
        <v>0</v>
      </c>
      <c r="HI23" t="e">
        <f>AND(Ischemia_25percent_output_edgel!A1950,"AAAAAGd/v9g=")</f>
        <v>#VALUE!</v>
      </c>
      <c r="HJ23" t="e">
        <f>AND(Ischemia_25percent_output_edgel!B1950,"AAAAAGd/v9k=")</f>
        <v>#VALUE!</v>
      </c>
      <c r="HK23">
        <f>IF(Ischemia_25percent_output_edgel!1951:1951,"AAAAAGd/v9o=",0)</f>
        <v>0</v>
      </c>
      <c r="HL23" t="e">
        <f>AND(Ischemia_25percent_output_edgel!A1951,"AAAAAGd/v9s=")</f>
        <v>#VALUE!</v>
      </c>
      <c r="HM23" t="e">
        <f>AND(Ischemia_25percent_output_edgel!B1951,"AAAAAGd/v9w=")</f>
        <v>#VALUE!</v>
      </c>
      <c r="HN23">
        <f>IF(Ischemia_25percent_output_edgel!1952:1952,"AAAAAGd/v90=",0)</f>
        <v>0</v>
      </c>
      <c r="HO23" t="e">
        <f>AND(Ischemia_25percent_output_edgel!A1952,"AAAAAGd/v94=")</f>
        <v>#VALUE!</v>
      </c>
      <c r="HP23" t="e">
        <f>AND(Ischemia_25percent_output_edgel!B1952,"AAAAAGd/v98=")</f>
        <v>#VALUE!</v>
      </c>
      <c r="HQ23">
        <f>IF(Ischemia_25percent_output_edgel!1953:1953,"AAAAAGd/v+A=",0)</f>
        <v>0</v>
      </c>
      <c r="HR23" t="e">
        <f>AND(Ischemia_25percent_output_edgel!A1953,"AAAAAGd/v+E=")</f>
        <v>#VALUE!</v>
      </c>
      <c r="HS23" t="e">
        <f>AND(Ischemia_25percent_output_edgel!B1953,"AAAAAGd/v+I=")</f>
        <v>#VALUE!</v>
      </c>
      <c r="HT23">
        <f>IF(Ischemia_25percent_output_edgel!1954:1954,"AAAAAGd/v+M=",0)</f>
        <v>0</v>
      </c>
      <c r="HU23" t="e">
        <f>AND(Ischemia_25percent_output_edgel!A1954,"AAAAAGd/v+Q=")</f>
        <v>#VALUE!</v>
      </c>
      <c r="HV23" t="e">
        <f>AND(Ischemia_25percent_output_edgel!B1954,"AAAAAGd/v+U=")</f>
        <v>#VALUE!</v>
      </c>
      <c r="HW23">
        <f>IF(Ischemia_25percent_output_edgel!1955:1955,"AAAAAGd/v+Y=",0)</f>
        <v>0</v>
      </c>
      <c r="HX23" t="e">
        <f>AND(Ischemia_25percent_output_edgel!A1955,"AAAAAGd/v+c=")</f>
        <v>#VALUE!</v>
      </c>
      <c r="HY23" t="e">
        <f>AND(Ischemia_25percent_output_edgel!B1955,"AAAAAGd/v+g=")</f>
        <v>#VALUE!</v>
      </c>
      <c r="HZ23">
        <f>IF(Ischemia_25percent_output_edgel!1956:1956,"AAAAAGd/v+k=",0)</f>
        <v>0</v>
      </c>
      <c r="IA23" t="e">
        <f>AND(Ischemia_25percent_output_edgel!A1956,"AAAAAGd/v+o=")</f>
        <v>#VALUE!</v>
      </c>
      <c r="IB23" t="e">
        <f>AND(Ischemia_25percent_output_edgel!B1956,"AAAAAGd/v+s=")</f>
        <v>#VALUE!</v>
      </c>
      <c r="IC23">
        <f>IF(Ischemia_25percent_output_edgel!1957:1957,"AAAAAGd/v+w=",0)</f>
        <v>0</v>
      </c>
      <c r="ID23" t="e">
        <f>AND(Ischemia_25percent_output_edgel!A1957,"AAAAAGd/v+0=")</f>
        <v>#VALUE!</v>
      </c>
      <c r="IE23" t="e">
        <f>AND(Ischemia_25percent_output_edgel!B1957,"AAAAAGd/v+4=")</f>
        <v>#VALUE!</v>
      </c>
      <c r="IF23">
        <f>IF(Ischemia_25percent_output_edgel!1958:1958,"AAAAAGd/v+8=",0)</f>
        <v>0</v>
      </c>
      <c r="IG23" t="e">
        <f>AND(Ischemia_25percent_output_edgel!A1958,"AAAAAGd/v/A=")</f>
        <v>#VALUE!</v>
      </c>
      <c r="IH23" t="e">
        <f>AND(Ischemia_25percent_output_edgel!B1958,"AAAAAGd/v/E=")</f>
        <v>#VALUE!</v>
      </c>
      <c r="II23">
        <f>IF(Ischemia_25percent_output_edgel!1959:1959,"AAAAAGd/v/I=",0)</f>
        <v>0</v>
      </c>
      <c r="IJ23" t="e">
        <f>AND(Ischemia_25percent_output_edgel!A1959,"AAAAAGd/v/M=")</f>
        <v>#VALUE!</v>
      </c>
      <c r="IK23" t="e">
        <f>AND(Ischemia_25percent_output_edgel!B1959,"AAAAAGd/v/Q=")</f>
        <v>#VALUE!</v>
      </c>
      <c r="IL23">
        <f>IF(Ischemia_25percent_output_edgel!1960:1960,"AAAAAGd/v/U=",0)</f>
        <v>0</v>
      </c>
      <c r="IM23" t="e">
        <f>AND(Ischemia_25percent_output_edgel!A1960,"AAAAAGd/v/Y=")</f>
        <v>#VALUE!</v>
      </c>
      <c r="IN23" t="e">
        <f>AND(Ischemia_25percent_output_edgel!B1960,"AAAAAGd/v/c=")</f>
        <v>#VALUE!</v>
      </c>
      <c r="IO23">
        <f>IF(Ischemia_25percent_output_edgel!1961:1961,"AAAAAGd/v/g=",0)</f>
        <v>0</v>
      </c>
      <c r="IP23" t="e">
        <f>AND(Ischemia_25percent_output_edgel!A1961,"AAAAAGd/v/k=")</f>
        <v>#VALUE!</v>
      </c>
      <c r="IQ23" t="e">
        <f>AND(Ischemia_25percent_output_edgel!B1961,"AAAAAGd/v/o=")</f>
        <v>#VALUE!</v>
      </c>
      <c r="IR23">
        <f>IF(Ischemia_25percent_output_edgel!1962:1962,"AAAAAGd/v/s=",0)</f>
        <v>0</v>
      </c>
      <c r="IS23" t="e">
        <f>AND(Ischemia_25percent_output_edgel!A1962,"AAAAAGd/v/w=")</f>
        <v>#VALUE!</v>
      </c>
      <c r="IT23" t="e">
        <f>AND(Ischemia_25percent_output_edgel!B1962,"AAAAAGd/v/0=")</f>
        <v>#VALUE!</v>
      </c>
      <c r="IU23">
        <f>IF(Ischemia_25percent_output_edgel!1963:1963,"AAAAAGd/v/4=",0)</f>
        <v>0</v>
      </c>
      <c r="IV23" t="e">
        <f>AND(Ischemia_25percent_output_edgel!A1963,"AAAAAGd/v/8=")</f>
        <v>#VALUE!</v>
      </c>
    </row>
    <row r="24" spans="1:256">
      <c r="A24" t="e">
        <f>AND(Ischemia_25percent_output_edgel!B1963,"AAAAADVr7QA=")</f>
        <v>#VALUE!</v>
      </c>
      <c r="B24" t="e">
        <f>IF(Ischemia_25percent_output_edgel!1964:1964,"AAAAADVr7QE=",0)</f>
        <v>#VALUE!</v>
      </c>
      <c r="C24" t="e">
        <f>AND(Ischemia_25percent_output_edgel!A1964,"AAAAADVr7QI=")</f>
        <v>#VALUE!</v>
      </c>
      <c r="D24" t="e">
        <f>AND(Ischemia_25percent_output_edgel!B1964,"AAAAADVr7QM=")</f>
        <v>#VALUE!</v>
      </c>
      <c r="E24">
        <f>IF(Ischemia_25percent_output_edgel!1965:1965,"AAAAADVr7QQ=",0)</f>
        <v>0</v>
      </c>
      <c r="F24" t="e">
        <f>AND(Ischemia_25percent_output_edgel!A1965,"AAAAADVr7QU=")</f>
        <v>#VALUE!</v>
      </c>
      <c r="G24" t="e">
        <f>AND(Ischemia_25percent_output_edgel!B1965,"AAAAADVr7QY=")</f>
        <v>#VALUE!</v>
      </c>
      <c r="H24">
        <f>IF(Ischemia_25percent_output_edgel!1966:1966,"AAAAADVr7Qc=",0)</f>
        <v>0</v>
      </c>
      <c r="I24" t="e">
        <f>AND(Ischemia_25percent_output_edgel!A1966,"AAAAADVr7Qg=")</f>
        <v>#VALUE!</v>
      </c>
      <c r="J24" t="e">
        <f>AND(Ischemia_25percent_output_edgel!B1966,"AAAAADVr7Qk=")</f>
        <v>#VALUE!</v>
      </c>
      <c r="K24">
        <f>IF(Ischemia_25percent_output_edgel!1967:1967,"AAAAADVr7Qo=",0)</f>
        <v>0</v>
      </c>
      <c r="L24" t="e">
        <f>AND(Ischemia_25percent_output_edgel!A1967,"AAAAADVr7Qs=")</f>
        <v>#VALUE!</v>
      </c>
      <c r="M24" t="e">
        <f>AND(Ischemia_25percent_output_edgel!B1967,"AAAAADVr7Qw=")</f>
        <v>#VALUE!</v>
      </c>
      <c r="N24">
        <f>IF(Ischemia_25percent_output_edgel!1968:1968,"AAAAADVr7Q0=",0)</f>
        <v>0</v>
      </c>
      <c r="O24" t="e">
        <f>AND(Ischemia_25percent_output_edgel!A1968,"AAAAADVr7Q4=")</f>
        <v>#VALUE!</v>
      </c>
      <c r="P24" t="e">
        <f>AND(Ischemia_25percent_output_edgel!B1968,"AAAAADVr7Q8=")</f>
        <v>#VALUE!</v>
      </c>
      <c r="Q24">
        <f>IF(Ischemia_25percent_output_edgel!1969:1969,"AAAAADVr7RA=",0)</f>
        <v>0</v>
      </c>
      <c r="R24" t="e">
        <f>AND(Ischemia_25percent_output_edgel!A1969,"AAAAADVr7RE=")</f>
        <v>#VALUE!</v>
      </c>
      <c r="S24" t="e">
        <f>AND(Ischemia_25percent_output_edgel!B1969,"AAAAADVr7RI=")</f>
        <v>#VALUE!</v>
      </c>
      <c r="T24">
        <f>IF(Ischemia_25percent_output_edgel!1970:1970,"AAAAADVr7RM=",0)</f>
        <v>0</v>
      </c>
      <c r="U24" t="e">
        <f>AND(Ischemia_25percent_output_edgel!A1970,"AAAAADVr7RQ=")</f>
        <v>#VALUE!</v>
      </c>
      <c r="V24" t="e">
        <f>AND(Ischemia_25percent_output_edgel!B1970,"AAAAADVr7RU=")</f>
        <v>#VALUE!</v>
      </c>
      <c r="W24">
        <f>IF(Ischemia_25percent_output_edgel!1971:1971,"AAAAADVr7RY=",0)</f>
        <v>0</v>
      </c>
      <c r="X24" t="e">
        <f>AND(Ischemia_25percent_output_edgel!A1971,"AAAAADVr7Rc=")</f>
        <v>#VALUE!</v>
      </c>
      <c r="Y24" t="e">
        <f>AND(Ischemia_25percent_output_edgel!B1971,"AAAAADVr7Rg=")</f>
        <v>#VALUE!</v>
      </c>
      <c r="Z24">
        <f>IF(Ischemia_25percent_output_edgel!1972:1972,"AAAAADVr7Rk=",0)</f>
        <v>0</v>
      </c>
      <c r="AA24" t="e">
        <f>AND(Ischemia_25percent_output_edgel!A1972,"AAAAADVr7Ro=")</f>
        <v>#VALUE!</v>
      </c>
      <c r="AB24" t="e">
        <f>AND(Ischemia_25percent_output_edgel!B1972,"AAAAADVr7Rs=")</f>
        <v>#VALUE!</v>
      </c>
      <c r="AC24">
        <f>IF(Ischemia_25percent_output_edgel!1973:1973,"AAAAADVr7Rw=",0)</f>
        <v>0</v>
      </c>
      <c r="AD24" t="e">
        <f>AND(Ischemia_25percent_output_edgel!A1973,"AAAAADVr7R0=")</f>
        <v>#VALUE!</v>
      </c>
      <c r="AE24" t="e">
        <f>AND(Ischemia_25percent_output_edgel!B1973,"AAAAADVr7R4=")</f>
        <v>#VALUE!</v>
      </c>
      <c r="AF24">
        <f>IF(Ischemia_25percent_output_edgel!1974:1974,"AAAAADVr7R8=",0)</f>
        <v>0</v>
      </c>
      <c r="AG24" t="e">
        <f>AND(Ischemia_25percent_output_edgel!A1974,"AAAAADVr7SA=")</f>
        <v>#VALUE!</v>
      </c>
      <c r="AH24" t="e">
        <f>AND(Ischemia_25percent_output_edgel!B1974,"AAAAADVr7SE=")</f>
        <v>#VALUE!</v>
      </c>
      <c r="AI24">
        <f>IF(Ischemia_25percent_output_edgel!1975:1975,"AAAAADVr7SI=",0)</f>
        <v>0</v>
      </c>
      <c r="AJ24" t="e">
        <f>AND(Ischemia_25percent_output_edgel!A1975,"AAAAADVr7SM=")</f>
        <v>#VALUE!</v>
      </c>
      <c r="AK24" t="e">
        <f>AND(Ischemia_25percent_output_edgel!B1975,"AAAAADVr7SQ=")</f>
        <v>#VALUE!</v>
      </c>
      <c r="AL24">
        <f>IF(Ischemia_25percent_output_edgel!1976:1976,"AAAAADVr7SU=",0)</f>
        <v>0</v>
      </c>
      <c r="AM24" t="e">
        <f>AND(Ischemia_25percent_output_edgel!A1976,"AAAAADVr7SY=")</f>
        <v>#VALUE!</v>
      </c>
      <c r="AN24" t="e">
        <f>AND(Ischemia_25percent_output_edgel!B1976,"AAAAADVr7Sc=")</f>
        <v>#VALUE!</v>
      </c>
      <c r="AO24">
        <f>IF(Ischemia_25percent_output_edgel!1977:1977,"AAAAADVr7Sg=",0)</f>
        <v>0</v>
      </c>
      <c r="AP24" t="e">
        <f>AND(Ischemia_25percent_output_edgel!A1977,"AAAAADVr7Sk=")</f>
        <v>#VALUE!</v>
      </c>
      <c r="AQ24" t="e">
        <f>AND(Ischemia_25percent_output_edgel!B1977,"AAAAADVr7So=")</f>
        <v>#VALUE!</v>
      </c>
      <c r="AR24">
        <f>IF(Ischemia_25percent_output_edgel!1978:1978,"AAAAADVr7Ss=",0)</f>
        <v>0</v>
      </c>
      <c r="AS24" t="e">
        <f>AND(Ischemia_25percent_output_edgel!A1978,"AAAAADVr7Sw=")</f>
        <v>#VALUE!</v>
      </c>
      <c r="AT24" t="e">
        <f>AND(Ischemia_25percent_output_edgel!B1978,"AAAAADVr7S0=")</f>
        <v>#VALUE!</v>
      </c>
      <c r="AU24">
        <f>IF(Ischemia_25percent_output_edgel!1979:1979,"AAAAADVr7S4=",0)</f>
        <v>0</v>
      </c>
      <c r="AV24" t="e">
        <f>AND(Ischemia_25percent_output_edgel!A1979,"AAAAADVr7S8=")</f>
        <v>#VALUE!</v>
      </c>
      <c r="AW24" t="e">
        <f>AND(Ischemia_25percent_output_edgel!B1979,"AAAAADVr7TA=")</f>
        <v>#VALUE!</v>
      </c>
      <c r="AX24">
        <f>IF(Ischemia_25percent_output_edgel!1980:1980,"AAAAADVr7TE=",0)</f>
        <v>0</v>
      </c>
      <c r="AY24" t="e">
        <f>AND(Ischemia_25percent_output_edgel!A1980,"AAAAADVr7TI=")</f>
        <v>#VALUE!</v>
      </c>
      <c r="AZ24" t="e">
        <f>AND(Ischemia_25percent_output_edgel!B1980,"AAAAADVr7TM=")</f>
        <v>#VALUE!</v>
      </c>
      <c r="BA24">
        <f>IF(Ischemia_25percent_output_edgel!1981:1981,"AAAAADVr7TQ=",0)</f>
        <v>0</v>
      </c>
      <c r="BB24" t="e">
        <f>AND(Ischemia_25percent_output_edgel!A1981,"AAAAADVr7TU=")</f>
        <v>#VALUE!</v>
      </c>
      <c r="BC24" t="e">
        <f>AND(Ischemia_25percent_output_edgel!B1981,"AAAAADVr7TY=")</f>
        <v>#VALUE!</v>
      </c>
      <c r="BD24">
        <f>IF(Ischemia_25percent_output_edgel!1982:1982,"AAAAADVr7Tc=",0)</f>
        <v>0</v>
      </c>
      <c r="BE24" t="e">
        <f>AND(Ischemia_25percent_output_edgel!A1982,"AAAAADVr7Tg=")</f>
        <v>#VALUE!</v>
      </c>
      <c r="BF24" t="e">
        <f>AND(Ischemia_25percent_output_edgel!B1982,"AAAAADVr7Tk=")</f>
        <v>#VALUE!</v>
      </c>
      <c r="BG24">
        <f>IF(Ischemia_25percent_output_edgel!1983:1983,"AAAAADVr7To=",0)</f>
        <v>0</v>
      </c>
      <c r="BH24" t="e">
        <f>AND(Ischemia_25percent_output_edgel!A1983,"AAAAADVr7Ts=")</f>
        <v>#VALUE!</v>
      </c>
      <c r="BI24" t="e">
        <f>AND(Ischemia_25percent_output_edgel!B1983,"AAAAADVr7Tw=")</f>
        <v>#VALUE!</v>
      </c>
      <c r="BJ24">
        <f>IF(Ischemia_25percent_output_edgel!1984:1984,"AAAAADVr7T0=",0)</f>
        <v>0</v>
      </c>
      <c r="BK24" t="e">
        <f>AND(Ischemia_25percent_output_edgel!A1984,"AAAAADVr7T4=")</f>
        <v>#VALUE!</v>
      </c>
      <c r="BL24" t="e">
        <f>AND(Ischemia_25percent_output_edgel!B1984,"AAAAADVr7T8=")</f>
        <v>#VALUE!</v>
      </c>
      <c r="BM24">
        <f>IF(Ischemia_25percent_output_edgel!1985:1985,"AAAAADVr7UA=",0)</f>
        <v>0</v>
      </c>
      <c r="BN24" t="e">
        <f>AND(Ischemia_25percent_output_edgel!A1985,"AAAAADVr7UE=")</f>
        <v>#VALUE!</v>
      </c>
      <c r="BO24" t="e">
        <f>AND(Ischemia_25percent_output_edgel!B1985,"AAAAADVr7UI=")</f>
        <v>#VALUE!</v>
      </c>
      <c r="BP24">
        <f>IF(Ischemia_25percent_output_edgel!1986:1986,"AAAAADVr7UM=",0)</f>
        <v>0</v>
      </c>
      <c r="BQ24" t="e">
        <f>AND(Ischemia_25percent_output_edgel!A1986,"AAAAADVr7UQ=")</f>
        <v>#VALUE!</v>
      </c>
      <c r="BR24" t="e">
        <f>AND(Ischemia_25percent_output_edgel!B1986,"AAAAADVr7UU=")</f>
        <v>#VALUE!</v>
      </c>
      <c r="BS24">
        <f>IF(Ischemia_25percent_output_edgel!1987:1987,"AAAAADVr7UY=",0)</f>
        <v>0</v>
      </c>
      <c r="BT24" t="e">
        <f>AND(Ischemia_25percent_output_edgel!A1987,"AAAAADVr7Uc=")</f>
        <v>#VALUE!</v>
      </c>
      <c r="BU24" t="e">
        <f>AND(Ischemia_25percent_output_edgel!B1987,"AAAAADVr7Ug=")</f>
        <v>#VALUE!</v>
      </c>
      <c r="BV24">
        <f>IF(Ischemia_25percent_output_edgel!1988:1988,"AAAAADVr7Uk=",0)</f>
        <v>0</v>
      </c>
      <c r="BW24" t="e">
        <f>AND(Ischemia_25percent_output_edgel!A1988,"AAAAADVr7Uo=")</f>
        <v>#VALUE!</v>
      </c>
      <c r="BX24" t="e">
        <f>AND(Ischemia_25percent_output_edgel!B1988,"AAAAADVr7Us=")</f>
        <v>#VALUE!</v>
      </c>
      <c r="BY24">
        <f>IF(Ischemia_25percent_output_edgel!1989:1989,"AAAAADVr7Uw=",0)</f>
        <v>0</v>
      </c>
      <c r="BZ24" t="e">
        <f>AND(Ischemia_25percent_output_edgel!A1989,"AAAAADVr7U0=")</f>
        <v>#VALUE!</v>
      </c>
      <c r="CA24" t="e">
        <f>AND(Ischemia_25percent_output_edgel!B1989,"AAAAADVr7U4=")</f>
        <v>#VALUE!</v>
      </c>
      <c r="CB24">
        <f>IF(Ischemia_25percent_output_edgel!1990:1990,"AAAAADVr7U8=",0)</f>
        <v>0</v>
      </c>
      <c r="CC24" t="e">
        <f>AND(Ischemia_25percent_output_edgel!A1990,"AAAAADVr7VA=")</f>
        <v>#VALUE!</v>
      </c>
      <c r="CD24" t="e">
        <f>AND(Ischemia_25percent_output_edgel!B1990,"AAAAADVr7VE=")</f>
        <v>#VALUE!</v>
      </c>
      <c r="CE24">
        <f>IF(Ischemia_25percent_output_edgel!1991:1991,"AAAAADVr7VI=",0)</f>
        <v>0</v>
      </c>
      <c r="CF24" t="e">
        <f>AND(Ischemia_25percent_output_edgel!A1991,"AAAAADVr7VM=")</f>
        <v>#VALUE!</v>
      </c>
      <c r="CG24" t="e">
        <f>AND(Ischemia_25percent_output_edgel!B1991,"AAAAADVr7VQ=")</f>
        <v>#VALUE!</v>
      </c>
      <c r="CH24">
        <f>IF(Ischemia_25percent_output_edgel!1992:1992,"AAAAADVr7VU=",0)</f>
        <v>0</v>
      </c>
      <c r="CI24" t="e">
        <f>AND(Ischemia_25percent_output_edgel!A1992,"AAAAADVr7VY=")</f>
        <v>#VALUE!</v>
      </c>
      <c r="CJ24" t="e">
        <f>AND(Ischemia_25percent_output_edgel!B1992,"AAAAADVr7Vc=")</f>
        <v>#VALUE!</v>
      </c>
      <c r="CK24">
        <f>IF(Ischemia_25percent_output_edgel!1993:1993,"AAAAADVr7Vg=",0)</f>
        <v>0</v>
      </c>
      <c r="CL24" t="e">
        <f>AND(Ischemia_25percent_output_edgel!A1993,"AAAAADVr7Vk=")</f>
        <v>#VALUE!</v>
      </c>
      <c r="CM24" t="e">
        <f>AND(Ischemia_25percent_output_edgel!B1993,"AAAAADVr7Vo=")</f>
        <v>#VALUE!</v>
      </c>
      <c r="CN24">
        <f>IF(Ischemia_25percent_output_edgel!1994:1994,"AAAAADVr7Vs=",0)</f>
        <v>0</v>
      </c>
      <c r="CO24" t="e">
        <f>AND(Ischemia_25percent_output_edgel!A1994,"AAAAADVr7Vw=")</f>
        <v>#VALUE!</v>
      </c>
      <c r="CP24" t="e">
        <f>AND(Ischemia_25percent_output_edgel!B1994,"AAAAADVr7V0=")</f>
        <v>#VALUE!</v>
      </c>
      <c r="CQ24">
        <f>IF(Ischemia_25percent_output_edgel!1995:1995,"AAAAADVr7V4=",0)</f>
        <v>0</v>
      </c>
      <c r="CR24" t="e">
        <f>AND(Ischemia_25percent_output_edgel!A1995,"AAAAADVr7V8=")</f>
        <v>#VALUE!</v>
      </c>
      <c r="CS24" t="e">
        <f>AND(Ischemia_25percent_output_edgel!B1995,"AAAAADVr7WA=")</f>
        <v>#VALUE!</v>
      </c>
      <c r="CT24">
        <f>IF(Ischemia_25percent_output_edgel!1996:1996,"AAAAADVr7WE=",0)</f>
        <v>0</v>
      </c>
      <c r="CU24" t="e">
        <f>AND(Ischemia_25percent_output_edgel!A1996,"AAAAADVr7WI=")</f>
        <v>#VALUE!</v>
      </c>
      <c r="CV24" t="e">
        <f>AND(Ischemia_25percent_output_edgel!B1996,"AAAAADVr7WM=")</f>
        <v>#VALUE!</v>
      </c>
      <c r="CW24">
        <f>IF(Ischemia_25percent_output_edgel!1997:1997,"AAAAADVr7WQ=",0)</f>
        <v>0</v>
      </c>
      <c r="CX24" t="e">
        <f>AND(Ischemia_25percent_output_edgel!A1997,"AAAAADVr7WU=")</f>
        <v>#VALUE!</v>
      </c>
      <c r="CY24" t="e">
        <f>AND(Ischemia_25percent_output_edgel!B1997,"AAAAADVr7WY=")</f>
        <v>#VALUE!</v>
      </c>
      <c r="CZ24">
        <f>IF(Ischemia_25percent_output_edgel!1998:1998,"AAAAADVr7Wc=",0)</f>
        <v>0</v>
      </c>
      <c r="DA24" t="e">
        <f>AND(Ischemia_25percent_output_edgel!A1998,"AAAAADVr7Wg=")</f>
        <v>#VALUE!</v>
      </c>
      <c r="DB24" t="e">
        <f>AND(Ischemia_25percent_output_edgel!B1998,"AAAAADVr7Wk=")</f>
        <v>#VALUE!</v>
      </c>
      <c r="DC24">
        <f>IF(Ischemia_25percent_output_edgel!1999:1999,"AAAAADVr7Wo=",0)</f>
        <v>0</v>
      </c>
      <c r="DD24" t="e">
        <f>AND(Ischemia_25percent_output_edgel!A1999,"AAAAADVr7Ws=")</f>
        <v>#VALUE!</v>
      </c>
      <c r="DE24" t="e">
        <f>AND(Ischemia_25percent_output_edgel!B1999,"AAAAADVr7Ww=")</f>
        <v>#VALUE!</v>
      </c>
      <c r="DF24">
        <f>IF(Ischemia_25percent_output_edgel!2000:2000,"AAAAADVr7W0=",0)</f>
        <v>0</v>
      </c>
      <c r="DG24" t="e">
        <f>AND(Ischemia_25percent_output_edgel!A2000,"AAAAADVr7W4=")</f>
        <v>#VALUE!</v>
      </c>
      <c r="DH24" t="e">
        <f>AND(Ischemia_25percent_output_edgel!B2000,"AAAAADVr7W8=")</f>
        <v>#VALUE!</v>
      </c>
      <c r="DI24">
        <f>IF(Ischemia_25percent_output_edgel!2001:2001,"AAAAADVr7XA=",0)</f>
        <v>0</v>
      </c>
      <c r="DJ24" t="e">
        <f>AND(Ischemia_25percent_output_edgel!A2001,"AAAAADVr7XE=")</f>
        <v>#VALUE!</v>
      </c>
      <c r="DK24" t="e">
        <f>AND(Ischemia_25percent_output_edgel!B2001,"AAAAADVr7XI=")</f>
        <v>#VALUE!</v>
      </c>
      <c r="DL24">
        <f>IF(Ischemia_25percent_output_edgel!2002:2002,"AAAAADVr7XM=",0)</f>
        <v>0</v>
      </c>
      <c r="DM24" t="e">
        <f>AND(Ischemia_25percent_output_edgel!A2002,"AAAAADVr7XQ=")</f>
        <v>#VALUE!</v>
      </c>
      <c r="DN24" t="e">
        <f>AND(Ischemia_25percent_output_edgel!B2002,"AAAAADVr7XU=")</f>
        <v>#VALUE!</v>
      </c>
      <c r="DO24">
        <f>IF(Ischemia_25percent_output_edgel!2003:2003,"AAAAADVr7XY=",0)</f>
        <v>0</v>
      </c>
      <c r="DP24" t="e">
        <f>AND(Ischemia_25percent_output_edgel!A2003,"AAAAADVr7Xc=")</f>
        <v>#VALUE!</v>
      </c>
      <c r="DQ24" t="e">
        <f>AND(Ischemia_25percent_output_edgel!B2003,"AAAAADVr7Xg=")</f>
        <v>#VALUE!</v>
      </c>
      <c r="DR24">
        <f>IF(Ischemia_25percent_output_edgel!2004:2004,"AAAAADVr7Xk=",0)</f>
        <v>0</v>
      </c>
      <c r="DS24" t="e">
        <f>AND(Ischemia_25percent_output_edgel!A2004,"AAAAADVr7Xo=")</f>
        <v>#VALUE!</v>
      </c>
      <c r="DT24" t="e">
        <f>AND(Ischemia_25percent_output_edgel!B2004,"AAAAADVr7Xs=")</f>
        <v>#VALUE!</v>
      </c>
      <c r="DU24">
        <f>IF(Ischemia_25percent_output_edgel!2005:2005,"AAAAADVr7Xw=",0)</f>
        <v>0</v>
      </c>
      <c r="DV24" t="e">
        <f>AND(Ischemia_25percent_output_edgel!A2005,"AAAAADVr7X0=")</f>
        <v>#VALUE!</v>
      </c>
      <c r="DW24" t="e">
        <f>AND(Ischemia_25percent_output_edgel!B2005,"AAAAADVr7X4=")</f>
        <v>#VALUE!</v>
      </c>
      <c r="DX24">
        <f>IF(Ischemia_25percent_output_edgel!2006:2006,"AAAAADVr7X8=",0)</f>
        <v>0</v>
      </c>
      <c r="DY24" t="e">
        <f>AND(Ischemia_25percent_output_edgel!A2006,"AAAAADVr7YA=")</f>
        <v>#VALUE!</v>
      </c>
      <c r="DZ24" t="e">
        <f>AND(Ischemia_25percent_output_edgel!B2006,"AAAAADVr7YE=")</f>
        <v>#VALUE!</v>
      </c>
      <c r="EA24">
        <f>IF(Ischemia_25percent_output_edgel!2007:2007,"AAAAADVr7YI=",0)</f>
        <v>0</v>
      </c>
      <c r="EB24" t="e">
        <f>AND(Ischemia_25percent_output_edgel!A2007,"AAAAADVr7YM=")</f>
        <v>#VALUE!</v>
      </c>
      <c r="EC24" t="e">
        <f>AND(Ischemia_25percent_output_edgel!B2007,"AAAAADVr7YQ=")</f>
        <v>#VALUE!</v>
      </c>
      <c r="ED24">
        <f>IF(Ischemia_25percent_output_edgel!2008:2008,"AAAAADVr7YU=",0)</f>
        <v>0</v>
      </c>
      <c r="EE24" t="e">
        <f>AND(Ischemia_25percent_output_edgel!A2008,"AAAAADVr7YY=")</f>
        <v>#VALUE!</v>
      </c>
      <c r="EF24" t="e">
        <f>AND(Ischemia_25percent_output_edgel!B2008,"AAAAADVr7Yc=")</f>
        <v>#VALUE!</v>
      </c>
      <c r="EG24">
        <f>IF(Ischemia_25percent_output_edgel!2009:2009,"AAAAADVr7Yg=",0)</f>
        <v>0</v>
      </c>
      <c r="EH24" t="e">
        <f>AND(Ischemia_25percent_output_edgel!A2009,"AAAAADVr7Yk=")</f>
        <v>#VALUE!</v>
      </c>
      <c r="EI24" t="e">
        <f>AND(Ischemia_25percent_output_edgel!B2009,"AAAAADVr7Yo=")</f>
        <v>#VALUE!</v>
      </c>
      <c r="EJ24">
        <f>IF(Ischemia_25percent_output_edgel!2010:2010,"AAAAADVr7Ys=",0)</f>
        <v>0</v>
      </c>
      <c r="EK24" t="e">
        <f>AND(Ischemia_25percent_output_edgel!A2010,"AAAAADVr7Yw=")</f>
        <v>#VALUE!</v>
      </c>
      <c r="EL24" t="e">
        <f>AND(Ischemia_25percent_output_edgel!B2010,"AAAAADVr7Y0=")</f>
        <v>#VALUE!</v>
      </c>
      <c r="EM24">
        <f>IF(Ischemia_25percent_output_edgel!2011:2011,"AAAAADVr7Y4=",0)</f>
        <v>0</v>
      </c>
      <c r="EN24" t="e">
        <f>AND(Ischemia_25percent_output_edgel!A2011,"AAAAADVr7Y8=")</f>
        <v>#VALUE!</v>
      </c>
      <c r="EO24" t="e">
        <f>AND(Ischemia_25percent_output_edgel!B2011,"AAAAADVr7ZA=")</f>
        <v>#VALUE!</v>
      </c>
      <c r="EP24">
        <f>IF(Ischemia_25percent_output_edgel!2012:2012,"AAAAADVr7ZE=",0)</f>
        <v>0</v>
      </c>
      <c r="EQ24" t="e">
        <f>AND(Ischemia_25percent_output_edgel!A2012,"AAAAADVr7ZI=")</f>
        <v>#VALUE!</v>
      </c>
      <c r="ER24" t="e">
        <f>AND(Ischemia_25percent_output_edgel!B2012,"AAAAADVr7ZM=")</f>
        <v>#VALUE!</v>
      </c>
      <c r="ES24">
        <f>IF(Ischemia_25percent_output_edgel!2013:2013,"AAAAADVr7ZQ=",0)</f>
        <v>0</v>
      </c>
      <c r="ET24" t="e">
        <f>AND(Ischemia_25percent_output_edgel!A2013,"AAAAADVr7ZU=")</f>
        <v>#VALUE!</v>
      </c>
      <c r="EU24" t="e">
        <f>AND(Ischemia_25percent_output_edgel!B2013,"AAAAADVr7ZY=")</f>
        <v>#VALUE!</v>
      </c>
      <c r="EV24">
        <f>IF(Ischemia_25percent_output_edgel!2014:2014,"AAAAADVr7Zc=",0)</f>
        <v>0</v>
      </c>
      <c r="EW24" t="e">
        <f>AND(Ischemia_25percent_output_edgel!A2014,"AAAAADVr7Zg=")</f>
        <v>#VALUE!</v>
      </c>
      <c r="EX24" t="e">
        <f>AND(Ischemia_25percent_output_edgel!B2014,"AAAAADVr7Zk=")</f>
        <v>#VALUE!</v>
      </c>
      <c r="EY24">
        <f>IF(Ischemia_25percent_output_edgel!2015:2015,"AAAAADVr7Zo=",0)</f>
        <v>0</v>
      </c>
      <c r="EZ24" t="e">
        <f>AND(Ischemia_25percent_output_edgel!A2015,"AAAAADVr7Zs=")</f>
        <v>#VALUE!</v>
      </c>
      <c r="FA24" t="e">
        <f>AND(Ischemia_25percent_output_edgel!B2015,"AAAAADVr7Zw=")</f>
        <v>#VALUE!</v>
      </c>
      <c r="FB24">
        <f>IF(Ischemia_25percent_output_edgel!2016:2016,"AAAAADVr7Z0=",0)</f>
        <v>0</v>
      </c>
      <c r="FC24" t="e">
        <f>AND(Ischemia_25percent_output_edgel!A2016,"AAAAADVr7Z4=")</f>
        <v>#VALUE!</v>
      </c>
      <c r="FD24" t="e">
        <f>AND(Ischemia_25percent_output_edgel!B2016,"AAAAADVr7Z8=")</f>
        <v>#VALUE!</v>
      </c>
      <c r="FE24">
        <f>IF(Ischemia_25percent_output_edgel!2017:2017,"AAAAADVr7aA=",0)</f>
        <v>0</v>
      </c>
      <c r="FF24" t="e">
        <f>AND(Ischemia_25percent_output_edgel!A2017,"AAAAADVr7aE=")</f>
        <v>#VALUE!</v>
      </c>
      <c r="FG24" t="e">
        <f>AND(Ischemia_25percent_output_edgel!B2017,"AAAAADVr7aI=")</f>
        <v>#VALUE!</v>
      </c>
      <c r="FH24">
        <f>IF(Ischemia_25percent_output_edgel!2018:2018,"AAAAADVr7aM=",0)</f>
        <v>0</v>
      </c>
      <c r="FI24" t="e">
        <f>AND(Ischemia_25percent_output_edgel!A2018,"AAAAADVr7aQ=")</f>
        <v>#VALUE!</v>
      </c>
      <c r="FJ24" t="e">
        <f>AND(Ischemia_25percent_output_edgel!B2018,"AAAAADVr7aU=")</f>
        <v>#VALUE!</v>
      </c>
      <c r="FK24">
        <f>IF(Ischemia_25percent_output_edgel!2019:2019,"AAAAADVr7aY=",0)</f>
        <v>0</v>
      </c>
      <c r="FL24" t="e">
        <f>AND(Ischemia_25percent_output_edgel!A2019,"AAAAADVr7ac=")</f>
        <v>#VALUE!</v>
      </c>
      <c r="FM24" t="e">
        <f>AND(Ischemia_25percent_output_edgel!B2019,"AAAAADVr7ag=")</f>
        <v>#VALUE!</v>
      </c>
      <c r="FN24">
        <f>IF(Ischemia_25percent_output_edgel!2020:2020,"AAAAADVr7ak=",0)</f>
        <v>0</v>
      </c>
      <c r="FO24" t="e">
        <f>AND(Ischemia_25percent_output_edgel!A2020,"AAAAADVr7ao=")</f>
        <v>#VALUE!</v>
      </c>
      <c r="FP24" t="e">
        <f>AND(Ischemia_25percent_output_edgel!B2020,"AAAAADVr7as=")</f>
        <v>#VALUE!</v>
      </c>
      <c r="FQ24">
        <f>IF(Ischemia_25percent_output_edgel!2021:2021,"AAAAADVr7aw=",0)</f>
        <v>0</v>
      </c>
      <c r="FR24" t="e">
        <f>AND(Ischemia_25percent_output_edgel!A2021,"AAAAADVr7a0=")</f>
        <v>#VALUE!</v>
      </c>
      <c r="FS24" t="e">
        <f>AND(Ischemia_25percent_output_edgel!B2021,"AAAAADVr7a4=")</f>
        <v>#VALUE!</v>
      </c>
      <c r="FT24">
        <f>IF(Ischemia_25percent_output_edgel!2022:2022,"AAAAADVr7a8=",0)</f>
        <v>0</v>
      </c>
      <c r="FU24" t="e">
        <f>AND(Ischemia_25percent_output_edgel!A2022,"AAAAADVr7bA=")</f>
        <v>#VALUE!</v>
      </c>
      <c r="FV24" t="e">
        <f>AND(Ischemia_25percent_output_edgel!B2022,"AAAAADVr7bE=")</f>
        <v>#VALUE!</v>
      </c>
      <c r="FW24">
        <f>IF(Ischemia_25percent_output_edgel!2023:2023,"AAAAADVr7bI=",0)</f>
        <v>0</v>
      </c>
      <c r="FX24" t="e">
        <f>AND(Ischemia_25percent_output_edgel!A2023,"AAAAADVr7bM=")</f>
        <v>#VALUE!</v>
      </c>
      <c r="FY24" t="e">
        <f>AND(Ischemia_25percent_output_edgel!B2023,"AAAAADVr7bQ=")</f>
        <v>#VALUE!</v>
      </c>
      <c r="FZ24">
        <f>IF(Ischemia_25percent_output_edgel!2024:2024,"AAAAADVr7bU=",0)</f>
        <v>0</v>
      </c>
      <c r="GA24" t="e">
        <f>AND(Ischemia_25percent_output_edgel!A2024,"AAAAADVr7bY=")</f>
        <v>#VALUE!</v>
      </c>
      <c r="GB24" t="e">
        <f>AND(Ischemia_25percent_output_edgel!B2024,"AAAAADVr7bc=")</f>
        <v>#VALUE!</v>
      </c>
      <c r="GC24">
        <f>IF(Ischemia_25percent_output_edgel!2025:2025,"AAAAADVr7bg=",0)</f>
        <v>0</v>
      </c>
      <c r="GD24" t="e">
        <f>AND(Ischemia_25percent_output_edgel!A2025,"AAAAADVr7bk=")</f>
        <v>#VALUE!</v>
      </c>
      <c r="GE24" t="e">
        <f>AND(Ischemia_25percent_output_edgel!B2025,"AAAAADVr7bo=")</f>
        <v>#VALUE!</v>
      </c>
      <c r="GF24">
        <f>IF(Ischemia_25percent_output_edgel!2026:2026,"AAAAADVr7bs=",0)</f>
        <v>0</v>
      </c>
      <c r="GG24" t="e">
        <f>AND(Ischemia_25percent_output_edgel!A2026,"AAAAADVr7bw=")</f>
        <v>#VALUE!</v>
      </c>
      <c r="GH24" t="e">
        <f>AND(Ischemia_25percent_output_edgel!B2026,"AAAAADVr7b0=")</f>
        <v>#VALUE!</v>
      </c>
      <c r="GI24">
        <f>IF(Ischemia_25percent_output_edgel!2027:2027,"AAAAADVr7b4=",0)</f>
        <v>0</v>
      </c>
      <c r="GJ24" t="e">
        <f>AND(Ischemia_25percent_output_edgel!A2027,"AAAAADVr7b8=")</f>
        <v>#VALUE!</v>
      </c>
      <c r="GK24" t="e">
        <f>AND(Ischemia_25percent_output_edgel!B2027,"AAAAADVr7cA=")</f>
        <v>#VALUE!</v>
      </c>
      <c r="GL24">
        <f>IF(Ischemia_25percent_output_edgel!2028:2028,"AAAAADVr7cE=",0)</f>
        <v>0</v>
      </c>
      <c r="GM24" t="e">
        <f>AND(Ischemia_25percent_output_edgel!A2028,"AAAAADVr7cI=")</f>
        <v>#VALUE!</v>
      </c>
      <c r="GN24" t="e">
        <f>AND(Ischemia_25percent_output_edgel!B2028,"AAAAADVr7cM=")</f>
        <v>#VALUE!</v>
      </c>
      <c r="GO24">
        <f>IF(Ischemia_25percent_output_edgel!2029:2029,"AAAAADVr7cQ=",0)</f>
        <v>0</v>
      </c>
      <c r="GP24" t="e">
        <f>AND(Ischemia_25percent_output_edgel!A2029,"AAAAADVr7cU=")</f>
        <v>#VALUE!</v>
      </c>
      <c r="GQ24" t="e">
        <f>AND(Ischemia_25percent_output_edgel!B2029,"AAAAADVr7cY=")</f>
        <v>#VALUE!</v>
      </c>
      <c r="GR24">
        <f>IF(Ischemia_25percent_output_edgel!2030:2030,"AAAAADVr7cc=",0)</f>
        <v>0</v>
      </c>
      <c r="GS24" t="e">
        <f>AND(Ischemia_25percent_output_edgel!A2030,"AAAAADVr7cg=")</f>
        <v>#VALUE!</v>
      </c>
      <c r="GT24" t="e">
        <f>AND(Ischemia_25percent_output_edgel!B2030,"AAAAADVr7ck=")</f>
        <v>#VALUE!</v>
      </c>
      <c r="GU24">
        <f>IF(Ischemia_25percent_output_edgel!2031:2031,"AAAAADVr7co=",0)</f>
        <v>0</v>
      </c>
      <c r="GV24" t="e">
        <f>AND(Ischemia_25percent_output_edgel!A2031,"AAAAADVr7cs=")</f>
        <v>#VALUE!</v>
      </c>
      <c r="GW24" t="e">
        <f>AND(Ischemia_25percent_output_edgel!B2031,"AAAAADVr7cw=")</f>
        <v>#VALUE!</v>
      </c>
      <c r="GX24">
        <f>IF(Ischemia_25percent_output_edgel!2032:2032,"AAAAADVr7c0=",0)</f>
        <v>0</v>
      </c>
      <c r="GY24" t="e">
        <f>AND(Ischemia_25percent_output_edgel!A2032,"AAAAADVr7c4=")</f>
        <v>#VALUE!</v>
      </c>
      <c r="GZ24" t="e">
        <f>AND(Ischemia_25percent_output_edgel!B2032,"AAAAADVr7c8=")</f>
        <v>#VALUE!</v>
      </c>
      <c r="HA24">
        <f>IF(Ischemia_25percent_output_edgel!2033:2033,"AAAAADVr7dA=",0)</f>
        <v>0</v>
      </c>
      <c r="HB24" t="e">
        <f>AND(Ischemia_25percent_output_edgel!A2033,"AAAAADVr7dE=")</f>
        <v>#VALUE!</v>
      </c>
      <c r="HC24" t="e">
        <f>AND(Ischemia_25percent_output_edgel!B2033,"AAAAADVr7dI=")</f>
        <v>#VALUE!</v>
      </c>
      <c r="HD24">
        <f>IF(Ischemia_25percent_output_edgel!2034:2034,"AAAAADVr7dM=",0)</f>
        <v>0</v>
      </c>
      <c r="HE24" t="e">
        <f>AND(Ischemia_25percent_output_edgel!A2034,"AAAAADVr7dQ=")</f>
        <v>#VALUE!</v>
      </c>
      <c r="HF24" t="e">
        <f>AND(Ischemia_25percent_output_edgel!B2034,"AAAAADVr7dU=")</f>
        <v>#VALUE!</v>
      </c>
      <c r="HG24">
        <f>IF(Ischemia_25percent_output_edgel!2035:2035,"AAAAADVr7dY=",0)</f>
        <v>0</v>
      </c>
      <c r="HH24" t="e">
        <f>AND(Ischemia_25percent_output_edgel!A2035,"AAAAADVr7dc=")</f>
        <v>#VALUE!</v>
      </c>
      <c r="HI24" t="e">
        <f>AND(Ischemia_25percent_output_edgel!B2035,"AAAAADVr7dg=")</f>
        <v>#VALUE!</v>
      </c>
      <c r="HJ24">
        <f>IF(Ischemia_25percent_output_edgel!2036:2036,"AAAAADVr7dk=",0)</f>
        <v>0</v>
      </c>
      <c r="HK24" t="e">
        <f>AND(Ischemia_25percent_output_edgel!A2036,"AAAAADVr7do=")</f>
        <v>#VALUE!</v>
      </c>
      <c r="HL24" t="e">
        <f>AND(Ischemia_25percent_output_edgel!B2036,"AAAAADVr7ds=")</f>
        <v>#VALUE!</v>
      </c>
      <c r="HM24">
        <f>IF(Ischemia_25percent_output_edgel!2037:2037,"AAAAADVr7dw=",0)</f>
        <v>0</v>
      </c>
      <c r="HN24" t="e">
        <f>AND(Ischemia_25percent_output_edgel!A2037,"AAAAADVr7d0=")</f>
        <v>#VALUE!</v>
      </c>
      <c r="HO24" t="e">
        <f>AND(Ischemia_25percent_output_edgel!B2037,"AAAAADVr7d4=")</f>
        <v>#VALUE!</v>
      </c>
      <c r="HP24">
        <f>IF(Ischemia_25percent_output_edgel!2038:2038,"AAAAADVr7d8=",0)</f>
        <v>0</v>
      </c>
      <c r="HQ24" t="e">
        <f>AND(Ischemia_25percent_output_edgel!A2038,"AAAAADVr7eA=")</f>
        <v>#VALUE!</v>
      </c>
      <c r="HR24" t="e">
        <f>AND(Ischemia_25percent_output_edgel!B2038,"AAAAADVr7eE=")</f>
        <v>#VALUE!</v>
      </c>
      <c r="HS24">
        <f>IF(Ischemia_25percent_output_edgel!2039:2039,"AAAAADVr7eI=",0)</f>
        <v>0</v>
      </c>
      <c r="HT24" t="e">
        <f>AND(Ischemia_25percent_output_edgel!A2039,"AAAAADVr7eM=")</f>
        <v>#VALUE!</v>
      </c>
      <c r="HU24" t="e">
        <f>AND(Ischemia_25percent_output_edgel!B2039,"AAAAADVr7eQ=")</f>
        <v>#VALUE!</v>
      </c>
      <c r="HV24">
        <f>IF(Ischemia_25percent_output_edgel!2040:2040,"AAAAADVr7eU=",0)</f>
        <v>0</v>
      </c>
      <c r="HW24" t="e">
        <f>AND(Ischemia_25percent_output_edgel!A2040,"AAAAADVr7eY=")</f>
        <v>#VALUE!</v>
      </c>
      <c r="HX24" t="e">
        <f>AND(Ischemia_25percent_output_edgel!B2040,"AAAAADVr7ec=")</f>
        <v>#VALUE!</v>
      </c>
      <c r="HY24">
        <f>IF(Ischemia_25percent_output_edgel!2041:2041,"AAAAADVr7eg=",0)</f>
        <v>0</v>
      </c>
      <c r="HZ24" t="e">
        <f>AND(Ischemia_25percent_output_edgel!A2041,"AAAAADVr7ek=")</f>
        <v>#VALUE!</v>
      </c>
      <c r="IA24" t="e">
        <f>AND(Ischemia_25percent_output_edgel!B2041,"AAAAADVr7eo=")</f>
        <v>#VALUE!</v>
      </c>
      <c r="IB24">
        <f>IF(Ischemia_25percent_output_edgel!2042:2042,"AAAAADVr7es=",0)</f>
        <v>0</v>
      </c>
      <c r="IC24" t="e">
        <f>AND(Ischemia_25percent_output_edgel!A2042,"AAAAADVr7ew=")</f>
        <v>#VALUE!</v>
      </c>
      <c r="ID24" t="e">
        <f>AND(Ischemia_25percent_output_edgel!B2042,"AAAAADVr7e0=")</f>
        <v>#VALUE!</v>
      </c>
      <c r="IE24">
        <f>IF(Ischemia_25percent_output_edgel!2043:2043,"AAAAADVr7e4=",0)</f>
        <v>0</v>
      </c>
      <c r="IF24" t="e">
        <f>AND(Ischemia_25percent_output_edgel!A2043,"AAAAADVr7e8=")</f>
        <v>#VALUE!</v>
      </c>
      <c r="IG24" t="e">
        <f>AND(Ischemia_25percent_output_edgel!B2043,"AAAAADVr7fA=")</f>
        <v>#VALUE!</v>
      </c>
      <c r="IH24">
        <f>IF(Ischemia_25percent_output_edgel!2044:2044,"AAAAADVr7fE=",0)</f>
        <v>0</v>
      </c>
      <c r="II24" t="e">
        <f>AND(Ischemia_25percent_output_edgel!A2044,"AAAAADVr7fI=")</f>
        <v>#VALUE!</v>
      </c>
      <c r="IJ24" t="e">
        <f>AND(Ischemia_25percent_output_edgel!B2044,"AAAAADVr7fM=")</f>
        <v>#VALUE!</v>
      </c>
      <c r="IK24">
        <f>IF(Ischemia_25percent_output_edgel!2045:2045,"AAAAADVr7fQ=",0)</f>
        <v>0</v>
      </c>
      <c r="IL24" t="e">
        <f>AND(Ischemia_25percent_output_edgel!A2045,"AAAAADVr7fU=")</f>
        <v>#VALUE!</v>
      </c>
      <c r="IM24" t="e">
        <f>AND(Ischemia_25percent_output_edgel!B2045,"AAAAADVr7fY=")</f>
        <v>#VALUE!</v>
      </c>
      <c r="IN24">
        <f>IF(Ischemia_25percent_output_edgel!2046:2046,"AAAAADVr7fc=",0)</f>
        <v>0</v>
      </c>
      <c r="IO24" t="e">
        <f>AND(Ischemia_25percent_output_edgel!A2046,"AAAAADVr7fg=")</f>
        <v>#VALUE!</v>
      </c>
      <c r="IP24" t="e">
        <f>AND(Ischemia_25percent_output_edgel!B2046,"AAAAADVr7fk=")</f>
        <v>#VALUE!</v>
      </c>
      <c r="IQ24">
        <f>IF(Ischemia_25percent_output_edgel!2047:2047,"AAAAADVr7fo=",0)</f>
        <v>0</v>
      </c>
      <c r="IR24" t="e">
        <f>AND(Ischemia_25percent_output_edgel!A2047,"AAAAADVr7fs=")</f>
        <v>#VALUE!</v>
      </c>
      <c r="IS24" t="e">
        <f>AND(Ischemia_25percent_output_edgel!B2047,"AAAAADVr7fw=")</f>
        <v>#VALUE!</v>
      </c>
      <c r="IT24">
        <f>IF(Ischemia_25percent_output_edgel!2048:2048,"AAAAADVr7f0=",0)</f>
        <v>0</v>
      </c>
      <c r="IU24" t="e">
        <f>AND(Ischemia_25percent_output_edgel!A2048,"AAAAADVr7f4=")</f>
        <v>#VALUE!</v>
      </c>
      <c r="IV24" t="e">
        <f>AND(Ischemia_25percent_output_edgel!B2048,"AAAAADVr7f8=")</f>
        <v>#VALUE!</v>
      </c>
    </row>
    <row r="25" spans="1:256">
      <c r="A25" t="e">
        <f>IF(Ischemia_25percent_output_edgel!2049:2049,"AAAAAFLrrwA=",0)</f>
        <v>#VALUE!</v>
      </c>
      <c r="B25" t="e">
        <f>AND(Ischemia_25percent_output_edgel!A2049,"AAAAAFLrrwE=")</f>
        <v>#VALUE!</v>
      </c>
      <c r="C25" t="e">
        <f>AND(Ischemia_25percent_output_edgel!B2049,"AAAAAFLrrwI=")</f>
        <v>#VALUE!</v>
      </c>
      <c r="D25">
        <f>IF(Ischemia_25percent_output_edgel!2050:2050,"AAAAAFLrrwM=",0)</f>
        <v>0</v>
      </c>
      <c r="E25" t="e">
        <f>AND(Ischemia_25percent_output_edgel!A2050,"AAAAAFLrrwQ=")</f>
        <v>#VALUE!</v>
      </c>
      <c r="F25" t="e">
        <f>AND(Ischemia_25percent_output_edgel!B2050,"AAAAAFLrrwU=")</f>
        <v>#VALUE!</v>
      </c>
      <c r="G25">
        <f>IF(Ischemia_25percent_output_edgel!2051:2051,"AAAAAFLrrwY=",0)</f>
        <v>0</v>
      </c>
      <c r="H25" t="e">
        <f>AND(Ischemia_25percent_output_edgel!A2051,"AAAAAFLrrwc=")</f>
        <v>#VALUE!</v>
      </c>
      <c r="I25" t="e">
        <f>AND(Ischemia_25percent_output_edgel!B2051,"AAAAAFLrrwg=")</f>
        <v>#VALUE!</v>
      </c>
      <c r="J25">
        <f>IF(Ischemia_25percent_output_edgel!2052:2052,"AAAAAFLrrwk=",0)</f>
        <v>0</v>
      </c>
      <c r="K25" t="e">
        <f>AND(Ischemia_25percent_output_edgel!A2052,"AAAAAFLrrwo=")</f>
        <v>#VALUE!</v>
      </c>
      <c r="L25" t="e">
        <f>AND(Ischemia_25percent_output_edgel!B2052,"AAAAAFLrrws=")</f>
        <v>#VALUE!</v>
      </c>
      <c r="M25">
        <f>IF(Ischemia_25percent_output_edgel!2053:2053,"AAAAAFLrrww=",0)</f>
        <v>0</v>
      </c>
      <c r="N25" t="e">
        <f>AND(Ischemia_25percent_output_edgel!A2053,"AAAAAFLrrw0=")</f>
        <v>#VALUE!</v>
      </c>
      <c r="O25" t="e">
        <f>AND(Ischemia_25percent_output_edgel!B2053,"AAAAAFLrrw4=")</f>
        <v>#VALUE!</v>
      </c>
      <c r="P25">
        <f>IF(Ischemia_25percent_output_edgel!2054:2054,"AAAAAFLrrw8=",0)</f>
        <v>0</v>
      </c>
      <c r="Q25" t="e">
        <f>AND(Ischemia_25percent_output_edgel!A2054,"AAAAAFLrrxA=")</f>
        <v>#VALUE!</v>
      </c>
      <c r="R25" t="e">
        <f>AND(Ischemia_25percent_output_edgel!B2054,"AAAAAFLrrxE=")</f>
        <v>#VALUE!</v>
      </c>
      <c r="S25">
        <f>IF(Ischemia_25percent_output_edgel!2055:2055,"AAAAAFLrrxI=",0)</f>
        <v>0</v>
      </c>
      <c r="T25" t="e">
        <f>AND(Ischemia_25percent_output_edgel!A2055,"AAAAAFLrrxM=")</f>
        <v>#VALUE!</v>
      </c>
      <c r="U25" t="e">
        <f>AND(Ischemia_25percent_output_edgel!B2055,"AAAAAFLrrxQ=")</f>
        <v>#VALUE!</v>
      </c>
      <c r="V25">
        <f>IF(Ischemia_25percent_output_edgel!2056:2056,"AAAAAFLrrxU=",0)</f>
        <v>0</v>
      </c>
      <c r="W25" t="e">
        <f>AND(Ischemia_25percent_output_edgel!A2056,"AAAAAFLrrxY=")</f>
        <v>#VALUE!</v>
      </c>
      <c r="X25" t="e">
        <f>AND(Ischemia_25percent_output_edgel!B2056,"AAAAAFLrrxc=")</f>
        <v>#VALUE!</v>
      </c>
      <c r="Y25">
        <f>IF(Ischemia_25percent_output_edgel!2057:2057,"AAAAAFLrrxg=",0)</f>
        <v>0</v>
      </c>
      <c r="Z25" t="e">
        <f>AND(Ischemia_25percent_output_edgel!A2057,"AAAAAFLrrxk=")</f>
        <v>#VALUE!</v>
      </c>
      <c r="AA25" t="e">
        <f>AND(Ischemia_25percent_output_edgel!B2057,"AAAAAFLrrxo=")</f>
        <v>#VALUE!</v>
      </c>
      <c r="AB25">
        <f>IF(Ischemia_25percent_output_edgel!2058:2058,"AAAAAFLrrxs=",0)</f>
        <v>0</v>
      </c>
      <c r="AC25" t="e">
        <f>AND(Ischemia_25percent_output_edgel!A2058,"AAAAAFLrrxw=")</f>
        <v>#VALUE!</v>
      </c>
      <c r="AD25" t="e">
        <f>AND(Ischemia_25percent_output_edgel!B2058,"AAAAAFLrrx0=")</f>
        <v>#VALUE!</v>
      </c>
      <c r="AE25">
        <f>IF(Ischemia_25percent_output_edgel!2059:2059,"AAAAAFLrrx4=",0)</f>
        <v>0</v>
      </c>
      <c r="AF25" t="e">
        <f>AND(Ischemia_25percent_output_edgel!A2059,"AAAAAFLrrx8=")</f>
        <v>#VALUE!</v>
      </c>
      <c r="AG25" t="e">
        <f>AND(Ischemia_25percent_output_edgel!B2059,"AAAAAFLrryA=")</f>
        <v>#VALUE!</v>
      </c>
      <c r="AH25">
        <f>IF(Ischemia_25percent_output_edgel!2060:2060,"AAAAAFLrryE=",0)</f>
        <v>0</v>
      </c>
      <c r="AI25" t="e">
        <f>AND(Ischemia_25percent_output_edgel!A2060,"AAAAAFLrryI=")</f>
        <v>#VALUE!</v>
      </c>
      <c r="AJ25" t="e">
        <f>AND(Ischemia_25percent_output_edgel!B2060,"AAAAAFLrryM=")</f>
        <v>#VALUE!</v>
      </c>
      <c r="AK25">
        <f>IF(Ischemia_25percent_output_edgel!2061:2061,"AAAAAFLrryQ=",0)</f>
        <v>0</v>
      </c>
      <c r="AL25" t="e">
        <f>AND(Ischemia_25percent_output_edgel!A2061,"AAAAAFLrryU=")</f>
        <v>#VALUE!</v>
      </c>
      <c r="AM25" t="e">
        <f>AND(Ischemia_25percent_output_edgel!B2061,"AAAAAFLrryY=")</f>
        <v>#VALUE!</v>
      </c>
      <c r="AN25">
        <f>IF(Ischemia_25percent_output_edgel!2062:2062,"AAAAAFLrryc=",0)</f>
        <v>0</v>
      </c>
      <c r="AO25" t="e">
        <f>AND(Ischemia_25percent_output_edgel!A2062,"AAAAAFLrryg=")</f>
        <v>#VALUE!</v>
      </c>
      <c r="AP25" t="e">
        <f>AND(Ischemia_25percent_output_edgel!B2062,"AAAAAFLrryk=")</f>
        <v>#VALUE!</v>
      </c>
      <c r="AQ25">
        <f>IF(Ischemia_25percent_output_edgel!2063:2063,"AAAAAFLrryo=",0)</f>
        <v>0</v>
      </c>
      <c r="AR25" t="e">
        <f>AND(Ischemia_25percent_output_edgel!A2063,"AAAAAFLrrys=")</f>
        <v>#VALUE!</v>
      </c>
      <c r="AS25" t="e">
        <f>AND(Ischemia_25percent_output_edgel!B2063,"AAAAAFLrryw=")</f>
        <v>#VALUE!</v>
      </c>
      <c r="AT25">
        <f>IF(Ischemia_25percent_output_edgel!2064:2064,"AAAAAFLrry0=",0)</f>
        <v>0</v>
      </c>
      <c r="AU25" t="e">
        <f>AND(Ischemia_25percent_output_edgel!A2064,"AAAAAFLrry4=")</f>
        <v>#VALUE!</v>
      </c>
      <c r="AV25" t="e">
        <f>AND(Ischemia_25percent_output_edgel!B2064,"AAAAAFLrry8=")</f>
        <v>#VALUE!</v>
      </c>
      <c r="AW25">
        <f>IF(Ischemia_25percent_output_edgel!2065:2065,"AAAAAFLrrzA=",0)</f>
        <v>0</v>
      </c>
      <c r="AX25" t="e">
        <f>AND(Ischemia_25percent_output_edgel!A2065,"AAAAAFLrrzE=")</f>
        <v>#VALUE!</v>
      </c>
      <c r="AY25" t="e">
        <f>AND(Ischemia_25percent_output_edgel!B2065,"AAAAAFLrrzI=")</f>
        <v>#VALUE!</v>
      </c>
      <c r="AZ25">
        <f>IF(Ischemia_25percent_output_edgel!2066:2066,"AAAAAFLrrzM=",0)</f>
        <v>0</v>
      </c>
      <c r="BA25" t="e">
        <f>AND(Ischemia_25percent_output_edgel!A2066,"AAAAAFLrrzQ=")</f>
        <v>#VALUE!</v>
      </c>
      <c r="BB25" t="e">
        <f>AND(Ischemia_25percent_output_edgel!B2066,"AAAAAFLrrzU=")</f>
        <v>#VALUE!</v>
      </c>
      <c r="BC25">
        <f>IF(Ischemia_25percent_output_edgel!2067:2067,"AAAAAFLrrzY=",0)</f>
        <v>0</v>
      </c>
      <c r="BD25" t="e">
        <f>AND(Ischemia_25percent_output_edgel!A2067,"AAAAAFLrrzc=")</f>
        <v>#VALUE!</v>
      </c>
      <c r="BE25" t="e">
        <f>AND(Ischemia_25percent_output_edgel!B2067,"AAAAAFLrrzg=")</f>
        <v>#VALUE!</v>
      </c>
      <c r="BF25">
        <f>IF(Ischemia_25percent_output_edgel!2068:2068,"AAAAAFLrrzk=",0)</f>
        <v>0</v>
      </c>
      <c r="BG25" t="e">
        <f>AND(Ischemia_25percent_output_edgel!A2068,"AAAAAFLrrzo=")</f>
        <v>#VALUE!</v>
      </c>
      <c r="BH25" t="e">
        <f>AND(Ischemia_25percent_output_edgel!B2068,"AAAAAFLrrzs=")</f>
        <v>#VALUE!</v>
      </c>
      <c r="BI25">
        <f>IF(Ischemia_25percent_output_edgel!2069:2069,"AAAAAFLrrzw=",0)</f>
        <v>0</v>
      </c>
      <c r="BJ25" t="e">
        <f>AND(Ischemia_25percent_output_edgel!A2069,"AAAAAFLrrz0=")</f>
        <v>#VALUE!</v>
      </c>
      <c r="BK25" t="e">
        <f>AND(Ischemia_25percent_output_edgel!B2069,"AAAAAFLrrz4=")</f>
        <v>#VALUE!</v>
      </c>
      <c r="BL25">
        <f>IF(Ischemia_25percent_output_edgel!2070:2070,"AAAAAFLrrz8=",0)</f>
        <v>0</v>
      </c>
      <c r="BM25" t="e">
        <f>AND(Ischemia_25percent_output_edgel!A2070,"AAAAAFLrr0A=")</f>
        <v>#VALUE!</v>
      </c>
      <c r="BN25" t="e">
        <f>AND(Ischemia_25percent_output_edgel!B2070,"AAAAAFLrr0E=")</f>
        <v>#VALUE!</v>
      </c>
      <c r="BO25">
        <f>IF(Ischemia_25percent_output_edgel!2071:2071,"AAAAAFLrr0I=",0)</f>
        <v>0</v>
      </c>
      <c r="BP25" t="e">
        <f>AND(Ischemia_25percent_output_edgel!A2071,"AAAAAFLrr0M=")</f>
        <v>#VALUE!</v>
      </c>
      <c r="BQ25" t="e">
        <f>AND(Ischemia_25percent_output_edgel!B2071,"AAAAAFLrr0Q=")</f>
        <v>#VALUE!</v>
      </c>
      <c r="BR25">
        <f>IF(Ischemia_25percent_output_edgel!2072:2072,"AAAAAFLrr0U=",0)</f>
        <v>0</v>
      </c>
      <c r="BS25" t="e">
        <f>AND(Ischemia_25percent_output_edgel!A2072,"AAAAAFLrr0Y=")</f>
        <v>#VALUE!</v>
      </c>
      <c r="BT25" t="e">
        <f>AND(Ischemia_25percent_output_edgel!B2072,"AAAAAFLrr0c=")</f>
        <v>#VALUE!</v>
      </c>
      <c r="BU25">
        <f>IF(Ischemia_25percent_output_edgel!2073:2073,"AAAAAFLrr0g=",0)</f>
        <v>0</v>
      </c>
      <c r="BV25" t="e">
        <f>AND(Ischemia_25percent_output_edgel!A2073,"AAAAAFLrr0k=")</f>
        <v>#VALUE!</v>
      </c>
      <c r="BW25" t="e">
        <f>AND(Ischemia_25percent_output_edgel!B2073,"AAAAAFLrr0o=")</f>
        <v>#VALUE!</v>
      </c>
      <c r="BX25">
        <f>IF(Ischemia_25percent_output_edgel!2074:2074,"AAAAAFLrr0s=",0)</f>
        <v>0</v>
      </c>
      <c r="BY25" t="e">
        <f>AND(Ischemia_25percent_output_edgel!A2074,"AAAAAFLrr0w=")</f>
        <v>#VALUE!</v>
      </c>
      <c r="BZ25" t="e">
        <f>AND(Ischemia_25percent_output_edgel!B2074,"AAAAAFLrr00=")</f>
        <v>#VALUE!</v>
      </c>
      <c r="CA25">
        <f>IF(Ischemia_25percent_output_edgel!2075:2075,"AAAAAFLrr04=",0)</f>
        <v>0</v>
      </c>
      <c r="CB25" t="e">
        <f>AND(Ischemia_25percent_output_edgel!A2075,"AAAAAFLrr08=")</f>
        <v>#VALUE!</v>
      </c>
      <c r="CC25" t="e">
        <f>AND(Ischemia_25percent_output_edgel!B2075,"AAAAAFLrr1A=")</f>
        <v>#VALUE!</v>
      </c>
      <c r="CD25">
        <f>IF(Ischemia_25percent_output_edgel!2076:2076,"AAAAAFLrr1E=",0)</f>
        <v>0</v>
      </c>
      <c r="CE25" t="e">
        <f>AND(Ischemia_25percent_output_edgel!A2076,"AAAAAFLrr1I=")</f>
        <v>#VALUE!</v>
      </c>
      <c r="CF25" t="e">
        <f>AND(Ischemia_25percent_output_edgel!B2076,"AAAAAFLrr1M=")</f>
        <v>#VALUE!</v>
      </c>
      <c r="CG25">
        <f>IF(Ischemia_25percent_output_edgel!2077:2077,"AAAAAFLrr1Q=",0)</f>
        <v>0</v>
      </c>
      <c r="CH25" t="e">
        <f>AND(Ischemia_25percent_output_edgel!A2077,"AAAAAFLrr1U=")</f>
        <v>#VALUE!</v>
      </c>
      <c r="CI25" t="e">
        <f>AND(Ischemia_25percent_output_edgel!B2077,"AAAAAFLrr1Y=")</f>
        <v>#VALUE!</v>
      </c>
      <c r="CJ25">
        <f>IF(Ischemia_25percent_output_edgel!2078:2078,"AAAAAFLrr1c=",0)</f>
        <v>0</v>
      </c>
      <c r="CK25" t="e">
        <f>AND(Ischemia_25percent_output_edgel!A2078,"AAAAAFLrr1g=")</f>
        <v>#VALUE!</v>
      </c>
      <c r="CL25" t="e">
        <f>AND(Ischemia_25percent_output_edgel!B2078,"AAAAAFLrr1k=")</f>
        <v>#VALUE!</v>
      </c>
      <c r="CM25">
        <f>IF(Ischemia_25percent_output_edgel!2079:2079,"AAAAAFLrr1o=",0)</f>
        <v>0</v>
      </c>
      <c r="CN25" t="e">
        <f>AND(Ischemia_25percent_output_edgel!A2079,"AAAAAFLrr1s=")</f>
        <v>#VALUE!</v>
      </c>
      <c r="CO25" t="e">
        <f>AND(Ischemia_25percent_output_edgel!B2079,"AAAAAFLrr1w=")</f>
        <v>#VALUE!</v>
      </c>
      <c r="CP25">
        <f>IF(Ischemia_25percent_output_edgel!2080:2080,"AAAAAFLrr10=",0)</f>
        <v>0</v>
      </c>
      <c r="CQ25" t="e">
        <f>AND(Ischemia_25percent_output_edgel!A2080,"AAAAAFLrr14=")</f>
        <v>#VALUE!</v>
      </c>
      <c r="CR25" t="e">
        <f>AND(Ischemia_25percent_output_edgel!B2080,"AAAAAFLrr18=")</f>
        <v>#VALUE!</v>
      </c>
      <c r="CS25">
        <f>IF(Ischemia_25percent_output_edgel!2081:2081,"AAAAAFLrr2A=",0)</f>
        <v>0</v>
      </c>
      <c r="CT25" t="e">
        <f>AND(Ischemia_25percent_output_edgel!A2081,"AAAAAFLrr2E=")</f>
        <v>#VALUE!</v>
      </c>
      <c r="CU25" t="e">
        <f>AND(Ischemia_25percent_output_edgel!B2081,"AAAAAFLrr2I=")</f>
        <v>#VALUE!</v>
      </c>
      <c r="CV25">
        <f>IF(Ischemia_25percent_output_edgel!2082:2082,"AAAAAFLrr2M=",0)</f>
        <v>0</v>
      </c>
      <c r="CW25" t="e">
        <f>AND(Ischemia_25percent_output_edgel!A2082,"AAAAAFLrr2Q=")</f>
        <v>#VALUE!</v>
      </c>
      <c r="CX25" t="e">
        <f>AND(Ischemia_25percent_output_edgel!B2082,"AAAAAFLrr2U=")</f>
        <v>#VALUE!</v>
      </c>
      <c r="CY25">
        <f>IF(Ischemia_25percent_output_edgel!2083:2083,"AAAAAFLrr2Y=",0)</f>
        <v>0</v>
      </c>
      <c r="CZ25" t="e">
        <f>AND(Ischemia_25percent_output_edgel!A2083,"AAAAAFLrr2c=")</f>
        <v>#VALUE!</v>
      </c>
      <c r="DA25" t="e">
        <f>AND(Ischemia_25percent_output_edgel!B2083,"AAAAAFLrr2g=")</f>
        <v>#VALUE!</v>
      </c>
      <c r="DB25">
        <f>IF(Ischemia_25percent_output_edgel!2084:2084,"AAAAAFLrr2k=",0)</f>
        <v>0</v>
      </c>
      <c r="DC25" t="e">
        <f>AND(Ischemia_25percent_output_edgel!A2084,"AAAAAFLrr2o=")</f>
        <v>#VALUE!</v>
      </c>
      <c r="DD25" t="e">
        <f>AND(Ischemia_25percent_output_edgel!B2084,"AAAAAFLrr2s=")</f>
        <v>#VALUE!</v>
      </c>
      <c r="DE25">
        <f>IF(Ischemia_25percent_output_edgel!2085:2085,"AAAAAFLrr2w=",0)</f>
        <v>0</v>
      </c>
      <c r="DF25" t="e">
        <f>AND(Ischemia_25percent_output_edgel!A2085,"AAAAAFLrr20=")</f>
        <v>#VALUE!</v>
      </c>
      <c r="DG25" t="e">
        <f>AND(Ischemia_25percent_output_edgel!B2085,"AAAAAFLrr24=")</f>
        <v>#VALUE!</v>
      </c>
      <c r="DH25">
        <f>IF(Ischemia_25percent_output_edgel!2086:2086,"AAAAAFLrr28=",0)</f>
        <v>0</v>
      </c>
      <c r="DI25" t="e">
        <f>AND(Ischemia_25percent_output_edgel!A2086,"AAAAAFLrr3A=")</f>
        <v>#VALUE!</v>
      </c>
      <c r="DJ25" t="e">
        <f>AND(Ischemia_25percent_output_edgel!B2086,"AAAAAFLrr3E=")</f>
        <v>#VALUE!</v>
      </c>
      <c r="DK25">
        <f>IF(Ischemia_25percent_output_edgel!2087:2087,"AAAAAFLrr3I=",0)</f>
        <v>0</v>
      </c>
      <c r="DL25" t="e">
        <f>AND(Ischemia_25percent_output_edgel!A2087,"AAAAAFLrr3M=")</f>
        <v>#VALUE!</v>
      </c>
      <c r="DM25" t="e">
        <f>AND(Ischemia_25percent_output_edgel!B2087,"AAAAAFLrr3Q=")</f>
        <v>#VALUE!</v>
      </c>
      <c r="DN25">
        <f>IF(Ischemia_25percent_output_edgel!2088:2088,"AAAAAFLrr3U=",0)</f>
        <v>0</v>
      </c>
      <c r="DO25" t="e">
        <f>AND(Ischemia_25percent_output_edgel!A2088,"AAAAAFLrr3Y=")</f>
        <v>#VALUE!</v>
      </c>
      <c r="DP25" t="e">
        <f>AND(Ischemia_25percent_output_edgel!B2088,"AAAAAFLrr3c=")</f>
        <v>#VALUE!</v>
      </c>
      <c r="DQ25">
        <f>IF(Ischemia_25percent_output_edgel!2089:2089,"AAAAAFLrr3g=",0)</f>
        <v>0</v>
      </c>
      <c r="DR25" t="e">
        <f>AND(Ischemia_25percent_output_edgel!A2089,"AAAAAFLrr3k=")</f>
        <v>#VALUE!</v>
      </c>
      <c r="DS25" t="e">
        <f>AND(Ischemia_25percent_output_edgel!B2089,"AAAAAFLrr3o=")</f>
        <v>#VALUE!</v>
      </c>
      <c r="DT25">
        <f>IF(Ischemia_25percent_output_edgel!2090:2090,"AAAAAFLrr3s=",0)</f>
        <v>0</v>
      </c>
      <c r="DU25" t="e">
        <f>AND(Ischemia_25percent_output_edgel!A2090,"AAAAAFLrr3w=")</f>
        <v>#VALUE!</v>
      </c>
      <c r="DV25" t="e">
        <f>AND(Ischemia_25percent_output_edgel!B2090,"AAAAAFLrr30=")</f>
        <v>#VALUE!</v>
      </c>
      <c r="DW25">
        <f>IF(Ischemia_25percent_output_edgel!2091:2091,"AAAAAFLrr34=",0)</f>
        <v>0</v>
      </c>
      <c r="DX25" t="e">
        <f>AND(Ischemia_25percent_output_edgel!A2091,"AAAAAFLrr38=")</f>
        <v>#VALUE!</v>
      </c>
      <c r="DY25" t="e">
        <f>AND(Ischemia_25percent_output_edgel!B2091,"AAAAAFLrr4A=")</f>
        <v>#VALUE!</v>
      </c>
      <c r="DZ25">
        <f>IF(Ischemia_25percent_output_edgel!2092:2092,"AAAAAFLrr4E=",0)</f>
        <v>0</v>
      </c>
      <c r="EA25" t="e">
        <f>AND(Ischemia_25percent_output_edgel!A2092,"AAAAAFLrr4I=")</f>
        <v>#VALUE!</v>
      </c>
      <c r="EB25" t="e">
        <f>AND(Ischemia_25percent_output_edgel!B2092,"AAAAAFLrr4M=")</f>
        <v>#VALUE!</v>
      </c>
      <c r="EC25">
        <f>IF(Ischemia_25percent_output_edgel!2093:2093,"AAAAAFLrr4Q=",0)</f>
        <v>0</v>
      </c>
      <c r="ED25" t="e">
        <f>AND(Ischemia_25percent_output_edgel!A2093,"AAAAAFLrr4U=")</f>
        <v>#VALUE!</v>
      </c>
      <c r="EE25" t="e">
        <f>AND(Ischemia_25percent_output_edgel!B2093,"AAAAAFLrr4Y=")</f>
        <v>#VALUE!</v>
      </c>
      <c r="EF25">
        <f>IF(Ischemia_25percent_output_edgel!2094:2094,"AAAAAFLrr4c=",0)</f>
        <v>0</v>
      </c>
      <c r="EG25" t="e">
        <f>AND(Ischemia_25percent_output_edgel!A2094,"AAAAAFLrr4g=")</f>
        <v>#VALUE!</v>
      </c>
      <c r="EH25" t="e">
        <f>AND(Ischemia_25percent_output_edgel!B2094,"AAAAAFLrr4k=")</f>
        <v>#VALUE!</v>
      </c>
      <c r="EI25">
        <f>IF(Ischemia_25percent_output_edgel!2095:2095,"AAAAAFLrr4o=",0)</f>
        <v>0</v>
      </c>
      <c r="EJ25" t="e">
        <f>AND(Ischemia_25percent_output_edgel!A2095,"AAAAAFLrr4s=")</f>
        <v>#VALUE!</v>
      </c>
      <c r="EK25" t="e">
        <f>AND(Ischemia_25percent_output_edgel!B2095,"AAAAAFLrr4w=")</f>
        <v>#VALUE!</v>
      </c>
      <c r="EL25">
        <f>IF(Ischemia_25percent_output_edgel!2096:2096,"AAAAAFLrr40=",0)</f>
        <v>0</v>
      </c>
      <c r="EM25" t="e">
        <f>AND(Ischemia_25percent_output_edgel!A2096,"AAAAAFLrr44=")</f>
        <v>#VALUE!</v>
      </c>
      <c r="EN25" t="e">
        <f>AND(Ischemia_25percent_output_edgel!B2096,"AAAAAFLrr48=")</f>
        <v>#VALUE!</v>
      </c>
      <c r="EO25">
        <f>IF(Ischemia_25percent_output_edgel!2097:2097,"AAAAAFLrr5A=",0)</f>
        <v>0</v>
      </c>
      <c r="EP25" t="e">
        <f>AND(Ischemia_25percent_output_edgel!A2097,"AAAAAFLrr5E=")</f>
        <v>#VALUE!</v>
      </c>
      <c r="EQ25" t="e">
        <f>AND(Ischemia_25percent_output_edgel!B2097,"AAAAAFLrr5I=")</f>
        <v>#VALUE!</v>
      </c>
      <c r="ER25">
        <f>IF(Ischemia_25percent_output_edgel!2098:2098,"AAAAAFLrr5M=",0)</f>
        <v>0</v>
      </c>
      <c r="ES25" t="e">
        <f>AND(Ischemia_25percent_output_edgel!A2098,"AAAAAFLrr5Q=")</f>
        <v>#VALUE!</v>
      </c>
      <c r="ET25" t="e">
        <f>AND(Ischemia_25percent_output_edgel!B2098,"AAAAAFLrr5U=")</f>
        <v>#VALUE!</v>
      </c>
      <c r="EU25">
        <f>IF(Ischemia_25percent_output_edgel!2099:2099,"AAAAAFLrr5Y=",0)</f>
        <v>0</v>
      </c>
      <c r="EV25" t="e">
        <f>AND(Ischemia_25percent_output_edgel!A2099,"AAAAAFLrr5c=")</f>
        <v>#VALUE!</v>
      </c>
      <c r="EW25" t="e">
        <f>AND(Ischemia_25percent_output_edgel!B2099,"AAAAAFLrr5g=")</f>
        <v>#VALUE!</v>
      </c>
      <c r="EX25">
        <f>IF(Ischemia_25percent_output_edgel!2100:2100,"AAAAAFLrr5k=",0)</f>
        <v>0</v>
      </c>
      <c r="EY25" t="e">
        <f>AND(Ischemia_25percent_output_edgel!A2100,"AAAAAFLrr5o=")</f>
        <v>#VALUE!</v>
      </c>
      <c r="EZ25" t="e">
        <f>AND(Ischemia_25percent_output_edgel!B2100,"AAAAAFLrr5s=")</f>
        <v>#VALUE!</v>
      </c>
      <c r="FA25">
        <f>IF(Ischemia_25percent_output_edgel!2101:2101,"AAAAAFLrr5w=",0)</f>
        <v>0</v>
      </c>
      <c r="FB25" t="e">
        <f>AND(Ischemia_25percent_output_edgel!A2101,"AAAAAFLrr50=")</f>
        <v>#VALUE!</v>
      </c>
      <c r="FC25" t="e">
        <f>AND(Ischemia_25percent_output_edgel!B2101,"AAAAAFLrr54=")</f>
        <v>#VALUE!</v>
      </c>
      <c r="FD25">
        <f>IF(Ischemia_25percent_output_edgel!2102:2102,"AAAAAFLrr58=",0)</f>
        <v>0</v>
      </c>
      <c r="FE25" t="e">
        <f>AND(Ischemia_25percent_output_edgel!A2102,"AAAAAFLrr6A=")</f>
        <v>#VALUE!</v>
      </c>
      <c r="FF25" t="e">
        <f>AND(Ischemia_25percent_output_edgel!B2102,"AAAAAFLrr6E=")</f>
        <v>#VALUE!</v>
      </c>
      <c r="FG25">
        <f>IF(Ischemia_25percent_output_edgel!2103:2103,"AAAAAFLrr6I=",0)</f>
        <v>0</v>
      </c>
      <c r="FH25" t="e">
        <f>AND(Ischemia_25percent_output_edgel!A2103,"AAAAAFLrr6M=")</f>
        <v>#VALUE!</v>
      </c>
      <c r="FI25" t="e">
        <f>AND(Ischemia_25percent_output_edgel!B2103,"AAAAAFLrr6Q=")</f>
        <v>#VALUE!</v>
      </c>
      <c r="FJ25">
        <f>IF(Ischemia_25percent_output_edgel!2104:2104,"AAAAAFLrr6U=",0)</f>
        <v>0</v>
      </c>
      <c r="FK25" t="e">
        <f>AND(Ischemia_25percent_output_edgel!A2104,"AAAAAFLrr6Y=")</f>
        <v>#VALUE!</v>
      </c>
      <c r="FL25" t="e">
        <f>AND(Ischemia_25percent_output_edgel!B2104,"AAAAAFLrr6c=")</f>
        <v>#VALUE!</v>
      </c>
      <c r="FM25">
        <f>IF(Ischemia_25percent_output_edgel!2105:2105,"AAAAAFLrr6g=",0)</f>
        <v>0</v>
      </c>
      <c r="FN25" t="e">
        <f>AND(Ischemia_25percent_output_edgel!A2105,"AAAAAFLrr6k=")</f>
        <v>#VALUE!</v>
      </c>
      <c r="FO25" t="e">
        <f>AND(Ischemia_25percent_output_edgel!B2105,"AAAAAFLrr6o=")</f>
        <v>#VALUE!</v>
      </c>
      <c r="FP25">
        <f>IF(Ischemia_25percent_output_edgel!2106:2106,"AAAAAFLrr6s=",0)</f>
        <v>0</v>
      </c>
      <c r="FQ25" t="e">
        <f>AND(Ischemia_25percent_output_edgel!A2106,"AAAAAFLrr6w=")</f>
        <v>#VALUE!</v>
      </c>
      <c r="FR25" t="e">
        <f>AND(Ischemia_25percent_output_edgel!B2106,"AAAAAFLrr60=")</f>
        <v>#VALUE!</v>
      </c>
      <c r="FS25">
        <f>IF(Ischemia_25percent_output_edgel!2107:2107,"AAAAAFLrr64=",0)</f>
        <v>0</v>
      </c>
      <c r="FT25" t="e">
        <f>AND(Ischemia_25percent_output_edgel!A2107,"AAAAAFLrr68=")</f>
        <v>#VALUE!</v>
      </c>
      <c r="FU25" t="e">
        <f>AND(Ischemia_25percent_output_edgel!B2107,"AAAAAFLrr7A=")</f>
        <v>#VALUE!</v>
      </c>
      <c r="FV25">
        <f>IF(Ischemia_25percent_output_edgel!2108:2108,"AAAAAFLrr7E=",0)</f>
        <v>0</v>
      </c>
      <c r="FW25" t="e">
        <f>AND(Ischemia_25percent_output_edgel!A2108,"AAAAAFLrr7I=")</f>
        <v>#VALUE!</v>
      </c>
      <c r="FX25" t="e">
        <f>AND(Ischemia_25percent_output_edgel!B2108,"AAAAAFLrr7M=")</f>
        <v>#VALUE!</v>
      </c>
      <c r="FY25">
        <f>IF(Ischemia_25percent_output_edgel!2109:2109,"AAAAAFLrr7Q=",0)</f>
        <v>0</v>
      </c>
      <c r="FZ25" t="e">
        <f>AND(Ischemia_25percent_output_edgel!A2109,"AAAAAFLrr7U=")</f>
        <v>#VALUE!</v>
      </c>
      <c r="GA25" t="e">
        <f>AND(Ischemia_25percent_output_edgel!B2109,"AAAAAFLrr7Y=")</f>
        <v>#VALUE!</v>
      </c>
      <c r="GB25">
        <f>IF(Ischemia_25percent_output_edgel!2110:2110,"AAAAAFLrr7c=",0)</f>
        <v>0</v>
      </c>
      <c r="GC25" t="e">
        <f>AND(Ischemia_25percent_output_edgel!A2110,"AAAAAFLrr7g=")</f>
        <v>#VALUE!</v>
      </c>
      <c r="GD25" t="e">
        <f>AND(Ischemia_25percent_output_edgel!B2110,"AAAAAFLrr7k=")</f>
        <v>#VALUE!</v>
      </c>
      <c r="GE25">
        <f>IF(Ischemia_25percent_output_edgel!2111:2111,"AAAAAFLrr7o=",0)</f>
        <v>0</v>
      </c>
      <c r="GF25" t="e">
        <f>AND(Ischemia_25percent_output_edgel!A2111,"AAAAAFLrr7s=")</f>
        <v>#VALUE!</v>
      </c>
      <c r="GG25" t="e">
        <f>AND(Ischemia_25percent_output_edgel!B2111,"AAAAAFLrr7w=")</f>
        <v>#VALUE!</v>
      </c>
      <c r="GH25">
        <f>IF(Ischemia_25percent_output_edgel!2112:2112,"AAAAAFLrr70=",0)</f>
        <v>0</v>
      </c>
      <c r="GI25" t="e">
        <f>AND(Ischemia_25percent_output_edgel!A2112,"AAAAAFLrr74=")</f>
        <v>#VALUE!</v>
      </c>
      <c r="GJ25" t="e">
        <f>AND(Ischemia_25percent_output_edgel!B2112,"AAAAAFLrr78=")</f>
        <v>#VALUE!</v>
      </c>
      <c r="GK25">
        <f>IF(Ischemia_25percent_output_edgel!2113:2113,"AAAAAFLrr8A=",0)</f>
        <v>0</v>
      </c>
      <c r="GL25" t="e">
        <f>AND(Ischemia_25percent_output_edgel!A2113,"AAAAAFLrr8E=")</f>
        <v>#VALUE!</v>
      </c>
      <c r="GM25" t="e">
        <f>AND(Ischemia_25percent_output_edgel!B2113,"AAAAAFLrr8I=")</f>
        <v>#VALUE!</v>
      </c>
      <c r="GN25">
        <f>IF(Ischemia_25percent_output_edgel!2114:2114,"AAAAAFLrr8M=",0)</f>
        <v>0</v>
      </c>
      <c r="GO25" t="e">
        <f>AND(Ischemia_25percent_output_edgel!A2114,"AAAAAFLrr8Q=")</f>
        <v>#VALUE!</v>
      </c>
      <c r="GP25" t="e">
        <f>AND(Ischemia_25percent_output_edgel!B2114,"AAAAAFLrr8U=")</f>
        <v>#VALUE!</v>
      </c>
      <c r="GQ25">
        <f>IF(Ischemia_25percent_output_edgel!2115:2115,"AAAAAFLrr8Y=",0)</f>
        <v>0</v>
      </c>
      <c r="GR25" t="e">
        <f>AND(Ischemia_25percent_output_edgel!A2115,"AAAAAFLrr8c=")</f>
        <v>#VALUE!</v>
      </c>
      <c r="GS25" t="e">
        <f>AND(Ischemia_25percent_output_edgel!B2115,"AAAAAFLrr8g=")</f>
        <v>#VALUE!</v>
      </c>
      <c r="GT25">
        <f>IF(Ischemia_25percent_output_edgel!2116:2116,"AAAAAFLrr8k=",0)</f>
        <v>0</v>
      </c>
      <c r="GU25" t="e">
        <f>AND(Ischemia_25percent_output_edgel!A2116,"AAAAAFLrr8o=")</f>
        <v>#VALUE!</v>
      </c>
      <c r="GV25" t="e">
        <f>AND(Ischemia_25percent_output_edgel!B2116,"AAAAAFLrr8s=")</f>
        <v>#VALUE!</v>
      </c>
      <c r="GW25">
        <f>IF(Ischemia_25percent_output_edgel!2117:2117,"AAAAAFLrr8w=",0)</f>
        <v>0</v>
      </c>
      <c r="GX25" t="e">
        <f>AND(Ischemia_25percent_output_edgel!A2117,"AAAAAFLrr80=")</f>
        <v>#VALUE!</v>
      </c>
      <c r="GY25" t="e">
        <f>AND(Ischemia_25percent_output_edgel!B2117,"AAAAAFLrr84=")</f>
        <v>#VALUE!</v>
      </c>
      <c r="GZ25">
        <f>IF(Ischemia_25percent_output_edgel!2118:2118,"AAAAAFLrr88=",0)</f>
        <v>0</v>
      </c>
      <c r="HA25" t="e">
        <f>AND(Ischemia_25percent_output_edgel!A2118,"AAAAAFLrr9A=")</f>
        <v>#VALUE!</v>
      </c>
      <c r="HB25" t="e">
        <f>AND(Ischemia_25percent_output_edgel!B2118,"AAAAAFLrr9E=")</f>
        <v>#VALUE!</v>
      </c>
      <c r="HC25">
        <f>IF(Ischemia_25percent_output_edgel!2119:2119,"AAAAAFLrr9I=",0)</f>
        <v>0</v>
      </c>
      <c r="HD25" t="e">
        <f>AND(Ischemia_25percent_output_edgel!A2119,"AAAAAFLrr9M=")</f>
        <v>#VALUE!</v>
      </c>
      <c r="HE25" t="e">
        <f>AND(Ischemia_25percent_output_edgel!B2119,"AAAAAFLrr9Q=")</f>
        <v>#VALUE!</v>
      </c>
      <c r="HF25">
        <f>IF(Ischemia_25percent_output_edgel!2120:2120,"AAAAAFLrr9U=",0)</f>
        <v>0</v>
      </c>
      <c r="HG25" t="e">
        <f>AND(Ischemia_25percent_output_edgel!A2120,"AAAAAFLrr9Y=")</f>
        <v>#VALUE!</v>
      </c>
      <c r="HH25" t="e">
        <f>AND(Ischemia_25percent_output_edgel!B2120,"AAAAAFLrr9c=")</f>
        <v>#VALUE!</v>
      </c>
      <c r="HI25">
        <f>IF(Ischemia_25percent_output_edgel!2121:2121,"AAAAAFLrr9g=",0)</f>
        <v>0</v>
      </c>
      <c r="HJ25" t="e">
        <f>AND(Ischemia_25percent_output_edgel!A2121,"AAAAAFLrr9k=")</f>
        <v>#VALUE!</v>
      </c>
      <c r="HK25" t="e">
        <f>AND(Ischemia_25percent_output_edgel!B2121,"AAAAAFLrr9o=")</f>
        <v>#VALUE!</v>
      </c>
      <c r="HL25">
        <f>IF(Ischemia_25percent_output_edgel!2122:2122,"AAAAAFLrr9s=",0)</f>
        <v>0</v>
      </c>
      <c r="HM25" t="e">
        <f>AND(Ischemia_25percent_output_edgel!A2122,"AAAAAFLrr9w=")</f>
        <v>#VALUE!</v>
      </c>
      <c r="HN25" t="e">
        <f>AND(Ischemia_25percent_output_edgel!B2122,"AAAAAFLrr90=")</f>
        <v>#VALUE!</v>
      </c>
      <c r="HO25">
        <f>IF(Ischemia_25percent_output_edgel!2123:2123,"AAAAAFLrr94=",0)</f>
        <v>0</v>
      </c>
      <c r="HP25" t="e">
        <f>AND(Ischemia_25percent_output_edgel!A2123,"AAAAAFLrr98=")</f>
        <v>#VALUE!</v>
      </c>
      <c r="HQ25" t="e">
        <f>AND(Ischemia_25percent_output_edgel!B2123,"AAAAAFLrr+A=")</f>
        <v>#VALUE!</v>
      </c>
      <c r="HR25">
        <f>IF(Ischemia_25percent_output_edgel!2124:2124,"AAAAAFLrr+E=",0)</f>
        <v>0</v>
      </c>
      <c r="HS25" t="e">
        <f>AND(Ischemia_25percent_output_edgel!A2124,"AAAAAFLrr+I=")</f>
        <v>#VALUE!</v>
      </c>
      <c r="HT25" t="e">
        <f>AND(Ischemia_25percent_output_edgel!B2124,"AAAAAFLrr+M=")</f>
        <v>#VALUE!</v>
      </c>
      <c r="HU25">
        <f>IF(Ischemia_25percent_output_edgel!2125:2125,"AAAAAFLrr+Q=",0)</f>
        <v>0</v>
      </c>
      <c r="HV25" t="e">
        <f>AND(Ischemia_25percent_output_edgel!A2125,"AAAAAFLrr+U=")</f>
        <v>#VALUE!</v>
      </c>
      <c r="HW25" t="e">
        <f>AND(Ischemia_25percent_output_edgel!B2125,"AAAAAFLrr+Y=")</f>
        <v>#VALUE!</v>
      </c>
      <c r="HX25">
        <f>IF(Ischemia_25percent_output_edgel!2126:2126,"AAAAAFLrr+c=",0)</f>
        <v>0</v>
      </c>
      <c r="HY25" t="e">
        <f>AND(Ischemia_25percent_output_edgel!A2126,"AAAAAFLrr+g=")</f>
        <v>#VALUE!</v>
      </c>
      <c r="HZ25" t="e">
        <f>AND(Ischemia_25percent_output_edgel!B2126,"AAAAAFLrr+k=")</f>
        <v>#VALUE!</v>
      </c>
      <c r="IA25">
        <f>IF(Ischemia_25percent_output_edgel!2127:2127,"AAAAAFLrr+o=",0)</f>
        <v>0</v>
      </c>
      <c r="IB25" t="e">
        <f>AND(Ischemia_25percent_output_edgel!A2127,"AAAAAFLrr+s=")</f>
        <v>#VALUE!</v>
      </c>
      <c r="IC25" t="e">
        <f>AND(Ischemia_25percent_output_edgel!B2127,"AAAAAFLrr+w=")</f>
        <v>#VALUE!</v>
      </c>
      <c r="ID25">
        <f>IF(Ischemia_25percent_output_edgel!2128:2128,"AAAAAFLrr+0=",0)</f>
        <v>0</v>
      </c>
      <c r="IE25" t="e">
        <f>AND(Ischemia_25percent_output_edgel!A2128,"AAAAAFLrr+4=")</f>
        <v>#VALUE!</v>
      </c>
      <c r="IF25" t="e">
        <f>AND(Ischemia_25percent_output_edgel!B2128,"AAAAAFLrr+8=")</f>
        <v>#VALUE!</v>
      </c>
      <c r="IG25">
        <f>IF(Ischemia_25percent_output_edgel!2129:2129,"AAAAAFLrr/A=",0)</f>
        <v>0</v>
      </c>
      <c r="IH25" t="e">
        <f>AND(Ischemia_25percent_output_edgel!A2129,"AAAAAFLrr/E=")</f>
        <v>#VALUE!</v>
      </c>
      <c r="II25" t="e">
        <f>AND(Ischemia_25percent_output_edgel!B2129,"AAAAAFLrr/I=")</f>
        <v>#VALUE!</v>
      </c>
      <c r="IJ25">
        <f>IF(Ischemia_25percent_output_edgel!2130:2130,"AAAAAFLrr/M=",0)</f>
        <v>0</v>
      </c>
      <c r="IK25" t="e">
        <f>AND(Ischemia_25percent_output_edgel!A2130,"AAAAAFLrr/Q=")</f>
        <v>#VALUE!</v>
      </c>
      <c r="IL25" t="e">
        <f>AND(Ischemia_25percent_output_edgel!B2130,"AAAAAFLrr/U=")</f>
        <v>#VALUE!</v>
      </c>
      <c r="IM25">
        <f>IF(Ischemia_25percent_output_edgel!2131:2131,"AAAAAFLrr/Y=",0)</f>
        <v>0</v>
      </c>
      <c r="IN25" t="e">
        <f>AND(Ischemia_25percent_output_edgel!A2131,"AAAAAFLrr/c=")</f>
        <v>#VALUE!</v>
      </c>
      <c r="IO25" t="e">
        <f>AND(Ischemia_25percent_output_edgel!B2131,"AAAAAFLrr/g=")</f>
        <v>#VALUE!</v>
      </c>
      <c r="IP25">
        <f>IF(Ischemia_25percent_output_edgel!2132:2132,"AAAAAFLrr/k=",0)</f>
        <v>0</v>
      </c>
      <c r="IQ25" t="e">
        <f>AND(Ischemia_25percent_output_edgel!A2132,"AAAAAFLrr/o=")</f>
        <v>#VALUE!</v>
      </c>
      <c r="IR25" t="e">
        <f>AND(Ischemia_25percent_output_edgel!B2132,"AAAAAFLrr/s=")</f>
        <v>#VALUE!</v>
      </c>
      <c r="IS25">
        <f>IF(Ischemia_25percent_output_edgel!2133:2133,"AAAAAFLrr/w=",0)</f>
        <v>0</v>
      </c>
      <c r="IT25" t="e">
        <f>AND(Ischemia_25percent_output_edgel!A2133,"AAAAAFLrr/0=")</f>
        <v>#VALUE!</v>
      </c>
      <c r="IU25" t="e">
        <f>AND(Ischemia_25percent_output_edgel!B2133,"AAAAAFLrr/4=")</f>
        <v>#VALUE!</v>
      </c>
      <c r="IV25">
        <f>IF(Ischemia_25percent_output_edgel!2134:2134,"AAAAAFLrr/8=",0)</f>
        <v>0</v>
      </c>
    </row>
    <row r="26" spans="1:256">
      <c r="A26" t="e">
        <f>AND(Ischemia_25percent_output_edgel!A2134,"AAAAADf9fgA=")</f>
        <v>#VALUE!</v>
      </c>
      <c r="B26" t="e">
        <f>AND(Ischemia_25percent_output_edgel!B2134,"AAAAADf9fgE=")</f>
        <v>#VALUE!</v>
      </c>
      <c r="C26">
        <f>IF(Ischemia_25percent_output_edgel!2135:2135,"AAAAADf9fgI=",0)</f>
        <v>0</v>
      </c>
      <c r="D26" t="e">
        <f>AND(Ischemia_25percent_output_edgel!A2135,"AAAAADf9fgM=")</f>
        <v>#VALUE!</v>
      </c>
      <c r="E26" t="e">
        <f>AND(Ischemia_25percent_output_edgel!B2135,"AAAAADf9fgQ=")</f>
        <v>#VALUE!</v>
      </c>
      <c r="F26">
        <f>IF(Ischemia_25percent_output_edgel!2136:2136,"AAAAADf9fgU=",0)</f>
        <v>0</v>
      </c>
      <c r="G26" t="e">
        <f>AND(Ischemia_25percent_output_edgel!A2136,"AAAAADf9fgY=")</f>
        <v>#VALUE!</v>
      </c>
      <c r="H26" t="e">
        <f>AND(Ischemia_25percent_output_edgel!B2136,"AAAAADf9fgc=")</f>
        <v>#VALUE!</v>
      </c>
      <c r="I26">
        <f>IF(Ischemia_25percent_output_edgel!2137:2137,"AAAAADf9fgg=",0)</f>
        <v>0</v>
      </c>
      <c r="J26" t="e">
        <f>AND(Ischemia_25percent_output_edgel!A2137,"AAAAADf9fgk=")</f>
        <v>#VALUE!</v>
      </c>
      <c r="K26" t="e">
        <f>AND(Ischemia_25percent_output_edgel!B2137,"AAAAADf9fgo=")</f>
        <v>#VALUE!</v>
      </c>
      <c r="L26">
        <f>IF(Ischemia_25percent_output_edgel!2138:2138,"AAAAADf9fgs=",0)</f>
        <v>0</v>
      </c>
      <c r="M26" t="e">
        <f>AND(Ischemia_25percent_output_edgel!A2138,"AAAAADf9fgw=")</f>
        <v>#VALUE!</v>
      </c>
      <c r="N26" t="e">
        <f>AND(Ischemia_25percent_output_edgel!B2138,"AAAAADf9fg0=")</f>
        <v>#VALUE!</v>
      </c>
      <c r="O26">
        <f>IF(Ischemia_25percent_output_edgel!2139:2139,"AAAAADf9fg4=",0)</f>
        <v>0</v>
      </c>
      <c r="P26" t="e">
        <f>AND(Ischemia_25percent_output_edgel!A2139,"AAAAADf9fg8=")</f>
        <v>#VALUE!</v>
      </c>
      <c r="Q26" t="e">
        <f>AND(Ischemia_25percent_output_edgel!B2139,"AAAAADf9fhA=")</f>
        <v>#VALUE!</v>
      </c>
      <c r="R26">
        <f>IF(Ischemia_25percent_output_edgel!2140:2140,"AAAAADf9fhE=",0)</f>
        <v>0</v>
      </c>
      <c r="S26" t="e">
        <f>AND(Ischemia_25percent_output_edgel!A2140,"AAAAADf9fhI=")</f>
        <v>#VALUE!</v>
      </c>
      <c r="T26" t="e">
        <f>AND(Ischemia_25percent_output_edgel!B2140,"AAAAADf9fhM=")</f>
        <v>#VALUE!</v>
      </c>
      <c r="U26">
        <f>IF(Ischemia_25percent_output_edgel!2141:2141,"AAAAADf9fhQ=",0)</f>
        <v>0</v>
      </c>
      <c r="V26" t="e">
        <f>AND(Ischemia_25percent_output_edgel!A2141,"AAAAADf9fhU=")</f>
        <v>#VALUE!</v>
      </c>
      <c r="W26" t="e">
        <f>AND(Ischemia_25percent_output_edgel!B2141,"AAAAADf9fhY=")</f>
        <v>#VALUE!</v>
      </c>
      <c r="X26">
        <f>IF(Ischemia_25percent_output_edgel!2142:2142,"AAAAADf9fhc=",0)</f>
        <v>0</v>
      </c>
      <c r="Y26" t="e">
        <f>AND(Ischemia_25percent_output_edgel!A2142,"AAAAADf9fhg=")</f>
        <v>#VALUE!</v>
      </c>
      <c r="Z26" t="e">
        <f>AND(Ischemia_25percent_output_edgel!B2142,"AAAAADf9fhk=")</f>
        <v>#VALUE!</v>
      </c>
      <c r="AA26">
        <f>IF(Ischemia_25percent_output_edgel!2143:2143,"AAAAADf9fho=",0)</f>
        <v>0</v>
      </c>
      <c r="AB26" t="e">
        <f>AND(Ischemia_25percent_output_edgel!A2143,"AAAAADf9fhs=")</f>
        <v>#VALUE!</v>
      </c>
      <c r="AC26" t="e">
        <f>AND(Ischemia_25percent_output_edgel!B2143,"AAAAADf9fhw=")</f>
        <v>#VALUE!</v>
      </c>
      <c r="AD26">
        <f>IF(Ischemia_25percent_output_edgel!2144:2144,"AAAAADf9fh0=",0)</f>
        <v>0</v>
      </c>
      <c r="AE26" t="e">
        <f>AND(Ischemia_25percent_output_edgel!A2144,"AAAAADf9fh4=")</f>
        <v>#VALUE!</v>
      </c>
      <c r="AF26" t="e">
        <f>AND(Ischemia_25percent_output_edgel!B2144,"AAAAADf9fh8=")</f>
        <v>#VALUE!</v>
      </c>
      <c r="AG26">
        <f>IF(Ischemia_25percent_output_edgel!2145:2145,"AAAAADf9fiA=",0)</f>
        <v>0</v>
      </c>
      <c r="AH26" t="e">
        <f>AND(Ischemia_25percent_output_edgel!A2145,"AAAAADf9fiE=")</f>
        <v>#VALUE!</v>
      </c>
      <c r="AI26" t="e">
        <f>AND(Ischemia_25percent_output_edgel!B2145,"AAAAADf9fiI=")</f>
        <v>#VALUE!</v>
      </c>
      <c r="AJ26">
        <f>IF(Ischemia_25percent_output_edgel!2146:2146,"AAAAADf9fiM=",0)</f>
        <v>0</v>
      </c>
      <c r="AK26" t="e">
        <f>AND(Ischemia_25percent_output_edgel!A2146,"AAAAADf9fiQ=")</f>
        <v>#VALUE!</v>
      </c>
      <c r="AL26" t="e">
        <f>AND(Ischemia_25percent_output_edgel!B2146,"AAAAADf9fiU=")</f>
        <v>#VALUE!</v>
      </c>
      <c r="AM26">
        <f>IF(Ischemia_25percent_output_edgel!2147:2147,"AAAAADf9fiY=",0)</f>
        <v>0</v>
      </c>
      <c r="AN26" t="e">
        <f>AND(Ischemia_25percent_output_edgel!A2147,"AAAAADf9fic=")</f>
        <v>#VALUE!</v>
      </c>
      <c r="AO26" t="e">
        <f>AND(Ischemia_25percent_output_edgel!B2147,"AAAAADf9fig=")</f>
        <v>#VALUE!</v>
      </c>
      <c r="AP26">
        <f>IF(Ischemia_25percent_output_edgel!2148:2148,"AAAAADf9fik=",0)</f>
        <v>0</v>
      </c>
      <c r="AQ26" t="e">
        <f>AND(Ischemia_25percent_output_edgel!A2148,"AAAAADf9fio=")</f>
        <v>#VALUE!</v>
      </c>
      <c r="AR26" t="e">
        <f>AND(Ischemia_25percent_output_edgel!B2148,"AAAAADf9fis=")</f>
        <v>#VALUE!</v>
      </c>
      <c r="AS26">
        <f>IF(Ischemia_25percent_output_edgel!2149:2149,"AAAAADf9fiw=",0)</f>
        <v>0</v>
      </c>
      <c r="AT26" t="e">
        <f>AND(Ischemia_25percent_output_edgel!A2149,"AAAAADf9fi0=")</f>
        <v>#VALUE!</v>
      </c>
      <c r="AU26" t="e">
        <f>AND(Ischemia_25percent_output_edgel!B2149,"AAAAADf9fi4=")</f>
        <v>#VALUE!</v>
      </c>
      <c r="AV26">
        <f>IF(Ischemia_25percent_output_edgel!2150:2150,"AAAAADf9fi8=",0)</f>
        <v>0</v>
      </c>
      <c r="AW26" t="e">
        <f>AND(Ischemia_25percent_output_edgel!A2150,"AAAAADf9fjA=")</f>
        <v>#VALUE!</v>
      </c>
      <c r="AX26" t="e">
        <f>AND(Ischemia_25percent_output_edgel!B2150,"AAAAADf9fjE=")</f>
        <v>#VALUE!</v>
      </c>
      <c r="AY26">
        <f>IF(Ischemia_25percent_output_edgel!2151:2151,"AAAAADf9fjI=",0)</f>
        <v>0</v>
      </c>
      <c r="AZ26" t="e">
        <f>AND(Ischemia_25percent_output_edgel!A2151,"AAAAADf9fjM=")</f>
        <v>#VALUE!</v>
      </c>
      <c r="BA26" t="e">
        <f>AND(Ischemia_25percent_output_edgel!B2151,"AAAAADf9fjQ=")</f>
        <v>#VALUE!</v>
      </c>
      <c r="BB26">
        <f>IF(Ischemia_25percent_output_edgel!2152:2152,"AAAAADf9fjU=",0)</f>
        <v>0</v>
      </c>
      <c r="BC26" t="e">
        <f>AND(Ischemia_25percent_output_edgel!A2152,"AAAAADf9fjY=")</f>
        <v>#VALUE!</v>
      </c>
      <c r="BD26" t="e">
        <f>AND(Ischemia_25percent_output_edgel!B2152,"AAAAADf9fjc=")</f>
        <v>#VALUE!</v>
      </c>
      <c r="BE26">
        <f>IF(Ischemia_25percent_output_edgel!2153:2153,"AAAAADf9fjg=",0)</f>
        <v>0</v>
      </c>
      <c r="BF26" t="e">
        <f>AND(Ischemia_25percent_output_edgel!A2153,"AAAAADf9fjk=")</f>
        <v>#VALUE!</v>
      </c>
      <c r="BG26" t="e">
        <f>AND(Ischemia_25percent_output_edgel!B2153,"AAAAADf9fjo=")</f>
        <v>#VALUE!</v>
      </c>
      <c r="BH26">
        <f>IF(Ischemia_25percent_output_edgel!2154:2154,"AAAAADf9fjs=",0)</f>
        <v>0</v>
      </c>
      <c r="BI26" t="e">
        <f>AND(Ischemia_25percent_output_edgel!A2154,"AAAAADf9fjw=")</f>
        <v>#VALUE!</v>
      </c>
      <c r="BJ26" t="e">
        <f>AND(Ischemia_25percent_output_edgel!B2154,"AAAAADf9fj0=")</f>
        <v>#VALUE!</v>
      </c>
      <c r="BK26">
        <f>IF(Ischemia_25percent_output_edgel!2155:2155,"AAAAADf9fj4=",0)</f>
        <v>0</v>
      </c>
      <c r="BL26" t="e">
        <f>AND(Ischemia_25percent_output_edgel!A2155,"AAAAADf9fj8=")</f>
        <v>#VALUE!</v>
      </c>
      <c r="BM26" t="e">
        <f>AND(Ischemia_25percent_output_edgel!B2155,"AAAAADf9fkA=")</f>
        <v>#VALUE!</v>
      </c>
      <c r="BN26">
        <f>IF(Ischemia_25percent_output_edgel!2156:2156,"AAAAADf9fkE=",0)</f>
        <v>0</v>
      </c>
      <c r="BO26" t="e">
        <f>AND(Ischemia_25percent_output_edgel!A2156,"AAAAADf9fkI=")</f>
        <v>#VALUE!</v>
      </c>
      <c r="BP26" t="e">
        <f>AND(Ischemia_25percent_output_edgel!B2156,"AAAAADf9fkM=")</f>
        <v>#VALUE!</v>
      </c>
      <c r="BQ26">
        <f>IF(Ischemia_25percent_output_edgel!2157:2157,"AAAAADf9fkQ=",0)</f>
        <v>0</v>
      </c>
      <c r="BR26" t="e">
        <f>AND(Ischemia_25percent_output_edgel!A2157,"AAAAADf9fkU=")</f>
        <v>#VALUE!</v>
      </c>
      <c r="BS26" t="e">
        <f>AND(Ischemia_25percent_output_edgel!B2157,"AAAAADf9fkY=")</f>
        <v>#VALUE!</v>
      </c>
      <c r="BT26">
        <f>IF(Ischemia_25percent_output_edgel!2158:2158,"AAAAADf9fkc=",0)</f>
        <v>0</v>
      </c>
      <c r="BU26" t="e">
        <f>AND(Ischemia_25percent_output_edgel!A2158,"AAAAADf9fkg=")</f>
        <v>#VALUE!</v>
      </c>
      <c r="BV26" t="e">
        <f>AND(Ischemia_25percent_output_edgel!B2158,"AAAAADf9fkk=")</f>
        <v>#VALUE!</v>
      </c>
      <c r="BW26">
        <f>IF(Ischemia_25percent_output_edgel!2159:2159,"AAAAADf9fko=",0)</f>
        <v>0</v>
      </c>
      <c r="BX26" t="e">
        <f>AND(Ischemia_25percent_output_edgel!A2159,"AAAAADf9fks=")</f>
        <v>#VALUE!</v>
      </c>
      <c r="BY26" t="e">
        <f>AND(Ischemia_25percent_output_edgel!B2159,"AAAAADf9fkw=")</f>
        <v>#VALUE!</v>
      </c>
      <c r="BZ26">
        <f>IF(Ischemia_25percent_output_edgel!2160:2160,"AAAAADf9fk0=",0)</f>
        <v>0</v>
      </c>
      <c r="CA26" t="e">
        <f>AND(Ischemia_25percent_output_edgel!A2160,"AAAAADf9fk4=")</f>
        <v>#VALUE!</v>
      </c>
      <c r="CB26" t="e">
        <f>AND(Ischemia_25percent_output_edgel!B2160,"AAAAADf9fk8=")</f>
        <v>#VALUE!</v>
      </c>
      <c r="CC26">
        <f>IF(Ischemia_25percent_output_edgel!2161:2161,"AAAAADf9flA=",0)</f>
        <v>0</v>
      </c>
      <c r="CD26" t="e">
        <f>AND(Ischemia_25percent_output_edgel!A2161,"AAAAADf9flE=")</f>
        <v>#VALUE!</v>
      </c>
      <c r="CE26" t="e">
        <f>AND(Ischemia_25percent_output_edgel!B2161,"AAAAADf9flI=")</f>
        <v>#VALUE!</v>
      </c>
      <c r="CF26">
        <f>IF(Ischemia_25percent_output_edgel!2162:2162,"AAAAADf9flM=",0)</f>
        <v>0</v>
      </c>
      <c r="CG26" t="e">
        <f>AND(Ischemia_25percent_output_edgel!A2162,"AAAAADf9flQ=")</f>
        <v>#VALUE!</v>
      </c>
      <c r="CH26" t="e">
        <f>AND(Ischemia_25percent_output_edgel!B2162,"AAAAADf9flU=")</f>
        <v>#VALUE!</v>
      </c>
      <c r="CI26">
        <f>IF(Ischemia_25percent_output_edgel!2163:2163,"AAAAADf9flY=",0)</f>
        <v>0</v>
      </c>
      <c r="CJ26" t="e">
        <f>AND(Ischemia_25percent_output_edgel!A2163,"AAAAADf9flc=")</f>
        <v>#VALUE!</v>
      </c>
      <c r="CK26" t="e">
        <f>AND(Ischemia_25percent_output_edgel!B2163,"AAAAADf9flg=")</f>
        <v>#VALUE!</v>
      </c>
      <c r="CL26">
        <f>IF(Ischemia_25percent_output_edgel!2164:2164,"AAAAADf9flk=",0)</f>
        <v>0</v>
      </c>
      <c r="CM26" t="e">
        <f>AND(Ischemia_25percent_output_edgel!A2164,"AAAAADf9flo=")</f>
        <v>#VALUE!</v>
      </c>
      <c r="CN26" t="e">
        <f>AND(Ischemia_25percent_output_edgel!B2164,"AAAAADf9fls=")</f>
        <v>#VALUE!</v>
      </c>
      <c r="CO26">
        <f>IF(Ischemia_25percent_output_edgel!2165:2165,"AAAAADf9flw=",0)</f>
        <v>0</v>
      </c>
      <c r="CP26" t="e">
        <f>AND(Ischemia_25percent_output_edgel!A2165,"AAAAADf9fl0=")</f>
        <v>#VALUE!</v>
      </c>
      <c r="CQ26" t="e">
        <f>AND(Ischemia_25percent_output_edgel!B2165,"AAAAADf9fl4=")</f>
        <v>#VALUE!</v>
      </c>
      <c r="CR26">
        <f>IF(Ischemia_25percent_output_edgel!2166:2166,"AAAAADf9fl8=",0)</f>
        <v>0</v>
      </c>
      <c r="CS26" t="e">
        <f>AND(Ischemia_25percent_output_edgel!A2166,"AAAAADf9fmA=")</f>
        <v>#VALUE!</v>
      </c>
      <c r="CT26" t="e">
        <f>AND(Ischemia_25percent_output_edgel!B2166,"AAAAADf9fmE=")</f>
        <v>#VALUE!</v>
      </c>
      <c r="CU26">
        <f>IF(Ischemia_25percent_output_edgel!2167:2167,"AAAAADf9fmI=",0)</f>
        <v>0</v>
      </c>
      <c r="CV26" t="e">
        <f>AND(Ischemia_25percent_output_edgel!A2167,"AAAAADf9fmM=")</f>
        <v>#VALUE!</v>
      </c>
      <c r="CW26" t="e">
        <f>AND(Ischemia_25percent_output_edgel!B2167,"AAAAADf9fmQ=")</f>
        <v>#VALUE!</v>
      </c>
      <c r="CX26">
        <f>IF(Ischemia_25percent_output_edgel!2168:2168,"AAAAADf9fmU=",0)</f>
        <v>0</v>
      </c>
      <c r="CY26" t="e">
        <f>AND(Ischemia_25percent_output_edgel!A2168,"AAAAADf9fmY=")</f>
        <v>#VALUE!</v>
      </c>
      <c r="CZ26" t="e">
        <f>AND(Ischemia_25percent_output_edgel!B2168,"AAAAADf9fmc=")</f>
        <v>#VALUE!</v>
      </c>
      <c r="DA26">
        <f>IF(Ischemia_25percent_output_edgel!2169:2169,"AAAAADf9fmg=",0)</f>
        <v>0</v>
      </c>
      <c r="DB26" t="e">
        <f>AND(Ischemia_25percent_output_edgel!A2169,"AAAAADf9fmk=")</f>
        <v>#VALUE!</v>
      </c>
      <c r="DC26" t="e">
        <f>AND(Ischemia_25percent_output_edgel!B2169,"AAAAADf9fmo=")</f>
        <v>#VALUE!</v>
      </c>
      <c r="DD26">
        <f>IF(Ischemia_25percent_output_edgel!2170:2170,"AAAAADf9fms=",0)</f>
        <v>0</v>
      </c>
      <c r="DE26" t="e">
        <f>AND(Ischemia_25percent_output_edgel!A2170,"AAAAADf9fmw=")</f>
        <v>#VALUE!</v>
      </c>
      <c r="DF26" t="e">
        <f>AND(Ischemia_25percent_output_edgel!B2170,"AAAAADf9fm0=")</f>
        <v>#VALUE!</v>
      </c>
      <c r="DG26">
        <f>IF(Ischemia_25percent_output_edgel!2171:2171,"AAAAADf9fm4=",0)</f>
        <v>0</v>
      </c>
      <c r="DH26" t="e">
        <f>AND(Ischemia_25percent_output_edgel!A2171,"AAAAADf9fm8=")</f>
        <v>#VALUE!</v>
      </c>
      <c r="DI26" t="e">
        <f>AND(Ischemia_25percent_output_edgel!B2171,"AAAAADf9fnA=")</f>
        <v>#VALUE!</v>
      </c>
      <c r="DJ26">
        <f>IF(Ischemia_25percent_output_edgel!2172:2172,"AAAAADf9fnE=",0)</f>
        <v>0</v>
      </c>
      <c r="DK26" t="e">
        <f>AND(Ischemia_25percent_output_edgel!A2172,"AAAAADf9fnI=")</f>
        <v>#VALUE!</v>
      </c>
      <c r="DL26" t="e">
        <f>AND(Ischemia_25percent_output_edgel!B2172,"AAAAADf9fnM=")</f>
        <v>#VALUE!</v>
      </c>
      <c r="DM26">
        <f>IF(Ischemia_25percent_output_edgel!2173:2173,"AAAAADf9fnQ=",0)</f>
        <v>0</v>
      </c>
      <c r="DN26" t="e">
        <f>AND(Ischemia_25percent_output_edgel!A2173,"AAAAADf9fnU=")</f>
        <v>#VALUE!</v>
      </c>
      <c r="DO26" t="e">
        <f>AND(Ischemia_25percent_output_edgel!B2173,"AAAAADf9fnY=")</f>
        <v>#VALUE!</v>
      </c>
      <c r="DP26">
        <f>IF(Ischemia_25percent_output_edgel!2174:2174,"AAAAADf9fnc=",0)</f>
        <v>0</v>
      </c>
      <c r="DQ26" t="e">
        <f>AND(Ischemia_25percent_output_edgel!A2174,"AAAAADf9fng=")</f>
        <v>#VALUE!</v>
      </c>
      <c r="DR26" t="e">
        <f>AND(Ischemia_25percent_output_edgel!B2174,"AAAAADf9fnk=")</f>
        <v>#VALUE!</v>
      </c>
      <c r="DS26">
        <f>IF(Ischemia_25percent_output_edgel!2175:2175,"AAAAADf9fno=",0)</f>
        <v>0</v>
      </c>
      <c r="DT26" t="e">
        <f>AND(Ischemia_25percent_output_edgel!A2175,"AAAAADf9fns=")</f>
        <v>#VALUE!</v>
      </c>
      <c r="DU26" t="e">
        <f>AND(Ischemia_25percent_output_edgel!B2175,"AAAAADf9fnw=")</f>
        <v>#VALUE!</v>
      </c>
      <c r="DV26">
        <f>IF(Ischemia_25percent_output_edgel!2176:2176,"AAAAADf9fn0=",0)</f>
        <v>0</v>
      </c>
      <c r="DW26" t="e">
        <f>AND(Ischemia_25percent_output_edgel!A2176,"AAAAADf9fn4=")</f>
        <v>#VALUE!</v>
      </c>
      <c r="DX26" t="e">
        <f>AND(Ischemia_25percent_output_edgel!B2176,"AAAAADf9fn8=")</f>
        <v>#VALUE!</v>
      </c>
      <c r="DY26">
        <f>IF(Ischemia_25percent_output_edgel!2177:2177,"AAAAADf9foA=",0)</f>
        <v>0</v>
      </c>
      <c r="DZ26" t="e">
        <f>AND(Ischemia_25percent_output_edgel!A2177,"AAAAADf9foE=")</f>
        <v>#VALUE!</v>
      </c>
      <c r="EA26" t="e">
        <f>AND(Ischemia_25percent_output_edgel!B2177,"AAAAADf9foI=")</f>
        <v>#VALUE!</v>
      </c>
      <c r="EB26">
        <f>IF(Ischemia_25percent_output_edgel!2178:2178,"AAAAADf9foM=",0)</f>
        <v>0</v>
      </c>
      <c r="EC26" t="e">
        <f>AND(Ischemia_25percent_output_edgel!A2178,"AAAAADf9foQ=")</f>
        <v>#VALUE!</v>
      </c>
      <c r="ED26" t="e">
        <f>AND(Ischemia_25percent_output_edgel!B2178,"AAAAADf9foU=")</f>
        <v>#VALUE!</v>
      </c>
      <c r="EE26">
        <f>IF(Ischemia_25percent_output_edgel!2179:2179,"AAAAADf9foY=",0)</f>
        <v>0</v>
      </c>
      <c r="EF26" t="e">
        <f>AND(Ischemia_25percent_output_edgel!A2179,"AAAAADf9foc=")</f>
        <v>#VALUE!</v>
      </c>
      <c r="EG26" t="e">
        <f>AND(Ischemia_25percent_output_edgel!B2179,"AAAAADf9fog=")</f>
        <v>#VALUE!</v>
      </c>
      <c r="EH26">
        <f>IF(Ischemia_25percent_output_edgel!2180:2180,"AAAAADf9fok=",0)</f>
        <v>0</v>
      </c>
      <c r="EI26" t="e">
        <f>AND(Ischemia_25percent_output_edgel!A2180,"AAAAADf9foo=")</f>
        <v>#VALUE!</v>
      </c>
      <c r="EJ26" t="e">
        <f>AND(Ischemia_25percent_output_edgel!B2180,"AAAAADf9fos=")</f>
        <v>#VALUE!</v>
      </c>
      <c r="EK26">
        <f>IF(Ischemia_25percent_output_edgel!2181:2181,"AAAAADf9fow=",0)</f>
        <v>0</v>
      </c>
      <c r="EL26" t="e">
        <f>AND(Ischemia_25percent_output_edgel!A2181,"AAAAADf9fo0=")</f>
        <v>#VALUE!</v>
      </c>
      <c r="EM26" t="e">
        <f>AND(Ischemia_25percent_output_edgel!B2181,"AAAAADf9fo4=")</f>
        <v>#VALUE!</v>
      </c>
      <c r="EN26">
        <f>IF(Ischemia_25percent_output_edgel!2182:2182,"AAAAADf9fo8=",0)</f>
        <v>0</v>
      </c>
      <c r="EO26" t="e">
        <f>AND(Ischemia_25percent_output_edgel!A2182,"AAAAADf9fpA=")</f>
        <v>#VALUE!</v>
      </c>
      <c r="EP26" t="e">
        <f>AND(Ischemia_25percent_output_edgel!B2182,"AAAAADf9fpE=")</f>
        <v>#VALUE!</v>
      </c>
      <c r="EQ26">
        <f>IF(Ischemia_25percent_output_edgel!2183:2183,"AAAAADf9fpI=",0)</f>
        <v>0</v>
      </c>
      <c r="ER26" t="e">
        <f>AND(Ischemia_25percent_output_edgel!A2183,"AAAAADf9fpM=")</f>
        <v>#VALUE!</v>
      </c>
      <c r="ES26" t="e">
        <f>AND(Ischemia_25percent_output_edgel!B2183,"AAAAADf9fpQ=")</f>
        <v>#VALUE!</v>
      </c>
      <c r="ET26">
        <f>IF(Ischemia_25percent_output_edgel!2184:2184,"AAAAADf9fpU=",0)</f>
        <v>0</v>
      </c>
      <c r="EU26" t="e">
        <f>AND(Ischemia_25percent_output_edgel!A2184,"AAAAADf9fpY=")</f>
        <v>#VALUE!</v>
      </c>
      <c r="EV26" t="e">
        <f>AND(Ischemia_25percent_output_edgel!B2184,"AAAAADf9fpc=")</f>
        <v>#VALUE!</v>
      </c>
      <c r="EW26">
        <f>IF(Ischemia_25percent_output_edgel!2185:2185,"AAAAADf9fpg=",0)</f>
        <v>0</v>
      </c>
      <c r="EX26" t="e">
        <f>AND(Ischemia_25percent_output_edgel!A2185,"AAAAADf9fpk=")</f>
        <v>#VALUE!</v>
      </c>
      <c r="EY26" t="e">
        <f>AND(Ischemia_25percent_output_edgel!B2185,"AAAAADf9fpo=")</f>
        <v>#VALUE!</v>
      </c>
      <c r="EZ26">
        <f>IF(Ischemia_25percent_output_edgel!2186:2186,"AAAAADf9fps=",0)</f>
        <v>0</v>
      </c>
      <c r="FA26" t="e">
        <f>AND(Ischemia_25percent_output_edgel!A2186,"AAAAADf9fpw=")</f>
        <v>#VALUE!</v>
      </c>
      <c r="FB26" t="e">
        <f>AND(Ischemia_25percent_output_edgel!B2186,"AAAAADf9fp0=")</f>
        <v>#VALUE!</v>
      </c>
      <c r="FC26">
        <f>IF(Ischemia_25percent_output_edgel!2187:2187,"AAAAADf9fp4=",0)</f>
        <v>0</v>
      </c>
      <c r="FD26" t="e">
        <f>AND(Ischemia_25percent_output_edgel!A2187,"AAAAADf9fp8=")</f>
        <v>#VALUE!</v>
      </c>
      <c r="FE26" t="e">
        <f>AND(Ischemia_25percent_output_edgel!B2187,"AAAAADf9fqA=")</f>
        <v>#VALUE!</v>
      </c>
      <c r="FF26">
        <f>IF(Ischemia_25percent_output_edgel!2188:2188,"AAAAADf9fqE=",0)</f>
        <v>0</v>
      </c>
      <c r="FG26" t="e">
        <f>AND(Ischemia_25percent_output_edgel!A2188,"AAAAADf9fqI=")</f>
        <v>#VALUE!</v>
      </c>
      <c r="FH26" t="e">
        <f>AND(Ischemia_25percent_output_edgel!B2188,"AAAAADf9fqM=")</f>
        <v>#VALUE!</v>
      </c>
      <c r="FI26">
        <f>IF(Ischemia_25percent_output_edgel!2189:2189,"AAAAADf9fqQ=",0)</f>
        <v>0</v>
      </c>
      <c r="FJ26" t="e">
        <f>AND(Ischemia_25percent_output_edgel!A2189,"AAAAADf9fqU=")</f>
        <v>#VALUE!</v>
      </c>
      <c r="FK26" t="e">
        <f>AND(Ischemia_25percent_output_edgel!B2189,"AAAAADf9fqY=")</f>
        <v>#VALUE!</v>
      </c>
      <c r="FL26">
        <f>IF(Ischemia_25percent_output_edgel!2190:2190,"AAAAADf9fqc=",0)</f>
        <v>0</v>
      </c>
      <c r="FM26" t="e">
        <f>AND(Ischemia_25percent_output_edgel!A2190,"AAAAADf9fqg=")</f>
        <v>#VALUE!</v>
      </c>
      <c r="FN26" t="e">
        <f>AND(Ischemia_25percent_output_edgel!B2190,"AAAAADf9fqk=")</f>
        <v>#VALUE!</v>
      </c>
      <c r="FO26">
        <f>IF(Ischemia_25percent_output_edgel!2191:2191,"AAAAADf9fqo=",0)</f>
        <v>0</v>
      </c>
      <c r="FP26" t="e">
        <f>AND(Ischemia_25percent_output_edgel!A2191,"AAAAADf9fqs=")</f>
        <v>#VALUE!</v>
      </c>
      <c r="FQ26" t="e">
        <f>AND(Ischemia_25percent_output_edgel!B2191,"AAAAADf9fqw=")</f>
        <v>#VALUE!</v>
      </c>
      <c r="FR26">
        <f>IF(Ischemia_25percent_output_edgel!2192:2192,"AAAAADf9fq0=",0)</f>
        <v>0</v>
      </c>
      <c r="FS26" t="e">
        <f>AND(Ischemia_25percent_output_edgel!A2192,"AAAAADf9fq4=")</f>
        <v>#VALUE!</v>
      </c>
      <c r="FT26" t="e">
        <f>AND(Ischemia_25percent_output_edgel!B2192,"AAAAADf9fq8=")</f>
        <v>#VALUE!</v>
      </c>
      <c r="FU26">
        <f>IF(Ischemia_25percent_output_edgel!2193:2193,"AAAAADf9frA=",0)</f>
        <v>0</v>
      </c>
      <c r="FV26" t="e">
        <f>AND(Ischemia_25percent_output_edgel!A2193,"AAAAADf9frE=")</f>
        <v>#VALUE!</v>
      </c>
      <c r="FW26" t="e">
        <f>AND(Ischemia_25percent_output_edgel!B2193,"AAAAADf9frI=")</f>
        <v>#VALUE!</v>
      </c>
      <c r="FX26">
        <f>IF(Ischemia_25percent_output_edgel!2194:2194,"AAAAADf9frM=",0)</f>
        <v>0</v>
      </c>
      <c r="FY26" t="e">
        <f>AND(Ischemia_25percent_output_edgel!A2194,"AAAAADf9frQ=")</f>
        <v>#VALUE!</v>
      </c>
      <c r="FZ26" t="e">
        <f>AND(Ischemia_25percent_output_edgel!B2194,"AAAAADf9frU=")</f>
        <v>#VALUE!</v>
      </c>
      <c r="GA26">
        <f>IF(Ischemia_25percent_output_edgel!2195:2195,"AAAAADf9frY=",0)</f>
        <v>0</v>
      </c>
      <c r="GB26" t="e">
        <f>AND(Ischemia_25percent_output_edgel!A2195,"AAAAADf9frc=")</f>
        <v>#VALUE!</v>
      </c>
      <c r="GC26" t="e">
        <f>AND(Ischemia_25percent_output_edgel!B2195,"AAAAADf9frg=")</f>
        <v>#VALUE!</v>
      </c>
      <c r="GD26">
        <f>IF(Ischemia_25percent_output_edgel!2196:2196,"AAAAADf9frk=",0)</f>
        <v>0</v>
      </c>
      <c r="GE26" t="e">
        <f>AND(Ischemia_25percent_output_edgel!A2196,"AAAAADf9fro=")</f>
        <v>#VALUE!</v>
      </c>
      <c r="GF26" t="e">
        <f>AND(Ischemia_25percent_output_edgel!B2196,"AAAAADf9frs=")</f>
        <v>#VALUE!</v>
      </c>
      <c r="GG26">
        <f>IF(Ischemia_25percent_output_edgel!2197:2197,"AAAAADf9frw=",0)</f>
        <v>0</v>
      </c>
      <c r="GH26" t="e">
        <f>AND(Ischemia_25percent_output_edgel!A2197,"AAAAADf9fr0=")</f>
        <v>#VALUE!</v>
      </c>
      <c r="GI26" t="e">
        <f>AND(Ischemia_25percent_output_edgel!B2197,"AAAAADf9fr4=")</f>
        <v>#VALUE!</v>
      </c>
      <c r="GJ26">
        <f>IF(Ischemia_25percent_output_edgel!2198:2198,"AAAAADf9fr8=",0)</f>
        <v>0</v>
      </c>
      <c r="GK26" t="e">
        <f>AND(Ischemia_25percent_output_edgel!A2198,"AAAAADf9fsA=")</f>
        <v>#VALUE!</v>
      </c>
      <c r="GL26" t="e">
        <f>AND(Ischemia_25percent_output_edgel!B2198,"AAAAADf9fsE=")</f>
        <v>#VALUE!</v>
      </c>
      <c r="GM26">
        <f>IF(Ischemia_25percent_output_edgel!2199:2199,"AAAAADf9fsI=",0)</f>
        <v>0</v>
      </c>
      <c r="GN26" t="e">
        <f>AND(Ischemia_25percent_output_edgel!A2199,"AAAAADf9fsM=")</f>
        <v>#VALUE!</v>
      </c>
      <c r="GO26" t="e">
        <f>AND(Ischemia_25percent_output_edgel!B2199,"AAAAADf9fsQ=")</f>
        <v>#VALUE!</v>
      </c>
      <c r="GP26">
        <f>IF(Ischemia_25percent_output_edgel!2200:2200,"AAAAADf9fsU=",0)</f>
        <v>0</v>
      </c>
      <c r="GQ26" t="e">
        <f>AND(Ischemia_25percent_output_edgel!A2200,"AAAAADf9fsY=")</f>
        <v>#VALUE!</v>
      </c>
      <c r="GR26" t="e">
        <f>AND(Ischemia_25percent_output_edgel!B2200,"AAAAADf9fsc=")</f>
        <v>#VALUE!</v>
      </c>
      <c r="GS26">
        <f>IF(Ischemia_25percent_output_edgel!2201:2201,"AAAAADf9fsg=",0)</f>
        <v>0</v>
      </c>
      <c r="GT26" t="e">
        <f>AND(Ischemia_25percent_output_edgel!A2201,"AAAAADf9fsk=")</f>
        <v>#VALUE!</v>
      </c>
      <c r="GU26" t="e">
        <f>AND(Ischemia_25percent_output_edgel!B2201,"AAAAADf9fso=")</f>
        <v>#VALUE!</v>
      </c>
      <c r="GV26">
        <f>IF(Ischemia_25percent_output_edgel!2202:2202,"AAAAADf9fss=",0)</f>
        <v>0</v>
      </c>
      <c r="GW26" t="e">
        <f>AND(Ischemia_25percent_output_edgel!A2202,"AAAAADf9fsw=")</f>
        <v>#VALUE!</v>
      </c>
      <c r="GX26" t="e">
        <f>AND(Ischemia_25percent_output_edgel!B2202,"AAAAADf9fs0=")</f>
        <v>#VALUE!</v>
      </c>
      <c r="GY26">
        <f>IF(Ischemia_25percent_output_edgel!2203:2203,"AAAAADf9fs4=",0)</f>
        <v>0</v>
      </c>
      <c r="GZ26" t="e">
        <f>AND(Ischemia_25percent_output_edgel!A2203,"AAAAADf9fs8=")</f>
        <v>#VALUE!</v>
      </c>
      <c r="HA26" t="e">
        <f>AND(Ischemia_25percent_output_edgel!B2203,"AAAAADf9ftA=")</f>
        <v>#VALUE!</v>
      </c>
      <c r="HB26">
        <f>IF(Ischemia_25percent_output_edgel!2204:2204,"AAAAADf9ftE=",0)</f>
        <v>0</v>
      </c>
      <c r="HC26" t="e">
        <f>AND(Ischemia_25percent_output_edgel!A2204,"AAAAADf9ftI=")</f>
        <v>#VALUE!</v>
      </c>
      <c r="HD26" t="e">
        <f>AND(Ischemia_25percent_output_edgel!B2204,"AAAAADf9ftM=")</f>
        <v>#VALUE!</v>
      </c>
      <c r="HE26">
        <f>IF(Ischemia_25percent_output_edgel!2205:2205,"AAAAADf9ftQ=",0)</f>
        <v>0</v>
      </c>
      <c r="HF26" t="e">
        <f>AND(Ischemia_25percent_output_edgel!A2205,"AAAAADf9ftU=")</f>
        <v>#VALUE!</v>
      </c>
      <c r="HG26" t="e">
        <f>AND(Ischemia_25percent_output_edgel!B2205,"AAAAADf9ftY=")</f>
        <v>#VALUE!</v>
      </c>
      <c r="HH26">
        <f>IF(Ischemia_25percent_output_edgel!2206:2206,"AAAAADf9ftc=",0)</f>
        <v>0</v>
      </c>
      <c r="HI26" t="e">
        <f>AND(Ischemia_25percent_output_edgel!A2206,"AAAAADf9ftg=")</f>
        <v>#VALUE!</v>
      </c>
      <c r="HJ26" t="e">
        <f>AND(Ischemia_25percent_output_edgel!B2206,"AAAAADf9ftk=")</f>
        <v>#VALUE!</v>
      </c>
      <c r="HK26">
        <f>IF(Ischemia_25percent_output_edgel!2207:2207,"AAAAADf9fto=",0)</f>
        <v>0</v>
      </c>
      <c r="HL26" t="e">
        <f>AND(Ischemia_25percent_output_edgel!A2207,"AAAAADf9fts=")</f>
        <v>#VALUE!</v>
      </c>
      <c r="HM26" t="e">
        <f>AND(Ischemia_25percent_output_edgel!B2207,"AAAAADf9ftw=")</f>
        <v>#VALUE!</v>
      </c>
      <c r="HN26">
        <f>IF(Ischemia_25percent_output_edgel!2208:2208,"AAAAADf9ft0=",0)</f>
        <v>0</v>
      </c>
      <c r="HO26" t="e">
        <f>AND(Ischemia_25percent_output_edgel!A2208,"AAAAADf9ft4=")</f>
        <v>#VALUE!</v>
      </c>
      <c r="HP26" t="e">
        <f>AND(Ischemia_25percent_output_edgel!B2208,"AAAAADf9ft8=")</f>
        <v>#VALUE!</v>
      </c>
      <c r="HQ26">
        <f>IF(Ischemia_25percent_output_edgel!2209:2209,"AAAAADf9fuA=",0)</f>
        <v>0</v>
      </c>
      <c r="HR26" t="e">
        <f>AND(Ischemia_25percent_output_edgel!A2209,"AAAAADf9fuE=")</f>
        <v>#VALUE!</v>
      </c>
      <c r="HS26" t="e">
        <f>AND(Ischemia_25percent_output_edgel!B2209,"AAAAADf9fuI=")</f>
        <v>#VALUE!</v>
      </c>
      <c r="HT26">
        <f>IF(Ischemia_25percent_output_edgel!2210:2210,"AAAAADf9fuM=",0)</f>
        <v>0</v>
      </c>
      <c r="HU26" t="e">
        <f>AND(Ischemia_25percent_output_edgel!A2210,"AAAAADf9fuQ=")</f>
        <v>#VALUE!</v>
      </c>
      <c r="HV26" t="e">
        <f>AND(Ischemia_25percent_output_edgel!B2210,"AAAAADf9fuU=")</f>
        <v>#VALUE!</v>
      </c>
      <c r="HW26">
        <f>IF(Ischemia_25percent_output_edgel!2211:2211,"AAAAADf9fuY=",0)</f>
        <v>0</v>
      </c>
      <c r="HX26" t="e">
        <f>AND(Ischemia_25percent_output_edgel!A2211,"AAAAADf9fuc=")</f>
        <v>#VALUE!</v>
      </c>
      <c r="HY26" t="e">
        <f>AND(Ischemia_25percent_output_edgel!B2211,"AAAAADf9fug=")</f>
        <v>#VALUE!</v>
      </c>
      <c r="HZ26">
        <f>IF(Ischemia_25percent_output_edgel!2212:2212,"AAAAADf9fuk=",0)</f>
        <v>0</v>
      </c>
      <c r="IA26" t="e">
        <f>AND(Ischemia_25percent_output_edgel!A2212,"AAAAADf9fuo=")</f>
        <v>#VALUE!</v>
      </c>
      <c r="IB26" t="e">
        <f>AND(Ischemia_25percent_output_edgel!B2212,"AAAAADf9fus=")</f>
        <v>#VALUE!</v>
      </c>
      <c r="IC26">
        <f>IF(Ischemia_25percent_output_edgel!2213:2213,"AAAAADf9fuw=",0)</f>
        <v>0</v>
      </c>
      <c r="ID26" t="e">
        <f>AND(Ischemia_25percent_output_edgel!A2213,"AAAAADf9fu0=")</f>
        <v>#VALUE!</v>
      </c>
      <c r="IE26" t="e">
        <f>AND(Ischemia_25percent_output_edgel!B2213,"AAAAADf9fu4=")</f>
        <v>#VALUE!</v>
      </c>
      <c r="IF26">
        <f>IF(Ischemia_25percent_output_edgel!2214:2214,"AAAAADf9fu8=",0)</f>
        <v>0</v>
      </c>
      <c r="IG26" t="e">
        <f>AND(Ischemia_25percent_output_edgel!A2214,"AAAAADf9fvA=")</f>
        <v>#VALUE!</v>
      </c>
      <c r="IH26" t="e">
        <f>AND(Ischemia_25percent_output_edgel!B2214,"AAAAADf9fvE=")</f>
        <v>#VALUE!</v>
      </c>
      <c r="II26">
        <f>IF(Ischemia_25percent_output_edgel!2215:2215,"AAAAADf9fvI=",0)</f>
        <v>0</v>
      </c>
      <c r="IJ26" t="e">
        <f>AND(Ischemia_25percent_output_edgel!A2215,"AAAAADf9fvM=")</f>
        <v>#VALUE!</v>
      </c>
      <c r="IK26" t="e">
        <f>AND(Ischemia_25percent_output_edgel!B2215,"AAAAADf9fvQ=")</f>
        <v>#VALUE!</v>
      </c>
      <c r="IL26">
        <f>IF(Ischemia_25percent_output_edgel!2216:2216,"AAAAADf9fvU=",0)</f>
        <v>0</v>
      </c>
      <c r="IM26" t="e">
        <f>AND(Ischemia_25percent_output_edgel!A2216,"AAAAADf9fvY=")</f>
        <v>#VALUE!</v>
      </c>
      <c r="IN26" t="e">
        <f>AND(Ischemia_25percent_output_edgel!B2216,"AAAAADf9fvc=")</f>
        <v>#VALUE!</v>
      </c>
      <c r="IO26">
        <f>IF(Ischemia_25percent_output_edgel!2217:2217,"AAAAADf9fvg=",0)</f>
        <v>0</v>
      </c>
      <c r="IP26" t="e">
        <f>AND(Ischemia_25percent_output_edgel!A2217,"AAAAADf9fvk=")</f>
        <v>#VALUE!</v>
      </c>
      <c r="IQ26" t="e">
        <f>AND(Ischemia_25percent_output_edgel!B2217,"AAAAADf9fvo=")</f>
        <v>#VALUE!</v>
      </c>
      <c r="IR26">
        <f>IF(Ischemia_25percent_output_edgel!2218:2218,"AAAAADf9fvs=",0)</f>
        <v>0</v>
      </c>
      <c r="IS26" t="e">
        <f>AND(Ischemia_25percent_output_edgel!A2218,"AAAAADf9fvw=")</f>
        <v>#VALUE!</v>
      </c>
      <c r="IT26" t="e">
        <f>AND(Ischemia_25percent_output_edgel!B2218,"AAAAADf9fv0=")</f>
        <v>#VALUE!</v>
      </c>
      <c r="IU26">
        <f>IF(Ischemia_25percent_output_edgel!2219:2219,"AAAAADf9fv4=",0)</f>
        <v>0</v>
      </c>
      <c r="IV26" t="e">
        <f>AND(Ischemia_25percent_output_edgel!A2219,"AAAAADf9fv8=")</f>
        <v>#VALUE!</v>
      </c>
    </row>
    <row r="27" spans="1:256">
      <c r="A27" t="e">
        <f>AND(Ischemia_25percent_output_edgel!B2219,"AAAAAHL8/wA=")</f>
        <v>#VALUE!</v>
      </c>
      <c r="B27" t="e">
        <f>IF(Ischemia_25percent_output_edgel!2220:2220,"AAAAAHL8/wE=",0)</f>
        <v>#VALUE!</v>
      </c>
      <c r="C27" t="e">
        <f>AND(Ischemia_25percent_output_edgel!A2220,"AAAAAHL8/wI=")</f>
        <v>#VALUE!</v>
      </c>
      <c r="D27" t="e">
        <f>AND(Ischemia_25percent_output_edgel!B2220,"AAAAAHL8/wM=")</f>
        <v>#VALUE!</v>
      </c>
      <c r="E27">
        <f>IF(Ischemia_25percent_output_edgel!2221:2221,"AAAAAHL8/wQ=",0)</f>
        <v>0</v>
      </c>
      <c r="F27" t="e">
        <f>AND(Ischemia_25percent_output_edgel!A2221,"AAAAAHL8/wU=")</f>
        <v>#VALUE!</v>
      </c>
      <c r="G27" t="e">
        <f>AND(Ischemia_25percent_output_edgel!B2221,"AAAAAHL8/wY=")</f>
        <v>#VALUE!</v>
      </c>
      <c r="H27">
        <f>IF(Ischemia_25percent_output_edgel!2222:2222,"AAAAAHL8/wc=",0)</f>
        <v>0</v>
      </c>
      <c r="I27" t="e">
        <f>AND(Ischemia_25percent_output_edgel!A2222,"AAAAAHL8/wg=")</f>
        <v>#VALUE!</v>
      </c>
      <c r="J27" t="e">
        <f>AND(Ischemia_25percent_output_edgel!B2222,"AAAAAHL8/wk=")</f>
        <v>#VALUE!</v>
      </c>
      <c r="K27">
        <f>IF(Ischemia_25percent_output_edgel!2223:2223,"AAAAAHL8/wo=",0)</f>
        <v>0</v>
      </c>
      <c r="L27" t="e">
        <f>AND(Ischemia_25percent_output_edgel!A2223,"AAAAAHL8/ws=")</f>
        <v>#VALUE!</v>
      </c>
      <c r="M27" t="e">
        <f>AND(Ischemia_25percent_output_edgel!B2223,"AAAAAHL8/ww=")</f>
        <v>#VALUE!</v>
      </c>
      <c r="N27">
        <f>IF(Ischemia_25percent_output_edgel!2224:2224,"AAAAAHL8/w0=",0)</f>
        <v>0</v>
      </c>
      <c r="O27" t="e">
        <f>AND(Ischemia_25percent_output_edgel!A2224,"AAAAAHL8/w4=")</f>
        <v>#VALUE!</v>
      </c>
      <c r="P27" t="e">
        <f>AND(Ischemia_25percent_output_edgel!B2224,"AAAAAHL8/w8=")</f>
        <v>#VALUE!</v>
      </c>
      <c r="Q27">
        <f>IF(Ischemia_25percent_output_edgel!2225:2225,"AAAAAHL8/xA=",0)</f>
        <v>0</v>
      </c>
      <c r="R27" t="e">
        <f>AND(Ischemia_25percent_output_edgel!A2225,"AAAAAHL8/xE=")</f>
        <v>#VALUE!</v>
      </c>
      <c r="S27" t="e">
        <f>AND(Ischemia_25percent_output_edgel!B2225,"AAAAAHL8/xI=")</f>
        <v>#VALUE!</v>
      </c>
      <c r="T27">
        <f>IF(Ischemia_25percent_output_edgel!2226:2226,"AAAAAHL8/xM=",0)</f>
        <v>0</v>
      </c>
      <c r="U27" t="e">
        <f>AND(Ischemia_25percent_output_edgel!A2226,"AAAAAHL8/xQ=")</f>
        <v>#VALUE!</v>
      </c>
      <c r="V27" t="e">
        <f>AND(Ischemia_25percent_output_edgel!B2226,"AAAAAHL8/xU=")</f>
        <v>#VALUE!</v>
      </c>
      <c r="W27">
        <f>IF(Ischemia_25percent_output_edgel!2227:2227,"AAAAAHL8/xY=",0)</f>
        <v>0</v>
      </c>
      <c r="X27" t="e">
        <f>AND(Ischemia_25percent_output_edgel!A2227,"AAAAAHL8/xc=")</f>
        <v>#VALUE!</v>
      </c>
      <c r="Y27" t="e">
        <f>AND(Ischemia_25percent_output_edgel!B2227,"AAAAAHL8/xg=")</f>
        <v>#VALUE!</v>
      </c>
      <c r="Z27">
        <f>IF(Ischemia_25percent_output_edgel!2228:2228,"AAAAAHL8/xk=",0)</f>
        <v>0</v>
      </c>
      <c r="AA27" t="e">
        <f>AND(Ischemia_25percent_output_edgel!A2228,"AAAAAHL8/xo=")</f>
        <v>#VALUE!</v>
      </c>
      <c r="AB27" t="e">
        <f>AND(Ischemia_25percent_output_edgel!B2228,"AAAAAHL8/xs=")</f>
        <v>#VALUE!</v>
      </c>
      <c r="AC27">
        <f>IF(Ischemia_25percent_output_edgel!2229:2229,"AAAAAHL8/xw=",0)</f>
        <v>0</v>
      </c>
      <c r="AD27" t="e">
        <f>AND(Ischemia_25percent_output_edgel!A2229,"AAAAAHL8/x0=")</f>
        <v>#VALUE!</v>
      </c>
      <c r="AE27" t="e">
        <f>AND(Ischemia_25percent_output_edgel!B2229,"AAAAAHL8/x4=")</f>
        <v>#VALUE!</v>
      </c>
      <c r="AF27">
        <f>IF(Ischemia_25percent_output_edgel!2230:2230,"AAAAAHL8/x8=",0)</f>
        <v>0</v>
      </c>
      <c r="AG27" t="e">
        <f>AND(Ischemia_25percent_output_edgel!A2230,"AAAAAHL8/yA=")</f>
        <v>#VALUE!</v>
      </c>
      <c r="AH27" t="e">
        <f>AND(Ischemia_25percent_output_edgel!B2230,"AAAAAHL8/yE=")</f>
        <v>#VALUE!</v>
      </c>
      <c r="AI27">
        <f>IF(Ischemia_25percent_output_edgel!2231:2231,"AAAAAHL8/yI=",0)</f>
        <v>0</v>
      </c>
      <c r="AJ27" t="e">
        <f>AND(Ischemia_25percent_output_edgel!A2231,"AAAAAHL8/yM=")</f>
        <v>#VALUE!</v>
      </c>
      <c r="AK27" t="e">
        <f>AND(Ischemia_25percent_output_edgel!B2231,"AAAAAHL8/yQ=")</f>
        <v>#VALUE!</v>
      </c>
      <c r="AL27">
        <f>IF(Ischemia_25percent_output_edgel!2232:2232,"AAAAAHL8/yU=",0)</f>
        <v>0</v>
      </c>
      <c r="AM27" t="e">
        <f>AND(Ischemia_25percent_output_edgel!A2232,"AAAAAHL8/yY=")</f>
        <v>#VALUE!</v>
      </c>
      <c r="AN27" t="e">
        <f>AND(Ischemia_25percent_output_edgel!B2232,"AAAAAHL8/yc=")</f>
        <v>#VALUE!</v>
      </c>
      <c r="AO27">
        <f>IF(Ischemia_25percent_output_edgel!2233:2233,"AAAAAHL8/yg=",0)</f>
        <v>0</v>
      </c>
      <c r="AP27" t="e">
        <f>AND(Ischemia_25percent_output_edgel!A2233,"AAAAAHL8/yk=")</f>
        <v>#VALUE!</v>
      </c>
      <c r="AQ27" t="e">
        <f>AND(Ischemia_25percent_output_edgel!B2233,"AAAAAHL8/yo=")</f>
        <v>#VALUE!</v>
      </c>
      <c r="AR27">
        <f>IF(Ischemia_25percent_output_edgel!2234:2234,"AAAAAHL8/ys=",0)</f>
        <v>0</v>
      </c>
      <c r="AS27" t="e">
        <f>AND(Ischemia_25percent_output_edgel!A2234,"AAAAAHL8/yw=")</f>
        <v>#VALUE!</v>
      </c>
      <c r="AT27" t="e">
        <f>AND(Ischemia_25percent_output_edgel!B2234,"AAAAAHL8/y0=")</f>
        <v>#VALUE!</v>
      </c>
      <c r="AU27">
        <f>IF(Ischemia_25percent_output_edgel!2235:2235,"AAAAAHL8/y4=",0)</f>
        <v>0</v>
      </c>
      <c r="AV27" t="e">
        <f>AND(Ischemia_25percent_output_edgel!A2235,"AAAAAHL8/y8=")</f>
        <v>#VALUE!</v>
      </c>
      <c r="AW27" t="e">
        <f>AND(Ischemia_25percent_output_edgel!B2235,"AAAAAHL8/zA=")</f>
        <v>#VALUE!</v>
      </c>
      <c r="AX27">
        <f>IF(Ischemia_25percent_output_edgel!2236:2236,"AAAAAHL8/zE=",0)</f>
        <v>0</v>
      </c>
      <c r="AY27" t="e">
        <f>AND(Ischemia_25percent_output_edgel!A2236,"AAAAAHL8/zI=")</f>
        <v>#VALUE!</v>
      </c>
      <c r="AZ27" t="e">
        <f>AND(Ischemia_25percent_output_edgel!B2236,"AAAAAHL8/zM=")</f>
        <v>#VALUE!</v>
      </c>
      <c r="BA27">
        <f>IF(Ischemia_25percent_output_edgel!2237:2237,"AAAAAHL8/zQ=",0)</f>
        <v>0</v>
      </c>
      <c r="BB27" t="e">
        <f>AND(Ischemia_25percent_output_edgel!A2237,"AAAAAHL8/zU=")</f>
        <v>#VALUE!</v>
      </c>
      <c r="BC27" t="e">
        <f>AND(Ischemia_25percent_output_edgel!B2237,"AAAAAHL8/zY=")</f>
        <v>#VALUE!</v>
      </c>
      <c r="BD27">
        <f>IF(Ischemia_25percent_output_edgel!2238:2238,"AAAAAHL8/zc=",0)</f>
        <v>0</v>
      </c>
      <c r="BE27" t="e">
        <f>AND(Ischemia_25percent_output_edgel!A2238,"AAAAAHL8/zg=")</f>
        <v>#VALUE!</v>
      </c>
      <c r="BF27" t="e">
        <f>AND(Ischemia_25percent_output_edgel!B2238,"AAAAAHL8/zk=")</f>
        <v>#VALUE!</v>
      </c>
      <c r="BG27">
        <f>IF(Ischemia_25percent_output_edgel!2239:2239,"AAAAAHL8/zo=",0)</f>
        <v>0</v>
      </c>
      <c r="BH27" t="e">
        <f>AND(Ischemia_25percent_output_edgel!A2239,"AAAAAHL8/zs=")</f>
        <v>#VALUE!</v>
      </c>
      <c r="BI27" t="e">
        <f>AND(Ischemia_25percent_output_edgel!B2239,"AAAAAHL8/zw=")</f>
        <v>#VALUE!</v>
      </c>
      <c r="BJ27">
        <f>IF(Ischemia_25percent_output_edgel!2240:2240,"AAAAAHL8/z0=",0)</f>
        <v>0</v>
      </c>
      <c r="BK27" t="e">
        <f>AND(Ischemia_25percent_output_edgel!A2240,"AAAAAHL8/z4=")</f>
        <v>#VALUE!</v>
      </c>
      <c r="BL27" t="e">
        <f>AND(Ischemia_25percent_output_edgel!B2240,"AAAAAHL8/z8=")</f>
        <v>#VALUE!</v>
      </c>
      <c r="BM27">
        <f>IF(Ischemia_25percent_output_edgel!2241:2241,"AAAAAHL8/0A=",0)</f>
        <v>0</v>
      </c>
      <c r="BN27" t="e">
        <f>AND(Ischemia_25percent_output_edgel!A2241,"AAAAAHL8/0E=")</f>
        <v>#VALUE!</v>
      </c>
      <c r="BO27" t="e">
        <f>AND(Ischemia_25percent_output_edgel!B2241,"AAAAAHL8/0I=")</f>
        <v>#VALUE!</v>
      </c>
      <c r="BP27">
        <f>IF(Ischemia_25percent_output_edgel!2242:2242,"AAAAAHL8/0M=",0)</f>
        <v>0</v>
      </c>
      <c r="BQ27" t="e">
        <f>AND(Ischemia_25percent_output_edgel!A2242,"AAAAAHL8/0Q=")</f>
        <v>#VALUE!</v>
      </c>
      <c r="BR27" t="e">
        <f>AND(Ischemia_25percent_output_edgel!B2242,"AAAAAHL8/0U=")</f>
        <v>#VALUE!</v>
      </c>
      <c r="BS27">
        <f>IF(Ischemia_25percent_output_edgel!2243:2243,"AAAAAHL8/0Y=",0)</f>
        <v>0</v>
      </c>
      <c r="BT27" t="e">
        <f>AND(Ischemia_25percent_output_edgel!A2243,"AAAAAHL8/0c=")</f>
        <v>#VALUE!</v>
      </c>
      <c r="BU27" t="e">
        <f>AND(Ischemia_25percent_output_edgel!B2243,"AAAAAHL8/0g=")</f>
        <v>#VALUE!</v>
      </c>
      <c r="BV27">
        <f>IF(Ischemia_25percent_output_edgel!2244:2244,"AAAAAHL8/0k=",0)</f>
        <v>0</v>
      </c>
      <c r="BW27" t="e">
        <f>AND(Ischemia_25percent_output_edgel!A2244,"AAAAAHL8/0o=")</f>
        <v>#VALUE!</v>
      </c>
      <c r="BX27" t="e">
        <f>AND(Ischemia_25percent_output_edgel!B2244,"AAAAAHL8/0s=")</f>
        <v>#VALUE!</v>
      </c>
      <c r="BY27">
        <f>IF(Ischemia_25percent_output_edgel!2245:2245,"AAAAAHL8/0w=",0)</f>
        <v>0</v>
      </c>
      <c r="BZ27" t="e">
        <f>AND(Ischemia_25percent_output_edgel!A2245,"AAAAAHL8/00=")</f>
        <v>#VALUE!</v>
      </c>
      <c r="CA27" t="e">
        <f>AND(Ischemia_25percent_output_edgel!B2245,"AAAAAHL8/04=")</f>
        <v>#VALUE!</v>
      </c>
      <c r="CB27">
        <f>IF(Ischemia_25percent_output_edgel!2246:2246,"AAAAAHL8/08=",0)</f>
        <v>0</v>
      </c>
      <c r="CC27" t="e">
        <f>AND(Ischemia_25percent_output_edgel!A2246,"AAAAAHL8/1A=")</f>
        <v>#VALUE!</v>
      </c>
      <c r="CD27" t="e">
        <f>AND(Ischemia_25percent_output_edgel!B2246,"AAAAAHL8/1E=")</f>
        <v>#VALUE!</v>
      </c>
      <c r="CE27">
        <f>IF(Ischemia_25percent_output_edgel!2247:2247,"AAAAAHL8/1I=",0)</f>
        <v>0</v>
      </c>
      <c r="CF27" t="e">
        <f>AND(Ischemia_25percent_output_edgel!A2247,"AAAAAHL8/1M=")</f>
        <v>#VALUE!</v>
      </c>
      <c r="CG27" t="e">
        <f>AND(Ischemia_25percent_output_edgel!B2247,"AAAAAHL8/1Q=")</f>
        <v>#VALUE!</v>
      </c>
      <c r="CH27">
        <f>IF(Ischemia_25percent_output_edgel!2248:2248,"AAAAAHL8/1U=",0)</f>
        <v>0</v>
      </c>
      <c r="CI27" t="e">
        <f>AND(Ischemia_25percent_output_edgel!A2248,"AAAAAHL8/1Y=")</f>
        <v>#VALUE!</v>
      </c>
      <c r="CJ27" t="e">
        <f>AND(Ischemia_25percent_output_edgel!B2248,"AAAAAHL8/1c=")</f>
        <v>#VALUE!</v>
      </c>
      <c r="CK27">
        <f>IF(Ischemia_25percent_output_edgel!2249:2249,"AAAAAHL8/1g=",0)</f>
        <v>0</v>
      </c>
      <c r="CL27" t="e">
        <f>AND(Ischemia_25percent_output_edgel!A2249,"AAAAAHL8/1k=")</f>
        <v>#VALUE!</v>
      </c>
      <c r="CM27" t="e">
        <f>AND(Ischemia_25percent_output_edgel!B2249,"AAAAAHL8/1o=")</f>
        <v>#VALUE!</v>
      </c>
      <c r="CN27">
        <f>IF(Ischemia_25percent_output_edgel!2250:2250,"AAAAAHL8/1s=",0)</f>
        <v>0</v>
      </c>
      <c r="CO27" t="e">
        <f>AND(Ischemia_25percent_output_edgel!A2250,"AAAAAHL8/1w=")</f>
        <v>#VALUE!</v>
      </c>
      <c r="CP27" t="e">
        <f>AND(Ischemia_25percent_output_edgel!B2250,"AAAAAHL8/10=")</f>
        <v>#VALUE!</v>
      </c>
      <c r="CQ27">
        <f>IF(Ischemia_25percent_output_edgel!2251:2251,"AAAAAHL8/14=",0)</f>
        <v>0</v>
      </c>
      <c r="CR27" t="e">
        <f>AND(Ischemia_25percent_output_edgel!A2251,"AAAAAHL8/18=")</f>
        <v>#VALUE!</v>
      </c>
      <c r="CS27" t="e">
        <f>AND(Ischemia_25percent_output_edgel!B2251,"AAAAAHL8/2A=")</f>
        <v>#VALUE!</v>
      </c>
      <c r="CT27">
        <f>IF(Ischemia_25percent_output_edgel!2252:2252,"AAAAAHL8/2E=",0)</f>
        <v>0</v>
      </c>
      <c r="CU27" t="e">
        <f>AND(Ischemia_25percent_output_edgel!A2252,"AAAAAHL8/2I=")</f>
        <v>#VALUE!</v>
      </c>
      <c r="CV27" t="e">
        <f>AND(Ischemia_25percent_output_edgel!B2252,"AAAAAHL8/2M=")</f>
        <v>#VALUE!</v>
      </c>
      <c r="CW27">
        <f>IF(Ischemia_25percent_output_edgel!2253:2253,"AAAAAHL8/2Q=",0)</f>
        <v>0</v>
      </c>
      <c r="CX27" t="e">
        <f>AND(Ischemia_25percent_output_edgel!A2253,"AAAAAHL8/2U=")</f>
        <v>#VALUE!</v>
      </c>
      <c r="CY27" t="e">
        <f>AND(Ischemia_25percent_output_edgel!B2253,"AAAAAHL8/2Y=")</f>
        <v>#VALUE!</v>
      </c>
      <c r="CZ27">
        <f>IF(Ischemia_25percent_output_edgel!2254:2254,"AAAAAHL8/2c=",0)</f>
        <v>0</v>
      </c>
      <c r="DA27" t="e">
        <f>AND(Ischemia_25percent_output_edgel!A2254,"AAAAAHL8/2g=")</f>
        <v>#VALUE!</v>
      </c>
      <c r="DB27" t="e">
        <f>AND(Ischemia_25percent_output_edgel!B2254,"AAAAAHL8/2k=")</f>
        <v>#VALUE!</v>
      </c>
      <c r="DC27">
        <f>IF(Ischemia_25percent_output_edgel!2255:2255,"AAAAAHL8/2o=",0)</f>
        <v>0</v>
      </c>
      <c r="DD27" t="e">
        <f>AND(Ischemia_25percent_output_edgel!A2255,"AAAAAHL8/2s=")</f>
        <v>#VALUE!</v>
      </c>
      <c r="DE27" t="e">
        <f>AND(Ischemia_25percent_output_edgel!B2255,"AAAAAHL8/2w=")</f>
        <v>#VALUE!</v>
      </c>
      <c r="DF27">
        <f>IF(Ischemia_25percent_output_edgel!2256:2256,"AAAAAHL8/20=",0)</f>
        <v>0</v>
      </c>
      <c r="DG27" t="e">
        <f>AND(Ischemia_25percent_output_edgel!A2256,"AAAAAHL8/24=")</f>
        <v>#VALUE!</v>
      </c>
      <c r="DH27" t="e">
        <f>AND(Ischemia_25percent_output_edgel!B2256,"AAAAAHL8/28=")</f>
        <v>#VALUE!</v>
      </c>
      <c r="DI27">
        <f>IF(Ischemia_25percent_output_edgel!2257:2257,"AAAAAHL8/3A=",0)</f>
        <v>0</v>
      </c>
      <c r="DJ27" t="e">
        <f>AND(Ischemia_25percent_output_edgel!A2257,"AAAAAHL8/3E=")</f>
        <v>#VALUE!</v>
      </c>
      <c r="DK27" t="e">
        <f>AND(Ischemia_25percent_output_edgel!B2257,"AAAAAHL8/3I=")</f>
        <v>#VALUE!</v>
      </c>
      <c r="DL27">
        <f>IF(Ischemia_25percent_output_edgel!2258:2258,"AAAAAHL8/3M=",0)</f>
        <v>0</v>
      </c>
      <c r="DM27" t="e">
        <f>AND(Ischemia_25percent_output_edgel!A2258,"AAAAAHL8/3Q=")</f>
        <v>#VALUE!</v>
      </c>
      <c r="DN27" t="e">
        <f>AND(Ischemia_25percent_output_edgel!B2258,"AAAAAHL8/3U=")</f>
        <v>#VALUE!</v>
      </c>
      <c r="DO27">
        <f>IF(Ischemia_25percent_output_edgel!2259:2259,"AAAAAHL8/3Y=",0)</f>
        <v>0</v>
      </c>
      <c r="DP27" t="e">
        <f>AND(Ischemia_25percent_output_edgel!A2259,"AAAAAHL8/3c=")</f>
        <v>#VALUE!</v>
      </c>
      <c r="DQ27" t="e">
        <f>AND(Ischemia_25percent_output_edgel!B2259,"AAAAAHL8/3g=")</f>
        <v>#VALUE!</v>
      </c>
      <c r="DR27">
        <f>IF(Ischemia_25percent_output_edgel!2260:2260,"AAAAAHL8/3k=",0)</f>
        <v>0</v>
      </c>
      <c r="DS27" t="e">
        <f>AND(Ischemia_25percent_output_edgel!A2260,"AAAAAHL8/3o=")</f>
        <v>#VALUE!</v>
      </c>
      <c r="DT27" t="e">
        <f>AND(Ischemia_25percent_output_edgel!B2260,"AAAAAHL8/3s=")</f>
        <v>#VALUE!</v>
      </c>
      <c r="DU27">
        <f>IF(Ischemia_25percent_output_edgel!2261:2261,"AAAAAHL8/3w=",0)</f>
        <v>0</v>
      </c>
      <c r="DV27" t="e">
        <f>AND(Ischemia_25percent_output_edgel!A2261,"AAAAAHL8/30=")</f>
        <v>#VALUE!</v>
      </c>
      <c r="DW27" t="e">
        <f>AND(Ischemia_25percent_output_edgel!B2261,"AAAAAHL8/34=")</f>
        <v>#VALUE!</v>
      </c>
      <c r="DX27">
        <f>IF(Ischemia_25percent_output_edgel!2262:2262,"AAAAAHL8/38=",0)</f>
        <v>0</v>
      </c>
      <c r="DY27" t="e">
        <f>AND(Ischemia_25percent_output_edgel!A2262,"AAAAAHL8/4A=")</f>
        <v>#VALUE!</v>
      </c>
      <c r="DZ27" t="e">
        <f>AND(Ischemia_25percent_output_edgel!B2262,"AAAAAHL8/4E=")</f>
        <v>#VALUE!</v>
      </c>
      <c r="EA27">
        <f>IF(Ischemia_25percent_output_edgel!2263:2263,"AAAAAHL8/4I=",0)</f>
        <v>0</v>
      </c>
      <c r="EB27" t="e">
        <f>AND(Ischemia_25percent_output_edgel!A2263,"AAAAAHL8/4M=")</f>
        <v>#VALUE!</v>
      </c>
      <c r="EC27" t="e">
        <f>AND(Ischemia_25percent_output_edgel!B2263,"AAAAAHL8/4Q=")</f>
        <v>#VALUE!</v>
      </c>
      <c r="ED27">
        <f>IF(Ischemia_25percent_output_edgel!2264:2264,"AAAAAHL8/4U=",0)</f>
        <v>0</v>
      </c>
      <c r="EE27" t="e">
        <f>AND(Ischemia_25percent_output_edgel!A2264,"AAAAAHL8/4Y=")</f>
        <v>#VALUE!</v>
      </c>
      <c r="EF27" t="e">
        <f>AND(Ischemia_25percent_output_edgel!B2264,"AAAAAHL8/4c=")</f>
        <v>#VALUE!</v>
      </c>
      <c r="EG27">
        <f>IF(Ischemia_25percent_output_edgel!2265:2265,"AAAAAHL8/4g=",0)</f>
        <v>0</v>
      </c>
      <c r="EH27" t="e">
        <f>AND(Ischemia_25percent_output_edgel!A2265,"AAAAAHL8/4k=")</f>
        <v>#VALUE!</v>
      </c>
      <c r="EI27" t="e">
        <f>AND(Ischemia_25percent_output_edgel!B2265,"AAAAAHL8/4o=")</f>
        <v>#VALUE!</v>
      </c>
      <c r="EJ27">
        <f>IF(Ischemia_25percent_output_edgel!2266:2266,"AAAAAHL8/4s=",0)</f>
        <v>0</v>
      </c>
      <c r="EK27" t="e">
        <f>AND(Ischemia_25percent_output_edgel!A2266,"AAAAAHL8/4w=")</f>
        <v>#VALUE!</v>
      </c>
      <c r="EL27" t="e">
        <f>AND(Ischemia_25percent_output_edgel!B2266,"AAAAAHL8/40=")</f>
        <v>#VALUE!</v>
      </c>
      <c r="EM27">
        <f>IF(Ischemia_25percent_output_edgel!2267:2267,"AAAAAHL8/44=",0)</f>
        <v>0</v>
      </c>
      <c r="EN27" t="e">
        <f>AND(Ischemia_25percent_output_edgel!A2267,"AAAAAHL8/48=")</f>
        <v>#VALUE!</v>
      </c>
      <c r="EO27" t="e">
        <f>AND(Ischemia_25percent_output_edgel!B2267,"AAAAAHL8/5A=")</f>
        <v>#VALUE!</v>
      </c>
      <c r="EP27">
        <f>IF(Ischemia_25percent_output_edgel!2268:2268,"AAAAAHL8/5E=",0)</f>
        <v>0</v>
      </c>
      <c r="EQ27" t="e">
        <f>AND(Ischemia_25percent_output_edgel!A2268,"AAAAAHL8/5I=")</f>
        <v>#VALUE!</v>
      </c>
      <c r="ER27" t="e">
        <f>AND(Ischemia_25percent_output_edgel!B2268,"AAAAAHL8/5M=")</f>
        <v>#VALUE!</v>
      </c>
      <c r="ES27">
        <f>IF(Ischemia_25percent_output_edgel!2269:2269,"AAAAAHL8/5Q=",0)</f>
        <v>0</v>
      </c>
      <c r="ET27" t="e">
        <f>AND(Ischemia_25percent_output_edgel!A2269,"AAAAAHL8/5U=")</f>
        <v>#VALUE!</v>
      </c>
      <c r="EU27" t="e">
        <f>AND(Ischemia_25percent_output_edgel!B2269,"AAAAAHL8/5Y=")</f>
        <v>#VALUE!</v>
      </c>
      <c r="EV27">
        <f>IF(Ischemia_25percent_output_edgel!2270:2270,"AAAAAHL8/5c=",0)</f>
        <v>0</v>
      </c>
      <c r="EW27" t="e">
        <f>AND(Ischemia_25percent_output_edgel!A2270,"AAAAAHL8/5g=")</f>
        <v>#VALUE!</v>
      </c>
      <c r="EX27" t="e">
        <f>AND(Ischemia_25percent_output_edgel!B2270,"AAAAAHL8/5k=")</f>
        <v>#VALUE!</v>
      </c>
      <c r="EY27">
        <f>IF(Ischemia_25percent_output_edgel!2271:2271,"AAAAAHL8/5o=",0)</f>
        <v>0</v>
      </c>
      <c r="EZ27" t="e">
        <f>AND(Ischemia_25percent_output_edgel!A2271,"AAAAAHL8/5s=")</f>
        <v>#VALUE!</v>
      </c>
      <c r="FA27" t="e">
        <f>AND(Ischemia_25percent_output_edgel!B2271,"AAAAAHL8/5w=")</f>
        <v>#VALUE!</v>
      </c>
      <c r="FB27">
        <f>IF(Ischemia_25percent_output_edgel!2272:2272,"AAAAAHL8/50=",0)</f>
        <v>0</v>
      </c>
      <c r="FC27" t="e">
        <f>AND(Ischemia_25percent_output_edgel!A2272,"AAAAAHL8/54=")</f>
        <v>#VALUE!</v>
      </c>
      <c r="FD27" t="e">
        <f>AND(Ischemia_25percent_output_edgel!B2272,"AAAAAHL8/58=")</f>
        <v>#VALUE!</v>
      </c>
      <c r="FE27">
        <f>IF(Ischemia_25percent_output_edgel!2273:2273,"AAAAAHL8/6A=",0)</f>
        <v>0</v>
      </c>
      <c r="FF27" t="e">
        <f>AND(Ischemia_25percent_output_edgel!A2273,"AAAAAHL8/6E=")</f>
        <v>#VALUE!</v>
      </c>
      <c r="FG27" t="e">
        <f>AND(Ischemia_25percent_output_edgel!B2273,"AAAAAHL8/6I=")</f>
        <v>#VALUE!</v>
      </c>
      <c r="FH27">
        <f>IF(Ischemia_25percent_output_edgel!2274:2274,"AAAAAHL8/6M=",0)</f>
        <v>0</v>
      </c>
      <c r="FI27" t="e">
        <f>AND(Ischemia_25percent_output_edgel!A2274,"AAAAAHL8/6Q=")</f>
        <v>#VALUE!</v>
      </c>
      <c r="FJ27" t="e">
        <f>AND(Ischemia_25percent_output_edgel!B2274,"AAAAAHL8/6U=")</f>
        <v>#VALUE!</v>
      </c>
      <c r="FK27" t="e">
        <f>IF(Ischemia_25percent_output_edgel!A:A,"AAAAAHL8/6Y=",0)</f>
        <v>#VALUE!</v>
      </c>
      <c r="FL27" t="e">
        <f>IF(Ischemia_25percent_output_edgel!B:B,"AAAAAHL8/6c=",0)</f>
        <v>#VALUE!</v>
      </c>
      <c r="FM27" t="s">
        <v>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Ischemia_25percent_output_edgel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tjlin</dc:creator>
  <cp:lastModifiedBy>Tiffany Lin</cp:lastModifiedBy>
  <dcterms:created xsi:type="dcterms:W3CDTF">2012-05-21T16:37:19Z</dcterms:created>
  <dcterms:modified xsi:type="dcterms:W3CDTF">2012-05-21T16:37:20Z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1LZqM3Bg84UsmLdQXnOeduPx6nnFsOWpns99rOvom0n0</vt:lpwstr>
  </property>
  <property fmtid="{D5CDD505-2E9C-101B-9397-08002B2CF9AE}" pid="4" name="Google.Documents.RevisionId">
    <vt:lpwstr>13908618502133195298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